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tables/table13.xml" ContentType="application/vnd.openxmlformats-officedocument.spreadsheetml.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tables/table14.xml" ContentType="application/vnd.openxmlformats-officedocument.spreadsheetml.tab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tables/table15.xml" ContentType="application/vnd.openxmlformats-officedocument.spreadsheetml.tab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624157\Desktop\"/>
    </mc:Choice>
  </mc:AlternateContent>
  <xr:revisionPtr revIDLastSave="0" documentId="13_ncr:1_{90168A93-0322-459B-AA40-18B48DBE7D5B}" xr6:coauthVersionLast="47" xr6:coauthVersionMax="47" xr10:uidLastSave="{00000000-0000-0000-0000-000000000000}"/>
  <bookViews>
    <workbookView xWindow="-108" yWindow="-108" windowWidth="23256" windowHeight="12576" firstSheet="5" activeTab="8" xr2:uid="{18EC2AB6-56D3-43EA-A377-1E1274747F65}"/>
  </bookViews>
  <sheets>
    <sheet name="April" sheetId="17" r:id="rId1"/>
    <sheet name="May" sheetId="18" r:id="rId2"/>
    <sheet name="June" sheetId="25" r:id="rId3"/>
    <sheet name="July" sheetId="32" r:id="rId4"/>
    <sheet name="August" sheetId="31" r:id="rId5"/>
    <sheet name="Interim" sheetId="44" r:id="rId6"/>
    <sheet name="September" sheetId="42" r:id="rId7"/>
    <sheet name="October" sheetId="30" r:id="rId8"/>
    <sheet name="November" sheetId="43" r:id="rId9"/>
    <sheet name="December" sheetId="11" r:id="rId10"/>
    <sheet name="January 2025" sheetId="48" r:id="rId11"/>
    <sheet name="February 2025" sheetId="47" r:id="rId12"/>
    <sheet name="March 2025" sheetId="49" r:id="rId13"/>
    <sheet name="April 2025" sheetId="51" r:id="rId14"/>
    <sheet name="May 2025" sheetId="52" r:id="rId15"/>
    <sheet name="June 2025" sheetId="53" r:id="rId16"/>
    <sheet name="July 2025" sheetId="54" r:id="rId17"/>
    <sheet name="August 2025" sheetId="55" r:id="rId18"/>
    <sheet name="September 2025" sheetId="56" r:id="rId19"/>
    <sheet name="October 2025" sheetId="60" r:id="rId20"/>
    <sheet name="November 2025" sheetId="59" r:id="rId21"/>
    <sheet name="December 2025" sheetId="58" r:id="rId22"/>
    <sheet name="January 2026" sheetId="62" r:id="rId23"/>
    <sheet name="February 2026" sheetId="61" r:id="rId24"/>
    <sheet name="Investment Projections" sheetId="33" r:id="rId25"/>
    <sheet name="January2025" sheetId="39" r:id="rId26"/>
    <sheet name="February" sheetId="41" r:id="rId27"/>
    <sheet name="MarchOnwards" sheetId="40" r:id="rId28"/>
    <sheet name="Utilities" sheetId="10" r:id="rId29"/>
    <sheet name="Apartments Links" sheetId="9" r:id="rId30"/>
    <sheet name="Plan 2025" sheetId="1" r:id="rId31"/>
    <sheet name="Weekly" sheetId="2" r:id="rId32"/>
    <sheet name="Savings Target 2024" sheetId="3" r:id="rId33"/>
    <sheet name="Breakfast" sheetId="4" r:id="rId34"/>
    <sheet name="Haircut" sheetId="5" r:id="rId35"/>
    <sheet name="Laundry" sheetId="6" r:id="rId36"/>
    <sheet name="Lunch" sheetId="7" r:id="rId37"/>
    <sheet name="Groceries" sheetId="8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47" l="1"/>
  <c r="A27" i="62"/>
  <c r="L21" i="62"/>
  <c r="B20" i="62"/>
  <c r="B21" i="62" s="1"/>
  <c r="L3" i="62" s="1"/>
  <c r="L22" i="62" s="1"/>
  <c r="L20" i="62" s="1"/>
  <c r="L23" i="62" s="1"/>
  <c r="L24" i="62" s="1"/>
  <c r="O8" i="62"/>
  <c r="O5" i="62"/>
  <c r="O14" i="62" s="1"/>
  <c r="A27" i="61"/>
  <c r="L22" i="61"/>
  <c r="L21" i="61"/>
  <c r="B21" i="61"/>
  <c r="L20" i="61"/>
  <c r="L23" i="61" s="1"/>
  <c r="L24" i="61" s="1"/>
  <c r="B20" i="61"/>
  <c r="O14" i="61"/>
  <c r="O8" i="61"/>
  <c r="O5" i="61"/>
  <c r="L3" i="61"/>
  <c r="B14" i="43"/>
  <c r="B16" i="43"/>
  <c r="B7" i="56"/>
  <c r="E16" i="43"/>
  <c r="G29" i="56" l="1"/>
  <c r="A27" i="60"/>
  <c r="L21" i="60"/>
  <c r="B20" i="60"/>
  <c r="B21" i="60" s="1"/>
  <c r="L3" i="60" s="1"/>
  <c r="O8" i="60"/>
  <c r="O5" i="60"/>
  <c r="O14" i="60" s="1"/>
  <c r="A28" i="59"/>
  <c r="L22" i="59"/>
  <c r="B21" i="59"/>
  <c r="B22" i="59" s="1"/>
  <c r="L3" i="59" s="1"/>
  <c r="L23" i="59" s="1"/>
  <c r="L21" i="59" s="1"/>
  <c r="L24" i="59" s="1"/>
  <c r="L25" i="59" s="1"/>
  <c r="O8" i="59"/>
  <c r="O5" i="59"/>
  <c r="O15" i="59" s="1"/>
  <c r="A27" i="58"/>
  <c r="L21" i="58"/>
  <c r="B20" i="58"/>
  <c r="B21" i="58" s="1"/>
  <c r="L3" i="58" s="1"/>
  <c r="O8" i="58"/>
  <c r="O5" i="58"/>
  <c r="O14" i="58" s="1"/>
  <c r="A27" i="56"/>
  <c r="L21" i="56"/>
  <c r="B20" i="56"/>
  <c r="B21" i="56" s="1"/>
  <c r="L3" i="56" s="1"/>
  <c r="L22" i="56" s="1"/>
  <c r="L20" i="56" s="1"/>
  <c r="L23" i="56" s="1"/>
  <c r="L24" i="56" s="1"/>
  <c r="O8" i="56"/>
  <c r="O14" i="56" s="1"/>
  <c r="O5" i="56"/>
  <c r="A27" i="55"/>
  <c r="L21" i="55"/>
  <c r="B20" i="55"/>
  <c r="B21" i="55" s="1"/>
  <c r="L3" i="55" s="1"/>
  <c r="O8" i="55"/>
  <c r="O5" i="55"/>
  <c r="O14" i="55" s="1"/>
  <c r="A28" i="54"/>
  <c r="L22" i="54"/>
  <c r="B21" i="54"/>
  <c r="B22" i="54" s="1"/>
  <c r="L3" i="54" s="1"/>
  <c r="O9" i="54"/>
  <c r="O5" i="54"/>
  <c r="O15" i="54" s="1"/>
  <c r="A28" i="53"/>
  <c r="L22" i="53"/>
  <c r="B21" i="53"/>
  <c r="B22" i="53" s="1"/>
  <c r="L3" i="53" s="1"/>
  <c r="O9" i="53"/>
  <c r="O5" i="53"/>
  <c r="O15" i="53" s="1"/>
  <c r="A27" i="52"/>
  <c r="L21" i="52"/>
  <c r="B20" i="52"/>
  <c r="B21" i="52" s="1"/>
  <c r="L3" i="52" s="1"/>
  <c r="O8" i="52"/>
  <c r="O5" i="52"/>
  <c r="O14" i="52" s="1"/>
  <c r="A28" i="51"/>
  <c r="L22" i="51"/>
  <c r="B21" i="51"/>
  <c r="B22" i="51" s="1"/>
  <c r="L3" i="51" s="1"/>
  <c r="O8" i="51"/>
  <c r="O15" i="51" s="1"/>
  <c r="O5" i="51"/>
  <c r="A31" i="49"/>
  <c r="L25" i="49"/>
  <c r="B24" i="49"/>
  <c r="B25" i="49" s="1"/>
  <c r="L3" i="49" s="1"/>
  <c r="O8" i="49"/>
  <c r="O5" i="49"/>
  <c r="O16" i="49" s="1"/>
  <c r="A29" i="48"/>
  <c r="L23" i="48"/>
  <c r="B22" i="48"/>
  <c r="B23" i="48" s="1"/>
  <c r="L3" i="48" s="1"/>
  <c r="O8" i="48"/>
  <c r="O5" i="48"/>
  <c r="O15" i="48" s="1"/>
  <c r="A28" i="47"/>
  <c r="L22" i="47"/>
  <c r="B21" i="47"/>
  <c r="B22" i="47" s="1"/>
  <c r="L3" i="47" s="1"/>
  <c r="O8" i="47"/>
  <c r="O5" i="47"/>
  <c r="O15" i="47" s="1"/>
  <c r="B10" i="44"/>
  <c r="J28" i="31"/>
  <c r="E27" i="31"/>
  <c r="B2" i="31"/>
  <c r="L23" i="54" l="1"/>
  <c r="L21" i="54" s="1"/>
  <c r="L24" i="54" s="1"/>
  <c r="L25" i="54" s="1"/>
  <c r="L23" i="53"/>
  <c r="L21" i="53" s="1"/>
  <c r="L24" i="53" s="1"/>
  <c r="L25" i="53" s="1"/>
  <c r="L22" i="52"/>
  <c r="L20" i="52" s="1"/>
  <c r="L23" i="52" s="1"/>
  <c r="L24" i="52" s="1"/>
  <c r="L23" i="51"/>
  <c r="L21" i="51" s="1"/>
  <c r="L24" i="51" s="1"/>
  <c r="L25" i="51" s="1"/>
  <c r="L22" i="60"/>
  <c r="L20" i="60" s="1"/>
  <c r="L23" i="60" s="1"/>
  <c r="L24" i="60" s="1"/>
  <c r="L22" i="58"/>
  <c r="L20" i="58" s="1"/>
  <c r="L23" i="58" s="1"/>
  <c r="L24" i="58" s="1"/>
  <c r="L24" i="48"/>
  <c r="L22" i="48" s="1"/>
  <c r="L25" i="48" s="1"/>
  <c r="L26" i="48" s="1"/>
  <c r="L22" i="55"/>
  <c r="L20" i="55" s="1"/>
  <c r="L23" i="55" s="1"/>
  <c r="L24" i="55" s="1"/>
  <c r="L26" i="49"/>
  <c r="L24" i="49" s="1"/>
  <c r="L27" i="49" s="1"/>
  <c r="L28" i="49" s="1"/>
  <c r="L23" i="47"/>
  <c r="L21" i="47" s="1"/>
  <c r="L24" i="47" s="1"/>
  <c r="L25" i="47" s="1"/>
  <c r="B20" i="30"/>
  <c r="B22" i="31"/>
  <c r="B23" i="42"/>
  <c r="B24" i="42" s="1"/>
  <c r="L3" i="42" s="1"/>
  <c r="A28" i="43"/>
  <c r="L22" i="43"/>
  <c r="B21" i="43"/>
  <c r="B22" i="43" s="1"/>
  <c r="L3" i="43" s="1"/>
  <c r="O8" i="43"/>
  <c r="O5" i="43"/>
  <c r="O14" i="43" s="1"/>
  <c r="A30" i="42"/>
  <c r="L24" i="42"/>
  <c r="O15" i="42"/>
  <c r="O8" i="42"/>
  <c r="O5" i="42"/>
  <c r="B27" i="32"/>
  <c r="B2" i="25"/>
  <c r="L25" i="42" l="1"/>
  <c r="L23" i="42" s="1"/>
  <c r="L26" i="42" s="1"/>
  <c r="L27" i="42" s="1"/>
  <c r="L23" i="43"/>
  <c r="L21" i="43" s="1"/>
  <c r="L24" i="43" s="1"/>
  <c r="L25" i="43" s="1"/>
  <c r="C11" i="25"/>
  <c r="D28" i="32"/>
  <c r="B17" i="32" s="1"/>
  <c r="D33" i="25"/>
  <c r="B20" i="25" s="1"/>
  <c r="B2" i="32"/>
  <c r="D7" i="18"/>
  <c r="B11" i="18"/>
  <c r="E38" i="18"/>
  <c r="K9" i="18"/>
  <c r="D30" i="18" l="1"/>
  <c r="D27" i="18"/>
  <c r="G31" i="32"/>
  <c r="O24" i="17"/>
  <c r="B43" i="17"/>
  <c r="B37" i="17"/>
  <c r="B2" i="17"/>
  <c r="F34" i="17"/>
  <c r="F33" i="17"/>
  <c r="N19" i="33"/>
  <c r="B22" i="41"/>
  <c r="L25" i="41"/>
  <c r="F24" i="41"/>
  <c r="O23" i="41"/>
  <c r="C22" i="41"/>
  <c r="D21" i="41"/>
  <c r="M20" i="41"/>
  <c r="M22" i="41" s="1"/>
  <c r="L20" i="41"/>
  <c r="D20" i="41"/>
  <c r="D19" i="41"/>
  <c r="D18" i="41"/>
  <c r="D17" i="41"/>
  <c r="D16" i="41"/>
  <c r="D15" i="41"/>
  <c r="D14" i="41"/>
  <c r="R12" i="41"/>
  <c r="B12" i="41"/>
  <c r="D11" i="41"/>
  <c r="D10" i="41"/>
  <c r="D9" i="41"/>
  <c r="D8" i="41"/>
  <c r="R7" i="41"/>
  <c r="D7" i="41"/>
  <c r="D6" i="41"/>
  <c r="D5" i="41"/>
  <c r="R4" i="41"/>
  <c r="D4" i="41"/>
  <c r="D3" i="41"/>
  <c r="B2" i="41"/>
  <c r="B23" i="11"/>
  <c r="B5" i="33"/>
  <c r="F20" i="33"/>
  <c r="F19" i="33"/>
  <c r="D19" i="33"/>
  <c r="F31" i="17"/>
  <c r="C30" i="17"/>
  <c r="K20" i="17"/>
  <c r="K26" i="33"/>
  <c r="K25" i="33"/>
  <c r="K24" i="33"/>
  <c r="K23" i="33"/>
  <c r="K22" i="33"/>
  <c r="K21" i="33"/>
  <c r="K20" i="33"/>
  <c r="K19" i="33"/>
  <c r="P31" i="17"/>
  <c r="L26" i="40"/>
  <c r="F25" i="40"/>
  <c r="B13" i="40" s="1"/>
  <c r="O24" i="40"/>
  <c r="C23" i="40"/>
  <c r="D22" i="40"/>
  <c r="M21" i="40"/>
  <c r="L21" i="40"/>
  <c r="M23" i="40" s="1"/>
  <c r="D21" i="40"/>
  <c r="D20" i="40"/>
  <c r="D19" i="40"/>
  <c r="D18" i="40"/>
  <c r="D17" i="40"/>
  <c r="D16" i="40"/>
  <c r="D15" i="40"/>
  <c r="D12" i="40"/>
  <c r="D11" i="40"/>
  <c r="D10" i="40"/>
  <c r="D9" i="40"/>
  <c r="R8" i="40"/>
  <c r="D8" i="40"/>
  <c r="D7" i="40"/>
  <c r="D6" i="40"/>
  <c r="R4" i="40"/>
  <c r="D4" i="40"/>
  <c r="D3" i="40"/>
  <c r="B2" i="40"/>
  <c r="B12" i="39"/>
  <c r="B22" i="39" s="1"/>
  <c r="F24" i="39"/>
  <c r="B2" i="39"/>
  <c r="M20" i="39"/>
  <c r="L20" i="39"/>
  <c r="M22" i="39" s="1"/>
  <c r="L25" i="39"/>
  <c r="O23" i="39"/>
  <c r="C22" i="39"/>
  <c r="D21" i="39"/>
  <c r="D20" i="39"/>
  <c r="D19" i="39"/>
  <c r="D18" i="39"/>
  <c r="D17" i="39"/>
  <c r="B16" i="39"/>
  <c r="D16" i="39" s="1"/>
  <c r="D15" i="39"/>
  <c r="D14" i="39"/>
  <c r="D11" i="39"/>
  <c r="D10" i="39"/>
  <c r="D9" i="39"/>
  <c r="D8" i="39"/>
  <c r="R7" i="39"/>
  <c r="D7" i="39"/>
  <c r="D6" i="39"/>
  <c r="D5" i="39"/>
  <c r="R4" i="39"/>
  <c r="R12" i="39" s="1"/>
  <c r="D4" i="39"/>
  <c r="D3" i="39"/>
  <c r="B28" i="33"/>
  <c r="B21" i="33"/>
  <c r="B27" i="33"/>
  <c r="B26" i="33"/>
  <c r="B25" i="33"/>
  <c r="B24" i="33"/>
  <c r="B23" i="33"/>
  <c r="B22" i="33"/>
  <c r="B4" i="33"/>
  <c r="L27" i="18"/>
  <c r="D23" i="18"/>
  <c r="B16" i="18" s="1"/>
  <c r="B27" i="18" s="1"/>
  <c r="L36" i="17"/>
  <c r="J36" i="17"/>
  <c r="G25" i="17"/>
  <c r="B14" i="17" s="1"/>
  <c r="D14" i="17" s="1"/>
  <c r="C25" i="17"/>
  <c r="D24" i="17"/>
  <c r="D23" i="17"/>
  <c r="D22" i="17"/>
  <c r="D21" i="17"/>
  <c r="D20" i="17"/>
  <c r="D18" i="17"/>
  <c r="D17" i="17"/>
  <c r="D12" i="17"/>
  <c r="D11" i="17"/>
  <c r="D10" i="17"/>
  <c r="D9" i="17"/>
  <c r="D8" i="17"/>
  <c r="D7" i="17"/>
  <c r="D6" i="17"/>
  <c r="D5" i="17"/>
  <c r="D3" i="17"/>
  <c r="G24" i="18"/>
  <c r="B10" i="33"/>
  <c r="B9" i="33"/>
  <c r="B7" i="33"/>
  <c r="B6" i="33"/>
  <c r="K11" i="33"/>
  <c r="K10" i="33"/>
  <c r="K9" i="33"/>
  <c r="K8" i="33"/>
  <c r="K7" i="33"/>
  <c r="K6" i="33"/>
  <c r="K5" i="33"/>
  <c r="K4" i="33"/>
  <c r="K3" i="33"/>
  <c r="B3" i="33"/>
  <c r="A34" i="32"/>
  <c r="L28" i="32"/>
  <c r="O10" i="32"/>
  <c r="O7" i="32"/>
  <c r="A30" i="31"/>
  <c r="L23" i="31"/>
  <c r="B23" i="31"/>
  <c r="L3" i="31" s="1"/>
  <c r="O6" i="31"/>
  <c r="O4" i="31"/>
  <c r="A27" i="30"/>
  <c r="L21" i="30"/>
  <c r="O8" i="30"/>
  <c r="O5" i="30"/>
  <c r="A35" i="25"/>
  <c r="L29" i="25"/>
  <c r="O8" i="25"/>
  <c r="O5" i="25"/>
  <c r="A34" i="18"/>
  <c r="N28" i="18"/>
  <c r="Q11" i="18"/>
  <c r="Q7" i="18"/>
  <c r="S26" i="17"/>
  <c r="V8" i="17"/>
  <c r="V5" i="17"/>
  <c r="A30" i="11"/>
  <c r="E5" i="10"/>
  <c r="O8" i="11"/>
  <c r="O5" i="11"/>
  <c r="L24" i="11"/>
  <c r="E3" i="10"/>
  <c r="H3" i="10"/>
  <c r="H5" i="10" s="1"/>
  <c r="F21" i="10"/>
  <c r="F20" i="10"/>
  <c r="B8" i="2"/>
  <c r="B7" i="2"/>
  <c r="B5" i="2"/>
  <c r="B9" i="2" s="1"/>
  <c r="B6" i="2"/>
  <c r="B10" i="1"/>
  <c r="B3" i="7"/>
  <c r="A2" i="7"/>
  <c r="F26" i="33" l="1"/>
  <c r="R13" i="40"/>
  <c r="B23" i="41"/>
  <c r="O3" i="41" s="1"/>
  <c r="O24" i="41" s="1"/>
  <c r="O22" i="41" s="1"/>
  <c r="O25" i="41" s="1"/>
  <c r="O26" i="41" s="1"/>
  <c r="D12" i="41"/>
  <c r="K29" i="33"/>
  <c r="B29" i="33"/>
  <c r="B23" i="40"/>
  <c r="B24" i="40" s="1"/>
  <c r="O3" i="40" s="1"/>
  <c r="O25" i="40" s="1"/>
  <c r="O23" i="40" s="1"/>
  <c r="O26" i="40" s="1"/>
  <c r="O27" i="40" s="1"/>
  <c r="D13" i="40"/>
  <c r="B23" i="39"/>
  <c r="O3" i="39" s="1"/>
  <c r="O24" i="39" s="1"/>
  <c r="O22" i="39" s="1"/>
  <c r="O25" i="39" s="1"/>
  <c r="O26" i="39" s="1"/>
  <c r="D12" i="39"/>
  <c r="B28" i="25"/>
  <c r="B29" i="25" s="1"/>
  <c r="L3" i="25" s="1"/>
  <c r="L30" i="25" s="1"/>
  <c r="L28" i="25" s="1"/>
  <c r="L31" i="25" s="1"/>
  <c r="L32" i="25" s="1"/>
  <c r="B28" i="18"/>
  <c r="N3" i="18" s="1"/>
  <c r="N29" i="18" s="1"/>
  <c r="N27" i="18" s="1"/>
  <c r="N30" i="18" s="1"/>
  <c r="N31" i="18" s="1"/>
  <c r="J20" i="18" s="1"/>
  <c r="Q25" i="17"/>
  <c r="B25" i="17"/>
  <c r="B26" i="17" s="1"/>
  <c r="S3" i="17" s="1"/>
  <c r="S27" i="17" s="1"/>
  <c r="S25" i="17" s="1"/>
  <c r="S28" i="17" s="1"/>
  <c r="S29" i="17" s="1"/>
  <c r="D19" i="17"/>
  <c r="O17" i="32"/>
  <c r="B28" i="32"/>
  <c r="L5" i="32" s="1"/>
  <c r="L29" i="32" s="1"/>
  <c r="L27" i="32" s="1"/>
  <c r="L30" i="32" s="1"/>
  <c r="L31" i="32" s="1"/>
  <c r="B11" i="33"/>
  <c r="K12" i="33"/>
  <c r="O20" i="25"/>
  <c r="O14" i="30"/>
  <c r="O13" i="31"/>
  <c r="V14" i="17"/>
  <c r="Q18" i="18"/>
  <c r="L25" i="31"/>
  <c r="L22" i="31" s="1"/>
  <c r="L26" i="31" s="1"/>
  <c r="L27" i="31" s="1"/>
  <c r="O12" i="11"/>
  <c r="B24" i="11"/>
  <c r="L3" i="11" s="1"/>
  <c r="L25" i="11" s="1"/>
  <c r="L23" i="11" s="1"/>
  <c r="L26" i="11" s="1"/>
  <c r="L27" i="11" s="1"/>
  <c r="B11" i="1"/>
  <c r="B1" i="2" s="1"/>
  <c r="B2" i="2" s="1"/>
  <c r="B11" i="2" s="1"/>
  <c r="B8" i="33" l="1"/>
  <c r="B12" i="33" s="1"/>
  <c r="B21" i="30"/>
  <c r="L3" i="30" s="1"/>
  <c r="L22" i="30" s="1"/>
  <c r="L20" i="30" s="1"/>
  <c r="L23" i="30" s="1"/>
  <c r="L24" i="3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59021-85B1-4775-AA29-6E4FFCC2461E}" keepAlive="1" name="Query - Investment Projections" description="Connection to the 'Investment Projections' query in the workbook." type="5" refreshedVersion="0" background="1">
    <dbPr connection="Provider=Microsoft.Mashup.OleDb.1;Data Source=$Workbook$;Location=&quot;Investment Projections&quot;;Extended Properties=&quot;&quot;" command="SELECT * FROM [Investment Projections]"/>
  </connection>
</connections>
</file>

<file path=xl/sharedStrings.xml><?xml version="1.0" encoding="utf-8"?>
<sst xmlns="http://schemas.openxmlformats.org/spreadsheetml/2006/main" count="1935" uniqueCount="422">
  <si>
    <t>Available</t>
  </si>
  <si>
    <t>car</t>
  </si>
  <si>
    <t>debt</t>
  </si>
  <si>
    <t>wifi</t>
  </si>
  <si>
    <t>Streaming</t>
  </si>
  <si>
    <t>School</t>
  </si>
  <si>
    <t>Rent</t>
  </si>
  <si>
    <t>water</t>
  </si>
  <si>
    <t>Weekly</t>
  </si>
  <si>
    <t>Petrol</t>
  </si>
  <si>
    <t>electricity</t>
  </si>
  <si>
    <t>breakfast</t>
  </si>
  <si>
    <t>Lunch</t>
  </si>
  <si>
    <t>Groceries</t>
  </si>
  <si>
    <t>Entertainment</t>
  </si>
  <si>
    <t>Savings</t>
  </si>
  <si>
    <t xml:space="preserve">Savings </t>
  </si>
  <si>
    <t>Projection</t>
  </si>
  <si>
    <t>Total</t>
  </si>
  <si>
    <t>You are allowed a maximum of R35 lunch + 16 = 52</t>
  </si>
  <si>
    <t>Total Costs</t>
  </si>
  <si>
    <t>Haircut</t>
  </si>
  <si>
    <t>Total Weekly Cost</t>
  </si>
  <si>
    <t>Gross= 29 000 Salary After Tax 24 299</t>
  </si>
  <si>
    <t>Car allowance for tyres and service</t>
  </si>
  <si>
    <t>Business Debt to myself for future</t>
  </si>
  <si>
    <t>Apple</t>
  </si>
  <si>
    <t>Spotify</t>
  </si>
  <si>
    <t>Disney</t>
  </si>
  <si>
    <t>Youtube</t>
  </si>
  <si>
    <t>Prime</t>
  </si>
  <si>
    <t xml:space="preserve">Link </t>
  </si>
  <si>
    <t>https://www.property24.com/to-rent/chantelle/akasia/gauteng/4002/113760148</t>
  </si>
  <si>
    <t>https://www.property24.com/to-rent/pretoria-north/pretoria/gauteng/4076/113760829</t>
  </si>
  <si>
    <t>This is my favourite so far</t>
  </si>
  <si>
    <t>Notes</t>
  </si>
  <si>
    <t>https://www.property24.com/to-rent/the-orchards/akasia/gauteng/3031/113620425</t>
  </si>
  <si>
    <t>https://www.property24.com/to-rent/hesteapark/akasia/gauteng/334/113755959</t>
  </si>
  <si>
    <t>Least favourite</t>
  </si>
  <si>
    <t>https://www.property24.com/to-rent/pretoria-north/pretoria/gauteng/4076/113735362</t>
  </si>
  <si>
    <t>Second most favourite</t>
  </si>
  <si>
    <t>https://www.property24.com/to-rent/pretoria-north/pretoria/gauteng/4076/113786193</t>
  </si>
  <si>
    <t>Third favourite</t>
  </si>
  <si>
    <t>https://www.property24.com/to-rent/theresapark/akasia/gauteng/10625/113590097</t>
  </si>
  <si>
    <t>Second fav with two bedroom</t>
  </si>
  <si>
    <t xml:space="preserve">Things needed for my move in </t>
  </si>
  <si>
    <t>Dishwasher</t>
  </si>
  <si>
    <t>Sofa</t>
  </si>
  <si>
    <t>Coffee Table</t>
  </si>
  <si>
    <t xml:space="preserve">washing machine </t>
  </si>
  <si>
    <t>Study table</t>
  </si>
  <si>
    <t xml:space="preserve">office chair </t>
  </si>
  <si>
    <t>TV</t>
  </si>
  <si>
    <t>Rent + Deposit</t>
  </si>
  <si>
    <t xml:space="preserve">essetials </t>
  </si>
  <si>
    <t>essentials plus</t>
  </si>
  <si>
    <t>Monthly contribution</t>
  </si>
  <si>
    <t>fridge</t>
  </si>
  <si>
    <t xml:space="preserve">Available after 5 months </t>
  </si>
  <si>
    <t>Option A</t>
  </si>
  <si>
    <t>Option B</t>
  </si>
  <si>
    <t xml:space="preserve">Surround system </t>
  </si>
  <si>
    <t>Bookshelf speakers</t>
  </si>
  <si>
    <t xml:space="preserve">Air cooler </t>
  </si>
  <si>
    <t>https://www.game.co.za/Home-Appliances/Dishwashers/Dishwashers/p/000000000000829195</t>
  </si>
  <si>
    <t>TV stand</t>
  </si>
  <si>
    <t>https://www.hificorp.co.za/samsung-55-inch-4k-smart-uhd-tv-55tu7000</t>
  </si>
  <si>
    <t>https://www.fairprice.co.za/istar-55-smart-television-23-810</t>
  </si>
  <si>
    <t>Link 2</t>
  </si>
  <si>
    <t xml:space="preserve">Link 1 </t>
  </si>
  <si>
    <t>https://www.makro.co.za/search/?text=xbox</t>
  </si>
  <si>
    <t>https://www.hificorp.co.za/catalogsearch/result/?q=playstation</t>
  </si>
  <si>
    <t>https://www.makro.co.za/stationery-office-furniture/office-furniture/chairs/c/LBA</t>
  </si>
  <si>
    <t>https://www.game.co.za/l/search/?t=office%20chair&amp;q=office%20chair%3Arelevance</t>
  </si>
  <si>
    <t>https://www.game.co.za/Home-%2526-Furniture/Furniture/Living-Room-Furniture/l/c/G3258</t>
  </si>
  <si>
    <t>https://www.game.co.za/Home-%2526-Furniture/Furniture/Office-Furniture/l/c/G3294</t>
  </si>
  <si>
    <t>https://www.builders.co.za/search/?text=air%20cooler</t>
  </si>
  <si>
    <t>https://www.hificorp.co.za/catalogsearch/result/?q=air+cooler</t>
  </si>
  <si>
    <t>https://www.makro.co.za/appliances/fridges-freezers/fridges/c/AAD</t>
  </si>
  <si>
    <t>https://www.game.co.za/l/search/?t=fridge&amp;q=fridge%3Arelevance</t>
  </si>
  <si>
    <t>https://www.fairprice.co.za/home-theatre-jvc-jhpn3900dvd-thn779b-sp-xg520a-jhp-n390-jhpa-520sp-speakers-receiver-th-d520-23-697</t>
  </si>
  <si>
    <t>This is the plan from Feb until June</t>
  </si>
  <si>
    <t xml:space="preserve">Available </t>
  </si>
  <si>
    <t>Expenses</t>
  </si>
  <si>
    <t>Available2</t>
  </si>
  <si>
    <t>Available3</t>
  </si>
  <si>
    <t>total</t>
  </si>
  <si>
    <t>Playstation</t>
  </si>
  <si>
    <t xml:space="preserve">Cellphone </t>
  </si>
  <si>
    <t>Subscriptions</t>
  </si>
  <si>
    <t>Wifi</t>
  </si>
  <si>
    <t xml:space="preserve"> </t>
  </si>
  <si>
    <t>Disney+</t>
  </si>
  <si>
    <t>per two weeks</t>
  </si>
  <si>
    <t>Total on Access Card</t>
  </si>
  <si>
    <t>Breakfast and Lunch</t>
  </si>
  <si>
    <t>Week 1</t>
  </si>
  <si>
    <t>Water</t>
  </si>
  <si>
    <t>Snacks</t>
  </si>
  <si>
    <t>Juice</t>
  </si>
  <si>
    <t>per month</t>
  </si>
  <si>
    <t xml:space="preserve">Weekly Budget Feb 2024 to July 2025 </t>
  </si>
  <si>
    <t>If you follow this plan you will have a balance of enjoying your money and saving a bunch of money</t>
  </si>
  <si>
    <t>Move out date September 2026</t>
  </si>
  <si>
    <t>36One Investment</t>
  </si>
  <si>
    <t>Car</t>
  </si>
  <si>
    <t>electricty</t>
  </si>
  <si>
    <t>My wants</t>
  </si>
  <si>
    <t>Weekend P</t>
  </si>
  <si>
    <t>Groceriea</t>
  </si>
  <si>
    <t>Electricity</t>
  </si>
  <si>
    <t>Laundry</t>
  </si>
  <si>
    <t>Debt</t>
  </si>
  <si>
    <t>April</t>
  </si>
  <si>
    <t>May</t>
  </si>
  <si>
    <t>June</t>
  </si>
  <si>
    <t>July</t>
  </si>
  <si>
    <t>August</t>
  </si>
  <si>
    <t>September</t>
  </si>
  <si>
    <t>October</t>
  </si>
  <si>
    <t>Playstaion</t>
  </si>
  <si>
    <t>Investment</t>
  </si>
  <si>
    <t xml:space="preserve">Air Cooler </t>
  </si>
  <si>
    <t>Gym Equipment</t>
  </si>
  <si>
    <t>Weekly Budget</t>
  </si>
  <si>
    <t>B &amp; L (Work)</t>
  </si>
  <si>
    <t>ALX</t>
  </si>
  <si>
    <t>Black Card</t>
  </si>
  <si>
    <t>Roll on</t>
  </si>
  <si>
    <t>Vanish</t>
  </si>
  <si>
    <t>Lamb</t>
  </si>
  <si>
    <t>Fish</t>
  </si>
  <si>
    <t>March</t>
  </si>
  <si>
    <t>November</t>
  </si>
  <si>
    <t>December</t>
  </si>
  <si>
    <t>Invest. Amount</t>
  </si>
  <si>
    <t>Savings Amount</t>
  </si>
  <si>
    <t>Total Saved</t>
  </si>
  <si>
    <t>Total Invested</t>
  </si>
  <si>
    <t>Airtime</t>
  </si>
  <si>
    <t>Complete</t>
  </si>
  <si>
    <t>Apple+</t>
  </si>
  <si>
    <t>Xbox Pass</t>
  </si>
  <si>
    <t>B&amp;L</t>
  </si>
  <si>
    <t>Dishwasher is aimed at being 5500, the remaining balance is suggested for new bedding.</t>
  </si>
  <si>
    <t>Re-payement</t>
  </si>
  <si>
    <t>https://curtaindream.co.za/product/venice-designer-chairs/?attribute_pa_colour=grey&amp;gad_source=1&amp;gclid=Cj0KCQiA5-uuBhDzARIsAAa21T9YsXO1KAcabwV7mSqJX5nPmLA5cRsQJbnvyRFBj050w-ZcYMyCNs8aArPPEALw_wcB</t>
  </si>
  <si>
    <t xml:space="preserve">Weekly Budget </t>
  </si>
  <si>
    <t>Aircon</t>
  </si>
  <si>
    <t>https://www.takealot.com/midea-portable-air-conditioner-12000btu/PLID46861411</t>
  </si>
  <si>
    <t>Remaining Balance to be used for additional electricity</t>
  </si>
  <si>
    <t>https://www.makro.co.za/home-garden/lighting/table-desk-lamps/table-and-desk-lamps/star-projector-galaxy-night-light-astronaut-space-projector-white/p/5adadd8c-dfc8-459a-a091-c74b1909b9f8?gad_source=1&amp;gclid=Cj0KCQiA84CvBhCaARIsAMkAvkISD6rlM3R4ewyFSqls-vIJ8CnXtAz6otsSHqjaj5zCRBBgTnNhI2saAkYsEALw_wcB</t>
  </si>
  <si>
    <t>Metro-Fibre</t>
  </si>
  <si>
    <t>Boxing</t>
  </si>
  <si>
    <t>Bedding</t>
  </si>
  <si>
    <t>On a particular week, anything not used for the bus/taxi can go towards the car petrol</t>
  </si>
  <si>
    <t>Home Fragrance</t>
  </si>
  <si>
    <t xml:space="preserve">Home Fragrance </t>
  </si>
  <si>
    <t>Home Fragrence</t>
  </si>
  <si>
    <t>Make Up Black Card</t>
  </si>
  <si>
    <t>Move Money</t>
  </si>
  <si>
    <t>Money for Next a Month</t>
  </si>
  <si>
    <t>Boxing Petrol</t>
  </si>
  <si>
    <t>Boxing P</t>
  </si>
  <si>
    <t>Bxoing P</t>
  </si>
  <si>
    <t>Woolworths</t>
  </si>
  <si>
    <t>Checkers</t>
  </si>
  <si>
    <t>Dishwasher Installation</t>
  </si>
  <si>
    <t>Python Exam</t>
  </si>
  <si>
    <t>Netflix</t>
  </si>
  <si>
    <t>Gaming</t>
  </si>
  <si>
    <t>Break</t>
  </si>
  <si>
    <t>complete</t>
  </si>
  <si>
    <t>Veggies</t>
  </si>
  <si>
    <t>Difference</t>
  </si>
  <si>
    <t>Actual Spend</t>
  </si>
  <si>
    <t>Column2</t>
  </si>
  <si>
    <t>Drive to Service And Back</t>
  </si>
  <si>
    <t>Column3</t>
  </si>
  <si>
    <t>Liquid Soap</t>
  </si>
  <si>
    <t>Soap</t>
  </si>
  <si>
    <t xml:space="preserve">Roach Gel </t>
  </si>
  <si>
    <t>Builders Warehouse</t>
  </si>
  <si>
    <t>Chakalaka</t>
  </si>
  <si>
    <t>Fish Spice</t>
  </si>
  <si>
    <t>Lamb Spice</t>
  </si>
  <si>
    <t>Borewors</t>
  </si>
  <si>
    <t>Car Repair and Service will take place on the 28th of March, Francious will be our service provider.</t>
  </si>
  <si>
    <t>Subscription</t>
  </si>
  <si>
    <t>Price</t>
  </si>
  <si>
    <t>Fitted Sheet</t>
  </si>
  <si>
    <t>Inner</t>
  </si>
  <si>
    <t>Duvet Cover</t>
  </si>
  <si>
    <t>Side Table</t>
  </si>
  <si>
    <t>pillow</t>
  </si>
  <si>
    <t>Pillow case</t>
  </si>
  <si>
    <t>Furniture</t>
  </si>
  <si>
    <t>Money for next</t>
  </si>
  <si>
    <t>Total Available</t>
  </si>
  <si>
    <t>Cash Available</t>
  </si>
  <si>
    <t>AWS Certification</t>
  </si>
  <si>
    <t>College</t>
  </si>
  <si>
    <t>Prime Video</t>
  </si>
  <si>
    <t>Time To Build And Have Fun</t>
  </si>
  <si>
    <t>Satrix Investment</t>
  </si>
  <si>
    <t>Breal</t>
  </si>
  <si>
    <t>Satrix</t>
  </si>
  <si>
    <t>Month</t>
  </si>
  <si>
    <t>Amount</t>
  </si>
  <si>
    <t>Decmeber</t>
  </si>
  <si>
    <t>Dishwasher Tablets</t>
  </si>
  <si>
    <t xml:space="preserve">All Balanced :) </t>
  </si>
  <si>
    <t>Airtime + Data</t>
  </si>
  <si>
    <t xml:space="preserve">Television Samsung </t>
  </si>
  <si>
    <t>Target</t>
  </si>
  <si>
    <t>Current Total</t>
  </si>
  <si>
    <t>Samsung The Frame</t>
  </si>
  <si>
    <t>Samsung The Serif</t>
  </si>
  <si>
    <t>Note</t>
  </si>
  <si>
    <t>Saved</t>
  </si>
  <si>
    <t>Petrol To Tyre Service</t>
  </si>
  <si>
    <t>Sofa Savings</t>
  </si>
  <si>
    <t>https://www.klipsch.com/products/r-51m-bookshelf-speaker</t>
  </si>
  <si>
    <t>I want</t>
  </si>
  <si>
    <t>https://www.audicoonline.co.za/klipsch-r-51m-bookshelf-speakers</t>
  </si>
  <si>
    <t>https://soundandcinema.co.za/product/klipsch-r-51m-bookshelf-speakers-in-black-pair/</t>
  </si>
  <si>
    <t>https://www.takealot.com/klipsch-r-101sw-reference-10-subwoofer/PLID91665744?gad_source=1&amp;gclid=Cj0KCQjw-_mvBhDwARIsAA-Q0Q6u4GO4WwUhB_basPJAGuTccc9lqmU4Xu3s7PIDlFMp895E7-xYoWwaAqJvEALw_wcB&amp;gclsrc=aw.ds</t>
  </si>
  <si>
    <t>Denon PMA600NE</t>
  </si>
  <si>
    <t>https://www.ave1994.com/product-page/yamaha-rv-385?utm_source=google&amp;utm_medium=wix-pmax-campaign&amp;utm_campaign=google-ads-campaign-2024-2-5-e9a18ba6&amp;gad_source=1&amp;gclid=Cj0KCQjw-_mvBhDwARIsAA-Q0Q7WwXl7LOTPYbRy0-ItwJBEEdm4gIxBxkx_TlL1wFZFv9L1v_4DRxEaAonIEALw_wcB</t>
  </si>
  <si>
    <t>Travel to Midrand</t>
  </si>
  <si>
    <t>Put every coin  away to make up for the shortfall</t>
  </si>
  <si>
    <t>Taxi</t>
  </si>
  <si>
    <t>Change</t>
  </si>
  <si>
    <t>Transferred</t>
  </si>
  <si>
    <t>Awaiting</t>
  </si>
  <si>
    <t>Travel To Rosslyn</t>
  </si>
  <si>
    <t>chicken licken</t>
  </si>
  <si>
    <t>Used</t>
  </si>
  <si>
    <t>Transport</t>
  </si>
  <si>
    <t>Home F</t>
  </si>
  <si>
    <t>Spha Pay</t>
  </si>
  <si>
    <t>Miscalenous</t>
  </si>
  <si>
    <t>Water &amp; Lights</t>
  </si>
  <si>
    <t>Needed</t>
  </si>
  <si>
    <t>transferred b</t>
  </si>
  <si>
    <t>deal</t>
  </si>
  <si>
    <t>R50 from Laundry</t>
  </si>
  <si>
    <t>R 400 from bankc Charges pay back when Sihle sends</t>
  </si>
  <si>
    <t>shortfall is because of buying bus ticket it should equal out</t>
  </si>
  <si>
    <t>Completed</t>
  </si>
  <si>
    <t>Current situation</t>
  </si>
  <si>
    <t>Steak</t>
  </si>
  <si>
    <t>ALX Arrears</t>
  </si>
  <si>
    <t>Cockroaches</t>
  </si>
  <si>
    <t>FNB arrears</t>
  </si>
  <si>
    <t>yundai Elantra Tyre size	195/60 R15	195/60 R15</t>
  </si>
  <si>
    <t>https://www.malas.co.za/tyres?profile_tyre=9832&amp;size_tyre=9738&amp;width_tyre=9967</t>
  </si>
  <si>
    <t>HI Q 4800 for everything, this is HI Q in Rosslyn.</t>
  </si>
  <si>
    <t>Rinse Aid</t>
  </si>
  <si>
    <t>Misc elec</t>
  </si>
  <si>
    <t>Dishwasher tablets</t>
  </si>
  <si>
    <t>Butcher</t>
  </si>
  <si>
    <t>My Current</t>
  </si>
  <si>
    <t>Weekly Take out</t>
  </si>
  <si>
    <t>Weekly Take Out</t>
  </si>
  <si>
    <t>Filter Coffee</t>
  </si>
  <si>
    <t>Toll</t>
  </si>
  <si>
    <t>Paid</t>
  </si>
  <si>
    <t>paid</t>
  </si>
  <si>
    <t>transferred</t>
  </si>
  <si>
    <t>paird</t>
  </si>
  <si>
    <t>Dishwasher Salt</t>
  </si>
  <si>
    <t>next mont</t>
  </si>
  <si>
    <t>done</t>
  </si>
  <si>
    <t>Investment House</t>
  </si>
  <si>
    <t>Savings for Tyres</t>
  </si>
  <si>
    <t>Girlfriend Boost</t>
  </si>
  <si>
    <t>Give her this Money In January</t>
  </si>
  <si>
    <t>Alignment</t>
  </si>
  <si>
    <t>Complete Tyres</t>
  </si>
  <si>
    <t>Dishwasher Machine cleaner</t>
  </si>
  <si>
    <t>Tile Cleaner</t>
  </si>
  <si>
    <t>Mop</t>
  </si>
  <si>
    <t>Use Weekend R100 for toilet things</t>
  </si>
  <si>
    <t>293‬</t>
  </si>
  <si>
    <t>DAZN</t>
  </si>
  <si>
    <t>Moving and Rent</t>
  </si>
  <si>
    <t>Moving Truck</t>
  </si>
  <si>
    <t>Bedroom Curtain</t>
  </si>
  <si>
    <t>Bathroom Curtain</t>
  </si>
  <si>
    <t>L&amp;O</t>
  </si>
  <si>
    <t xml:space="preserve">Magnuts </t>
  </si>
  <si>
    <t>Pay R200 to Kholofelo only when Deposit money Received. Pay school fees also when Deposit money Received.</t>
  </si>
  <si>
    <t>Levies</t>
  </si>
  <si>
    <t>Breakfast &amp; Lunch</t>
  </si>
  <si>
    <t>Cleaning Producs</t>
  </si>
  <si>
    <t>Gym Gloves</t>
  </si>
  <si>
    <t>Body wash and Hand wash</t>
  </si>
  <si>
    <t>Body and Hand wash</t>
  </si>
  <si>
    <t>Cleaning Products</t>
  </si>
  <si>
    <t>If you follow this plan you will have a balance of enjoying your money and saving a bunch of money, last payment for ALX is this month.</t>
  </si>
  <si>
    <t>Udemy Practice exam</t>
  </si>
  <si>
    <t>Make Sure you buy Enough Dishwasher things to last two months we are paying for an exam the next month.</t>
  </si>
  <si>
    <t>Pula Debt</t>
  </si>
  <si>
    <t>Gold Standard</t>
  </si>
  <si>
    <t>Tv Stand</t>
  </si>
  <si>
    <t>Copper Cable</t>
  </si>
  <si>
    <t>ID</t>
  </si>
  <si>
    <t>we need to move 3200 to the 22nd</t>
  </si>
  <si>
    <t>Pula</t>
  </si>
  <si>
    <t>Girlfriend</t>
  </si>
  <si>
    <t>1 week of Entertainment</t>
  </si>
  <si>
    <t>sum moved</t>
  </si>
  <si>
    <t>T</t>
  </si>
  <si>
    <t>TCD</t>
  </si>
  <si>
    <t>TTD</t>
  </si>
  <si>
    <t>TD</t>
  </si>
  <si>
    <t>Its called 6 extra practice exams.</t>
  </si>
  <si>
    <t>Food</t>
  </si>
  <si>
    <t>Scented Candles</t>
  </si>
  <si>
    <t>Disshwasher Cleaner</t>
  </si>
  <si>
    <t>Make House Home</t>
  </si>
  <si>
    <t>Candle Holder</t>
  </si>
  <si>
    <t>Rosslyn</t>
  </si>
  <si>
    <t>Scented Candle</t>
  </si>
  <si>
    <t xml:space="preserve">Total </t>
  </si>
  <si>
    <t>Grocery</t>
  </si>
  <si>
    <t>Transfer the Yellow only when rest of money comes in</t>
  </si>
  <si>
    <t>Ill put 900 in grocery for candles and grocery</t>
  </si>
  <si>
    <t>Udemy</t>
  </si>
  <si>
    <t>Sofa and Lamp</t>
  </si>
  <si>
    <t>Hand and Body</t>
  </si>
  <si>
    <t>Foundations Cloud Exam prep.</t>
  </si>
  <si>
    <t>Malume T</t>
  </si>
  <si>
    <t>Her Car</t>
  </si>
  <si>
    <t>Office Equipment</t>
  </si>
  <si>
    <t>February 14th</t>
  </si>
  <si>
    <t>100 Days of Code</t>
  </si>
  <si>
    <t>Buy PCAP Practice Tests</t>
  </si>
  <si>
    <t>Girlfriend Birthday</t>
  </si>
  <si>
    <t>Fridge is something we will see in 2026</t>
  </si>
  <si>
    <t>PCED</t>
  </si>
  <si>
    <t>PCAP</t>
  </si>
  <si>
    <t>Sensodyne</t>
  </si>
  <si>
    <t>Solutions Architect Practice exams</t>
  </si>
  <si>
    <t>Google Security +</t>
  </si>
  <si>
    <t>Complete Google Security +</t>
  </si>
  <si>
    <t>Write Comptia +</t>
  </si>
  <si>
    <t xml:space="preserve">eJPT </t>
  </si>
  <si>
    <t>eJPT practice exams</t>
  </si>
  <si>
    <t>AWS Security Course</t>
  </si>
  <si>
    <t>AWS Security Exam</t>
  </si>
  <si>
    <t>Write AWS Security</t>
  </si>
  <si>
    <t>Start Applying for Jobs</t>
  </si>
  <si>
    <t>Save for PNPT</t>
  </si>
  <si>
    <t>PNPT</t>
  </si>
  <si>
    <t>AWS Security</t>
  </si>
  <si>
    <t>Save For DevOps</t>
  </si>
  <si>
    <t>DevOps Course</t>
  </si>
  <si>
    <t xml:space="preserve">Devops </t>
  </si>
  <si>
    <t>Devops Exams</t>
  </si>
  <si>
    <t>Comptia Security</t>
  </si>
  <si>
    <t>Google Security</t>
  </si>
  <si>
    <t>eJPT</t>
  </si>
  <si>
    <t>Save for PCAP</t>
  </si>
  <si>
    <t>Petrol Chevy</t>
  </si>
  <si>
    <t>Chevy</t>
  </si>
  <si>
    <t>Viso mapping is important for architecture</t>
  </si>
  <si>
    <t>Write Solutions architect</t>
  </si>
  <si>
    <t>Study Solutions</t>
  </si>
  <si>
    <t>Study DevOps</t>
  </si>
  <si>
    <t>Study Google</t>
  </si>
  <si>
    <t>Month 2</t>
  </si>
  <si>
    <t>Google</t>
  </si>
  <si>
    <t>Write DevOps</t>
  </si>
  <si>
    <t>Month 4</t>
  </si>
  <si>
    <t>Google Network</t>
  </si>
  <si>
    <t>100 days of code</t>
  </si>
  <si>
    <t>Month 5</t>
  </si>
  <si>
    <t>Google +</t>
  </si>
  <si>
    <t>Month 6</t>
  </si>
  <si>
    <t>Write and complete Google +</t>
  </si>
  <si>
    <t>Month 1</t>
  </si>
  <si>
    <t>100 days of Code</t>
  </si>
  <si>
    <t>Find Practical Hacking Course</t>
  </si>
  <si>
    <t>Study Secutiy +</t>
  </si>
  <si>
    <t>Security +</t>
  </si>
  <si>
    <t>Write and Schedule Security +</t>
  </si>
  <si>
    <t>Apply for Alx Advanced Back End</t>
  </si>
  <si>
    <t>Alx Advanced Back End</t>
  </si>
  <si>
    <t>Month 3</t>
  </si>
  <si>
    <t>one hour twice a week.</t>
  </si>
  <si>
    <t>Study eJPT +</t>
  </si>
  <si>
    <t>Write eJPT +</t>
  </si>
  <si>
    <t>Study PNPT</t>
  </si>
  <si>
    <t>Study Python Certified</t>
  </si>
  <si>
    <t>Study and write PNPT</t>
  </si>
  <si>
    <t>Write PCAP</t>
  </si>
  <si>
    <t xml:space="preserve"> write PNPT</t>
  </si>
  <si>
    <t>Study AWS Security</t>
  </si>
  <si>
    <t>Write AWS Security Sepcialist</t>
  </si>
  <si>
    <t>Spha</t>
  </si>
  <si>
    <t>Ole</t>
  </si>
  <si>
    <t>Gym</t>
  </si>
  <si>
    <t>Dress</t>
  </si>
  <si>
    <t>DevOps</t>
  </si>
  <si>
    <t>DevOps Exam</t>
  </si>
  <si>
    <t>Book AWS DevOps Exam</t>
  </si>
  <si>
    <t>Save for Comptia +</t>
  </si>
  <si>
    <t>Pay For Comptia</t>
  </si>
  <si>
    <t>Save For eJPT</t>
  </si>
  <si>
    <t>Diswahser</t>
  </si>
  <si>
    <t>Pay eJPT</t>
  </si>
  <si>
    <t>Save for PnPT</t>
  </si>
  <si>
    <t>Networking Diploma Alison</t>
  </si>
  <si>
    <t>Solutions Architect</t>
  </si>
  <si>
    <t>Backend Developer</t>
  </si>
  <si>
    <t>Ethical Hacking - Alison</t>
  </si>
  <si>
    <t xml:space="preserve">Solutions Architect </t>
  </si>
  <si>
    <t>Udemy Hack The Box</t>
  </si>
  <si>
    <t>Linux Ess - UDEMY</t>
  </si>
  <si>
    <t>Linux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</si>
</sst>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&quot;* #,##0.00_-;\-&quot;R&quot;* #,##0.00_-;_-&quot;R&quot;* &quot;-&quot;??_-;_-@_-"/>
    <numFmt numFmtId="164" formatCode="&quot;R&quot;#,##0.00"/>
    <numFmt numFmtId="165" formatCode="_-[$R-1C09]* #,##0.00_-;\-[$R-1C09]* #,##0.00_-;_-[$R-1C09]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164" fontId="1" fillId="2" borderId="0" xfId="0" applyNumberFormat="1" applyFont="1" applyFill="1"/>
    <xf numFmtId="164" fontId="0" fillId="0" borderId="0" xfId="0" applyNumberFormat="1"/>
    <xf numFmtId="164" fontId="2" fillId="0" borderId="0" xfId="0" applyNumberFormat="1" applyFont="1"/>
    <xf numFmtId="0" fontId="0" fillId="4" borderId="0" xfId="0" applyFill="1"/>
    <xf numFmtId="164" fontId="1" fillId="3" borderId="0" xfId="0" applyNumberFormat="1" applyFont="1" applyFill="1"/>
    <xf numFmtId="164" fontId="0" fillId="4" borderId="0" xfId="0" applyNumberFormat="1" applyFill="1"/>
    <xf numFmtId="0" fontId="0" fillId="2" borderId="0" xfId="0" applyFill="1"/>
    <xf numFmtId="0" fontId="3" fillId="0" borderId="0" xfId="1"/>
    <xf numFmtId="0" fontId="1" fillId="0" borderId="0" xfId="0" applyFont="1" applyAlignment="1">
      <alignment horizontal="center"/>
    </xf>
    <xf numFmtId="0" fontId="0" fillId="5" borderId="0" xfId="0" applyFill="1"/>
    <xf numFmtId="164" fontId="0" fillId="0" borderId="0" xfId="0" applyNumberFormat="1" applyAlignment="1">
      <alignment horizontal="center"/>
    </xf>
    <xf numFmtId="164" fontId="0" fillId="5" borderId="0" xfId="0" applyNumberFormat="1" applyFill="1"/>
    <xf numFmtId="0" fontId="0" fillId="0" borderId="0" xfId="0" applyAlignment="1">
      <alignment wrapText="1"/>
    </xf>
    <xf numFmtId="0" fontId="3" fillId="0" borderId="0" xfId="1" applyAlignment="1">
      <alignment wrapText="1"/>
    </xf>
    <xf numFmtId="164" fontId="0" fillId="2" borderId="0" xfId="0" applyNumberFormat="1" applyFill="1"/>
    <xf numFmtId="164" fontId="1" fillId="0" borderId="0" xfId="0" applyNumberFormat="1" applyFont="1"/>
    <xf numFmtId="0" fontId="0" fillId="8" borderId="0" xfId="0" applyFill="1"/>
    <xf numFmtId="164" fontId="0" fillId="8" borderId="0" xfId="0" applyNumberFormat="1" applyFill="1"/>
    <xf numFmtId="0" fontId="2" fillId="8" borderId="0" xfId="0" applyFont="1" applyFill="1"/>
    <xf numFmtId="164" fontId="2" fillId="8" borderId="0" xfId="0" applyNumberFormat="1" applyFont="1" applyFill="1"/>
    <xf numFmtId="0" fontId="0" fillId="0" borderId="0" xfId="0" applyAlignment="1"/>
    <xf numFmtId="164" fontId="4" fillId="0" borderId="0" xfId="0" applyNumberFormat="1" applyFon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8" fillId="0" borderId="0" xfId="0" applyFont="1"/>
    <xf numFmtId="164" fontId="8" fillId="0" borderId="0" xfId="0" applyNumberFormat="1" applyFont="1"/>
    <xf numFmtId="0" fontId="0" fillId="0" borderId="0" xfId="0" applyAlignment="1">
      <alignment horizontal="center"/>
    </xf>
    <xf numFmtId="0" fontId="0" fillId="9" borderId="0" xfId="0" applyFill="1" applyAlignment="1">
      <alignment horizontal="center" wrapText="1"/>
    </xf>
    <xf numFmtId="0" fontId="0" fillId="0" borderId="0" xfId="0" applyNumberFormat="1"/>
    <xf numFmtId="165" fontId="0" fillId="0" borderId="0" xfId="0" applyNumberFormat="1"/>
    <xf numFmtId="44" fontId="0" fillId="0" borderId="0" xfId="2" applyFont="1"/>
    <xf numFmtId="0" fontId="1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164" fontId="1" fillId="5" borderId="0" xfId="0" applyNumberFormat="1" applyFont="1" applyFill="1"/>
    <xf numFmtId="0" fontId="0" fillId="11" borderId="0" xfId="0" applyFill="1"/>
    <xf numFmtId="164" fontId="0" fillId="11" borderId="0" xfId="0" applyNumberFormat="1" applyFill="1"/>
    <xf numFmtId="164" fontId="2" fillId="5" borderId="0" xfId="0" applyNumberFormat="1" applyFont="1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164" fontId="0" fillId="12" borderId="0" xfId="0" applyNumberFormat="1" applyFill="1"/>
    <xf numFmtId="0" fontId="0" fillId="1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/>
    </xf>
    <xf numFmtId="0" fontId="3" fillId="9" borderId="0" xfId="1" applyFill="1" applyAlignment="1">
      <alignment horizontal="center" wrapText="1"/>
    </xf>
    <xf numFmtId="0" fontId="3" fillId="9" borderId="0" xfId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164" formatCode="&quot;R&quot;#,##0.00"/>
    </dxf>
    <dxf>
      <numFmt numFmtId="164" formatCode="&quot;R&quot;#,##0.00"/>
    </dxf>
    <dxf>
      <numFmt numFmtId="164" formatCode="&quot;R&quot;#,##0.00"/>
    </dxf>
    <dxf>
      <numFmt numFmtId="164" formatCode="&quot;R&quot;#,##0.00"/>
    </dxf>
    <dxf>
      <numFmt numFmtId="164" formatCode="&quot;R&quot;#,##0.00"/>
    </dxf>
    <dxf>
      <numFmt numFmtId="164" formatCode="&quot;R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47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Expense % 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53576058491"/>
          <c:y val="9.5559459763319657E-2"/>
          <c:w val="0.49062349103587782"/>
          <c:h val="0.86686582788361033"/>
        </c:manualLayout>
      </c:layout>
      <c:pieChart>
        <c:varyColors val="1"/>
        <c:ser>
          <c:idx val="0"/>
          <c:order val="0"/>
          <c:explosion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CDA-4CDD-B947-FC4325148A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CDA-4CDD-B947-FC4325148A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CDA-4CDD-B947-FC4325148A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CDA-4CDD-B947-FC4325148A3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CDA-4CDD-B947-FC4325148A3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CDA-4CDD-B947-FC4325148A3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CDA-4CDD-B947-FC4325148A3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CDA-4CDD-B947-FC4325148A3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CDA-4CDD-B947-FC4325148A3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CDA-4CDD-B947-FC4325148A3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CDA-4CDD-B947-FC4325148A3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CDA-4CDD-B947-FC4325148A3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CDA-4CDD-B947-FC4325148A3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CDA-4CDD-B947-FC4325148A3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CDA-4CDD-B947-FC4325148A3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084-4202-A3A4-B3DF406C4A1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084-4202-A3A4-B3DF406C4A1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70-4465-847F-D4755522DFB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70-4465-847F-D4755522DFB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70-4465-847F-D4755522DFB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E70-4465-847F-D4755522DFB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April!$A$3:$A$23</c:f>
              <c:strCache>
                <c:ptCount val="21"/>
                <c:pt idx="0">
                  <c:v>36One Investment</c:v>
                </c:pt>
                <c:pt idx="1">
                  <c:v>Satrix Investment</c:v>
                </c:pt>
                <c:pt idx="2">
                  <c:v>Rent</c:v>
                </c:pt>
                <c:pt idx="3">
                  <c:v>Re-payement</c:v>
                </c:pt>
                <c:pt idx="4">
                  <c:v>Airtime + Data</c:v>
                </c:pt>
                <c:pt idx="5">
                  <c:v>Metro-Fibre</c:v>
                </c:pt>
                <c:pt idx="6">
                  <c:v>Travel to Midrand</c:v>
                </c:pt>
                <c:pt idx="7">
                  <c:v>Car</c:v>
                </c:pt>
                <c:pt idx="8">
                  <c:v>Drive to Service And Back</c:v>
                </c:pt>
                <c:pt idx="9">
                  <c:v>Water</c:v>
                </c:pt>
                <c:pt idx="10">
                  <c:v>Laundry</c:v>
                </c:pt>
                <c:pt idx="11">
                  <c:v>Subscriptions</c:v>
                </c:pt>
                <c:pt idx="12">
                  <c:v>Roach Gel </c:v>
                </c:pt>
                <c:pt idx="13">
                  <c:v>Travel To Rosslyn</c:v>
                </c:pt>
                <c:pt idx="14">
                  <c:v>Home Fragrance</c:v>
                </c:pt>
                <c:pt idx="15">
                  <c:v>Debt</c:v>
                </c:pt>
                <c:pt idx="16">
                  <c:v>B &amp; L (Work)</c:v>
                </c:pt>
                <c:pt idx="17">
                  <c:v>Electricity</c:v>
                </c:pt>
                <c:pt idx="18">
                  <c:v>Savings</c:v>
                </c:pt>
                <c:pt idx="19">
                  <c:v>Wifi</c:v>
                </c:pt>
                <c:pt idx="20">
                  <c:v>ALX</c:v>
                </c:pt>
              </c:strCache>
            </c:strRef>
          </c:cat>
          <c:val>
            <c:numRef>
              <c:f>April!$B$3:$B$23</c:f>
              <c:numCache>
                <c:formatCode>"R"#\ ##0.00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3585</c:v>
                </c:pt>
                <c:pt idx="3">
                  <c:v>2435</c:v>
                </c:pt>
                <c:pt idx="4">
                  <c:v>250</c:v>
                </c:pt>
                <c:pt idx="5">
                  <c:v>1571.62</c:v>
                </c:pt>
                <c:pt idx="6">
                  <c:v>200</c:v>
                </c:pt>
                <c:pt idx="7">
                  <c:v>5270</c:v>
                </c:pt>
                <c:pt idx="8">
                  <c:v>100</c:v>
                </c:pt>
                <c:pt idx="9">
                  <c:v>285</c:v>
                </c:pt>
                <c:pt idx="10">
                  <c:v>250</c:v>
                </c:pt>
                <c:pt idx="11">
                  <c:v>550</c:v>
                </c:pt>
                <c:pt idx="12">
                  <c:v>150</c:v>
                </c:pt>
                <c:pt idx="13">
                  <c:v>92</c:v>
                </c:pt>
                <c:pt idx="14">
                  <c:v>57</c:v>
                </c:pt>
                <c:pt idx="15">
                  <c:v>1800</c:v>
                </c:pt>
                <c:pt idx="16">
                  <c:v>1052</c:v>
                </c:pt>
                <c:pt idx="17">
                  <c:v>600</c:v>
                </c:pt>
                <c:pt idx="18">
                  <c:v>0</c:v>
                </c:pt>
                <c:pt idx="19">
                  <c:v>0</c:v>
                </c:pt>
                <c:pt idx="20">
                  <c:v>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2A7-84C5-549334C9797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E64-4CFC-8E42-198FFAB595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E64-4CFC-8E42-198FFAB595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E64-4CFC-8E42-198FFAB595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E64-4CFC-8E42-198FFAB595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E64-4CFC-8E42-198FFAB595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E64-4CFC-8E42-198FFAB595E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E64-4CFC-8E42-198FFAB595E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E64-4CFC-8E42-198FFAB595E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E64-4CFC-8E42-198FFAB595E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E64-4CFC-8E42-198FFAB595E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E64-4CFC-8E42-198FFAB595E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E64-4CFC-8E42-198FFAB595E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4000-4EFE-AC6C-C766C26E306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8BD-4A6F-89DC-C00DAC5C42E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8BD-4A6F-89DC-C00DAC5C42E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8BD-4A6F-89DC-C00DAC5C42E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1D87-4268-962E-71BFD6DD9D1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B090-47D2-97AF-8561E671F0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May!$A$7:$A$24</c:f>
              <c:strCache>
                <c:ptCount val="18"/>
                <c:pt idx="0">
                  <c:v>Rent</c:v>
                </c:pt>
                <c:pt idx="1">
                  <c:v>Black Card</c:v>
                </c:pt>
                <c:pt idx="2">
                  <c:v>Water</c:v>
                </c:pt>
                <c:pt idx="3">
                  <c:v>Filter Coffee</c:v>
                </c:pt>
                <c:pt idx="4">
                  <c:v>Metro-Fibre</c:v>
                </c:pt>
                <c:pt idx="5">
                  <c:v>Misc elec</c:v>
                </c:pt>
                <c:pt idx="6">
                  <c:v>Rinse Aid</c:v>
                </c:pt>
                <c:pt idx="7">
                  <c:v>Dishwasher Tablets</c:v>
                </c:pt>
                <c:pt idx="8">
                  <c:v>Dishwasher</c:v>
                </c:pt>
                <c:pt idx="9">
                  <c:v>Bedding</c:v>
                </c:pt>
                <c:pt idx="10">
                  <c:v>Dishwasher Installation</c:v>
                </c:pt>
                <c:pt idx="11">
                  <c:v>Subscriptions</c:v>
                </c:pt>
                <c:pt idx="12">
                  <c:v>Savings</c:v>
                </c:pt>
                <c:pt idx="13">
                  <c:v>B&amp;L</c:v>
                </c:pt>
                <c:pt idx="14">
                  <c:v>Home Fragrance</c:v>
                </c:pt>
                <c:pt idx="15">
                  <c:v>Electricity</c:v>
                </c:pt>
                <c:pt idx="16">
                  <c:v>School</c:v>
                </c:pt>
                <c:pt idx="17">
                  <c:v>ALX Arrears</c:v>
                </c:pt>
              </c:strCache>
            </c:strRef>
          </c:cat>
          <c:val>
            <c:numRef>
              <c:f>May!$B$7:$B$24</c:f>
              <c:numCache>
                <c:formatCode>"R"#\ ##0.00</c:formatCode>
                <c:ptCount val="18"/>
                <c:pt idx="0">
                  <c:v>3585</c:v>
                </c:pt>
                <c:pt idx="1">
                  <c:v>450</c:v>
                </c:pt>
                <c:pt idx="2">
                  <c:v>283</c:v>
                </c:pt>
                <c:pt idx="3">
                  <c:v>0</c:v>
                </c:pt>
                <c:pt idx="4">
                  <c:v>1690</c:v>
                </c:pt>
                <c:pt idx="5">
                  <c:v>10</c:v>
                </c:pt>
                <c:pt idx="6">
                  <c:v>50</c:v>
                </c:pt>
                <c:pt idx="7">
                  <c:v>150</c:v>
                </c:pt>
                <c:pt idx="8">
                  <c:v>5000</c:v>
                </c:pt>
                <c:pt idx="9">
                  <c:v>1750</c:v>
                </c:pt>
                <c:pt idx="10">
                  <c:v>150</c:v>
                </c:pt>
                <c:pt idx="11">
                  <c:v>550</c:v>
                </c:pt>
                <c:pt idx="12">
                  <c:v>0</c:v>
                </c:pt>
                <c:pt idx="13">
                  <c:v>1052</c:v>
                </c:pt>
                <c:pt idx="14">
                  <c:v>348</c:v>
                </c:pt>
                <c:pt idx="15">
                  <c:v>750</c:v>
                </c:pt>
                <c:pt idx="16">
                  <c:v>473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3-4521-A0B2-C3C388CD2FD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B48-4E69-BF50-8252DD68B7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B48-4E69-BF50-8252DD68B7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B48-4E69-BF50-8252DD68B7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B48-4E69-BF50-8252DD68B7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B48-4E69-BF50-8252DD68B77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B48-4E69-BF50-8252DD68B77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B48-4E69-BF50-8252DD68B77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B48-4E69-BF50-8252DD68B77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B48-4E69-BF50-8252DD68B77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6B48-4E69-BF50-8252DD68B77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6B48-4E69-BF50-8252DD68B77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6B48-4E69-BF50-8252DD68B77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1D1E-4BE8-BA1A-B849C2BC0B1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DB3F-4E00-8D73-F320CBACA46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DB3F-4E00-8D73-F320CBACA46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455C-4EF8-815C-225A4D113C0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455C-4EF8-815C-225A4D113C0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455C-4EF8-815C-225A4D113C0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B342-4B71-8189-83327E97DAB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6BC6-4C70-AFCA-3719151175A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6BC6-4C70-AFCA-3719151175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June!$A$5:$A$25</c:f>
              <c:strCache>
                <c:ptCount val="20"/>
                <c:pt idx="0">
                  <c:v>Rent</c:v>
                </c:pt>
                <c:pt idx="1">
                  <c:v>Black Card</c:v>
                </c:pt>
                <c:pt idx="2">
                  <c:v>Water</c:v>
                </c:pt>
                <c:pt idx="3">
                  <c:v>wifi</c:v>
                </c:pt>
                <c:pt idx="4">
                  <c:v>Dishwasher Salt</c:v>
                </c:pt>
                <c:pt idx="5">
                  <c:v>Dishwasher tablets</c:v>
                </c:pt>
                <c:pt idx="6">
                  <c:v>Dishwasher Machine cleaner</c:v>
                </c:pt>
                <c:pt idx="7">
                  <c:v>Rinse Aid</c:v>
                </c:pt>
                <c:pt idx="8">
                  <c:v>Cockroaches</c:v>
                </c:pt>
                <c:pt idx="9">
                  <c:v>Savings for Tyres</c:v>
                </c:pt>
                <c:pt idx="10">
                  <c:v>Tile Cleaner</c:v>
                </c:pt>
                <c:pt idx="11">
                  <c:v>Mop</c:v>
                </c:pt>
                <c:pt idx="12">
                  <c:v>Breakfast and Lunch</c:v>
                </c:pt>
                <c:pt idx="13">
                  <c:v>Petrol To Tyre Service</c:v>
                </c:pt>
                <c:pt idx="14">
                  <c:v>Gym Equipment</c:v>
                </c:pt>
                <c:pt idx="15">
                  <c:v>Subscriptions</c:v>
                </c:pt>
                <c:pt idx="16">
                  <c:v>Girlfriend Boost</c:v>
                </c:pt>
                <c:pt idx="17">
                  <c:v>Electricity</c:v>
                </c:pt>
                <c:pt idx="18">
                  <c:v>School</c:v>
                </c:pt>
                <c:pt idx="19">
                  <c:v>Home Fragrance </c:v>
                </c:pt>
              </c:strCache>
            </c:strRef>
          </c:cat>
          <c:val>
            <c:numRef>
              <c:f>June!$B$5:$B$25</c:f>
              <c:numCache>
                <c:formatCode>"R"#\ ##0.00</c:formatCode>
                <c:ptCount val="21"/>
                <c:pt idx="0">
                  <c:v>3618.11</c:v>
                </c:pt>
                <c:pt idx="1">
                  <c:v>450</c:v>
                </c:pt>
                <c:pt idx="2">
                  <c:v>284</c:v>
                </c:pt>
                <c:pt idx="3">
                  <c:v>845</c:v>
                </c:pt>
                <c:pt idx="4">
                  <c:v>20</c:v>
                </c:pt>
                <c:pt idx="5">
                  <c:v>200</c:v>
                </c:pt>
                <c:pt idx="6">
                  <c:v>100</c:v>
                </c:pt>
                <c:pt idx="7">
                  <c:v>50</c:v>
                </c:pt>
                <c:pt idx="8">
                  <c:v>90</c:v>
                </c:pt>
                <c:pt idx="9">
                  <c:v>2700</c:v>
                </c:pt>
                <c:pt idx="10">
                  <c:v>40</c:v>
                </c:pt>
                <c:pt idx="11">
                  <c:v>40</c:v>
                </c:pt>
                <c:pt idx="12">
                  <c:v>1200</c:v>
                </c:pt>
                <c:pt idx="13">
                  <c:v>100</c:v>
                </c:pt>
                <c:pt idx="14">
                  <c:v>1000</c:v>
                </c:pt>
                <c:pt idx="15">
                  <c:v>610</c:v>
                </c:pt>
                <c:pt idx="16">
                  <c:v>1000</c:v>
                </c:pt>
                <c:pt idx="17">
                  <c:v>700</c:v>
                </c:pt>
                <c:pt idx="18">
                  <c:v>0</c:v>
                </c:pt>
                <c:pt idx="19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B48-4E69-BF50-8252DD68B77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A2D-4B7B-8C48-A8C42D88D2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A2D-4B7B-8C48-A8C42D88D2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A2D-4B7B-8C48-A8C42D88D2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A2D-4B7B-8C48-A8C42D88D2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A2D-4B7B-8C48-A8C42D88D2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A2D-4B7B-8C48-A8C42D88D2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A2D-4B7B-8C48-A8C42D88D2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A2D-4B7B-8C48-A8C42D88D2C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A2D-4B7B-8C48-A8C42D88D2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A2D-4B7B-8C48-A8C42D88D2C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A2D-4B7B-8C48-A8C42D88D2C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A2D-4B7B-8C48-A8C42D88D2C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6BEA-4BE7-8416-F9ED4308AA6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570-4B4B-9C41-2C0C163CF84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16D2-471B-8EA5-AE9419B0051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FAC1-4245-9E63-4125016D603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FAC1-4245-9E63-4125016D603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AB92-4DA2-BA8B-BC48F2E83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July!$A$7:$A$24</c:f>
              <c:strCache>
                <c:ptCount val="18"/>
                <c:pt idx="0">
                  <c:v>Moving and Rent</c:v>
                </c:pt>
                <c:pt idx="1">
                  <c:v>Black Card</c:v>
                </c:pt>
                <c:pt idx="2">
                  <c:v>L&amp;O</c:v>
                </c:pt>
                <c:pt idx="3">
                  <c:v>Airtime</c:v>
                </c:pt>
                <c:pt idx="4">
                  <c:v>Body wash and Hand wash</c:v>
                </c:pt>
                <c:pt idx="5">
                  <c:v>Magnuts </c:v>
                </c:pt>
                <c:pt idx="6">
                  <c:v>Complete Tyres</c:v>
                </c:pt>
                <c:pt idx="7">
                  <c:v>Alignment</c:v>
                </c:pt>
                <c:pt idx="8">
                  <c:v>Python Exam</c:v>
                </c:pt>
                <c:pt idx="9">
                  <c:v>Gym Gloves</c:v>
                </c:pt>
                <c:pt idx="10">
                  <c:v>Subscriptions</c:v>
                </c:pt>
                <c:pt idx="11">
                  <c:v>Tile Cleaner</c:v>
                </c:pt>
                <c:pt idx="12">
                  <c:v>Cockroaches</c:v>
                </c:pt>
                <c:pt idx="13">
                  <c:v>Breakfast and Lunch</c:v>
                </c:pt>
                <c:pt idx="14">
                  <c:v>Home Fragrence</c:v>
                </c:pt>
                <c:pt idx="15">
                  <c:v>Electricity</c:v>
                </c:pt>
                <c:pt idx="16">
                  <c:v>School</c:v>
                </c:pt>
                <c:pt idx="17">
                  <c:v>Girlfriend Boost</c:v>
                </c:pt>
              </c:strCache>
            </c:strRef>
          </c:cat>
          <c:val>
            <c:numRef>
              <c:f>July!$B$7:$B$24</c:f>
              <c:numCache>
                <c:formatCode>"R"#\ ##0.00</c:formatCode>
                <c:ptCount val="18"/>
                <c:pt idx="0">
                  <c:v>10400</c:v>
                </c:pt>
                <c:pt idx="1">
                  <c:v>450</c:v>
                </c:pt>
                <c:pt idx="2">
                  <c:v>0</c:v>
                </c:pt>
                <c:pt idx="3">
                  <c:v>200</c:v>
                </c:pt>
                <c:pt idx="4">
                  <c:v>150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180</c:v>
                </c:pt>
                <c:pt idx="10">
                  <c:v>490</c:v>
                </c:pt>
                <c:pt idx="11">
                  <c:v>40</c:v>
                </c:pt>
                <c:pt idx="12">
                  <c:v>0</c:v>
                </c:pt>
                <c:pt idx="13">
                  <c:v>1052</c:v>
                </c:pt>
                <c:pt idx="14">
                  <c:v>200</c:v>
                </c:pt>
                <c:pt idx="15">
                  <c:v>500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A2D-4B7B-8C48-A8C42D88D2C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146-4E7F-9D20-7917B98E98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146-4E7F-9D20-7917B98E98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146-4E7F-9D20-7917B98E98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146-4E7F-9D20-7917B98E98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146-4E7F-9D20-7917B98E98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146-4E7F-9D20-7917B98E98E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146-4E7F-9D20-7917B98E98E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146-4E7F-9D20-7917B98E98E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146-4E7F-9D20-7917B98E98E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8146-4E7F-9D20-7917B98E98E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8146-4E7F-9D20-7917B98E98E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146-4E7F-9D20-7917B98E98E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FECD-4B93-87EB-13FEEE3F19C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FECD-4B93-87EB-13FEEE3F19C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FECD-4B93-87EB-13FEEE3F19C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A9BD-411D-8FB6-AB300A766A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E38B-47F1-AC3F-17B9240548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August!$A$4:$A$20</c:f>
              <c:strCache>
                <c:ptCount val="17"/>
                <c:pt idx="0">
                  <c:v>Rent</c:v>
                </c:pt>
                <c:pt idx="1">
                  <c:v>Black Card</c:v>
                </c:pt>
                <c:pt idx="2">
                  <c:v>Airtime</c:v>
                </c:pt>
                <c:pt idx="3">
                  <c:v>Levies</c:v>
                </c:pt>
                <c:pt idx="4">
                  <c:v>Home Fragrence</c:v>
                </c:pt>
                <c:pt idx="5">
                  <c:v>Body and Hand wash</c:v>
                </c:pt>
                <c:pt idx="6">
                  <c:v>Gold Standard</c:v>
                </c:pt>
                <c:pt idx="7">
                  <c:v>Dishwasher</c:v>
                </c:pt>
                <c:pt idx="8">
                  <c:v>Cleaning Producs</c:v>
                </c:pt>
                <c:pt idx="9">
                  <c:v>Subscriptions</c:v>
                </c:pt>
                <c:pt idx="10">
                  <c:v>ID</c:v>
                </c:pt>
                <c:pt idx="11">
                  <c:v>Copper Cable</c:v>
                </c:pt>
                <c:pt idx="12">
                  <c:v>Pula Debt</c:v>
                </c:pt>
                <c:pt idx="13">
                  <c:v>Tv Stand</c:v>
                </c:pt>
                <c:pt idx="14">
                  <c:v>Gym Gloves</c:v>
                </c:pt>
                <c:pt idx="15">
                  <c:v>School</c:v>
                </c:pt>
                <c:pt idx="16">
                  <c:v>Girlfriend Boost</c:v>
                </c:pt>
              </c:strCache>
            </c:strRef>
          </c:cat>
          <c:val>
            <c:numRef>
              <c:f>August!$B$4:$B$20</c:f>
              <c:numCache>
                <c:formatCode>"R"#\ ##0.00</c:formatCode>
                <c:ptCount val="17"/>
                <c:pt idx="0">
                  <c:v>6200</c:v>
                </c:pt>
                <c:pt idx="1">
                  <c:v>450</c:v>
                </c:pt>
                <c:pt idx="2">
                  <c:v>280</c:v>
                </c:pt>
                <c:pt idx="3">
                  <c:v>2700</c:v>
                </c:pt>
                <c:pt idx="4">
                  <c:v>200</c:v>
                </c:pt>
                <c:pt idx="5">
                  <c:v>150</c:v>
                </c:pt>
                <c:pt idx="6">
                  <c:v>1000</c:v>
                </c:pt>
                <c:pt idx="7">
                  <c:v>400</c:v>
                </c:pt>
                <c:pt idx="8">
                  <c:v>100</c:v>
                </c:pt>
                <c:pt idx="9">
                  <c:v>490</c:v>
                </c:pt>
                <c:pt idx="10">
                  <c:v>300</c:v>
                </c:pt>
                <c:pt idx="11">
                  <c:v>80</c:v>
                </c:pt>
                <c:pt idx="12">
                  <c:v>500</c:v>
                </c:pt>
                <c:pt idx="13">
                  <c:v>1400</c:v>
                </c:pt>
                <c:pt idx="14">
                  <c:v>150</c:v>
                </c:pt>
                <c:pt idx="15">
                  <c:v>766</c:v>
                </c:pt>
                <c:pt idx="1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146-4E7F-9D20-7917B98E98E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12F-4208-A56C-9D38641460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12F-4208-A56C-9D38641460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12F-4208-A56C-9D38641460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12F-4208-A56C-9D38641460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12F-4208-A56C-9D38641460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12F-4208-A56C-9D38641460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12F-4208-A56C-9D38641460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12F-4208-A56C-9D386414601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12F-4208-A56C-9D386414601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12F-4208-A56C-9D386414601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12F-4208-A56C-9D386414601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12F-4208-A56C-9D386414601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B12F-4208-A56C-9D386414601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12F-4208-A56C-9D386414601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B12F-4208-A56C-9D386414601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B12F-4208-A56C-9D386414601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B12F-4208-A56C-9D3864146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September!$A$5:$A$21</c:f>
              <c:strCache>
                <c:ptCount val="16"/>
                <c:pt idx="0">
                  <c:v>Rent</c:v>
                </c:pt>
                <c:pt idx="1">
                  <c:v>Black Card</c:v>
                </c:pt>
                <c:pt idx="2">
                  <c:v>Water</c:v>
                </c:pt>
                <c:pt idx="3">
                  <c:v>Airtime</c:v>
                </c:pt>
                <c:pt idx="4">
                  <c:v>Levies</c:v>
                </c:pt>
                <c:pt idx="5">
                  <c:v>Home Fragrence</c:v>
                </c:pt>
                <c:pt idx="6">
                  <c:v>Body and Hand wash</c:v>
                </c:pt>
                <c:pt idx="7">
                  <c:v>Python Exam</c:v>
                </c:pt>
                <c:pt idx="8">
                  <c:v>Dishwasher</c:v>
                </c:pt>
                <c:pt idx="9">
                  <c:v>Cleaning Producs</c:v>
                </c:pt>
                <c:pt idx="10">
                  <c:v>Subscriptions</c:v>
                </c:pt>
                <c:pt idx="11">
                  <c:v>Make House Home</c:v>
                </c:pt>
                <c:pt idx="12">
                  <c:v>Gym Equipment</c:v>
                </c:pt>
                <c:pt idx="13">
                  <c:v>Udemy Practice exam</c:v>
                </c:pt>
                <c:pt idx="14">
                  <c:v>Electricity</c:v>
                </c:pt>
                <c:pt idx="15">
                  <c:v>School</c:v>
                </c:pt>
              </c:strCache>
            </c:strRef>
          </c:cat>
          <c:val>
            <c:numRef>
              <c:f>September!$B$5:$B$21</c:f>
              <c:numCache>
                <c:formatCode>"R"#\ ##0.00</c:formatCode>
                <c:ptCount val="17"/>
                <c:pt idx="0">
                  <c:v>6200</c:v>
                </c:pt>
                <c:pt idx="1">
                  <c:v>280</c:v>
                </c:pt>
                <c:pt idx="2">
                  <c:v>0</c:v>
                </c:pt>
                <c:pt idx="3">
                  <c:v>250</c:v>
                </c:pt>
                <c:pt idx="4">
                  <c:v>2500</c:v>
                </c:pt>
                <c:pt idx="5">
                  <c:v>200</c:v>
                </c:pt>
                <c:pt idx="6">
                  <c:v>150</c:v>
                </c:pt>
                <c:pt idx="7">
                  <c:v>700</c:v>
                </c:pt>
                <c:pt idx="8">
                  <c:v>200</c:v>
                </c:pt>
                <c:pt idx="9">
                  <c:v>0</c:v>
                </c:pt>
                <c:pt idx="10">
                  <c:v>490</c:v>
                </c:pt>
                <c:pt idx="11">
                  <c:v>500</c:v>
                </c:pt>
                <c:pt idx="12">
                  <c:v>600</c:v>
                </c:pt>
                <c:pt idx="13">
                  <c:v>0</c:v>
                </c:pt>
                <c:pt idx="14">
                  <c:v>0</c:v>
                </c:pt>
                <c:pt idx="15">
                  <c:v>766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12F-4208-A56C-9D386414601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17E-4367-81A5-4A79B0AEBD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17E-4367-81A5-4A79B0AEBD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17E-4367-81A5-4A79B0AEBD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17E-4367-81A5-4A79B0AEBD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17E-4367-81A5-4A79B0AEBD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17E-4367-81A5-4A79B0AEBD3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17E-4367-81A5-4A79B0AEBD3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17E-4367-81A5-4A79B0AEBD3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17E-4367-81A5-4A79B0AEBD3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17E-4367-81A5-4A79B0AEBD3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17E-4367-81A5-4A79B0AEBD3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17E-4367-81A5-4A79B0AEBD3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8137-4542-A026-DAC5A2EB764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8137-4542-A026-DAC5A2EB76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October!$A$5:$A$18</c:f>
              <c:strCache>
                <c:ptCount val="14"/>
                <c:pt idx="0">
                  <c:v>Rent</c:v>
                </c:pt>
                <c:pt idx="1">
                  <c:v>Black Card</c:v>
                </c:pt>
                <c:pt idx="2">
                  <c:v>Sofa and Lamp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B&amp;L</c:v>
                </c:pt>
                <c:pt idx="7">
                  <c:v>Udemy</c:v>
                </c:pt>
                <c:pt idx="8">
                  <c:v>Gym Equipment</c:v>
                </c:pt>
                <c:pt idx="9">
                  <c:v>Subscriptions</c:v>
                </c:pt>
                <c:pt idx="10">
                  <c:v>Airtime</c:v>
                </c:pt>
                <c:pt idx="11">
                  <c:v>Home Fragrence</c:v>
                </c:pt>
                <c:pt idx="12">
                  <c:v>School</c:v>
                </c:pt>
                <c:pt idx="13">
                  <c:v>Girlfriend Boost</c:v>
                </c:pt>
              </c:strCache>
            </c:strRef>
          </c:cat>
          <c:val>
            <c:numRef>
              <c:f>October!$B$5:$B$18</c:f>
              <c:numCache>
                <c:formatCode>"R"#\ ##0.00</c:formatCode>
                <c:ptCount val="14"/>
                <c:pt idx="0">
                  <c:v>6200</c:v>
                </c:pt>
                <c:pt idx="1">
                  <c:v>280</c:v>
                </c:pt>
                <c:pt idx="2">
                  <c:v>4000</c:v>
                </c:pt>
                <c:pt idx="3">
                  <c:v>2000</c:v>
                </c:pt>
                <c:pt idx="4">
                  <c:v>70</c:v>
                </c:pt>
                <c:pt idx="5">
                  <c:v>150</c:v>
                </c:pt>
                <c:pt idx="6">
                  <c:v>0</c:v>
                </c:pt>
                <c:pt idx="7">
                  <c:v>200</c:v>
                </c:pt>
                <c:pt idx="8">
                  <c:v>0</c:v>
                </c:pt>
                <c:pt idx="9">
                  <c:v>490</c:v>
                </c:pt>
                <c:pt idx="10">
                  <c:v>250</c:v>
                </c:pt>
                <c:pt idx="11">
                  <c:v>160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17E-4367-81A5-4A79B0AEBD3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92-4F83-90A4-645A946E70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92-4F83-90A4-645A946E70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92-4F83-90A4-645A946E70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92-4F83-90A4-645A946E70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92-4F83-90A4-645A946E706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192-4F83-90A4-645A946E706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192-4F83-90A4-645A946E706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192-4F83-90A4-645A946E706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192-4F83-90A4-645A946E706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192-4F83-90A4-645A946E706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D192-4F83-90A4-645A946E706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D192-4F83-90A4-645A946E706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D192-4F83-90A4-645A946E706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D192-4F83-90A4-645A946E706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D192-4F83-90A4-645A946E70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November!$A$5:$A$19</c:f>
              <c:strCache>
                <c:ptCount val="15"/>
                <c:pt idx="0">
                  <c:v>Rent</c:v>
                </c:pt>
                <c:pt idx="1">
                  <c:v>Black Card</c:v>
                </c:pt>
                <c:pt idx="2">
                  <c:v>Debt</c:v>
                </c:pt>
                <c:pt idx="3">
                  <c:v>Airtime</c:v>
                </c:pt>
                <c:pt idx="4">
                  <c:v>Levies</c:v>
                </c:pt>
                <c:pt idx="5">
                  <c:v>Home Fragrence</c:v>
                </c:pt>
                <c:pt idx="6">
                  <c:v>Body and Hand wash</c:v>
                </c:pt>
                <c:pt idx="7">
                  <c:v>Petrol Chevy</c:v>
                </c:pt>
                <c:pt idx="8">
                  <c:v>Cleaning Producs</c:v>
                </c:pt>
                <c:pt idx="9">
                  <c:v>Subscriptions</c:v>
                </c:pt>
                <c:pt idx="10">
                  <c:v>School</c:v>
                </c:pt>
                <c:pt idx="11">
                  <c:v>Malume T</c:v>
                </c:pt>
                <c:pt idx="12">
                  <c:v>Laundry</c:v>
                </c:pt>
                <c:pt idx="13">
                  <c:v>Debt</c:v>
                </c:pt>
                <c:pt idx="14">
                  <c:v>Girlfriend Boost</c:v>
                </c:pt>
              </c:strCache>
            </c:strRef>
          </c:cat>
          <c:val>
            <c:numRef>
              <c:f>November!$B$5:$B$19</c:f>
              <c:numCache>
                <c:formatCode>"R"#\ ##0.00</c:formatCode>
                <c:ptCount val="15"/>
                <c:pt idx="0">
                  <c:v>6200</c:v>
                </c:pt>
                <c:pt idx="1">
                  <c:v>280</c:v>
                </c:pt>
                <c:pt idx="2">
                  <c:v>2250</c:v>
                </c:pt>
                <c:pt idx="3">
                  <c:v>320</c:v>
                </c:pt>
                <c:pt idx="4">
                  <c:v>2200</c:v>
                </c:pt>
                <c:pt idx="5">
                  <c:v>100</c:v>
                </c:pt>
                <c:pt idx="6">
                  <c:v>80</c:v>
                </c:pt>
                <c:pt idx="7">
                  <c:v>650</c:v>
                </c:pt>
                <c:pt idx="8">
                  <c:v>348</c:v>
                </c:pt>
                <c:pt idx="9">
                  <c:v>350</c:v>
                </c:pt>
                <c:pt idx="10">
                  <c:v>880</c:v>
                </c:pt>
                <c:pt idx="11">
                  <c:v>500</c:v>
                </c:pt>
                <c:pt idx="12">
                  <c:v>250</c:v>
                </c:pt>
                <c:pt idx="13">
                  <c:v>0</c:v>
                </c:pt>
                <c:pt idx="1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192-4F83-90A4-645A946E70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BC4-48DF-B580-C4D0B7FB9D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BC4-48DF-B580-C4D0B7FB9D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BC4-48DF-B580-C4D0B7FB9D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BC4-48DF-B580-C4D0B7FB9D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BC4-48DF-B580-C4D0B7FB9D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BC4-48DF-B580-C4D0B7FB9D5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BC4-48DF-B580-C4D0B7FB9D5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BC4-48DF-B580-C4D0B7FB9D5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BC4-48DF-B580-C4D0B7FB9D5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8BC4-48DF-B580-C4D0B7FB9D5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8BC4-48DF-B580-C4D0B7FB9D5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BC4-48DF-B580-C4D0B7FB9D5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8BC4-48DF-B580-C4D0B7FB9D5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8BC4-48DF-B580-C4D0B7FB9D5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9DD-4DDE-85BF-90F898C80F6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6E56-4E00-9EB4-CC02A4A2AE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'January 2025'!$A$5:$A$20</c:f>
              <c:strCache>
                <c:ptCount val="16"/>
                <c:pt idx="0">
                  <c:v>Rent</c:v>
                </c:pt>
                <c:pt idx="1">
                  <c:v>Black Card</c:v>
                </c:pt>
                <c:pt idx="2">
                  <c:v>Office Equipment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Chevy</c:v>
                </c:pt>
                <c:pt idx="7">
                  <c:v>Udemy</c:v>
                </c:pt>
                <c:pt idx="8">
                  <c:v>Google Security +</c:v>
                </c:pt>
                <c:pt idx="9">
                  <c:v>Gym Equipment</c:v>
                </c:pt>
                <c:pt idx="10">
                  <c:v>Subscriptions</c:v>
                </c:pt>
                <c:pt idx="11">
                  <c:v>Airtime</c:v>
                </c:pt>
                <c:pt idx="12">
                  <c:v>Home Fragrence</c:v>
                </c:pt>
                <c:pt idx="13">
                  <c:v>Devops </c:v>
                </c:pt>
                <c:pt idx="14">
                  <c:v>Spha</c:v>
                </c:pt>
                <c:pt idx="15">
                  <c:v>Ole</c:v>
                </c:pt>
              </c:strCache>
            </c:strRef>
          </c:cat>
          <c:val>
            <c:numRef>
              <c:f>'January 2025'!$B$5:$B$20</c:f>
              <c:numCache>
                <c:formatCode>"R"#\ ##0.00</c:formatCode>
                <c:ptCount val="16"/>
                <c:pt idx="0">
                  <c:v>6200</c:v>
                </c:pt>
                <c:pt idx="1">
                  <c:v>280</c:v>
                </c:pt>
                <c:pt idx="2">
                  <c:v>0</c:v>
                </c:pt>
                <c:pt idx="3">
                  <c:v>2200</c:v>
                </c:pt>
                <c:pt idx="4">
                  <c:v>150</c:v>
                </c:pt>
                <c:pt idx="5">
                  <c:v>200</c:v>
                </c:pt>
                <c:pt idx="6">
                  <c:v>800</c:v>
                </c:pt>
                <c:pt idx="7">
                  <c:v>230</c:v>
                </c:pt>
                <c:pt idx="8">
                  <c:v>250</c:v>
                </c:pt>
                <c:pt idx="9">
                  <c:v>500</c:v>
                </c:pt>
                <c:pt idx="10">
                  <c:v>490</c:v>
                </c:pt>
                <c:pt idx="11">
                  <c:v>250</c:v>
                </c:pt>
                <c:pt idx="12">
                  <c:v>200</c:v>
                </c:pt>
                <c:pt idx="13">
                  <c:v>1500</c:v>
                </c:pt>
                <c:pt idx="14">
                  <c:v>500</c:v>
                </c:pt>
                <c:pt idx="1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BC4-48DF-B580-C4D0B7FB9D5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9A-486E-B971-C574445981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A9A-486E-B971-C5744459812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A9A-486E-B971-C5744459812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A9A-486E-B971-C5744459812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A9A-486E-B971-C5744459812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A9A-486E-B971-C5744459812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A9A-486E-B971-C5744459812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A9A-486E-B971-C5744459812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A9A-486E-B971-C5744459812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A9A-486E-B971-C5744459812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A9A-486E-B971-C5744459812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A9A-486E-B971-C5744459812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BA9A-486E-B971-C5744459812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A9A-486E-B971-C5744459812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'February 2025'!$A$5:$A$19</c:f>
              <c:strCache>
                <c:ptCount val="15"/>
                <c:pt idx="0">
                  <c:v>Rent</c:v>
                </c:pt>
                <c:pt idx="1">
                  <c:v>Black Card</c:v>
                </c:pt>
                <c:pt idx="2">
                  <c:v>DevOps Exam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Chevy</c:v>
                </c:pt>
                <c:pt idx="7">
                  <c:v>Udemy</c:v>
                </c:pt>
                <c:pt idx="8">
                  <c:v>Google Security +</c:v>
                </c:pt>
                <c:pt idx="9">
                  <c:v>Dishwasher</c:v>
                </c:pt>
                <c:pt idx="10">
                  <c:v>Subscriptions</c:v>
                </c:pt>
                <c:pt idx="11">
                  <c:v>Airtime</c:v>
                </c:pt>
                <c:pt idx="12">
                  <c:v>Home Fragrence</c:v>
                </c:pt>
                <c:pt idx="13">
                  <c:v>Udemy Hack The Box</c:v>
                </c:pt>
                <c:pt idx="14">
                  <c:v>Girlfriend Boost</c:v>
                </c:pt>
              </c:strCache>
            </c:strRef>
          </c:cat>
          <c:val>
            <c:numRef>
              <c:f>'February 2025'!$B$5:$B$19</c:f>
              <c:numCache>
                <c:formatCode>"R"#\ ##0.00</c:formatCode>
                <c:ptCount val="15"/>
                <c:pt idx="0">
                  <c:v>6200</c:v>
                </c:pt>
                <c:pt idx="1">
                  <c:v>280</c:v>
                </c:pt>
                <c:pt idx="2">
                  <c:v>1400</c:v>
                </c:pt>
                <c:pt idx="3">
                  <c:v>2200</c:v>
                </c:pt>
                <c:pt idx="4">
                  <c:v>150</c:v>
                </c:pt>
                <c:pt idx="5">
                  <c:v>150</c:v>
                </c:pt>
                <c:pt idx="6">
                  <c:v>800</c:v>
                </c:pt>
                <c:pt idx="7">
                  <c:v>230</c:v>
                </c:pt>
                <c:pt idx="8">
                  <c:v>250</c:v>
                </c:pt>
                <c:pt idx="9">
                  <c:v>400</c:v>
                </c:pt>
                <c:pt idx="10">
                  <c:v>490</c:v>
                </c:pt>
                <c:pt idx="11">
                  <c:v>250</c:v>
                </c:pt>
                <c:pt idx="12">
                  <c:v>200</c:v>
                </c:pt>
                <c:pt idx="13">
                  <c:v>230</c:v>
                </c:pt>
                <c:pt idx="1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A9A-486E-B971-C5744459812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478-448D-96C9-18B441ACAC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478-448D-96C9-18B441ACAC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478-448D-96C9-18B441ACAC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478-448D-96C9-18B441ACAC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478-448D-96C9-18B441ACAC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478-448D-96C9-18B441ACAC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478-448D-96C9-18B441ACAC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478-448D-96C9-18B441ACAC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478-448D-96C9-18B441ACAC1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478-448D-96C9-18B441ACAC1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F478-448D-96C9-18B441ACAC1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F478-448D-96C9-18B441ACAC1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F478-448D-96C9-18B441ACAC1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F478-448D-96C9-18B441ACAC1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5B03-4609-BB8C-ABD59A860D5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8C44-4B45-9A37-8F52CCD72D3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E661-4B51-926E-9D665FE3F24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E661-4B51-926E-9D665FE3F2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'March 2025'!$A$5:$A$22</c:f>
              <c:strCache>
                <c:ptCount val="18"/>
                <c:pt idx="0">
                  <c:v>Rent</c:v>
                </c:pt>
                <c:pt idx="1">
                  <c:v>Black Card</c:v>
                </c:pt>
                <c:pt idx="2">
                  <c:v>DevOps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Complete Google Security +</c:v>
                </c:pt>
                <c:pt idx="9">
                  <c:v>Google Security +</c:v>
                </c:pt>
                <c:pt idx="10">
                  <c:v>Gym</c:v>
                </c:pt>
                <c:pt idx="11">
                  <c:v>Subscriptions</c:v>
                </c:pt>
                <c:pt idx="12">
                  <c:v>Airtime</c:v>
                </c:pt>
                <c:pt idx="13">
                  <c:v>Home Fragrence</c:v>
                </c:pt>
                <c:pt idx="14">
                  <c:v>Ole</c:v>
                </c:pt>
                <c:pt idx="15">
                  <c:v>Chevy</c:v>
                </c:pt>
                <c:pt idx="16">
                  <c:v>School</c:v>
                </c:pt>
                <c:pt idx="17">
                  <c:v>Girlfriend Boost</c:v>
                </c:pt>
              </c:strCache>
            </c:strRef>
          </c:cat>
          <c:val>
            <c:numRef>
              <c:f>'March 2025'!$B$5:$B$22</c:f>
              <c:numCache>
                <c:formatCode>"R"#\ ##0.00</c:formatCode>
                <c:ptCount val="18"/>
                <c:pt idx="0">
                  <c:v>6200</c:v>
                </c:pt>
                <c:pt idx="1">
                  <c:v>280</c:v>
                </c:pt>
                <c:pt idx="2">
                  <c:v>1700</c:v>
                </c:pt>
                <c:pt idx="3">
                  <c:v>2200</c:v>
                </c:pt>
                <c:pt idx="4">
                  <c:v>150</c:v>
                </c:pt>
                <c:pt idx="5">
                  <c:v>150</c:v>
                </c:pt>
                <c:pt idx="6">
                  <c:v>0</c:v>
                </c:pt>
                <c:pt idx="7">
                  <c:v>230</c:v>
                </c:pt>
                <c:pt idx="8">
                  <c:v>230</c:v>
                </c:pt>
                <c:pt idx="9">
                  <c:v>250</c:v>
                </c:pt>
                <c:pt idx="10">
                  <c:v>500</c:v>
                </c:pt>
                <c:pt idx="11">
                  <c:v>360</c:v>
                </c:pt>
                <c:pt idx="12">
                  <c:v>250</c:v>
                </c:pt>
                <c:pt idx="13">
                  <c:v>200</c:v>
                </c:pt>
                <c:pt idx="14">
                  <c:v>1000</c:v>
                </c:pt>
                <c:pt idx="15">
                  <c:v>700</c:v>
                </c:pt>
                <c:pt idx="16">
                  <c:v>0</c:v>
                </c:pt>
                <c:pt idx="17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478-448D-96C9-18B441ACAC1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0F-4103-9AFE-69220D766A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0F-4103-9AFE-69220D766A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0F-4103-9AFE-69220D766A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0F-4103-9AFE-69220D766A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0F-4103-9AFE-69220D766A9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10F-4103-9AFE-69220D766A9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10F-4103-9AFE-69220D766A9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10F-4103-9AFE-69220D766A9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10F-4103-9AFE-69220D766A9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10F-4103-9AFE-69220D766A9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D10F-4103-9AFE-69220D766A9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D10F-4103-9AFE-69220D766A9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D10F-4103-9AFE-69220D766A9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D10F-4103-9AFE-69220D766A9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8477-4618-8D39-4934F1860F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'April 2025'!$A$5:$A$19</c:f>
              <c:strCache>
                <c:ptCount val="15"/>
                <c:pt idx="0">
                  <c:v>Rent</c:v>
                </c:pt>
                <c:pt idx="1">
                  <c:v>Black Card</c:v>
                </c:pt>
                <c:pt idx="2">
                  <c:v>Save for Comptia +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Google Security</c:v>
                </c:pt>
                <c:pt idx="9">
                  <c:v>Dishwasher</c:v>
                </c:pt>
                <c:pt idx="10">
                  <c:v>Subscriptions</c:v>
                </c:pt>
                <c:pt idx="11">
                  <c:v>Airtime</c:v>
                </c:pt>
                <c:pt idx="12">
                  <c:v>Home Fragrence</c:v>
                </c:pt>
                <c:pt idx="13">
                  <c:v>Chevy</c:v>
                </c:pt>
                <c:pt idx="14">
                  <c:v>Girlfriend Boost</c:v>
                </c:pt>
              </c:strCache>
            </c:strRef>
          </c:cat>
          <c:val>
            <c:numRef>
              <c:f>'April 2025'!$B$5:$B$19</c:f>
              <c:numCache>
                <c:formatCode>"R"#\ ##0.00</c:formatCode>
                <c:ptCount val="15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2200</c:v>
                </c:pt>
                <c:pt idx="4">
                  <c:v>150</c:v>
                </c:pt>
                <c:pt idx="5">
                  <c:v>150</c:v>
                </c:pt>
                <c:pt idx="6">
                  <c:v>0</c:v>
                </c:pt>
                <c:pt idx="7">
                  <c:v>230</c:v>
                </c:pt>
                <c:pt idx="8">
                  <c:v>250</c:v>
                </c:pt>
                <c:pt idx="9">
                  <c:v>400</c:v>
                </c:pt>
                <c:pt idx="10">
                  <c:v>360</c:v>
                </c:pt>
                <c:pt idx="11">
                  <c:v>250</c:v>
                </c:pt>
                <c:pt idx="12">
                  <c:v>200</c:v>
                </c:pt>
                <c:pt idx="13">
                  <c:v>800</c:v>
                </c:pt>
                <c:pt idx="14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10F-4103-9AFE-69220D766A9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05-41CE-8327-AC2EABA093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05-41CE-8327-AC2EABA093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405-41CE-8327-AC2EABA093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405-41CE-8327-AC2EABA093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405-41CE-8327-AC2EABA093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405-41CE-8327-AC2EABA093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405-41CE-8327-AC2EABA093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405-41CE-8327-AC2EABA093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405-41CE-8327-AC2EABA0933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405-41CE-8327-AC2EABA0933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D405-41CE-8327-AC2EABA0933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D405-41CE-8327-AC2EABA0933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D405-41CE-8327-AC2EABA0933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D405-41CE-8327-AC2EABA093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'May 2025'!$A$5:$A$18</c:f>
              <c:strCache>
                <c:ptCount val="14"/>
                <c:pt idx="0">
                  <c:v>Rent</c:v>
                </c:pt>
                <c:pt idx="1">
                  <c:v>Black Card</c:v>
                </c:pt>
                <c:pt idx="2">
                  <c:v>Pay For Comptia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Gym</c:v>
                </c:pt>
                <c:pt idx="9">
                  <c:v>Subscriptions</c:v>
                </c:pt>
                <c:pt idx="10">
                  <c:v>Airtime</c:v>
                </c:pt>
                <c:pt idx="11">
                  <c:v>Home Fragrence</c:v>
                </c:pt>
                <c:pt idx="12">
                  <c:v>Chevy</c:v>
                </c:pt>
                <c:pt idx="13">
                  <c:v>Girlfriend Boost</c:v>
                </c:pt>
              </c:strCache>
            </c:strRef>
          </c:cat>
          <c:val>
            <c:numRef>
              <c:f>'May 2025'!$B$5:$B$18</c:f>
              <c:numCache>
                <c:formatCode>"R"#\ ##0.00</c:formatCode>
                <c:ptCount val="14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2200</c:v>
                </c:pt>
                <c:pt idx="4">
                  <c:v>150</c:v>
                </c:pt>
                <c:pt idx="5">
                  <c:v>150</c:v>
                </c:pt>
                <c:pt idx="6">
                  <c:v>0</c:v>
                </c:pt>
                <c:pt idx="7">
                  <c:v>230</c:v>
                </c:pt>
                <c:pt idx="8">
                  <c:v>500</c:v>
                </c:pt>
                <c:pt idx="9">
                  <c:v>490</c:v>
                </c:pt>
                <c:pt idx="10">
                  <c:v>250</c:v>
                </c:pt>
                <c:pt idx="11">
                  <c:v>200</c:v>
                </c:pt>
                <c:pt idx="12">
                  <c:v>800</c:v>
                </c:pt>
                <c:pt idx="1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405-41CE-8327-AC2EABA0933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80F-4762-BDE1-EAE1BE72DA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80F-4762-BDE1-EAE1BE72DA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80F-4762-BDE1-EAE1BE72DA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80F-4762-BDE1-EAE1BE72DA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80F-4762-BDE1-EAE1BE72DA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80F-4762-BDE1-EAE1BE72DA1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80F-4762-BDE1-EAE1BE72DA1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80F-4762-BDE1-EAE1BE72DA1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80F-4762-BDE1-EAE1BE72DA1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80F-4762-BDE1-EAE1BE72DA1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F80F-4762-BDE1-EAE1BE72DA1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F80F-4762-BDE1-EAE1BE72DA1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F80F-4762-BDE1-EAE1BE72DA1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F80F-4762-BDE1-EAE1BE72DA1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5DD8-46BB-9E38-8176E6E22A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'June 2025'!$A$5:$A$19</c:f>
              <c:strCache>
                <c:ptCount val="15"/>
                <c:pt idx="0">
                  <c:v>Rent</c:v>
                </c:pt>
                <c:pt idx="1">
                  <c:v>Black Card</c:v>
                </c:pt>
                <c:pt idx="2">
                  <c:v>Save For eJPT</c:v>
                </c:pt>
                <c:pt idx="3">
                  <c:v>Write Comptia +</c:v>
                </c:pt>
                <c:pt idx="4">
                  <c:v>Levies</c:v>
                </c:pt>
                <c:pt idx="5">
                  <c:v>Hand and Body</c:v>
                </c:pt>
                <c:pt idx="6">
                  <c:v>Cleaning Products</c:v>
                </c:pt>
                <c:pt idx="7">
                  <c:v>Debt</c:v>
                </c:pt>
                <c:pt idx="8">
                  <c:v>Udemy</c:v>
                </c:pt>
                <c:pt idx="9">
                  <c:v>Diswahser</c:v>
                </c:pt>
                <c:pt idx="10">
                  <c:v>Subscriptions</c:v>
                </c:pt>
                <c:pt idx="11">
                  <c:v>Airtime</c:v>
                </c:pt>
                <c:pt idx="12">
                  <c:v>Home Fragrence</c:v>
                </c:pt>
                <c:pt idx="13">
                  <c:v>Chevy</c:v>
                </c:pt>
                <c:pt idx="14">
                  <c:v>Girlfriend Boost</c:v>
                </c:pt>
              </c:strCache>
            </c:strRef>
          </c:cat>
          <c:val>
            <c:numRef>
              <c:f>'June 2025'!$B$5:$B$19</c:f>
              <c:numCache>
                <c:formatCode>"R"#\ ##0.00</c:formatCode>
                <c:ptCount val="15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0</c:v>
                </c:pt>
                <c:pt idx="4">
                  <c:v>2500</c:v>
                </c:pt>
                <c:pt idx="5">
                  <c:v>150</c:v>
                </c:pt>
                <c:pt idx="6">
                  <c:v>200</c:v>
                </c:pt>
                <c:pt idx="7">
                  <c:v>0</c:v>
                </c:pt>
                <c:pt idx="8">
                  <c:v>230</c:v>
                </c:pt>
                <c:pt idx="9">
                  <c:v>380</c:v>
                </c:pt>
                <c:pt idx="10">
                  <c:v>360</c:v>
                </c:pt>
                <c:pt idx="11">
                  <c:v>250</c:v>
                </c:pt>
                <c:pt idx="12">
                  <c:v>200</c:v>
                </c:pt>
                <c:pt idx="13">
                  <c:v>800</c:v>
                </c:pt>
                <c:pt idx="14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80F-4762-BDE1-EAE1BE72DA1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173-43EB-B3E6-929844DDBA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173-43EB-B3E6-929844DDBA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173-43EB-B3E6-929844DDBA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173-43EB-B3E6-929844DDBA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173-43EB-B3E6-929844DDBA6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173-43EB-B3E6-929844DDBA6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173-43EB-B3E6-929844DDBA6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173-43EB-B3E6-929844DDBA6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173-43EB-B3E6-929844DDBA6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173-43EB-B3E6-929844DDBA6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5173-43EB-B3E6-929844DDBA6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5173-43EB-B3E6-929844DDBA6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5173-43EB-B3E6-929844DDBA6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5173-43EB-B3E6-929844DDBA6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317E-41E5-B759-78DE924911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'July 2025'!$A$5:$A$19</c:f>
              <c:strCache>
                <c:ptCount val="15"/>
                <c:pt idx="0">
                  <c:v>Rent</c:v>
                </c:pt>
                <c:pt idx="1">
                  <c:v>Black Card</c:v>
                </c:pt>
                <c:pt idx="2">
                  <c:v>Pay eJPT</c:v>
                </c:pt>
                <c:pt idx="3">
                  <c:v>Save for PNPT</c:v>
                </c:pt>
                <c:pt idx="4">
                  <c:v>Levies</c:v>
                </c:pt>
                <c:pt idx="5">
                  <c:v>Hand and Body</c:v>
                </c:pt>
                <c:pt idx="6">
                  <c:v>Cleaning Products</c:v>
                </c:pt>
                <c:pt idx="7">
                  <c:v>Debt</c:v>
                </c:pt>
                <c:pt idx="8">
                  <c:v>Udemy</c:v>
                </c:pt>
                <c:pt idx="9">
                  <c:v>Gym Equipment</c:v>
                </c:pt>
                <c:pt idx="10">
                  <c:v>Subscriptions</c:v>
                </c:pt>
                <c:pt idx="11">
                  <c:v>Airtime</c:v>
                </c:pt>
                <c:pt idx="12">
                  <c:v>Home Fragrence</c:v>
                </c:pt>
                <c:pt idx="13">
                  <c:v>Chevy</c:v>
                </c:pt>
                <c:pt idx="14">
                  <c:v>Girlfriend Boost</c:v>
                </c:pt>
              </c:strCache>
            </c:strRef>
          </c:cat>
          <c:val>
            <c:numRef>
              <c:f>'July 2025'!$B$5:$B$19</c:f>
              <c:numCache>
                <c:formatCode>"R"#\ ##0.00</c:formatCode>
                <c:ptCount val="15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0</c:v>
                </c:pt>
                <c:pt idx="4">
                  <c:v>2500</c:v>
                </c:pt>
                <c:pt idx="5">
                  <c:v>150</c:v>
                </c:pt>
                <c:pt idx="6">
                  <c:v>150</c:v>
                </c:pt>
                <c:pt idx="7">
                  <c:v>0</c:v>
                </c:pt>
                <c:pt idx="8">
                  <c:v>230</c:v>
                </c:pt>
                <c:pt idx="9">
                  <c:v>500</c:v>
                </c:pt>
                <c:pt idx="10">
                  <c:v>360</c:v>
                </c:pt>
                <c:pt idx="11">
                  <c:v>250</c:v>
                </c:pt>
                <c:pt idx="12">
                  <c:v>200</c:v>
                </c:pt>
                <c:pt idx="13">
                  <c:v>800</c:v>
                </c:pt>
                <c:pt idx="1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173-43EB-B3E6-929844DDBA6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B0-4457-A853-7D5B8E5148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B0-4457-A853-7D5B8E5148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BB0-4457-A853-7D5B8E5148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BB0-4457-A853-7D5B8E5148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BB0-4457-A853-7D5B8E5148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BB0-4457-A853-7D5B8E5148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BB0-4457-A853-7D5B8E5148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BB0-4457-A853-7D5B8E5148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BB0-4457-A853-7D5B8E5148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BB0-4457-A853-7D5B8E5148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FBB0-4457-A853-7D5B8E5148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FBB0-4457-A853-7D5B8E5148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FBB0-4457-A853-7D5B8E5148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FBB0-4457-A853-7D5B8E5148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'August 2025'!$A$5:$A$18</c:f>
              <c:strCache>
                <c:ptCount val="14"/>
                <c:pt idx="0">
                  <c:v>Rent</c:v>
                </c:pt>
                <c:pt idx="1">
                  <c:v>Black Card</c:v>
                </c:pt>
                <c:pt idx="2">
                  <c:v>Save for PnPT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Laundry</c:v>
                </c:pt>
                <c:pt idx="7">
                  <c:v>Udemy</c:v>
                </c:pt>
                <c:pt idx="8">
                  <c:v>Dishwasher</c:v>
                </c:pt>
                <c:pt idx="9">
                  <c:v>Subscriptions</c:v>
                </c:pt>
                <c:pt idx="10">
                  <c:v>Airtime</c:v>
                </c:pt>
                <c:pt idx="11">
                  <c:v>Home Fragrence</c:v>
                </c:pt>
                <c:pt idx="12">
                  <c:v>Chevy</c:v>
                </c:pt>
                <c:pt idx="13">
                  <c:v>Girlfriend Boost</c:v>
                </c:pt>
              </c:strCache>
            </c:strRef>
          </c:cat>
          <c:val>
            <c:numRef>
              <c:f>'August 2025'!$B$5:$B$18</c:f>
              <c:numCache>
                <c:formatCode>"R"#\ ##0.00</c:formatCode>
                <c:ptCount val="14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2500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230</c:v>
                </c:pt>
                <c:pt idx="8">
                  <c:v>400</c:v>
                </c:pt>
                <c:pt idx="9">
                  <c:v>360</c:v>
                </c:pt>
                <c:pt idx="10">
                  <c:v>250</c:v>
                </c:pt>
                <c:pt idx="11">
                  <c:v>200</c:v>
                </c:pt>
                <c:pt idx="12">
                  <c:v>800</c:v>
                </c:pt>
                <c:pt idx="1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BB0-4457-A853-7D5B8E5148A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422-4780-8DEA-654B4CB386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422-4780-8DEA-654B4CB386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422-4780-8DEA-654B4CB386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422-4780-8DEA-654B4CB386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422-4780-8DEA-654B4CB386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422-4780-8DEA-654B4CB386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422-4780-8DEA-654B4CB386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422-4780-8DEA-654B4CB386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422-4780-8DEA-654B4CB3866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422-4780-8DEA-654B4CB3866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422-4780-8DEA-654B4CB3866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422-4780-8DEA-654B4CB3866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422-4780-8DEA-654B4CB3866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422-4780-8DEA-654B4CB386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'September 2025'!$A$5:$A$18</c:f>
              <c:strCache>
                <c:ptCount val="14"/>
                <c:pt idx="0">
                  <c:v>Rent</c:v>
                </c:pt>
                <c:pt idx="1">
                  <c:v>Black Card</c:v>
                </c:pt>
                <c:pt idx="2">
                  <c:v>PNPT</c:v>
                </c:pt>
                <c:pt idx="3">
                  <c:v>Save for PCAP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Dishwasher</c:v>
                </c:pt>
                <c:pt idx="9">
                  <c:v>Subscriptions</c:v>
                </c:pt>
                <c:pt idx="10">
                  <c:v>Airtime</c:v>
                </c:pt>
                <c:pt idx="11">
                  <c:v>Home Fragrence</c:v>
                </c:pt>
                <c:pt idx="12">
                  <c:v>School</c:v>
                </c:pt>
                <c:pt idx="13">
                  <c:v>Girlfriend Boost</c:v>
                </c:pt>
              </c:strCache>
            </c:strRef>
          </c:cat>
          <c:val>
            <c:numRef>
              <c:f>'September 2025'!$B$5:$B$18</c:f>
              <c:numCache>
                <c:formatCode>"R"#\ ##0.00</c:formatCode>
                <c:ptCount val="14"/>
                <c:pt idx="0">
                  <c:v>6200</c:v>
                </c:pt>
                <c:pt idx="1">
                  <c:v>280</c:v>
                </c:pt>
                <c:pt idx="2">
                  <c:v>4000</c:v>
                </c:pt>
                <c:pt idx="3">
                  <c:v>1000</c:v>
                </c:pt>
                <c:pt idx="4">
                  <c:v>150</c:v>
                </c:pt>
                <c:pt idx="5">
                  <c:v>150</c:v>
                </c:pt>
                <c:pt idx="6">
                  <c:v>300</c:v>
                </c:pt>
                <c:pt idx="7">
                  <c:v>230</c:v>
                </c:pt>
                <c:pt idx="8">
                  <c:v>400</c:v>
                </c:pt>
                <c:pt idx="9">
                  <c:v>490</c:v>
                </c:pt>
                <c:pt idx="10">
                  <c:v>250</c:v>
                </c:pt>
                <c:pt idx="11">
                  <c:v>200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422-4780-8DEA-654B4CB3866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21E-49E2-A6AC-FCEBC4AE76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21E-49E2-A6AC-FCEBC4AE76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21E-49E2-A6AC-FCEBC4AE76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21E-49E2-A6AC-FCEBC4AE76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21E-49E2-A6AC-FCEBC4AE76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21E-49E2-A6AC-FCEBC4AE76B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21E-49E2-A6AC-FCEBC4AE76B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21E-49E2-A6AC-FCEBC4AE76B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21E-49E2-A6AC-FCEBC4AE76B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21E-49E2-A6AC-FCEBC4AE76B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521E-49E2-A6AC-FCEBC4AE76B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521E-49E2-A6AC-FCEBC4AE76B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521E-49E2-A6AC-FCEBC4AE76B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521E-49E2-A6AC-FCEBC4AE76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'October 2025'!$A$5:$A$18</c:f>
              <c:strCache>
                <c:ptCount val="14"/>
                <c:pt idx="0">
                  <c:v>Rent</c:v>
                </c:pt>
                <c:pt idx="1">
                  <c:v>Black Card</c:v>
                </c:pt>
                <c:pt idx="2">
                  <c:v>PCAP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Dishwasher</c:v>
                </c:pt>
                <c:pt idx="9">
                  <c:v>Subscriptions</c:v>
                </c:pt>
                <c:pt idx="10">
                  <c:v>Airtime</c:v>
                </c:pt>
                <c:pt idx="11">
                  <c:v>Home Fragrence</c:v>
                </c:pt>
                <c:pt idx="12">
                  <c:v>School</c:v>
                </c:pt>
                <c:pt idx="13">
                  <c:v>Girlfriend Boost</c:v>
                </c:pt>
              </c:strCache>
            </c:strRef>
          </c:cat>
          <c:val>
            <c:numRef>
              <c:f>'October 2025'!$B$5:$B$18</c:f>
              <c:numCache>
                <c:formatCode>"R"#\ ##0.00</c:formatCode>
                <c:ptCount val="14"/>
                <c:pt idx="0">
                  <c:v>6200</c:v>
                </c:pt>
                <c:pt idx="1">
                  <c:v>280</c:v>
                </c:pt>
                <c:pt idx="2">
                  <c:v>3000</c:v>
                </c:pt>
                <c:pt idx="3">
                  <c:v>2200</c:v>
                </c:pt>
                <c:pt idx="4">
                  <c:v>150</c:v>
                </c:pt>
                <c:pt idx="5">
                  <c:v>150</c:v>
                </c:pt>
                <c:pt idx="6">
                  <c:v>300</c:v>
                </c:pt>
                <c:pt idx="7">
                  <c:v>0</c:v>
                </c:pt>
                <c:pt idx="8">
                  <c:v>0</c:v>
                </c:pt>
                <c:pt idx="9">
                  <c:v>490</c:v>
                </c:pt>
                <c:pt idx="10">
                  <c:v>250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21E-49E2-A6AC-FCEBC4AE76B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138-4D17-B650-321398E907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138-4D17-B650-321398E907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138-4D17-B650-321398E907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138-4D17-B650-321398E907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138-4D17-B650-321398E907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138-4D17-B650-321398E907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138-4D17-B650-321398E907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138-4D17-B650-321398E907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138-4D17-B650-321398E907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138-4D17-B650-321398E907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138-4D17-B650-321398E907A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138-4D17-B650-321398E907A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138-4D17-B650-321398E907A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138-4D17-B650-321398E907A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5F39-422D-BC67-C46FEB395E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'November 2025'!$A$5:$A$19</c:f>
              <c:strCache>
                <c:ptCount val="15"/>
                <c:pt idx="0">
                  <c:v>Rent</c:v>
                </c:pt>
                <c:pt idx="1">
                  <c:v>Black Card</c:v>
                </c:pt>
                <c:pt idx="2">
                  <c:v>AWS Security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Write AWS Security</c:v>
                </c:pt>
                <c:pt idx="9">
                  <c:v>Dishwasher</c:v>
                </c:pt>
                <c:pt idx="10">
                  <c:v>Subscriptions</c:v>
                </c:pt>
                <c:pt idx="11">
                  <c:v>Airtime</c:v>
                </c:pt>
                <c:pt idx="12">
                  <c:v>Home Fragrence</c:v>
                </c:pt>
                <c:pt idx="13">
                  <c:v>School</c:v>
                </c:pt>
                <c:pt idx="14">
                  <c:v>Girlfriend Boost</c:v>
                </c:pt>
              </c:strCache>
            </c:strRef>
          </c:cat>
          <c:val>
            <c:numRef>
              <c:f>'November 2025'!$B$5:$B$19</c:f>
              <c:numCache>
                <c:formatCode>"R"#\ ##0.00</c:formatCode>
                <c:ptCount val="15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2500</c:v>
                </c:pt>
                <c:pt idx="4">
                  <c:v>150</c:v>
                </c:pt>
                <c:pt idx="5">
                  <c:v>150</c:v>
                </c:pt>
                <c:pt idx="6">
                  <c:v>300</c:v>
                </c:pt>
                <c:pt idx="7">
                  <c:v>230</c:v>
                </c:pt>
                <c:pt idx="8">
                  <c:v>0</c:v>
                </c:pt>
                <c:pt idx="9">
                  <c:v>400</c:v>
                </c:pt>
                <c:pt idx="10">
                  <c:v>490</c:v>
                </c:pt>
                <c:pt idx="11">
                  <c:v>250</c:v>
                </c:pt>
                <c:pt idx="12">
                  <c:v>200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138-4D17-B650-321398E907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07-41C4-9B42-517CBDDC62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07-41C4-9B42-517CBDDC62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B07-41C4-9B42-517CBDDC62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B07-41C4-9B42-517CBDDC62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B07-41C4-9B42-517CBDDC62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B07-41C4-9B42-517CBDDC62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B07-41C4-9B42-517CBDDC62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B07-41C4-9B42-517CBDDC62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B07-41C4-9B42-517CBDDC62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B07-41C4-9B42-517CBDDC62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FB07-41C4-9B42-517CBDDC62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FB07-41C4-9B42-517CBDDC624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FB07-41C4-9B42-517CBDDC624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FB07-41C4-9B42-517CBDDC62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'December 2025'!$A$5:$A$18</c:f>
              <c:strCache>
                <c:ptCount val="14"/>
                <c:pt idx="0">
                  <c:v>Rent</c:v>
                </c:pt>
                <c:pt idx="1">
                  <c:v>Black Card</c:v>
                </c:pt>
                <c:pt idx="2">
                  <c:v>AWS Security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Dishwasher</c:v>
                </c:pt>
                <c:pt idx="9">
                  <c:v>Subscriptions</c:v>
                </c:pt>
                <c:pt idx="10">
                  <c:v>Airtime</c:v>
                </c:pt>
                <c:pt idx="11">
                  <c:v>Home Fragrence</c:v>
                </c:pt>
                <c:pt idx="12">
                  <c:v>School</c:v>
                </c:pt>
                <c:pt idx="13">
                  <c:v>Girlfriend Birthday</c:v>
                </c:pt>
              </c:strCache>
            </c:strRef>
          </c:cat>
          <c:val>
            <c:numRef>
              <c:f>'December 2025'!$B$5:$B$18</c:f>
              <c:numCache>
                <c:formatCode>"R"#\ ##0.00</c:formatCode>
                <c:ptCount val="14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2000</c:v>
                </c:pt>
                <c:pt idx="4">
                  <c:v>150</c:v>
                </c:pt>
                <c:pt idx="5">
                  <c:v>150</c:v>
                </c:pt>
                <c:pt idx="6">
                  <c:v>300</c:v>
                </c:pt>
                <c:pt idx="7">
                  <c:v>0</c:v>
                </c:pt>
                <c:pt idx="8">
                  <c:v>400</c:v>
                </c:pt>
                <c:pt idx="9">
                  <c:v>490</c:v>
                </c:pt>
                <c:pt idx="10">
                  <c:v>250</c:v>
                </c:pt>
                <c:pt idx="11">
                  <c:v>200</c:v>
                </c:pt>
                <c:pt idx="12">
                  <c:v>0</c:v>
                </c:pt>
                <c:pt idx="1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B07-41C4-9B42-517CBDDC624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4DB-4D05-AD40-3447A2C56F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4DB-4D05-AD40-3447A2C56F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4DB-4D05-AD40-3447A2C56F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4DB-4D05-AD40-3447A2C56F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4DB-4D05-AD40-3447A2C56FF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4DB-4D05-AD40-3447A2C56FF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4DB-4D05-AD40-3447A2C56FF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4DB-4D05-AD40-3447A2C56FF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4DB-4D05-AD40-3447A2C56FF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4DB-4D05-AD40-3447A2C56FF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94DB-4D05-AD40-3447A2C56FF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94DB-4D05-AD40-3447A2C56FF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94DB-4D05-AD40-3447A2C56FF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94DB-4D05-AD40-3447A2C56F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'January 2026'!$A$5:$A$18</c:f>
              <c:strCache>
                <c:ptCount val="14"/>
                <c:pt idx="0">
                  <c:v>Rent</c:v>
                </c:pt>
                <c:pt idx="1">
                  <c:v>Black Card</c:v>
                </c:pt>
                <c:pt idx="2">
                  <c:v>AWS Security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Dishwasher</c:v>
                </c:pt>
                <c:pt idx="9">
                  <c:v>Subscriptions</c:v>
                </c:pt>
                <c:pt idx="10">
                  <c:v>Airtime</c:v>
                </c:pt>
                <c:pt idx="11">
                  <c:v>Home Fragrence</c:v>
                </c:pt>
                <c:pt idx="12">
                  <c:v>School</c:v>
                </c:pt>
                <c:pt idx="13">
                  <c:v>Girlfriend Birthday</c:v>
                </c:pt>
              </c:strCache>
            </c:strRef>
          </c:cat>
          <c:val>
            <c:numRef>
              <c:f>'January 2026'!$B$5:$B$18</c:f>
              <c:numCache>
                <c:formatCode>"R"#\ ##0.00</c:formatCode>
                <c:ptCount val="14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2000</c:v>
                </c:pt>
                <c:pt idx="4">
                  <c:v>150</c:v>
                </c:pt>
                <c:pt idx="5">
                  <c:v>150</c:v>
                </c:pt>
                <c:pt idx="6">
                  <c:v>300</c:v>
                </c:pt>
                <c:pt idx="7">
                  <c:v>0</c:v>
                </c:pt>
                <c:pt idx="8">
                  <c:v>400</c:v>
                </c:pt>
                <c:pt idx="9">
                  <c:v>490</c:v>
                </c:pt>
                <c:pt idx="10">
                  <c:v>250</c:v>
                </c:pt>
                <c:pt idx="11">
                  <c:v>200</c:v>
                </c:pt>
                <c:pt idx="12">
                  <c:v>0</c:v>
                </c:pt>
                <c:pt idx="1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4DB-4D05-AD40-3447A2C56FF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May % of Exp.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373-4CAA-B373-DD15771403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373-4CAA-B373-DD15771403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373-4CAA-B373-DD15771403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373-4CAA-B373-DD15771403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373-4CAA-B373-DD15771403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373-4CAA-B373-DD15771403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373-4CAA-B373-DD15771403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373-4CAA-B373-DD15771403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373-4CAA-B373-DD15771403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373-4CAA-B373-DD15771403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9373-4CAA-B373-DD15771403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9373-4CAA-B373-DD15771403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9373-4CAA-B373-DD15771403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9373-4CAA-B373-DD15771403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'February 2026'!$A$5:$A$18</c:f>
              <c:strCache>
                <c:ptCount val="14"/>
                <c:pt idx="0">
                  <c:v>Rent</c:v>
                </c:pt>
                <c:pt idx="1">
                  <c:v>Black Card</c:v>
                </c:pt>
                <c:pt idx="2">
                  <c:v>AWS Security</c:v>
                </c:pt>
                <c:pt idx="3">
                  <c:v>Levies</c:v>
                </c:pt>
                <c:pt idx="4">
                  <c:v>Hand and Body</c:v>
                </c:pt>
                <c:pt idx="5">
                  <c:v>Cleaning Products</c:v>
                </c:pt>
                <c:pt idx="6">
                  <c:v>Debt</c:v>
                </c:pt>
                <c:pt idx="7">
                  <c:v>Udemy</c:v>
                </c:pt>
                <c:pt idx="8">
                  <c:v>Dishwasher</c:v>
                </c:pt>
                <c:pt idx="9">
                  <c:v>Subscriptions</c:v>
                </c:pt>
                <c:pt idx="10">
                  <c:v>Airtime</c:v>
                </c:pt>
                <c:pt idx="11">
                  <c:v>Home Fragrence</c:v>
                </c:pt>
                <c:pt idx="12">
                  <c:v>School</c:v>
                </c:pt>
                <c:pt idx="13">
                  <c:v>Girlfriend Birthday</c:v>
                </c:pt>
              </c:strCache>
            </c:strRef>
          </c:cat>
          <c:val>
            <c:numRef>
              <c:f>'February 2026'!$B$5:$B$18</c:f>
              <c:numCache>
                <c:formatCode>"R"#\ ##0.00</c:formatCode>
                <c:ptCount val="14"/>
                <c:pt idx="0">
                  <c:v>6200</c:v>
                </c:pt>
                <c:pt idx="1">
                  <c:v>280</c:v>
                </c:pt>
                <c:pt idx="2">
                  <c:v>2500</c:v>
                </c:pt>
                <c:pt idx="3">
                  <c:v>2000</c:v>
                </c:pt>
                <c:pt idx="4">
                  <c:v>150</c:v>
                </c:pt>
                <c:pt idx="5">
                  <c:v>150</c:v>
                </c:pt>
                <c:pt idx="6">
                  <c:v>300</c:v>
                </c:pt>
                <c:pt idx="7">
                  <c:v>0</c:v>
                </c:pt>
                <c:pt idx="8">
                  <c:v>400</c:v>
                </c:pt>
                <c:pt idx="9">
                  <c:v>490</c:v>
                </c:pt>
                <c:pt idx="10">
                  <c:v>250</c:v>
                </c:pt>
                <c:pt idx="11">
                  <c:v>200</c:v>
                </c:pt>
                <c:pt idx="12">
                  <c:v>0</c:v>
                </c:pt>
                <c:pt idx="1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373-4CAA-B373-DD15771403D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'Investment Projections'!$B$1</c:f>
              <c:strCache>
                <c:ptCount val="1"/>
                <c:pt idx="0">
                  <c:v>Savings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'Investment Projections'!$A$2:$A$12</c15:sqref>
                  </c15:fullRef>
                </c:ext>
              </c:extLst>
              <c:f>'Investment Projections'!$A$2:$A$11</c:f>
              <c:strCache>
                <c:ptCount val="10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  <c:pt idx="8">
                  <c:v>November</c:v>
                </c:pt>
                <c:pt idx="9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'Investment Projections'!$B$2:$B$12</c15:sqref>
                  </c15:fullRef>
                </c:ext>
              </c:extLst>
              <c:f>'Investment Projections'!$B$2:$B$11</c:f>
              <c:numCache>
                <c:formatCode>"R"#\ 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40</c:v>
                </c:pt>
                <c:pt idx="5">
                  <c:v>400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9-4BB5-880E-3D0CCBC5C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177808"/>
        <c:axId val="1583178528"/>
        <c:axId val="1803101808"/>
      </c:line3DChart>
      <c:catAx>
        <c:axId val="158317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178528"/>
        <c:crosses val="autoZero"/>
        <c:auto val="0"/>
        <c:lblAlgn val="ctr"/>
        <c:lblOffset val="100"/>
        <c:noMultiLvlLbl val="0"/>
      </c:catAx>
      <c:valAx>
        <c:axId val="15831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177808"/>
        <c:crosses val="autoZero"/>
        <c:crossBetween val="between"/>
      </c:valAx>
      <c:serAx>
        <c:axId val="1803101808"/>
        <c:scaling>
          <c:orientation val="minMax"/>
        </c:scaling>
        <c:delete val="1"/>
        <c:axPos val="b"/>
        <c:majorTickMark val="out"/>
        <c:minorTickMark val="none"/>
        <c:tickLblPos val="nextTo"/>
        <c:crossAx val="1583178528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'Investment Projections'!$K$1</c:f>
              <c:strCache>
                <c:ptCount val="1"/>
                <c:pt idx="0">
                  <c:v>Invest.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'Investment Projections'!$J$2:$J$12</c15:sqref>
                  </c15:fullRef>
                </c:ext>
              </c:extLst>
              <c:f>'Investment Projections'!$J$2:$J$11</c:f>
              <c:strCache>
                <c:ptCount val="10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  <c:pt idx="8">
                  <c:v>November</c:v>
                </c:pt>
                <c:pt idx="9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'Investment Projections'!$K$2:$K$12</c15:sqref>
                  </c15:fullRef>
                </c:ext>
              </c:extLst>
              <c:f>'Investment Projections'!$K$2:$K$11</c:f>
              <c:numCache>
                <c:formatCode>"R"#\ 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</c:v>
                </c:pt>
                <c:pt idx="5">
                  <c:v>500</c:v>
                </c:pt>
                <c:pt idx="6">
                  <c:v>0</c:v>
                </c:pt>
                <c:pt idx="7">
                  <c:v>109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D-4D31-BA21-DD36C02DD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811928"/>
        <c:axId val="1589813008"/>
      </c:lineChart>
      <c:catAx>
        <c:axId val="158981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813008"/>
        <c:crosses val="autoZero"/>
        <c:auto val="1"/>
        <c:lblAlgn val="ctr"/>
        <c:lblOffset val="100"/>
        <c:noMultiLvlLbl val="0"/>
      </c:catAx>
      <c:valAx>
        <c:axId val="15898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811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Expense % 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53576058491"/>
          <c:y val="9.5559459763319657E-2"/>
          <c:w val="0.49062349103587782"/>
          <c:h val="0.86686582788361033"/>
        </c:manualLayout>
      </c:layout>
      <c:pieChart>
        <c:varyColors val="1"/>
        <c:ser>
          <c:idx val="0"/>
          <c:order val="0"/>
          <c:explosion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3FC-4937-BAEA-660B9D956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3FC-4937-BAEA-660B9D9568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3FC-4937-BAEA-660B9D9568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3FC-4937-BAEA-660B9D9568B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3FC-4937-BAEA-660B9D9568B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3FC-4937-BAEA-660B9D9568B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3FC-4937-BAEA-660B9D9568B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3FC-4937-BAEA-660B9D9568B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3FC-4937-BAEA-660B9D9568B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3FC-4937-BAEA-660B9D9568B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3FC-4937-BAEA-660B9D9568B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3FC-4937-BAEA-660B9D9568B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3FC-4937-BAEA-660B9D9568B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3FC-4937-BAEA-660B9D9568B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3FC-4937-BAEA-660B9D9568B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3FC-4937-BAEA-660B9D9568B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3FC-4937-BAEA-660B9D9568B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3FC-4937-BAEA-660B9D9568B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January2025!$A$3:$A$20</c:f>
              <c:strCache>
                <c:ptCount val="18"/>
                <c:pt idx="0">
                  <c:v>36One Investment</c:v>
                </c:pt>
                <c:pt idx="1">
                  <c:v>Rent</c:v>
                </c:pt>
                <c:pt idx="2">
                  <c:v>AWS Certification</c:v>
                </c:pt>
                <c:pt idx="3">
                  <c:v>Water</c:v>
                </c:pt>
                <c:pt idx="4">
                  <c:v>Metro-Fibre</c:v>
                </c:pt>
                <c:pt idx="5">
                  <c:v>College</c:v>
                </c:pt>
                <c:pt idx="6">
                  <c:v>Car</c:v>
                </c:pt>
                <c:pt idx="7">
                  <c:v>Boxing</c:v>
                </c:pt>
                <c:pt idx="8">
                  <c:v>Gym Equipment</c:v>
                </c:pt>
                <c:pt idx="9">
                  <c:v>Subscriptions</c:v>
                </c:pt>
                <c:pt idx="10">
                  <c:v>Roach Gel </c:v>
                </c:pt>
                <c:pt idx="11">
                  <c:v>Home Fragrance</c:v>
                </c:pt>
                <c:pt idx="12">
                  <c:v>Debt</c:v>
                </c:pt>
                <c:pt idx="13">
                  <c:v>B &amp; L (Work)</c:v>
                </c:pt>
                <c:pt idx="14">
                  <c:v>Electricity</c:v>
                </c:pt>
                <c:pt idx="15">
                  <c:v>Savings</c:v>
                </c:pt>
                <c:pt idx="16">
                  <c:v>Wifi</c:v>
                </c:pt>
                <c:pt idx="17">
                  <c:v>Debt</c:v>
                </c:pt>
              </c:strCache>
            </c:strRef>
          </c:cat>
          <c:val>
            <c:numRef>
              <c:f>January2025!$B$3:$B$20</c:f>
              <c:numCache>
                <c:formatCode>"R"#\ ##0.00</c:formatCode>
                <c:ptCount val="18"/>
                <c:pt idx="0">
                  <c:v>500</c:v>
                </c:pt>
                <c:pt idx="1">
                  <c:v>3564</c:v>
                </c:pt>
                <c:pt idx="2">
                  <c:v>500</c:v>
                </c:pt>
                <c:pt idx="3">
                  <c:v>350</c:v>
                </c:pt>
                <c:pt idx="4">
                  <c:v>845</c:v>
                </c:pt>
                <c:pt idx="5">
                  <c:v>4000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770</c:v>
                </c:pt>
                <c:pt idx="10">
                  <c:v>0</c:v>
                </c:pt>
                <c:pt idx="11">
                  <c:v>400</c:v>
                </c:pt>
                <c:pt idx="12">
                  <c:v>0</c:v>
                </c:pt>
                <c:pt idx="13">
                  <c:v>1078</c:v>
                </c:pt>
                <c:pt idx="14">
                  <c:v>600</c:v>
                </c:pt>
                <c:pt idx="15">
                  <c:v>500</c:v>
                </c:pt>
                <c:pt idx="16">
                  <c:v>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3FC-4937-BAEA-660B9D9568B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Expense % 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53576058491"/>
          <c:y val="9.5559459763319657E-2"/>
          <c:w val="0.49062349103587782"/>
          <c:h val="0.86686582788361033"/>
        </c:manualLayout>
      </c:layout>
      <c:pieChart>
        <c:varyColors val="1"/>
        <c:ser>
          <c:idx val="0"/>
          <c:order val="0"/>
          <c:explosion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53-4DF5-AC56-8A95DFAC25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53-4DF5-AC56-8A95DFAC25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C53-4DF5-AC56-8A95DFAC25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C53-4DF5-AC56-8A95DFAC25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C53-4DF5-AC56-8A95DFAC25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C53-4DF5-AC56-8A95DFAC25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C53-4DF5-AC56-8A95DFAC255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C53-4DF5-AC56-8A95DFAC255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C53-4DF5-AC56-8A95DFAC255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C53-4DF5-AC56-8A95DFAC255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C53-4DF5-AC56-8A95DFAC255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C53-4DF5-AC56-8A95DFAC255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C53-4DF5-AC56-8A95DFAC255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C53-4DF5-AC56-8A95DFAC255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C53-4DF5-AC56-8A95DFAC255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C53-4DF5-AC56-8A95DFAC255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C53-4DF5-AC56-8A95DFAC255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C53-4DF5-AC56-8A95DFAC255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February!$A$3:$A$20</c:f>
              <c:strCache>
                <c:ptCount val="18"/>
                <c:pt idx="0">
                  <c:v>36One Investment</c:v>
                </c:pt>
                <c:pt idx="1">
                  <c:v>Rent</c:v>
                </c:pt>
                <c:pt idx="2">
                  <c:v>AWS Certification</c:v>
                </c:pt>
                <c:pt idx="3">
                  <c:v>Water</c:v>
                </c:pt>
                <c:pt idx="4">
                  <c:v>Metro-Fibre</c:v>
                </c:pt>
                <c:pt idx="5">
                  <c:v>College</c:v>
                </c:pt>
                <c:pt idx="6">
                  <c:v>Car</c:v>
                </c:pt>
                <c:pt idx="7">
                  <c:v>Boxing</c:v>
                </c:pt>
                <c:pt idx="8">
                  <c:v>Gym Equipment</c:v>
                </c:pt>
                <c:pt idx="9">
                  <c:v>Subscriptions</c:v>
                </c:pt>
                <c:pt idx="10">
                  <c:v>Roach Gel </c:v>
                </c:pt>
                <c:pt idx="11">
                  <c:v>Home Fragrance</c:v>
                </c:pt>
                <c:pt idx="12">
                  <c:v>Debt</c:v>
                </c:pt>
                <c:pt idx="13">
                  <c:v>B &amp; L (Work)</c:v>
                </c:pt>
                <c:pt idx="14">
                  <c:v>Electricity</c:v>
                </c:pt>
                <c:pt idx="15">
                  <c:v>Savings</c:v>
                </c:pt>
                <c:pt idx="16">
                  <c:v>Wifi</c:v>
                </c:pt>
                <c:pt idx="17">
                  <c:v>Debt</c:v>
                </c:pt>
              </c:strCache>
            </c:strRef>
          </c:cat>
          <c:val>
            <c:numRef>
              <c:f>February!$B$3:$B$20</c:f>
              <c:numCache>
                <c:formatCode>"R"#\ ##0.00</c:formatCode>
                <c:ptCount val="18"/>
                <c:pt idx="0">
                  <c:v>500</c:v>
                </c:pt>
                <c:pt idx="1">
                  <c:v>3585</c:v>
                </c:pt>
                <c:pt idx="2">
                  <c:v>350</c:v>
                </c:pt>
                <c:pt idx="3">
                  <c:v>350</c:v>
                </c:pt>
                <c:pt idx="4">
                  <c:v>845</c:v>
                </c:pt>
                <c:pt idx="5">
                  <c:v>1500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550</c:v>
                </c:pt>
                <c:pt idx="10">
                  <c:v>0</c:v>
                </c:pt>
                <c:pt idx="11">
                  <c:v>300</c:v>
                </c:pt>
                <c:pt idx="12">
                  <c:v>0</c:v>
                </c:pt>
                <c:pt idx="13">
                  <c:v>1052</c:v>
                </c:pt>
                <c:pt idx="14">
                  <c:v>600</c:v>
                </c:pt>
                <c:pt idx="15">
                  <c:v>350</c:v>
                </c:pt>
                <c:pt idx="16">
                  <c:v>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C53-4DF5-AC56-8A95DFAC255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Expense % 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53576058491"/>
          <c:y val="9.5559459763319657E-2"/>
          <c:w val="0.49062349103587782"/>
          <c:h val="0.86686582788361033"/>
        </c:manualLayout>
      </c:layout>
      <c:pieChart>
        <c:varyColors val="1"/>
        <c:ser>
          <c:idx val="0"/>
          <c:order val="0"/>
          <c:explosion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EF-40D5-844A-6C22E825C7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EF-40D5-844A-6C22E825C7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EF-40D5-844A-6C22E825C7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EF-40D5-844A-6C22E825C7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DEF-40D5-844A-6C22E825C7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DEF-40D5-844A-6C22E825C7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DEF-40D5-844A-6C22E825C7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DEF-40D5-844A-6C22E825C7E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DEF-40D5-844A-6C22E825C7E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DEF-40D5-844A-6C22E825C7E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DEF-40D5-844A-6C22E825C7E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DEF-40D5-844A-6C22E825C7E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DEF-40D5-844A-6C22E825C7E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8DEF-40D5-844A-6C22E825C7E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DEF-40D5-844A-6C22E825C7E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8DEF-40D5-844A-6C22E825C7E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8DEF-40D5-844A-6C22E825C7E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8DEF-40D5-844A-6C22E825C7E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3BE4-4CF0-AF6D-AE925C337ED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MarchOnwards!$A$3:$A$21</c:f>
              <c:strCache>
                <c:ptCount val="19"/>
                <c:pt idx="0">
                  <c:v>36One Investment</c:v>
                </c:pt>
                <c:pt idx="1">
                  <c:v>Rent</c:v>
                </c:pt>
                <c:pt idx="2">
                  <c:v>Satrix</c:v>
                </c:pt>
                <c:pt idx="3">
                  <c:v>AWS Certification</c:v>
                </c:pt>
                <c:pt idx="4">
                  <c:v>Water</c:v>
                </c:pt>
                <c:pt idx="5">
                  <c:v>Metro-Fibre</c:v>
                </c:pt>
                <c:pt idx="6">
                  <c:v>College</c:v>
                </c:pt>
                <c:pt idx="7">
                  <c:v>Car</c:v>
                </c:pt>
                <c:pt idx="8">
                  <c:v>Boxing</c:v>
                </c:pt>
                <c:pt idx="9">
                  <c:v>Gym Equipment</c:v>
                </c:pt>
                <c:pt idx="10">
                  <c:v>Subscriptions</c:v>
                </c:pt>
                <c:pt idx="11">
                  <c:v>Roach Gel </c:v>
                </c:pt>
                <c:pt idx="12">
                  <c:v>Home Fragrance</c:v>
                </c:pt>
                <c:pt idx="13">
                  <c:v>Debt</c:v>
                </c:pt>
                <c:pt idx="14">
                  <c:v>B &amp; L (Work)</c:v>
                </c:pt>
                <c:pt idx="15">
                  <c:v>Electricity</c:v>
                </c:pt>
                <c:pt idx="16">
                  <c:v>Savings</c:v>
                </c:pt>
                <c:pt idx="17">
                  <c:v>Wifi</c:v>
                </c:pt>
                <c:pt idx="18">
                  <c:v>Debt</c:v>
                </c:pt>
              </c:strCache>
            </c:strRef>
          </c:cat>
          <c:val>
            <c:numRef>
              <c:f>MarchOnwards!$B$3:$B$21</c:f>
              <c:numCache>
                <c:formatCode>"R"#\ ##0.00</c:formatCode>
                <c:ptCount val="19"/>
                <c:pt idx="0">
                  <c:v>500</c:v>
                </c:pt>
                <c:pt idx="1">
                  <c:v>3564</c:v>
                </c:pt>
                <c:pt idx="2">
                  <c:v>100</c:v>
                </c:pt>
                <c:pt idx="3">
                  <c:v>250</c:v>
                </c:pt>
                <c:pt idx="4">
                  <c:v>350</c:v>
                </c:pt>
                <c:pt idx="5">
                  <c:v>845</c:v>
                </c:pt>
                <c:pt idx="6">
                  <c:v>1000</c:v>
                </c:pt>
                <c:pt idx="7">
                  <c:v>0</c:v>
                </c:pt>
                <c:pt idx="8">
                  <c:v>200</c:v>
                </c:pt>
                <c:pt idx="9">
                  <c:v>400</c:v>
                </c:pt>
                <c:pt idx="10">
                  <c:v>550</c:v>
                </c:pt>
                <c:pt idx="11">
                  <c:v>0</c:v>
                </c:pt>
                <c:pt idx="12">
                  <c:v>400</c:v>
                </c:pt>
                <c:pt idx="13">
                  <c:v>0</c:v>
                </c:pt>
                <c:pt idx="14">
                  <c:v>1060</c:v>
                </c:pt>
                <c:pt idx="15">
                  <c:v>600</c:v>
                </c:pt>
                <c:pt idx="16">
                  <c:v>350</c:v>
                </c:pt>
                <c:pt idx="17">
                  <c:v>0</c:v>
                </c:pt>
                <c:pt idx="18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DEF-40D5-844A-6C22E825C7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15874</xdr:colOff>
      <xdr:row>17</xdr:row>
      <xdr:rowOff>22224</xdr:rowOff>
    </xdr:from>
    <xdr:to>
      <xdr:col>28</xdr:col>
      <xdr:colOff>577850</xdr:colOff>
      <xdr:row>37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DB907B-3F63-C76D-EC8F-5610D7382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15874</xdr:colOff>
      <xdr:row>18</xdr:row>
      <xdr:rowOff>180974</xdr:rowOff>
    </xdr:from>
    <xdr:to>
      <xdr:col>23</xdr:col>
      <xdr:colOff>12699</xdr:colOff>
      <xdr:row>46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8BEC3-ED40-0A54-967C-C6DDC7E70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20</xdr:row>
      <xdr:rowOff>180974</xdr:rowOff>
    </xdr:from>
    <xdr:to>
      <xdr:col>21</xdr:col>
      <xdr:colOff>12699</xdr:colOff>
      <xdr:row>47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A9F007-C2CE-448C-8CDC-492D2C6A1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480060</xdr:colOff>
      <xdr:row>32</xdr:row>
      <xdr:rowOff>38100</xdr:rowOff>
    </xdr:from>
    <xdr:to>
      <xdr:col>13</xdr:col>
      <xdr:colOff>46412</xdr:colOff>
      <xdr:row>55</xdr:row>
      <xdr:rowOff>105190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6F0BC5-0828-43BC-A7D4-6085AA44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1040" y="5730240"/>
          <a:ext cx="5629967" cy="42752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4</xdr:col>
      <xdr:colOff>504824</xdr:colOff>
      <xdr:row>52</xdr:row>
      <xdr:rowOff>143109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77B923-368C-F75C-4D96-1DBA314DC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83780"/>
          <a:ext cx="4533899" cy="27053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17</xdr:row>
      <xdr:rowOff>180974</xdr:rowOff>
    </xdr:from>
    <xdr:to>
      <xdr:col>21</xdr:col>
      <xdr:colOff>12699</xdr:colOff>
      <xdr:row>46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1197A-900A-4719-B816-0E8D94DE5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34924</xdr:colOff>
      <xdr:row>14</xdr:row>
      <xdr:rowOff>34924</xdr:rowOff>
    </xdr:from>
    <xdr:to>
      <xdr:col>21</xdr:col>
      <xdr:colOff>31749</xdr:colOff>
      <xdr:row>41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D7662-2007-48C4-9B86-2075D5320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34924</xdr:colOff>
      <xdr:row>17</xdr:row>
      <xdr:rowOff>34924</xdr:rowOff>
    </xdr:from>
    <xdr:to>
      <xdr:col>21</xdr:col>
      <xdr:colOff>31749</xdr:colOff>
      <xdr:row>41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8C07F1-07BD-4824-9392-715E0697D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15</xdr:row>
      <xdr:rowOff>0</xdr:rowOff>
    </xdr:from>
    <xdr:to>
      <xdr:col>21</xdr:col>
      <xdr:colOff>12699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7517C-5E25-4867-B3AA-6DC2BFD83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34924</xdr:colOff>
      <xdr:row>15</xdr:row>
      <xdr:rowOff>34924</xdr:rowOff>
    </xdr:from>
    <xdr:to>
      <xdr:col>21</xdr:col>
      <xdr:colOff>31749</xdr:colOff>
      <xdr:row>39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E7E76-A9B1-4232-AA18-453F72A05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311150</xdr:colOff>
      <xdr:row>2</xdr:row>
      <xdr:rowOff>63193</xdr:rowOff>
    </xdr:from>
    <xdr:to>
      <xdr:col>7</xdr:col>
      <xdr:colOff>453770</xdr:colOff>
      <xdr:row>10</xdr:row>
      <xdr:rowOff>117288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58703-22C5-DB35-F3B5-475414810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31493"/>
          <a:ext cx="5649975" cy="153428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16</xdr:row>
      <xdr:rowOff>0</xdr:rowOff>
    </xdr:from>
    <xdr:to>
      <xdr:col>21</xdr:col>
      <xdr:colOff>12699</xdr:colOff>
      <xdr:row>41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2D377D-63F2-4FE7-821F-DD6FD4D9A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16</xdr:row>
      <xdr:rowOff>0</xdr:rowOff>
    </xdr:from>
    <xdr:to>
      <xdr:col>21</xdr:col>
      <xdr:colOff>12699</xdr:colOff>
      <xdr:row>40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BCC8F4-1804-4983-8746-8F704152B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17</xdr:row>
      <xdr:rowOff>0</xdr:rowOff>
    </xdr:from>
    <xdr:to>
      <xdr:col>21</xdr:col>
      <xdr:colOff>12699</xdr:colOff>
      <xdr:row>43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0141B-7FC7-4B74-8C25-0CF429C8B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16</xdr:row>
      <xdr:rowOff>0</xdr:rowOff>
    </xdr:from>
    <xdr:to>
      <xdr:col>21</xdr:col>
      <xdr:colOff>12699</xdr:colOff>
      <xdr:row>40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44DFB-CCF1-4D18-8963-4CD8A0E9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15</xdr:row>
      <xdr:rowOff>0</xdr:rowOff>
    </xdr:from>
    <xdr:to>
      <xdr:col>21</xdr:col>
      <xdr:colOff>12699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C592C-EDEC-4F71-AB15-1B93A1B6D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16</xdr:row>
      <xdr:rowOff>0</xdr:rowOff>
    </xdr:from>
    <xdr:to>
      <xdr:col>21</xdr:col>
      <xdr:colOff>12699</xdr:colOff>
      <xdr:row>40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C51B7-704D-4D66-BD7C-109276307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16</xdr:row>
      <xdr:rowOff>0</xdr:rowOff>
    </xdr:from>
    <xdr:to>
      <xdr:col>21</xdr:col>
      <xdr:colOff>12699</xdr:colOff>
      <xdr:row>40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2C0F3-78EB-4FD2-AC60-1A46C1A84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15</xdr:row>
      <xdr:rowOff>0</xdr:rowOff>
    </xdr:from>
    <xdr:to>
      <xdr:col>21</xdr:col>
      <xdr:colOff>12699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0565C-7B02-4707-A3F0-02D2B5F8A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15</xdr:row>
      <xdr:rowOff>0</xdr:rowOff>
    </xdr:from>
    <xdr:to>
      <xdr:col>21</xdr:col>
      <xdr:colOff>12699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6D4BD4-132E-4FB3-AF33-D600BF433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15</xdr:row>
      <xdr:rowOff>0</xdr:rowOff>
    </xdr:from>
    <xdr:to>
      <xdr:col>21</xdr:col>
      <xdr:colOff>12699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4AC2FC-D96F-4F85-95B9-A5AE224A0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16</xdr:row>
      <xdr:rowOff>0</xdr:rowOff>
    </xdr:from>
    <xdr:to>
      <xdr:col>21</xdr:col>
      <xdr:colOff>12699</xdr:colOff>
      <xdr:row>40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3BB9C-6732-4320-8247-2655DFF59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15</xdr:row>
      <xdr:rowOff>0</xdr:rowOff>
    </xdr:from>
    <xdr:to>
      <xdr:col>21</xdr:col>
      <xdr:colOff>12699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F43BC-A2E5-423C-8191-1C039A434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15</xdr:row>
      <xdr:rowOff>0</xdr:rowOff>
    </xdr:from>
    <xdr:to>
      <xdr:col>21</xdr:col>
      <xdr:colOff>12699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3BB84-EC6B-4755-B1BA-16886D70D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</xdr:colOff>
      <xdr:row>15</xdr:row>
      <xdr:rowOff>0</xdr:rowOff>
    </xdr:from>
    <xdr:to>
      <xdr:col>21</xdr:col>
      <xdr:colOff>12699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7147A-FBDA-4CBA-9A0C-2F27E1EBA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0</xdr:rowOff>
    </xdr:from>
    <xdr:to>
      <xdr:col>8</xdr:col>
      <xdr:colOff>12700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D01EE-0F22-A2B0-7709-B91D93024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495299</xdr:colOff>
      <xdr:row>0</xdr:row>
      <xdr:rowOff>1</xdr:rowOff>
    </xdr:from>
    <xdr:to>
      <xdr:col>18</xdr:col>
      <xdr:colOff>98424</xdr:colOff>
      <xdr:row>15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CB14E2-0B97-909C-AE36-8F4B9A872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15874</xdr:colOff>
      <xdr:row>14</xdr:row>
      <xdr:rowOff>22224</xdr:rowOff>
    </xdr:from>
    <xdr:to>
      <xdr:col>24</xdr:col>
      <xdr:colOff>577850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C8F7C-A645-4021-9AD5-AE1C72EC3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15874</xdr:colOff>
      <xdr:row>14</xdr:row>
      <xdr:rowOff>22224</xdr:rowOff>
    </xdr:from>
    <xdr:to>
      <xdr:col>24</xdr:col>
      <xdr:colOff>577850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E6DF4-CEA8-44EB-8798-EC4B1B3BD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15874</xdr:colOff>
      <xdr:row>15</xdr:row>
      <xdr:rowOff>22224</xdr:rowOff>
    </xdr:from>
    <xdr:to>
      <xdr:col>24</xdr:col>
      <xdr:colOff>577850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181B1-8EB9-4B47-A71D-E5410EF92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C24554-C260-423B-A87D-70CE19F00481}" name="Table2" displayName="Table2" ref="F18:G25" totalsRowShown="0">
  <autoFilter ref="F18:G25" xr:uid="{28C24554-C260-423B-A87D-70CE19F00481}"/>
  <tableColumns count="2">
    <tableColumn id="1" xr3:uid="{4BBD55EA-9631-4126-83C8-EF1B7C801B8C}" name="Subscription"/>
    <tableColumn id="2" xr3:uid="{80577D0F-F6D3-467B-B9BF-1337A4956988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DE8D06-2E91-433B-9FD7-DF033F1C54BC}" name="Table6" displayName="Table6" ref="I23:L36" totalsRowShown="0">
  <autoFilter ref="I23:L36" xr:uid="{CADE8D06-2E91-433B-9FD7-DF033F1C54BC}"/>
  <tableColumns count="4">
    <tableColumn id="1" xr3:uid="{60B835F4-D02A-4AC1-8069-9ACA616ED13B}" name="Checkers"/>
    <tableColumn id="2" xr3:uid="{A52D2CEB-F961-4975-B725-7356EE35C8B7}" name="Column3"/>
    <tableColumn id="3" xr3:uid="{F5D6143D-7172-4E9F-9F62-662CA5A11706}" name="Woolworths"/>
    <tableColumn id="4" xr3:uid="{9241BBFE-BB96-49DB-A00A-2EC3540AF356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5BE39E-3724-4F41-A214-37BAC8672A4B}" name="Table7" displayName="Table7" ref="C15:E25" totalsRowShown="0" headerRowDxfId="7">
  <autoFilter ref="C15:E25" xr:uid="{3D5BE39E-3724-4F41-A214-37BAC8672A4B}"/>
  <tableColumns count="3">
    <tableColumn id="1" xr3:uid="{067D3285-F042-43D7-A2FA-7372F457CF38}" name="Furniture" dataDxfId="6"/>
    <tableColumn id="2" xr3:uid="{F71C66C1-2E89-4695-99EE-A7657156BF45}" name="Price" dataDxfId="5"/>
    <tableColumn id="3" xr3:uid="{75BC99EE-9D0E-4E90-87EE-0333565072E6}" name="don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DDC5D0-CCF9-4AAF-AD20-6DBEA5BBCA12}" name="Table26" displayName="Table26" ref="C24:D33" totalsRowShown="0">
  <autoFilter ref="C24:D33" xr:uid="{D6DDC5D0-CCF9-4AAF-AD20-6DBEA5BBCA12}"/>
  <tableColumns count="2">
    <tableColumn id="1" xr3:uid="{C3611F19-5074-4AC7-B8B1-79843DFEAA52}" name="Subscription"/>
    <tableColumn id="2" xr3:uid="{E2AC2F18-535F-42E8-9F9A-42D22F73231B}" name="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5AC8BD-5131-4C68-9455-55844CD8B4EF}" name="Table2611" displayName="Table2611" ref="C18:D28" totalsRowShown="0">
  <autoFilter ref="C18:D28" xr:uid="{C95AC8BD-5131-4C68-9455-55844CD8B4EF}"/>
  <tableColumns count="2">
    <tableColumn id="1" xr3:uid="{EAEFEE2D-C648-4D7C-B404-3AD4440C8DDC}" name="Subscription"/>
    <tableColumn id="2" xr3:uid="{9953DEB8-3393-4D4A-9642-878C7013750E}" name="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DFD2A6-F86E-48E4-96C5-111E9BF0C7F2}" name="Table3" displayName="Table3" ref="J1:K12" totalsRowShown="0">
  <autoFilter ref="J1:K12" xr:uid="{AEDFD2A6-F86E-48E4-96C5-111E9BF0C7F2}"/>
  <tableColumns count="2">
    <tableColumn id="1" xr3:uid="{1A5BDDCA-6CD9-4608-940C-17ADD1E66192}" name="Investment"/>
    <tableColumn id="2" xr3:uid="{1C325D3E-624F-46B5-913C-8D14CF73671E}" name="Invest. Amount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B2175-248F-419F-B291-4BBDE685D41A}" name="Table4" displayName="Table4" ref="A1:B12" totalsRowShown="0">
  <autoFilter ref="A1:B12" xr:uid="{340B2175-248F-419F-B291-4BBDE685D41A}"/>
  <tableColumns count="2">
    <tableColumn id="1" xr3:uid="{1FBA071D-A409-4207-BD1D-D64C526CC7B7}" name="Savings"/>
    <tableColumn id="2" xr3:uid="{6FE41944-EC70-452E-AEF8-8817B532A3FB}" name="Savings Amount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802B8C-57BD-483A-8B9C-EA2BA2F6095D}" name="Table8" displayName="Table8" ref="A18:B29" totalsRowShown="0">
  <autoFilter ref="A18:B29" xr:uid="{24802B8C-57BD-483A-8B9C-EA2BA2F6095D}"/>
  <tableColumns count="2">
    <tableColumn id="1" xr3:uid="{F79B064A-E76E-40E4-89A2-63CEA31ACCC6}" name="Python Exam"/>
    <tableColumn id="2" xr3:uid="{59559597-0E93-4F13-93A3-1C21A0960A64}" name="Cash Available" dataDxfId="1">
      <calculatedColumnFormula>June!B23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45CF5E-4652-407C-8246-EF1DEC09525D}" name="Table12" displayName="Table12" ref="J18:K29" totalsRowShown="0" headerRowDxfId="0">
  <autoFilter ref="J18:K29" xr:uid="{5645CF5E-4652-407C-8246-EF1DEC09525D}"/>
  <tableColumns count="2">
    <tableColumn id="1" xr3:uid="{7658AC08-070C-4E1C-BEE4-5CBE09E8B4A6}" name="Month"/>
    <tableColumn id="2" xr3:uid="{F873E333-4C21-4F04-9B18-10478BF1A27F}" name="Amou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BC50F4-102E-40E1-9DBF-DD9ABF6CABFC}" name="Table14" displayName="Table14" ref="D18:F28" totalsRowShown="0">
  <autoFilter ref="D18:F28" xr:uid="{3ABC50F4-102E-40E1-9DBF-DD9ABF6CABFC}"/>
  <tableColumns count="3">
    <tableColumn id="1" xr3:uid="{03C13E25-F484-4E75-A7AA-2B067840DFD8}" name="Current Total"/>
    <tableColumn id="2" xr3:uid="{B47B146C-6B26-4366-8DA5-6C1AC2EE5EA5}" name="Target"/>
    <tableColumn id="3" xr3:uid="{6B6770E1-8217-4168-A58C-214DD8AF2911}" name="Saving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803324-9AF5-4D81-87AF-E1F3F8DA7119}" name="Table15" displayName="Table15" ref="M18:N29" totalsRowShown="0">
  <autoFilter ref="M18:N29" xr:uid="{42803324-9AF5-4D81-87AF-E1F3F8DA7119}"/>
  <tableColumns count="2">
    <tableColumn id="1" xr3:uid="{3D578995-697A-43DD-8AC1-8B45AA8C5B19}" name="Note"/>
    <tableColumn id="2" xr3:uid="{8B91EE70-9201-4918-BA7F-B04E816951CF}" name="Save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514BA5-0225-4AFC-89C4-C7E952695D80}" name="Table16" displayName="Table16" ref="P18:Q30" totalsRowShown="0">
  <autoFilter ref="P18:Q30" xr:uid="{00514BA5-0225-4AFC-89C4-C7E952695D80}"/>
  <tableColumns count="2">
    <tableColumn id="1" xr3:uid="{EEC91611-ACD7-4BF7-AF0B-4AA9021A3776}" name="Target"/>
    <tableColumn id="2" xr3:uid="{6E85DE29-722F-4202-A6F7-03C09C5C7B25}" name="Saving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FCFA2A-C148-42BD-86B0-6836A6C8BD4E}" name="Table210" displayName="Table210" ref="E15:F24" totalsRowShown="0">
  <autoFilter ref="E15:F24" xr:uid="{28C24554-C260-423B-A87D-70CE19F00481}"/>
  <tableColumns count="2">
    <tableColumn id="1" xr3:uid="{268C4158-6ADA-45C2-8A8A-320345DC78FF}" name="Subscription"/>
    <tableColumn id="2" xr3:uid="{2A7EC4DF-6DD4-43C2-A149-ACC46B9778C3}" name="Pric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516A1B-F830-4381-8DE5-DBCFBD617E6B}" name="Table2101218" displayName="Table2101218" ref="E15:F24" totalsRowShown="0">
  <autoFilter ref="E15:F24" xr:uid="{28C24554-C260-423B-A87D-70CE19F00481}"/>
  <tableColumns count="2">
    <tableColumn id="1" xr3:uid="{35629678-61DB-471C-A266-A8C7D5F978B2}" name="Subscription"/>
    <tableColumn id="2" xr3:uid="{820D3E3D-6AB4-405D-AAE7-2975662C9941}" name="Pric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B14AE0-D330-4263-B4BA-6E27DB3D684C}" name="Table21012" displayName="Table21012" ref="E16:F25" totalsRowShown="0">
  <autoFilter ref="E16:F25" xr:uid="{28C24554-C260-423B-A87D-70CE19F00481}"/>
  <tableColumns count="2">
    <tableColumn id="1" xr3:uid="{89569169-C525-4040-9707-E0AD3B65B1CE}" name="Subscription"/>
    <tableColumn id="2" xr3:uid="{31004564-FD9F-4E93-B826-E579B20EE03A}" name="Pric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0ADD7-F079-4EAF-9BF7-C3F803361A0B}" name="Table1" displayName="Table1" ref="A1:B10" totalsRowShown="0">
  <autoFilter ref="A1:B10" xr:uid="{9520ADD7-F079-4EAF-9BF7-C3F803361A0B}"/>
  <tableColumns count="2">
    <tableColumn id="1" xr3:uid="{B89EDD13-565C-43FB-BE9A-B52959223E16}" name="Link "/>
    <tableColumn id="11" xr3:uid="{FD9AEB56-0BD0-4A4F-A766-A95109AB94C6}" name="Not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akealot.com/midea-portable-air-conditioner-12000btu/PLID46861411" TargetMode="Externa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urtaindream.co.za/product/venice-designer-chairs/?attribute_pa_colour=grey&amp;gad_source=1&amp;gclid=Cj0KCQiA5-uuBhDzARIsAAa21T9YsXO1KAcabwV7mSqJX5nPmLA5cRsQJbnvyRFBj050w-ZcYMyCNs8aArPPEALw_wcB" TargetMode="Externa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me.co.za/Home-Appliances/Dishwashers/Dishwashers/p/000000000000829195" TargetMode="External"/><Relationship Id="rId2" Type="http://schemas.openxmlformats.org/officeDocument/2006/relationships/hyperlink" Target="https://www.hificorp.co.za/catalogsearch/result/?q=air+cooler" TargetMode="External"/><Relationship Id="rId1" Type="http://schemas.openxmlformats.org/officeDocument/2006/relationships/hyperlink" Target="https://www.game.co.za/l/search/?t=fridge&amp;q=fridge%3Arelevance" TargetMode="External"/><Relationship Id="rId4" Type="http://schemas.openxmlformats.org/officeDocument/2006/relationships/hyperlink" Target="https://www.fairprice.co.za/home-theatre-jvc-jhpn3900dvd-thn779b-sp-xg520a-jhp-n390-jhpa-520sp-speakers-receiver-th-d520-23-697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perty24.com/to-rent/pretoria-north/pretoria/gauteng/4076/113735362" TargetMode="External"/><Relationship Id="rId2" Type="http://schemas.openxmlformats.org/officeDocument/2006/relationships/hyperlink" Target="https://www.property24.com/to-rent/theresapark/akasia/gauteng/10625/113590097" TargetMode="External"/><Relationship Id="rId1" Type="http://schemas.openxmlformats.org/officeDocument/2006/relationships/hyperlink" Target="https://www.property24.com/to-rent/pretoria-north/pretoria/gauteng/4076/113760829" TargetMode="External"/><Relationship Id="rId4" Type="http://schemas.openxmlformats.org/officeDocument/2006/relationships/table" Target="../tables/table1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69F-D4D1-4A8C-BF18-F5EEE362945E}">
  <sheetPr codeName="Sheet15"/>
  <dimension ref="A1:AE43"/>
  <sheetViews>
    <sheetView workbookViewId="0">
      <selection activeCell="F29" sqref="F29"/>
    </sheetView>
  </sheetViews>
  <sheetFormatPr defaultRowHeight="14.4" x14ac:dyDescent="0.3"/>
  <cols>
    <col min="1" max="1" width="16.33203125" bestFit="1" customWidth="1"/>
    <col min="2" max="2" width="10.33203125" bestFit="1" customWidth="1"/>
    <col min="3" max="3" width="11.33203125" bestFit="1" customWidth="1"/>
    <col min="4" max="5" width="11.33203125" customWidth="1"/>
    <col min="6" max="6" width="17.6640625" bestFit="1" customWidth="1"/>
    <col min="7" max="7" width="10.33203125" customWidth="1"/>
    <col min="9" max="9" width="10.33203125" customWidth="1"/>
    <col min="10" max="10" width="10.6640625" bestFit="1" customWidth="1"/>
    <col min="11" max="11" width="10.6640625" customWidth="1"/>
    <col min="16" max="16" width="11.6640625" bestFit="1" customWidth="1"/>
    <col min="18" max="18" width="12.5546875" bestFit="1" customWidth="1"/>
    <col min="19" max="19" width="9.33203125" bestFit="1" customWidth="1"/>
    <col min="20" max="20" width="9.33203125" customWidth="1"/>
    <col min="21" max="21" width="18.33203125" bestFit="1" customWidth="1"/>
    <col min="22" max="22" width="15.44140625" bestFit="1" customWidth="1"/>
  </cols>
  <sheetData>
    <row r="1" spans="1:31" x14ac:dyDescent="0.3">
      <c r="A1" s="73" t="s">
        <v>81</v>
      </c>
      <c r="B1" s="74"/>
      <c r="C1" s="74"/>
      <c r="D1" s="74"/>
      <c r="E1" s="75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</row>
    <row r="2" spans="1:31" x14ac:dyDescent="0.3">
      <c r="A2" s="1" t="s">
        <v>82</v>
      </c>
      <c r="B2" s="21">
        <f>SUM(20969 + 900+ 480 + 64)</f>
        <v>22413</v>
      </c>
      <c r="C2" s="21" t="s">
        <v>175</v>
      </c>
      <c r="D2" s="21" t="s">
        <v>174</v>
      </c>
      <c r="E2" s="51"/>
      <c r="F2" s="21"/>
      <c r="R2" s="76" t="s">
        <v>124</v>
      </c>
      <c r="S2" s="76"/>
      <c r="T2" s="76"/>
      <c r="U2" s="76"/>
    </row>
    <row r="3" spans="1:31" x14ac:dyDescent="0.3">
      <c r="A3" t="s">
        <v>104</v>
      </c>
      <c r="B3" s="7">
        <v>0</v>
      </c>
      <c r="C3" s="7">
        <v>0</v>
      </c>
      <c r="D3" s="7">
        <f>B3-C3</f>
        <v>0</v>
      </c>
      <c r="E3" s="52" t="s">
        <v>140</v>
      </c>
      <c r="G3" s="77" t="s">
        <v>187</v>
      </c>
      <c r="H3" s="77"/>
      <c r="I3" s="77"/>
      <c r="J3" s="77"/>
      <c r="K3" s="77"/>
      <c r="L3" s="77"/>
      <c r="M3" s="49"/>
      <c r="N3" s="49"/>
      <c r="O3" s="49"/>
      <c r="P3" s="26"/>
      <c r="R3" s="2" t="s">
        <v>85</v>
      </c>
      <c r="S3" s="8">
        <f>(B26/4)</f>
        <v>923.09500000000025</v>
      </c>
      <c r="T3" s="8"/>
    </row>
    <row r="4" spans="1:31" ht="12.6" customHeight="1" x14ac:dyDescent="0.3">
      <c r="A4" t="s">
        <v>204</v>
      </c>
      <c r="B4" s="7">
        <v>0</v>
      </c>
      <c r="C4" s="7"/>
      <c r="D4" s="7"/>
      <c r="E4" s="52" t="s">
        <v>140</v>
      </c>
      <c r="G4" s="77"/>
      <c r="H4" s="77"/>
      <c r="I4" s="77"/>
      <c r="J4" s="77"/>
      <c r="K4" s="77"/>
      <c r="L4" s="77"/>
      <c r="M4" s="49"/>
      <c r="N4" s="49"/>
      <c r="O4" s="49"/>
      <c r="P4" s="26"/>
      <c r="R4" s="2"/>
      <c r="S4" s="8"/>
      <c r="T4" s="8"/>
    </row>
    <row r="5" spans="1:31" x14ac:dyDescent="0.3">
      <c r="A5" t="s">
        <v>6</v>
      </c>
      <c r="B5" s="7">
        <v>3585</v>
      </c>
      <c r="C5" s="7">
        <v>3500</v>
      </c>
      <c r="D5" s="7">
        <f t="shared" ref="D5:D12" si="0">B5-C5</f>
        <v>85</v>
      </c>
      <c r="E5" s="17" t="s">
        <v>140</v>
      </c>
      <c r="G5" s="77"/>
      <c r="H5" s="77"/>
      <c r="I5" s="77"/>
      <c r="J5" s="77"/>
      <c r="K5" s="77"/>
      <c r="L5" s="77"/>
      <c r="M5" s="49"/>
      <c r="N5" s="49"/>
      <c r="O5" s="49"/>
      <c r="R5" t="s">
        <v>12</v>
      </c>
      <c r="S5" s="7">
        <v>0</v>
      </c>
      <c r="T5" s="7"/>
      <c r="U5" s="22"/>
      <c r="V5" s="23">
        <f>S5*4</f>
        <v>0</v>
      </c>
    </row>
    <row r="6" spans="1:31" x14ac:dyDescent="0.3">
      <c r="A6" t="s">
        <v>145</v>
      </c>
      <c r="B6" s="7">
        <v>2435</v>
      </c>
      <c r="C6" s="7">
        <v>0</v>
      </c>
      <c r="D6" s="7">
        <f t="shared" si="0"/>
        <v>2435</v>
      </c>
      <c r="E6" s="52" t="s">
        <v>140</v>
      </c>
      <c r="G6" s="77"/>
      <c r="H6" s="77"/>
      <c r="I6" s="77"/>
      <c r="J6" s="77"/>
      <c r="K6" s="77"/>
      <c r="L6" s="77"/>
      <c r="M6" s="49"/>
      <c r="N6" s="49"/>
      <c r="O6" s="49"/>
      <c r="S6" s="7"/>
      <c r="T6" s="7"/>
      <c r="U6" s="22"/>
      <c r="V6" s="23"/>
    </row>
    <row r="7" spans="1:31" x14ac:dyDescent="0.3">
      <c r="A7" t="s">
        <v>212</v>
      </c>
      <c r="B7" s="7">
        <v>250</v>
      </c>
      <c r="C7" s="7">
        <v>0</v>
      </c>
      <c r="D7" s="7">
        <f t="shared" si="0"/>
        <v>250</v>
      </c>
      <c r="E7" s="17" t="s">
        <v>172</v>
      </c>
      <c r="G7" s="77"/>
      <c r="H7" s="77"/>
      <c r="I7" s="77"/>
      <c r="J7" s="77"/>
      <c r="K7" s="77"/>
      <c r="L7" s="77"/>
      <c r="M7" s="49"/>
      <c r="N7" s="49"/>
      <c r="O7" s="49"/>
      <c r="R7" t="s">
        <v>97</v>
      </c>
      <c r="S7" s="7"/>
      <c r="T7" s="7"/>
      <c r="U7" s="22"/>
      <c r="V7" s="23"/>
    </row>
    <row r="8" spans="1:31" x14ac:dyDescent="0.3">
      <c r="A8" t="s">
        <v>152</v>
      </c>
      <c r="B8" s="7">
        <v>1571.62</v>
      </c>
      <c r="C8" s="7">
        <v>0</v>
      </c>
      <c r="D8" s="7">
        <f t="shared" si="0"/>
        <v>1571.62</v>
      </c>
      <c r="E8" s="17" t="s">
        <v>172</v>
      </c>
      <c r="G8" s="77"/>
      <c r="H8" s="77"/>
      <c r="I8" s="77"/>
      <c r="J8" s="77"/>
      <c r="K8" s="77"/>
      <c r="L8" s="77"/>
      <c r="M8" s="49"/>
      <c r="N8" s="49"/>
      <c r="O8" s="49"/>
      <c r="R8" t="s">
        <v>11</v>
      </c>
      <c r="S8" s="7">
        <v>0</v>
      </c>
      <c r="T8" s="7"/>
      <c r="U8" s="22"/>
      <c r="V8" s="23">
        <f>S8*4</f>
        <v>0</v>
      </c>
    </row>
    <row r="9" spans="1:31" ht="13.5" customHeight="1" x14ac:dyDescent="0.3">
      <c r="A9" t="s">
        <v>229</v>
      </c>
      <c r="B9" s="7">
        <v>200</v>
      </c>
      <c r="C9" s="7">
        <v>0</v>
      </c>
      <c r="D9" s="7">
        <f t="shared" si="0"/>
        <v>200</v>
      </c>
      <c r="E9" s="17"/>
      <c r="G9" s="78" t="s">
        <v>211</v>
      </c>
      <c r="H9" s="78"/>
      <c r="I9" s="78"/>
      <c r="J9" s="78"/>
      <c r="K9" s="78"/>
      <c r="L9" s="78"/>
      <c r="M9" s="50"/>
      <c r="N9" s="50"/>
      <c r="O9" s="50"/>
      <c r="R9" t="s">
        <v>106</v>
      </c>
      <c r="S9" s="7">
        <v>0</v>
      </c>
      <c r="T9" s="7"/>
      <c r="U9" s="22"/>
      <c r="V9" s="23"/>
    </row>
    <row r="10" spans="1:31" x14ac:dyDescent="0.3">
      <c r="A10" t="s">
        <v>105</v>
      </c>
      <c r="B10" s="7">
        <v>5270</v>
      </c>
      <c r="C10" s="7">
        <v>0</v>
      </c>
      <c r="D10" s="7">
        <f t="shared" si="0"/>
        <v>5270</v>
      </c>
      <c r="E10" s="53" t="s">
        <v>140</v>
      </c>
      <c r="G10" s="78"/>
      <c r="H10" s="78"/>
      <c r="I10" s="78"/>
      <c r="J10" s="78"/>
      <c r="K10" s="78"/>
      <c r="L10" s="78"/>
      <c r="M10" s="50"/>
      <c r="N10" s="50"/>
      <c r="O10" s="50"/>
      <c r="R10" t="s">
        <v>108</v>
      </c>
      <c r="S10" s="7">
        <v>100</v>
      </c>
      <c r="T10" s="7"/>
      <c r="U10" s="22"/>
      <c r="V10" s="23"/>
    </row>
    <row r="11" spans="1:31" x14ac:dyDescent="0.3">
      <c r="A11" t="s">
        <v>177</v>
      </c>
      <c r="B11" s="7">
        <v>100</v>
      </c>
      <c r="C11" s="7">
        <v>0</v>
      </c>
      <c r="D11" s="7">
        <f t="shared" si="0"/>
        <v>100</v>
      </c>
      <c r="E11" s="53" t="s">
        <v>140</v>
      </c>
      <c r="G11" s="78"/>
      <c r="H11" s="78"/>
      <c r="I11" s="78"/>
      <c r="J11" s="78"/>
      <c r="K11" s="78"/>
      <c r="L11" s="78"/>
      <c r="M11" s="50"/>
      <c r="N11" s="50"/>
      <c r="O11" s="50"/>
      <c r="R11" t="s">
        <v>162</v>
      </c>
      <c r="S11" s="7">
        <v>0</v>
      </c>
      <c r="T11" s="7"/>
      <c r="U11" s="22"/>
      <c r="V11" s="23"/>
    </row>
    <row r="12" spans="1:31" x14ac:dyDescent="0.3">
      <c r="A12" t="s">
        <v>97</v>
      </c>
      <c r="B12" s="7">
        <v>285</v>
      </c>
      <c r="C12" s="7">
        <v>0</v>
      </c>
      <c r="D12" s="7">
        <f t="shared" si="0"/>
        <v>285</v>
      </c>
      <c r="E12" s="53" t="s">
        <v>140</v>
      </c>
      <c r="G12" s="78"/>
      <c r="H12" s="78"/>
      <c r="I12" s="78"/>
      <c r="J12" s="78"/>
      <c r="K12" s="78"/>
      <c r="L12" s="78"/>
      <c r="M12" s="50"/>
      <c r="N12" s="50"/>
      <c r="O12" s="50"/>
      <c r="R12" t="s">
        <v>21</v>
      </c>
      <c r="S12" s="7">
        <v>15</v>
      </c>
      <c r="T12" s="7"/>
      <c r="U12" s="22"/>
      <c r="V12" s="23"/>
    </row>
    <row r="13" spans="1:31" x14ac:dyDescent="0.3">
      <c r="A13" t="s">
        <v>111</v>
      </c>
      <c r="B13" s="7">
        <v>250</v>
      </c>
      <c r="C13" s="7"/>
      <c r="D13" s="7"/>
      <c r="E13" s="17" t="s">
        <v>249</v>
      </c>
      <c r="G13" s="42"/>
      <c r="H13" s="42"/>
      <c r="I13" s="42"/>
      <c r="J13" s="42"/>
      <c r="K13" s="42"/>
      <c r="L13" s="42"/>
      <c r="M13" s="50"/>
      <c r="N13" s="50"/>
      <c r="O13" s="50"/>
      <c r="S13" s="7"/>
      <c r="T13" s="7"/>
      <c r="U13" s="22"/>
      <c r="V13" s="23"/>
    </row>
    <row r="14" spans="1:31" x14ac:dyDescent="0.3">
      <c r="A14" t="s">
        <v>89</v>
      </c>
      <c r="B14" s="7">
        <f>G25</f>
        <v>550</v>
      </c>
      <c r="C14" s="7">
        <v>0</v>
      </c>
      <c r="D14" s="7">
        <f>B14-C14</f>
        <v>550</v>
      </c>
      <c r="E14" s="17" t="s">
        <v>233</v>
      </c>
      <c r="G14" s="72"/>
      <c r="H14" s="72"/>
      <c r="I14" s="72"/>
      <c r="J14" s="72"/>
      <c r="K14" s="72"/>
      <c r="L14" s="72"/>
      <c r="M14" s="48"/>
      <c r="N14" s="48"/>
      <c r="O14" s="48"/>
      <c r="R14" t="s">
        <v>111</v>
      </c>
      <c r="S14" s="7">
        <v>0</v>
      </c>
      <c r="T14" s="7"/>
      <c r="U14" s="24" t="s">
        <v>94</v>
      </c>
      <c r="V14" s="25">
        <f>V5+V8</f>
        <v>0</v>
      </c>
    </row>
    <row r="15" spans="1:31" x14ac:dyDescent="0.3">
      <c r="A15" t="s">
        <v>181</v>
      </c>
      <c r="B15" s="7">
        <v>150</v>
      </c>
      <c r="C15" s="7"/>
      <c r="D15" s="7"/>
      <c r="E15" s="17" t="s">
        <v>172</v>
      </c>
      <c r="F15" t="s">
        <v>182</v>
      </c>
      <c r="G15" s="41"/>
      <c r="H15" s="41"/>
      <c r="I15" s="41"/>
      <c r="J15" s="41"/>
      <c r="K15" s="41"/>
      <c r="L15" s="41"/>
      <c r="M15" s="48"/>
      <c r="N15" s="48"/>
      <c r="O15" s="48"/>
      <c r="S15" s="7"/>
      <c r="T15" s="7"/>
      <c r="U15" s="24"/>
      <c r="V15" s="25"/>
    </row>
    <row r="16" spans="1:31" x14ac:dyDescent="0.3">
      <c r="A16" t="s">
        <v>235</v>
      </c>
      <c r="B16" s="7">
        <v>92</v>
      </c>
      <c r="C16" s="7"/>
      <c r="D16" s="7"/>
      <c r="E16" s="17" t="s">
        <v>236</v>
      </c>
      <c r="G16" s="41"/>
      <c r="H16" s="41"/>
      <c r="I16" s="41"/>
      <c r="J16" s="41"/>
      <c r="K16" s="41"/>
      <c r="L16" s="41"/>
      <c r="M16" s="48"/>
      <c r="N16" s="48"/>
      <c r="O16" s="48"/>
      <c r="S16" s="7"/>
      <c r="T16" s="7"/>
      <c r="U16" s="24"/>
      <c r="V16" s="25"/>
    </row>
    <row r="17" spans="1:22" ht="17.100000000000001" customHeight="1" x14ac:dyDescent="0.3">
      <c r="A17" t="s">
        <v>156</v>
      </c>
      <c r="B17" s="7">
        <v>57</v>
      </c>
      <c r="C17" s="7">
        <v>0</v>
      </c>
      <c r="D17" s="7">
        <f t="shared" ref="D17:D24" si="1">B17-C17</f>
        <v>57</v>
      </c>
      <c r="E17" s="53" t="s">
        <v>140</v>
      </c>
      <c r="G17" s="71" t="s">
        <v>151</v>
      </c>
      <c r="H17" s="71"/>
      <c r="I17" s="71"/>
      <c r="J17" s="71"/>
      <c r="K17" s="71"/>
      <c r="L17" s="71"/>
      <c r="M17" s="47"/>
      <c r="N17" s="71" t="s">
        <v>250</v>
      </c>
      <c r="O17" s="71"/>
      <c r="S17" s="7"/>
      <c r="T17" s="7"/>
      <c r="U17" s="24"/>
      <c r="V17" s="25"/>
    </row>
    <row r="18" spans="1:22" x14ac:dyDescent="0.3">
      <c r="A18" t="s">
        <v>112</v>
      </c>
      <c r="B18" s="7">
        <v>1800</v>
      </c>
      <c r="C18" s="7">
        <v>0</v>
      </c>
      <c r="D18" s="7">
        <f t="shared" si="1"/>
        <v>1800</v>
      </c>
      <c r="E18" s="53" t="s">
        <v>140</v>
      </c>
      <c r="F18" t="s">
        <v>188</v>
      </c>
      <c r="G18" t="s">
        <v>189</v>
      </c>
      <c r="N18" t="s">
        <v>131</v>
      </c>
      <c r="O18">
        <v>45</v>
      </c>
      <c r="R18" t="s">
        <v>9</v>
      </c>
      <c r="S18" s="7">
        <v>100</v>
      </c>
      <c r="T18" s="7"/>
    </row>
    <row r="19" spans="1:22" x14ac:dyDescent="0.3">
      <c r="A19" t="s">
        <v>125</v>
      </c>
      <c r="B19" s="7">
        <v>1052</v>
      </c>
      <c r="C19" s="7">
        <v>0</v>
      </c>
      <c r="D19" s="7">
        <f t="shared" si="1"/>
        <v>1052</v>
      </c>
      <c r="E19" s="53" t="s">
        <v>140</v>
      </c>
      <c r="F19" t="s">
        <v>141</v>
      </c>
      <c r="G19">
        <v>125</v>
      </c>
      <c r="N19" t="s">
        <v>251</v>
      </c>
      <c r="O19">
        <v>45</v>
      </c>
      <c r="R19" s="72" t="s">
        <v>155</v>
      </c>
      <c r="S19" s="72"/>
      <c r="T19" s="7"/>
    </row>
    <row r="20" spans="1:22" x14ac:dyDescent="0.3">
      <c r="A20" t="s">
        <v>110</v>
      </c>
      <c r="B20" s="7">
        <v>600</v>
      </c>
      <c r="C20" s="7">
        <v>0</v>
      </c>
      <c r="D20" s="7">
        <f t="shared" si="1"/>
        <v>600</v>
      </c>
      <c r="E20" s="17"/>
      <c r="F20" t="s">
        <v>92</v>
      </c>
      <c r="G20">
        <v>0</v>
      </c>
      <c r="I20" t="s">
        <v>96</v>
      </c>
      <c r="K20">
        <f>650*4</f>
        <v>2600</v>
      </c>
      <c r="N20" t="s">
        <v>184</v>
      </c>
      <c r="O20">
        <v>20</v>
      </c>
      <c r="R20" s="72"/>
      <c r="S20" s="72"/>
      <c r="T20" s="7"/>
    </row>
    <row r="21" spans="1:22" x14ac:dyDescent="0.3">
      <c r="A21" t="s">
        <v>15</v>
      </c>
      <c r="B21" s="7">
        <v>0</v>
      </c>
      <c r="C21" s="7">
        <v>0</v>
      </c>
      <c r="D21" s="7">
        <f t="shared" si="1"/>
        <v>0</v>
      </c>
      <c r="E21" s="53" t="s">
        <v>140</v>
      </c>
      <c r="F21" t="s">
        <v>142</v>
      </c>
      <c r="G21">
        <v>80</v>
      </c>
      <c r="N21" t="s">
        <v>130</v>
      </c>
      <c r="O21">
        <v>70</v>
      </c>
      <c r="R21" s="72"/>
      <c r="S21" s="72"/>
      <c r="T21" s="7"/>
    </row>
    <row r="22" spans="1:22" x14ac:dyDescent="0.3">
      <c r="A22" t="s">
        <v>90</v>
      </c>
      <c r="B22" s="7">
        <v>0</v>
      </c>
      <c r="C22" s="7">
        <v>0</v>
      </c>
      <c r="D22" s="7">
        <f t="shared" si="1"/>
        <v>0</v>
      </c>
      <c r="E22" s="53" t="s">
        <v>140</v>
      </c>
      <c r="F22" t="s">
        <v>27</v>
      </c>
      <c r="G22">
        <v>35</v>
      </c>
      <c r="N22" t="s">
        <v>185</v>
      </c>
      <c r="O22">
        <v>20</v>
      </c>
      <c r="P22" t="s">
        <v>165</v>
      </c>
      <c r="Q22" t="s">
        <v>166</v>
      </c>
      <c r="R22" s="72"/>
      <c r="S22" s="72"/>
      <c r="T22" s="7"/>
    </row>
    <row r="23" spans="1:22" x14ac:dyDescent="0.3">
      <c r="A23" t="s">
        <v>126</v>
      </c>
      <c r="B23" s="7">
        <v>473</v>
      </c>
      <c r="C23" s="7">
        <v>0</v>
      </c>
      <c r="D23" s="7">
        <f t="shared" si="1"/>
        <v>473</v>
      </c>
      <c r="E23" s="17" t="s">
        <v>234</v>
      </c>
      <c r="F23" t="s">
        <v>169</v>
      </c>
      <c r="G23">
        <v>200</v>
      </c>
      <c r="I23" t="s">
        <v>166</v>
      </c>
      <c r="J23" t="s">
        <v>178</v>
      </c>
      <c r="K23" t="s">
        <v>165</v>
      </c>
      <c r="L23" t="s">
        <v>176</v>
      </c>
      <c r="N23" t="s">
        <v>183</v>
      </c>
      <c r="O23">
        <v>25</v>
      </c>
      <c r="P23" s="7">
        <v>200</v>
      </c>
      <c r="Q23" s="7">
        <v>300</v>
      </c>
      <c r="R23" t="s">
        <v>13</v>
      </c>
      <c r="S23" s="7">
        <v>700</v>
      </c>
      <c r="T23" s="7"/>
    </row>
    <row r="24" spans="1:22" x14ac:dyDescent="0.3">
      <c r="A24" t="s">
        <v>159</v>
      </c>
      <c r="B24" s="7">
        <v>0</v>
      </c>
      <c r="C24" s="7">
        <v>0</v>
      </c>
      <c r="D24" s="7">
        <f t="shared" si="1"/>
        <v>0</v>
      </c>
      <c r="E24" s="17"/>
      <c r="F24" t="s">
        <v>29</v>
      </c>
      <c r="G24">
        <v>110</v>
      </c>
      <c r="I24" t="s">
        <v>128</v>
      </c>
      <c r="J24">
        <v>40</v>
      </c>
      <c r="K24" t="s">
        <v>179</v>
      </c>
      <c r="L24">
        <v>40</v>
      </c>
      <c r="O24">
        <f>SUM(O18:O23)</f>
        <v>225</v>
      </c>
      <c r="S24" s="7"/>
      <c r="T24" s="7"/>
    </row>
    <row r="25" spans="1:22" x14ac:dyDescent="0.3">
      <c r="A25" s="2" t="s">
        <v>83</v>
      </c>
      <c r="B25" s="8">
        <f>SUM(B3:B23)</f>
        <v>18720.62</v>
      </c>
      <c r="C25" s="8">
        <f>SUM(C3:C24)</f>
        <v>3500</v>
      </c>
      <c r="D25" s="8"/>
      <c r="E25" s="54"/>
      <c r="F25" t="s">
        <v>18</v>
      </c>
      <c r="G25">
        <f>SUBTOTAL(109,G19:G24)</f>
        <v>550</v>
      </c>
      <c r="I25" t="s">
        <v>180</v>
      </c>
      <c r="J25">
        <v>20</v>
      </c>
      <c r="K25" t="s">
        <v>183</v>
      </c>
      <c r="L25">
        <v>30</v>
      </c>
      <c r="P25" s="39" t="s">
        <v>18</v>
      </c>
      <c r="Q25" s="40">
        <f>P23+Q23</f>
        <v>500</v>
      </c>
      <c r="R25" s="2" t="s">
        <v>14</v>
      </c>
      <c r="S25" s="8">
        <f>S27</f>
        <v>8.0950000000002547</v>
      </c>
      <c r="T25" s="8"/>
    </row>
    <row r="26" spans="1:22" x14ac:dyDescent="0.3">
      <c r="A26" s="2" t="s">
        <v>84</v>
      </c>
      <c r="B26" s="8">
        <f>SUM(B2-B25)</f>
        <v>3692.380000000001</v>
      </c>
      <c r="C26" s="8"/>
      <c r="D26" s="8"/>
      <c r="E26" s="54"/>
      <c r="I26" t="s">
        <v>129</v>
      </c>
      <c r="J26">
        <v>0</v>
      </c>
      <c r="K26" t="s">
        <v>98</v>
      </c>
      <c r="L26">
        <v>200</v>
      </c>
      <c r="R26" s="2" t="s">
        <v>86</v>
      </c>
      <c r="S26" s="8">
        <f>SUM(S5:S23)</f>
        <v>915</v>
      </c>
      <c r="T26" s="8"/>
    </row>
    <row r="27" spans="1:22" x14ac:dyDescent="0.3">
      <c r="E27" s="15"/>
      <c r="I27" t="s">
        <v>131</v>
      </c>
      <c r="J27">
        <v>50</v>
      </c>
      <c r="P27" s="70" t="s">
        <v>230</v>
      </c>
      <c r="R27" s="1" t="s">
        <v>0</v>
      </c>
      <c r="S27" s="7">
        <f>SUM(S3-S26)</f>
        <v>8.0950000000002547</v>
      </c>
      <c r="T27" s="7"/>
    </row>
    <row r="28" spans="1:22" x14ac:dyDescent="0.3">
      <c r="E28" s="15"/>
      <c r="I28" t="s">
        <v>184</v>
      </c>
      <c r="J28">
        <v>20</v>
      </c>
      <c r="P28" s="70"/>
      <c r="R28" s="1" t="s">
        <v>93</v>
      </c>
      <c r="S28" s="7">
        <f>S25 *2</f>
        <v>16.190000000000509</v>
      </c>
      <c r="T28" s="7"/>
    </row>
    <row r="29" spans="1:22" x14ac:dyDescent="0.3">
      <c r="E29" s="15"/>
      <c r="I29" t="s">
        <v>130</v>
      </c>
      <c r="J29">
        <v>70</v>
      </c>
      <c r="P29" s="70"/>
      <c r="R29" t="s">
        <v>100</v>
      </c>
      <c r="S29" s="7">
        <f>S28*2</f>
        <v>32.380000000001019</v>
      </c>
      <c r="T29" s="7"/>
    </row>
    <row r="30" spans="1:22" x14ac:dyDescent="0.3">
      <c r="C30">
        <f>330/4</f>
        <v>82.5</v>
      </c>
      <c r="E30" s="15"/>
      <c r="G30" t="s">
        <v>107</v>
      </c>
      <c r="H30">
        <v>1500</v>
      </c>
      <c r="I30" t="s">
        <v>185</v>
      </c>
      <c r="J30">
        <v>20</v>
      </c>
      <c r="P30" s="70"/>
      <c r="S30" s="7"/>
      <c r="T30" s="7"/>
    </row>
    <row r="31" spans="1:22" x14ac:dyDescent="0.3">
      <c r="A31" t="s">
        <v>237</v>
      </c>
      <c r="E31" s="15"/>
      <c r="F31">
        <f>650*4</f>
        <v>2600</v>
      </c>
      <c r="G31" t="s">
        <v>9</v>
      </c>
      <c r="H31">
        <v>400</v>
      </c>
      <c r="I31" t="s">
        <v>186</v>
      </c>
      <c r="J31">
        <v>0</v>
      </c>
      <c r="P31">
        <f>75*4</f>
        <v>300</v>
      </c>
      <c r="S31" s="7"/>
      <c r="T31" s="7"/>
    </row>
    <row r="32" spans="1:22" x14ac:dyDescent="0.3">
      <c r="A32" s="27" t="s">
        <v>238</v>
      </c>
      <c r="B32">
        <v>200</v>
      </c>
      <c r="C32" t="s">
        <v>244</v>
      </c>
      <c r="E32" s="15"/>
      <c r="G32" t="s">
        <v>109</v>
      </c>
      <c r="H32">
        <v>800</v>
      </c>
      <c r="I32" t="s">
        <v>173</v>
      </c>
      <c r="J32">
        <v>0</v>
      </c>
    </row>
    <row r="33" spans="1:17" x14ac:dyDescent="0.3">
      <c r="A33" t="s">
        <v>239</v>
      </c>
      <c r="B33">
        <v>57</v>
      </c>
      <c r="C33" t="s">
        <v>244</v>
      </c>
      <c r="D33" t="s">
        <v>231</v>
      </c>
      <c r="E33" s="15"/>
      <c r="F33">
        <f xml:space="preserve"> 100 - 22 -22 - 20 -20</f>
        <v>16</v>
      </c>
      <c r="I33" t="s">
        <v>98</v>
      </c>
      <c r="J33">
        <v>0</v>
      </c>
      <c r="Q33">
        <v>1050</v>
      </c>
    </row>
    <row r="34" spans="1:17" x14ac:dyDescent="0.3">
      <c r="A34" t="s">
        <v>212</v>
      </c>
      <c r="B34">
        <v>250</v>
      </c>
      <c r="E34" s="15"/>
      <c r="F34">
        <f xml:space="preserve"> 16 * 4</f>
        <v>64</v>
      </c>
      <c r="G34" t="s">
        <v>232</v>
      </c>
      <c r="I34" t="s">
        <v>99</v>
      </c>
      <c r="J34">
        <v>80</v>
      </c>
    </row>
    <row r="35" spans="1:17" x14ac:dyDescent="0.3">
      <c r="A35" t="s">
        <v>240</v>
      </c>
      <c r="B35">
        <v>1800</v>
      </c>
      <c r="E35" s="15"/>
      <c r="I35" t="s">
        <v>97</v>
      </c>
      <c r="J35">
        <v>0</v>
      </c>
    </row>
    <row r="36" spans="1:17" x14ac:dyDescent="0.3">
      <c r="A36" t="s">
        <v>90</v>
      </c>
      <c r="B36">
        <v>1571.62</v>
      </c>
      <c r="E36" s="15"/>
      <c r="I36" t="s">
        <v>18</v>
      </c>
      <c r="J36">
        <f>SUBTOTAL(109,J24:J35)</f>
        <v>300</v>
      </c>
      <c r="L36">
        <f>SUBTOTAL(109,L24:L35)</f>
        <v>270</v>
      </c>
    </row>
    <row r="37" spans="1:17" x14ac:dyDescent="0.3">
      <c r="A37" t="s">
        <v>89</v>
      </c>
      <c r="B37">
        <f>125+110</f>
        <v>235</v>
      </c>
      <c r="E37" s="15"/>
    </row>
    <row r="38" spans="1:17" x14ac:dyDescent="0.3">
      <c r="A38" t="s">
        <v>238</v>
      </c>
      <c r="B38">
        <v>165</v>
      </c>
      <c r="E38" s="15"/>
    </row>
    <row r="39" spans="1:17" x14ac:dyDescent="0.3">
      <c r="A39" t="s">
        <v>241</v>
      </c>
      <c r="B39">
        <v>165</v>
      </c>
      <c r="E39" s="15"/>
    </row>
    <row r="40" spans="1:17" x14ac:dyDescent="0.3">
      <c r="A40" t="s">
        <v>242</v>
      </c>
      <c r="B40">
        <v>284</v>
      </c>
      <c r="D40" t="s">
        <v>245</v>
      </c>
      <c r="E40" s="15" t="s">
        <v>246</v>
      </c>
    </row>
    <row r="41" spans="1:17" x14ac:dyDescent="0.3">
      <c r="E41" s="15" t="s">
        <v>247</v>
      </c>
    </row>
    <row r="42" spans="1:17" x14ac:dyDescent="0.3">
      <c r="E42" s="15" t="s">
        <v>248</v>
      </c>
    </row>
    <row r="43" spans="1:17" x14ac:dyDescent="0.3">
      <c r="A43" t="s">
        <v>243</v>
      </c>
      <c r="B43">
        <f>473+1000</f>
        <v>1473</v>
      </c>
    </row>
  </sheetData>
  <mergeCells count="9">
    <mergeCell ref="P27:P30"/>
    <mergeCell ref="G17:L17"/>
    <mergeCell ref="R19:S22"/>
    <mergeCell ref="A1:AE1"/>
    <mergeCell ref="R2:U2"/>
    <mergeCell ref="G3:L8"/>
    <mergeCell ref="G14:L14"/>
    <mergeCell ref="G9:L12"/>
    <mergeCell ref="N17:O17"/>
  </mergeCells>
  <phoneticPr fontId="5" type="noConversion"/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57CA-6DC8-4795-BCCB-B1A0C3F137F0}">
  <sheetPr codeName="Sheet16"/>
  <dimension ref="A1:Z38"/>
  <sheetViews>
    <sheetView topLeftCell="A14" workbookViewId="0">
      <selection activeCell="C29" sqref="C29"/>
    </sheetView>
  </sheetViews>
  <sheetFormatPr defaultRowHeight="14.4" x14ac:dyDescent="0.3"/>
  <cols>
    <col min="1" max="1" width="22.109375" bestFit="1" customWidth="1"/>
    <col min="2" max="2" width="10.33203125" bestFit="1" customWidth="1"/>
    <col min="3" max="4" width="10.33203125" customWidth="1"/>
    <col min="9" max="9" width="10.6640625" bestFit="1" customWidth="1"/>
    <col min="13" max="13" width="14.6640625" bestFit="1" customWidth="1"/>
    <col min="14" max="14" width="9.33203125" bestFit="1" customWidth="1"/>
    <col min="15" max="15" width="9.33203125" customWidth="1"/>
    <col min="16" max="16" width="18.33203125" bestFit="1" customWidth="1"/>
    <col min="17" max="17" width="15.44140625" bestFit="1" customWidth="1"/>
  </cols>
  <sheetData>
    <row r="1" spans="1:26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x14ac:dyDescent="0.3">
      <c r="A2" s="1" t="s">
        <v>82</v>
      </c>
      <c r="B2" s="21">
        <v>20969</v>
      </c>
      <c r="C2" s="21"/>
      <c r="D2" s="21"/>
      <c r="M2" s="76" t="s">
        <v>101</v>
      </c>
      <c r="N2" s="76"/>
      <c r="O2" s="76"/>
      <c r="P2" s="76"/>
    </row>
    <row r="3" spans="1:26" ht="12.6" customHeight="1" x14ac:dyDescent="0.3">
      <c r="A3" t="s">
        <v>104</v>
      </c>
      <c r="B3" s="7">
        <v>0</v>
      </c>
      <c r="C3" s="7" t="s">
        <v>268</v>
      </c>
      <c r="D3" s="7"/>
      <c r="F3" s="77" t="s">
        <v>144</v>
      </c>
      <c r="G3" s="77"/>
      <c r="H3" s="77"/>
      <c r="I3" s="77"/>
      <c r="J3" s="77"/>
      <c r="K3" s="26"/>
      <c r="M3" s="2" t="s">
        <v>85</v>
      </c>
      <c r="N3" s="8">
        <f>(B28/4)</f>
        <v>987.5</v>
      </c>
      <c r="O3" s="8"/>
    </row>
    <row r="4" spans="1:26" ht="13.5" customHeight="1" x14ac:dyDescent="0.3">
      <c r="A4" t="s">
        <v>204</v>
      </c>
      <c r="B4" s="7">
        <v>0</v>
      </c>
      <c r="C4" s="7" t="s">
        <v>268</v>
      </c>
      <c r="D4" s="7"/>
      <c r="F4" s="77"/>
      <c r="G4" s="77"/>
      <c r="H4" s="77"/>
      <c r="I4" s="77"/>
      <c r="J4" s="77"/>
      <c r="K4" s="26" t="s">
        <v>262</v>
      </c>
      <c r="M4" s="2"/>
      <c r="N4" s="8"/>
      <c r="O4" s="8"/>
    </row>
    <row r="5" spans="1:26" ht="12.6" customHeight="1" x14ac:dyDescent="0.3">
      <c r="A5" t="s">
        <v>253</v>
      </c>
      <c r="B5" s="7">
        <v>50</v>
      </c>
      <c r="C5" s="7"/>
      <c r="D5" s="7"/>
      <c r="F5" s="77"/>
      <c r="G5" s="77"/>
      <c r="H5" s="77"/>
      <c r="I5" s="77"/>
      <c r="J5" s="77"/>
      <c r="K5" s="26">
        <v>50</v>
      </c>
      <c r="M5" s="2"/>
      <c r="N5" s="8"/>
      <c r="O5" s="8"/>
    </row>
    <row r="6" spans="1:26" ht="12.6" customHeight="1" x14ac:dyDescent="0.3">
      <c r="A6" t="s">
        <v>139</v>
      </c>
      <c r="B6" s="7">
        <v>178</v>
      </c>
      <c r="C6" s="7" t="s">
        <v>268</v>
      </c>
      <c r="D6" s="7"/>
      <c r="F6" s="77"/>
      <c r="G6" s="77"/>
      <c r="H6" s="77"/>
      <c r="I6" s="77"/>
      <c r="J6" s="77"/>
      <c r="K6" s="26">
        <v>100</v>
      </c>
      <c r="M6" s="2"/>
      <c r="N6" s="8"/>
      <c r="O6" s="8"/>
    </row>
    <row r="7" spans="1:26" x14ac:dyDescent="0.3">
      <c r="A7" t="s">
        <v>6</v>
      </c>
      <c r="B7" s="7">
        <v>3585</v>
      </c>
      <c r="C7" s="7" t="s">
        <v>268</v>
      </c>
      <c r="D7" s="7">
        <f xml:space="preserve"> 3618.11 - B7</f>
        <v>33.110000000000127</v>
      </c>
      <c r="F7" s="77"/>
      <c r="G7" s="77"/>
      <c r="H7" s="77"/>
      <c r="I7" s="77"/>
      <c r="J7" s="77"/>
      <c r="K7">
        <v>100</v>
      </c>
      <c r="M7" t="s">
        <v>12</v>
      </c>
      <c r="N7" s="7">
        <v>0</v>
      </c>
      <c r="O7" s="7"/>
      <c r="P7" s="22"/>
      <c r="Q7" s="23">
        <f>N7*4</f>
        <v>0</v>
      </c>
    </row>
    <row r="8" spans="1:26" x14ac:dyDescent="0.3">
      <c r="A8" t="s">
        <v>127</v>
      </c>
      <c r="B8" s="7">
        <v>450</v>
      </c>
      <c r="C8" s="7" t="s">
        <v>269</v>
      </c>
      <c r="D8" s="7"/>
      <c r="E8" t="s">
        <v>160</v>
      </c>
      <c r="F8" s="77"/>
      <c r="G8" s="77"/>
      <c r="H8" s="77"/>
      <c r="I8" s="77"/>
      <c r="J8" s="77"/>
      <c r="K8">
        <v>50</v>
      </c>
      <c r="N8" s="7"/>
      <c r="O8" s="7"/>
      <c r="P8" s="22"/>
      <c r="Q8" s="23"/>
    </row>
    <row r="9" spans="1:26" x14ac:dyDescent="0.3">
      <c r="A9" t="s">
        <v>97</v>
      </c>
      <c r="B9" s="7">
        <v>283</v>
      </c>
      <c r="C9" s="7" t="s">
        <v>268</v>
      </c>
      <c r="D9" s="7"/>
      <c r="F9" s="77"/>
      <c r="G9" s="77"/>
      <c r="H9" s="77"/>
      <c r="I9" s="77"/>
      <c r="J9" s="77"/>
      <c r="K9">
        <f>SUM(K5:K8)</f>
        <v>300</v>
      </c>
      <c r="M9" t="s">
        <v>97</v>
      </c>
      <c r="N9" s="7"/>
      <c r="O9" s="7"/>
      <c r="P9" s="22"/>
      <c r="Q9" s="23"/>
    </row>
    <row r="10" spans="1:26" x14ac:dyDescent="0.3">
      <c r="A10" t="s">
        <v>265</v>
      </c>
      <c r="B10" s="7">
        <v>0</v>
      </c>
      <c r="C10" s="7" t="s">
        <v>268</v>
      </c>
      <c r="D10" s="7"/>
      <c r="F10" s="77"/>
      <c r="G10" s="77"/>
      <c r="H10" s="77"/>
      <c r="I10" s="77"/>
      <c r="J10" s="77"/>
      <c r="N10" s="7"/>
      <c r="O10" s="7"/>
      <c r="P10" s="22"/>
      <c r="Q10" s="23"/>
    </row>
    <row r="11" spans="1:26" x14ac:dyDescent="0.3">
      <c r="A11" t="s">
        <v>152</v>
      </c>
      <c r="B11" s="7">
        <f>845*2</f>
        <v>1690</v>
      </c>
      <c r="C11" s="7" t="s">
        <v>267</v>
      </c>
      <c r="D11" s="7"/>
      <c r="F11" s="77"/>
      <c r="G11" s="77"/>
      <c r="H11" s="77"/>
      <c r="I11" s="77"/>
      <c r="J11" s="77"/>
      <c r="M11" t="s">
        <v>11</v>
      </c>
      <c r="N11" s="7">
        <v>0</v>
      </c>
      <c r="O11" s="7"/>
      <c r="P11" s="22"/>
      <c r="Q11" s="23">
        <f>N11*4</f>
        <v>0</v>
      </c>
    </row>
    <row r="12" spans="1:26" x14ac:dyDescent="0.3">
      <c r="A12" t="s">
        <v>259</v>
      </c>
      <c r="B12" s="7">
        <v>10</v>
      </c>
      <c r="C12" s="7" t="s">
        <v>269</v>
      </c>
      <c r="D12" s="7"/>
      <c r="F12" s="49"/>
      <c r="G12" s="49"/>
      <c r="H12" s="49"/>
      <c r="I12" s="49"/>
      <c r="J12" s="49"/>
      <c r="N12" s="7"/>
      <c r="O12" s="7"/>
      <c r="P12" s="22"/>
      <c r="Q12" s="23"/>
    </row>
    <row r="13" spans="1:26" x14ac:dyDescent="0.3">
      <c r="A13" t="s">
        <v>258</v>
      </c>
      <c r="B13" s="7">
        <v>50</v>
      </c>
      <c r="C13" s="7" t="s">
        <v>272</v>
      </c>
      <c r="D13" s="7"/>
      <c r="F13" s="36"/>
      <c r="G13" s="36"/>
      <c r="H13" s="36"/>
      <c r="I13" s="36"/>
      <c r="J13" s="36"/>
      <c r="M13" t="s">
        <v>266</v>
      </c>
      <c r="N13" s="7">
        <v>40</v>
      </c>
      <c r="O13" s="7"/>
      <c r="P13" s="22"/>
      <c r="Q13" s="23"/>
    </row>
    <row r="14" spans="1:26" x14ac:dyDescent="0.3">
      <c r="A14" t="s">
        <v>210</v>
      </c>
      <c r="B14" s="7">
        <v>150</v>
      </c>
      <c r="C14" s="7" t="s">
        <v>272</v>
      </c>
      <c r="D14" s="7"/>
      <c r="F14" s="29"/>
      <c r="G14" s="29"/>
      <c r="H14" s="29"/>
      <c r="I14" s="29"/>
      <c r="J14" s="29"/>
      <c r="M14" t="s">
        <v>163</v>
      </c>
      <c r="N14" s="7">
        <v>0</v>
      </c>
      <c r="O14" s="7"/>
      <c r="P14" s="22"/>
      <c r="Q14" s="23"/>
    </row>
    <row r="15" spans="1:26" x14ac:dyDescent="0.3">
      <c r="A15" t="s">
        <v>46</v>
      </c>
      <c r="B15" s="7">
        <v>5000</v>
      </c>
      <c r="C15" s="7" t="s">
        <v>196</v>
      </c>
      <c r="D15" s="7" t="s">
        <v>189</v>
      </c>
      <c r="E15" s="7" t="s">
        <v>273</v>
      </c>
      <c r="F15" s="29"/>
      <c r="G15" s="29"/>
      <c r="H15" s="29"/>
      <c r="I15" s="29"/>
      <c r="J15" s="29"/>
      <c r="M15" t="s">
        <v>108</v>
      </c>
      <c r="N15" s="7">
        <v>100</v>
      </c>
      <c r="O15" s="7"/>
      <c r="P15" s="22"/>
      <c r="Q15" s="23"/>
    </row>
    <row r="16" spans="1:26" x14ac:dyDescent="0.3">
      <c r="A16" t="s">
        <v>154</v>
      </c>
      <c r="B16" s="7">
        <f>D23</f>
        <v>1750</v>
      </c>
      <c r="C16" s="7"/>
      <c r="D16" s="7"/>
      <c r="E16" s="7"/>
      <c r="F16" s="36"/>
      <c r="G16" s="36"/>
      <c r="H16" s="36"/>
      <c r="I16" s="36"/>
      <c r="J16" s="36"/>
      <c r="M16" t="s">
        <v>263</v>
      </c>
      <c r="N16" s="7">
        <v>100</v>
      </c>
      <c r="O16" s="7"/>
      <c r="P16" s="22"/>
      <c r="Q16" s="23"/>
    </row>
    <row r="17" spans="1:17" x14ac:dyDescent="0.3">
      <c r="A17" t="s">
        <v>167</v>
      </c>
      <c r="B17" s="7">
        <v>150</v>
      </c>
      <c r="C17" s="7" t="s">
        <v>190</v>
      </c>
      <c r="D17" s="7">
        <v>400</v>
      </c>
      <c r="E17" s="7"/>
      <c r="F17" s="29"/>
      <c r="G17" s="29"/>
      <c r="H17" s="29"/>
      <c r="I17" s="29"/>
      <c r="J17" s="29"/>
      <c r="M17" t="s">
        <v>21</v>
      </c>
      <c r="N17" s="7">
        <v>15</v>
      </c>
      <c r="O17" s="7"/>
      <c r="P17" s="22"/>
      <c r="Q17" s="23"/>
    </row>
    <row r="18" spans="1:17" x14ac:dyDescent="0.3">
      <c r="A18" t="s">
        <v>89</v>
      </c>
      <c r="B18" s="7">
        <v>550</v>
      </c>
      <c r="C18" s="7" t="s">
        <v>191</v>
      </c>
      <c r="D18" s="7">
        <v>650</v>
      </c>
      <c r="E18" s="7"/>
      <c r="F18" s="72"/>
      <c r="G18" s="72"/>
      <c r="H18" s="72"/>
      <c r="I18" s="72"/>
      <c r="J18" s="72"/>
      <c r="M18" t="s">
        <v>111</v>
      </c>
      <c r="N18" s="7">
        <v>75</v>
      </c>
      <c r="O18" s="7"/>
      <c r="P18" s="24" t="s">
        <v>94</v>
      </c>
      <c r="Q18" s="25">
        <f>Q7+Q11</f>
        <v>0</v>
      </c>
    </row>
    <row r="19" spans="1:17" x14ac:dyDescent="0.3">
      <c r="A19" t="s">
        <v>15</v>
      </c>
      <c r="B19" s="7">
        <v>0</v>
      </c>
      <c r="C19" s="7" t="s">
        <v>192</v>
      </c>
      <c r="D19" s="7">
        <v>700</v>
      </c>
      <c r="E19" s="7"/>
      <c r="F19" t="s">
        <v>141</v>
      </c>
      <c r="G19">
        <v>140</v>
      </c>
      <c r="M19" t="s">
        <v>9</v>
      </c>
      <c r="N19" s="7">
        <v>160</v>
      </c>
      <c r="O19" s="7"/>
    </row>
    <row r="20" spans="1:17" x14ac:dyDescent="0.3">
      <c r="A20" t="s">
        <v>143</v>
      </c>
      <c r="B20" s="7">
        <v>1052</v>
      </c>
      <c r="C20" s="7" t="s">
        <v>193</v>
      </c>
      <c r="D20" s="7">
        <v>0</v>
      </c>
      <c r="E20" s="7"/>
      <c r="F20" t="s">
        <v>29</v>
      </c>
      <c r="G20">
        <v>110</v>
      </c>
      <c r="H20" t="s">
        <v>270</v>
      </c>
      <c r="J20" s="7">
        <f>N31/2</f>
        <v>-5</v>
      </c>
      <c r="N20" s="7"/>
      <c r="O20" s="7"/>
    </row>
    <row r="21" spans="1:17" x14ac:dyDescent="0.3">
      <c r="A21" t="s">
        <v>156</v>
      </c>
      <c r="B21" s="7">
        <v>348</v>
      </c>
      <c r="C21" s="7" t="s">
        <v>194</v>
      </c>
      <c r="D21" s="7">
        <v>0</v>
      </c>
      <c r="E21" s="7"/>
      <c r="F21" t="s">
        <v>169</v>
      </c>
      <c r="G21">
        <v>200</v>
      </c>
      <c r="N21" s="7"/>
      <c r="O21" s="7"/>
    </row>
    <row r="22" spans="1:17" x14ac:dyDescent="0.3">
      <c r="A22" t="s">
        <v>110</v>
      </c>
      <c r="B22" s="7">
        <v>750</v>
      </c>
      <c r="C22" s="7" t="s">
        <v>195</v>
      </c>
      <c r="D22" s="7">
        <v>0</v>
      </c>
      <c r="E22" s="7"/>
      <c r="F22" t="s">
        <v>170</v>
      </c>
      <c r="G22">
        <v>90</v>
      </c>
      <c r="H22" t="s">
        <v>113</v>
      </c>
      <c r="I22" t="s">
        <v>46</v>
      </c>
      <c r="N22" s="7"/>
      <c r="O22" s="7"/>
    </row>
    <row r="23" spans="1:17" x14ac:dyDescent="0.3">
      <c r="A23" t="s">
        <v>5</v>
      </c>
      <c r="B23" s="7">
        <v>473</v>
      </c>
      <c r="C23" s="7"/>
      <c r="D23" s="7">
        <f>SUBTOTAL(109,D16:D22)</f>
        <v>1750</v>
      </c>
      <c r="E23" s="7"/>
      <c r="F23" t="s">
        <v>27</v>
      </c>
      <c r="G23">
        <v>65</v>
      </c>
      <c r="H23" t="s">
        <v>114</v>
      </c>
      <c r="I23" t="s">
        <v>122</v>
      </c>
      <c r="J23" t="s">
        <v>261</v>
      </c>
      <c r="K23" t="s">
        <v>165</v>
      </c>
      <c r="L23" t="s">
        <v>166</v>
      </c>
      <c r="N23" s="7"/>
      <c r="O23" s="7"/>
    </row>
    <row r="24" spans="1:17" x14ac:dyDescent="0.3">
      <c r="A24" t="s">
        <v>252</v>
      </c>
      <c r="B24" s="7">
        <v>0</v>
      </c>
      <c r="C24" s="7"/>
      <c r="D24" s="7"/>
      <c r="E24" s="7"/>
      <c r="F24" t="s">
        <v>18</v>
      </c>
      <c r="G24">
        <f>SUM(G19:G23)</f>
        <v>605</v>
      </c>
      <c r="H24" t="s">
        <v>115</v>
      </c>
      <c r="I24" t="s">
        <v>52</v>
      </c>
      <c r="J24">
        <v>120</v>
      </c>
      <c r="K24">
        <v>300</v>
      </c>
      <c r="L24">
        <v>300</v>
      </c>
      <c r="M24" t="s">
        <v>13</v>
      </c>
      <c r="N24" s="7">
        <v>500</v>
      </c>
      <c r="O24" s="7"/>
    </row>
    <row r="25" spans="1:17" x14ac:dyDescent="0.3">
      <c r="A25" t="s">
        <v>254</v>
      </c>
      <c r="B25" s="7">
        <v>500</v>
      </c>
      <c r="C25" s="7" t="s">
        <v>268</v>
      </c>
      <c r="D25" s="7"/>
      <c r="E25" s="7"/>
      <c r="N25" s="7"/>
      <c r="O25" s="7"/>
    </row>
    <row r="26" spans="1:17" x14ac:dyDescent="0.3">
      <c r="B26" s="7"/>
      <c r="C26" s="7"/>
      <c r="D26" s="7"/>
      <c r="H26" t="s">
        <v>116</v>
      </c>
      <c r="I26" t="s">
        <v>47</v>
      </c>
      <c r="N26" s="7"/>
      <c r="O26" s="7"/>
    </row>
    <row r="27" spans="1:17" x14ac:dyDescent="0.3">
      <c r="A27" s="2" t="s">
        <v>83</v>
      </c>
      <c r="B27" s="8">
        <f>SUM(B3:B25)</f>
        <v>17019</v>
      </c>
      <c r="C27" s="8"/>
      <c r="D27" s="8">
        <f>473/4</f>
        <v>118.25</v>
      </c>
      <c r="H27" t="s">
        <v>117</v>
      </c>
      <c r="I27" t="s">
        <v>87</v>
      </c>
      <c r="K27" t="s">
        <v>18</v>
      </c>
      <c r="L27">
        <f>SUM(K24+L24)</f>
        <v>600</v>
      </c>
      <c r="M27" s="2" t="s">
        <v>14</v>
      </c>
      <c r="N27" s="8">
        <f>N29</f>
        <v>-2.5</v>
      </c>
      <c r="O27" s="8"/>
    </row>
    <row r="28" spans="1:17" x14ac:dyDescent="0.3">
      <c r="A28" s="2" t="s">
        <v>84</v>
      </c>
      <c r="B28" s="8">
        <f>SUM(B2-B27)</f>
        <v>3950</v>
      </c>
      <c r="C28" s="8"/>
      <c r="D28" s="8"/>
      <c r="H28" t="s">
        <v>118</v>
      </c>
      <c r="I28" t="s">
        <v>87</v>
      </c>
      <c r="K28" t="s">
        <v>91</v>
      </c>
      <c r="M28" s="2" t="s">
        <v>86</v>
      </c>
      <c r="N28" s="8">
        <f>SUM(N7:N24)</f>
        <v>990</v>
      </c>
      <c r="O28" s="8"/>
    </row>
    <row r="29" spans="1:17" x14ac:dyDescent="0.3">
      <c r="H29" t="s">
        <v>119</v>
      </c>
      <c r="I29" t="s">
        <v>120</v>
      </c>
      <c r="M29" s="1" t="s">
        <v>0</v>
      </c>
      <c r="N29" s="7">
        <f>SUM(N3-N28)</f>
        <v>-2.5</v>
      </c>
      <c r="O29" s="7"/>
    </row>
    <row r="30" spans="1:17" x14ac:dyDescent="0.3">
      <c r="D30">
        <f>600+118</f>
        <v>718</v>
      </c>
      <c r="M30" s="1" t="s">
        <v>93</v>
      </c>
      <c r="N30" s="7">
        <f>N27 *2</f>
        <v>-5</v>
      </c>
      <c r="O30" s="7"/>
    </row>
    <row r="31" spans="1:17" x14ac:dyDescent="0.3">
      <c r="M31" t="s">
        <v>100</v>
      </c>
      <c r="N31" s="7">
        <f>N30*2</f>
        <v>-10</v>
      </c>
      <c r="O31" s="7"/>
    </row>
    <row r="32" spans="1:17" x14ac:dyDescent="0.3">
      <c r="F32" t="s">
        <v>107</v>
      </c>
      <c r="G32">
        <v>1500</v>
      </c>
      <c r="N32" s="7"/>
      <c r="O32" s="7"/>
    </row>
    <row r="33" spans="1:15" x14ac:dyDescent="0.3">
      <c r="F33" t="s">
        <v>9</v>
      </c>
      <c r="G33">
        <v>400</v>
      </c>
      <c r="N33" s="7"/>
      <c r="O33" s="7"/>
    </row>
    <row r="34" spans="1:15" x14ac:dyDescent="0.3">
      <c r="A34" s="27">
        <f>1937.5 - 500</f>
        <v>1437.5</v>
      </c>
      <c r="F34" t="s">
        <v>109</v>
      </c>
      <c r="G34">
        <v>800</v>
      </c>
    </row>
    <row r="38" spans="1:15" x14ac:dyDescent="0.3">
      <c r="E38">
        <f>33/4</f>
        <v>8.25</v>
      </c>
    </row>
  </sheetData>
  <mergeCells count="4">
    <mergeCell ref="A1:Z1"/>
    <mergeCell ref="M2:P2"/>
    <mergeCell ref="F3:J11"/>
    <mergeCell ref="F18:J18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5B0-6BA9-449D-BEAD-A336ADBE043E}">
  <sheetPr codeName="Sheet2"/>
  <dimension ref="A1:X37"/>
  <sheetViews>
    <sheetView workbookViewId="0">
      <selection activeCell="I12" sqref="I12"/>
    </sheetView>
  </sheetViews>
  <sheetFormatPr defaultRowHeight="14.4" x14ac:dyDescent="0.3"/>
  <cols>
    <col min="1" max="1" width="24.88671875" bestFit="1" customWidth="1"/>
    <col min="2" max="2" width="10.33203125" bestFit="1" customWidth="1"/>
    <col min="3" max="3" width="13.6640625" bestFit="1" customWidth="1"/>
    <col min="4" max="4" width="9.88671875" customWidth="1"/>
    <col min="7" max="7" width="10.6640625" bestFit="1" customWidth="1"/>
    <col min="11" max="11" width="14.664062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f>SUM(20969+2400)</f>
        <v>23369</v>
      </c>
      <c r="K2" s="76" t="s">
        <v>147</v>
      </c>
      <c r="L2" s="76"/>
      <c r="M2" s="76"/>
      <c r="N2" s="76"/>
    </row>
    <row r="3" spans="1:24" ht="12.6" customHeight="1" x14ac:dyDescent="0.3">
      <c r="A3" t="s">
        <v>274</v>
      </c>
      <c r="B3" s="7">
        <v>0</v>
      </c>
      <c r="D3" s="77" t="s">
        <v>255</v>
      </c>
      <c r="E3" s="77"/>
      <c r="F3" s="77"/>
      <c r="G3" s="77"/>
      <c r="H3" s="77"/>
      <c r="I3" s="26"/>
      <c r="K3" s="2" t="s">
        <v>85</v>
      </c>
      <c r="L3" s="8">
        <f>(B29/4)</f>
        <v>2417.9724999999999</v>
      </c>
      <c r="M3" s="8"/>
      <c r="Q3" t="s">
        <v>256</v>
      </c>
    </row>
    <row r="4" spans="1:24" ht="12.6" customHeight="1" x14ac:dyDescent="0.3">
      <c r="A4" t="s">
        <v>139</v>
      </c>
      <c r="B4" s="7">
        <v>200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3618.11</v>
      </c>
      <c r="D5" s="77"/>
      <c r="E5" s="77"/>
      <c r="F5" s="77"/>
      <c r="G5" s="77"/>
      <c r="H5" s="77"/>
      <c r="K5" t="s">
        <v>12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450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97</v>
      </c>
      <c r="B7" s="7">
        <v>284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3</v>
      </c>
      <c r="B8" s="7">
        <v>845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ht="12.6" customHeight="1" x14ac:dyDescent="0.3">
      <c r="A9" t="s">
        <v>271</v>
      </c>
      <c r="B9" s="7">
        <v>20</v>
      </c>
      <c r="D9" s="30" t="s">
        <v>283</v>
      </c>
      <c r="E9" s="30"/>
      <c r="F9" s="30"/>
      <c r="G9" s="30"/>
      <c r="H9" s="30"/>
      <c r="K9" t="s">
        <v>163</v>
      </c>
      <c r="L9" s="7">
        <v>0</v>
      </c>
      <c r="M9" s="7"/>
      <c r="N9" s="22"/>
      <c r="O9" s="23"/>
    </row>
    <row r="10" spans="1:24" ht="13.2" customHeight="1" x14ac:dyDescent="0.3">
      <c r="A10" t="s">
        <v>260</v>
      </c>
      <c r="B10" s="7">
        <v>200</v>
      </c>
      <c r="D10" s="49"/>
      <c r="E10" s="49"/>
      <c r="F10" s="49"/>
      <c r="G10" s="49"/>
      <c r="H10" s="49"/>
      <c r="L10" s="7"/>
      <c r="M10" s="7"/>
      <c r="N10" s="22"/>
      <c r="O10" s="23"/>
    </row>
    <row r="11" spans="1:24" x14ac:dyDescent="0.3">
      <c r="A11" t="s">
        <v>280</v>
      </c>
      <c r="B11" s="7">
        <v>100</v>
      </c>
      <c r="C11" s="7">
        <f>SUM(B9:B12)</f>
        <v>370</v>
      </c>
      <c r="D11" s="49"/>
      <c r="E11" s="49"/>
      <c r="F11" s="49"/>
      <c r="G11" s="49"/>
      <c r="H11" s="49"/>
      <c r="L11" s="7"/>
      <c r="M11" s="7"/>
      <c r="N11" s="22"/>
      <c r="O11" s="23"/>
    </row>
    <row r="12" spans="1:24" x14ac:dyDescent="0.3">
      <c r="A12" t="s">
        <v>258</v>
      </c>
      <c r="B12" s="7">
        <v>50</v>
      </c>
      <c r="D12" s="56"/>
      <c r="E12" s="56"/>
      <c r="F12" s="56"/>
      <c r="G12" s="56"/>
      <c r="H12" s="56"/>
      <c r="L12" s="7"/>
      <c r="M12" s="7"/>
      <c r="N12" s="22"/>
      <c r="O12" s="23"/>
    </row>
    <row r="13" spans="1:24" x14ac:dyDescent="0.3">
      <c r="A13" t="s">
        <v>253</v>
      </c>
      <c r="B13" s="7">
        <v>90</v>
      </c>
      <c r="D13" s="49"/>
      <c r="E13" s="49"/>
      <c r="F13" s="49"/>
      <c r="G13" s="49"/>
      <c r="H13" s="49"/>
      <c r="L13" s="7"/>
      <c r="M13" s="7"/>
      <c r="N13" s="22"/>
      <c r="O13" s="23"/>
    </row>
    <row r="14" spans="1:24" ht="16.2" customHeight="1" x14ac:dyDescent="0.3">
      <c r="A14" t="s">
        <v>275</v>
      </c>
      <c r="B14" s="7">
        <v>2700</v>
      </c>
      <c r="D14" s="80" t="s">
        <v>149</v>
      </c>
      <c r="E14" s="78"/>
      <c r="F14" s="78"/>
      <c r="G14" s="78"/>
      <c r="H14" s="78"/>
      <c r="K14" t="s">
        <v>108</v>
      </c>
      <c r="L14" s="7">
        <v>100</v>
      </c>
      <c r="M14" s="7"/>
      <c r="N14" s="22"/>
      <c r="O14" s="23"/>
    </row>
    <row r="15" spans="1:24" ht="16.2" customHeight="1" x14ac:dyDescent="0.3">
      <c r="A15" t="s">
        <v>281</v>
      </c>
      <c r="B15" s="7">
        <v>40</v>
      </c>
      <c r="D15" s="80"/>
      <c r="E15" s="78"/>
      <c r="F15" s="78"/>
      <c r="G15" s="78"/>
      <c r="H15" s="78"/>
      <c r="L15" s="7"/>
      <c r="M15" s="7"/>
      <c r="N15" s="22"/>
      <c r="O15" s="23"/>
    </row>
    <row r="16" spans="1:24" ht="16.2" customHeight="1" x14ac:dyDescent="0.3">
      <c r="A16" t="s">
        <v>282</v>
      </c>
      <c r="B16" s="7">
        <v>40</v>
      </c>
      <c r="D16" s="80"/>
      <c r="E16" s="78"/>
      <c r="F16" s="78"/>
      <c r="G16" s="78"/>
      <c r="H16" s="78"/>
      <c r="L16" s="7"/>
      <c r="M16" s="7"/>
      <c r="N16" s="22"/>
      <c r="O16" s="23"/>
    </row>
    <row r="17" spans="1:15" ht="16.2" customHeight="1" x14ac:dyDescent="0.3">
      <c r="A17" t="s">
        <v>95</v>
      </c>
      <c r="B17" s="7">
        <v>1200</v>
      </c>
      <c r="D17" s="80"/>
      <c r="E17" s="78"/>
      <c r="F17" s="78"/>
      <c r="G17" s="78"/>
      <c r="H17" s="78"/>
      <c r="L17" s="7"/>
      <c r="M17" s="7"/>
      <c r="N17" s="22"/>
      <c r="O17" s="23"/>
    </row>
    <row r="18" spans="1:15" ht="16.2" customHeight="1" x14ac:dyDescent="0.3">
      <c r="A18" t="s">
        <v>220</v>
      </c>
      <c r="B18" s="7">
        <v>100</v>
      </c>
      <c r="D18" s="80"/>
      <c r="E18" s="78"/>
      <c r="F18" s="78"/>
      <c r="G18" s="78"/>
      <c r="H18" s="78"/>
      <c r="K18" t="s">
        <v>263</v>
      </c>
      <c r="L18" s="7">
        <v>150</v>
      </c>
      <c r="M18" s="7"/>
      <c r="N18" s="22"/>
      <c r="O18" s="23"/>
    </row>
    <row r="19" spans="1:15" x14ac:dyDescent="0.3">
      <c r="A19" t="s">
        <v>123</v>
      </c>
      <c r="B19" s="7">
        <v>1000</v>
      </c>
      <c r="D19" s="78"/>
      <c r="E19" s="78"/>
      <c r="F19" s="78"/>
      <c r="G19" s="78"/>
      <c r="H19" s="78"/>
      <c r="J19">
        <v>400</v>
      </c>
      <c r="K19" t="s">
        <v>21</v>
      </c>
      <c r="L19" s="7">
        <v>15</v>
      </c>
      <c r="M19" s="7"/>
      <c r="N19" s="22"/>
      <c r="O19" s="23"/>
    </row>
    <row r="20" spans="1:15" x14ac:dyDescent="0.3">
      <c r="A20" t="s">
        <v>89</v>
      </c>
      <c r="B20" s="7">
        <f>D33</f>
        <v>610</v>
      </c>
      <c r="D20" s="79" t="s">
        <v>150</v>
      </c>
      <c r="E20" s="79"/>
      <c r="F20" s="79"/>
      <c r="G20" s="79"/>
      <c r="H20" s="79"/>
      <c r="J20">
        <v>300</v>
      </c>
      <c r="K20" t="s">
        <v>111</v>
      </c>
      <c r="L20" s="7">
        <v>150</v>
      </c>
      <c r="M20" s="7"/>
      <c r="N20" s="24" t="s">
        <v>94</v>
      </c>
      <c r="O20" s="25">
        <f>O5+O8</f>
        <v>0</v>
      </c>
    </row>
    <row r="21" spans="1:15" x14ac:dyDescent="0.3">
      <c r="A21" t="s">
        <v>276</v>
      </c>
      <c r="B21" s="7">
        <v>1000</v>
      </c>
      <c r="D21" t="s">
        <v>257</v>
      </c>
      <c r="J21">
        <v>500</v>
      </c>
      <c r="K21" t="s">
        <v>9</v>
      </c>
      <c r="L21" s="7">
        <v>400</v>
      </c>
      <c r="M21" s="7"/>
    </row>
    <row r="22" spans="1:15" x14ac:dyDescent="0.3">
      <c r="A22" t="s">
        <v>110</v>
      </c>
      <c r="B22" s="7">
        <v>700</v>
      </c>
      <c r="D22" t="s">
        <v>148</v>
      </c>
      <c r="E22">
        <v>5650</v>
      </c>
      <c r="F22" t="s">
        <v>113</v>
      </c>
      <c r="G22" t="s">
        <v>46</v>
      </c>
      <c r="I22" s="1">
        <v>19200</v>
      </c>
      <c r="L22" s="7"/>
      <c r="M22" s="7"/>
    </row>
    <row r="23" spans="1:15" x14ac:dyDescent="0.3">
      <c r="A23" t="s">
        <v>5</v>
      </c>
      <c r="B23" s="7">
        <v>0</v>
      </c>
      <c r="F23" t="s">
        <v>114</v>
      </c>
      <c r="G23" t="s">
        <v>122</v>
      </c>
      <c r="L23" s="7"/>
      <c r="M23" s="7"/>
    </row>
    <row r="24" spans="1:15" x14ac:dyDescent="0.3">
      <c r="A24" t="s">
        <v>157</v>
      </c>
      <c r="B24" s="7">
        <v>350</v>
      </c>
      <c r="C24" t="s">
        <v>188</v>
      </c>
      <c r="D24" t="s">
        <v>189</v>
      </c>
      <c r="I24" t="s">
        <v>165</v>
      </c>
      <c r="J24" t="s">
        <v>166</v>
      </c>
      <c r="L24" s="7"/>
      <c r="M24" s="7"/>
    </row>
    <row r="25" spans="1:15" x14ac:dyDescent="0.3">
      <c r="B25" s="7"/>
      <c r="C25" t="s">
        <v>141</v>
      </c>
      <c r="D25">
        <v>0</v>
      </c>
      <c r="F25" t="s">
        <v>115</v>
      </c>
      <c r="G25" t="s">
        <v>52</v>
      </c>
      <c r="I25">
        <v>300</v>
      </c>
      <c r="J25">
        <v>300</v>
      </c>
      <c r="K25" t="s">
        <v>13</v>
      </c>
      <c r="L25" s="7">
        <v>600</v>
      </c>
      <c r="M25" s="7"/>
    </row>
    <row r="26" spans="1:15" x14ac:dyDescent="0.3">
      <c r="A26" t="s">
        <v>168</v>
      </c>
      <c r="B26" s="7">
        <v>100</v>
      </c>
      <c r="C26" t="s">
        <v>92</v>
      </c>
      <c r="D26">
        <v>140</v>
      </c>
      <c r="L26" s="7"/>
      <c r="M26" s="7"/>
    </row>
    <row r="27" spans="1:15" x14ac:dyDescent="0.3">
      <c r="A27" t="s">
        <v>161</v>
      </c>
      <c r="B27" s="7">
        <v>0</v>
      </c>
      <c r="C27" t="s">
        <v>142</v>
      </c>
      <c r="D27">
        <v>80</v>
      </c>
      <c r="F27" t="s">
        <v>116</v>
      </c>
      <c r="G27" t="s">
        <v>47</v>
      </c>
      <c r="L27" s="7"/>
      <c r="M27" s="7"/>
    </row>
    <row r="28" spans="1:15" x14ac:dyDescent="0.3">
      <c r="A28" s="2" t="s">
        <v>83</v>
      </c>
      <c r="B28" s="8">
        <f>SUM(B3:B27)</f>
        <v>13697.11</v>
      </c>
      <c r="C28" t="s">
        <v>27</v>
      </c>
      <c r="D28">
        <v>80</v>
      </c>
      <c r="F28" t="s">
        <v>117</v>
      </c>
      <c r="G28" t="s">
        <v>87</v>
      </c>
      <c r="K28" s="2" t="s">
        <v>14</v>
      </c>
      <c r="L28" s="8">
        <f>L30</f>
        <v>1002.9724999999999</v>
      </c>
      <c r="M28" s="8"/>
    </row>
    <row r="29" spans="1:15" x14ac:dyDescent="0.3">
      <c r="A29" s="2" t="s">
        <v>84</v>
      </c>
      <c r="B29" s="8">
        <f>SUM(B2-B28)</f>
        <v>9671.89</v>
      </c>
      <c r="C29" t="s">
        <v>202</v>
      </c>
      <c r="D29">
        <v>80</v>
      </c>
      <c r="F29" t="s">
        <v>118</v>
      </c>
      <c r="G29" t="s">
        <v>87</v>
      </c>
      <c r="K29" s="2" t="s">
        <v>86</v>
      </c>
      <c r="L29" s="8">
        <f>SUM(L5:L25)</f>
        <v>1415</v>
      </c>
      <c r="M29" s="8"/>
    </row>
    <row r="30" spans="1:15" x14ac:dyDescent="0.3">
      <c r="C30" t="s">
        <v>169</v>
      </c>
      <c r="D30">
        <v>0</v>
      </c>
      <c r="F30" t="s">
        <v>119</v>
      </c>
      <c r="G30" t="s">
        <v>120</v>
      </c>
      <c r="K30" s="1" t="s">
        <v>0</v>
      </c>
      <c r="L30" s="7">
        <f>SUM(L3-L29)</f>
        <v>1002.9724999999999</v>
      </c>
      <c r="M30" s="7"/>
    </row>
    <row r="31" spans="1:15" x14ac:dyDescent="0.3">
      <c r="C31" t="s">
        <v>285</v>
      </c>
      <c r="D31">
        <v>120</v>
      </c>
      <c r="K31" s="1" t="s">
        <v>93</v>
      </c>
      <c r="L31" s="7">
        <f>L28 *2</f>
        <v>2005.9449999999997</v>
      </c>
      <c r="M31" s="7"/>
    </row>
    <row r="32" spans="1:15" x14ac:dyDescent="0.3">
      <c r="C32" t="s">
        <v>29</v>
      </c>
      <c r="D32">
        <v>110</v>
      </c>
      <c r="K32" t="s">
        <v>100</v>
      </c>
      <c r="L32" s="7">
        <f>L31*2</f>
        <v>4011.8899999999994</v>
      </c>
      <c r="M32" s="7"/>
    </row>
    <row r="33" spans="1:13" x14ac:dyDescent="0.3">
      <c r="C33" t="s">
        <v>18</v>
      </c>
      <c r="D33">
        <f>SUBTOTAL(109,D25:D32)</f>
        <v>610</v>
      </c>
      <c r="E33">
        <v>1500</v>
      </c>
      <c r="L33" s="7"/>
      <c r="M33" s="7"/>
    </row>
    <row r="34" spans="1:13" x14ac:dyDescent="0.3">
      <c r="E34">
        <v>400</v>
      </c>
      <c r="L34" s="7"/>
      <c r="M34" s="7"/>
    </row>
    <row r="35" spans="1:13" x14ac:dyDescent="0.3">
      <c r="A35" s="27">
        <f>1937.5 - 500</f>
        <v>1437.5</v>
      </c>
      <c r="D35" t="s">
        <v>107</v>
      </c>
      <c r="E35">
        <v>800</v>
      </c>
    </row>
    <row r="36" spans="1:13" x14ac:dyDescent="0.3">
      <c r="D36" t="s">
        <v>9</v>
      </c>
    </row>
    <row r="37" spans="1:13" x14ac:dyDescent="0.3">
      <c r="D37" t="s">
        <v>109</v>
      </c>
    </row>
  </sheetData>
  <mergeCells count="5">
    <mergeCell ref="A1:X1"/>
    <mergeCell ref="K2:N2"/>
    <mergeCell ref="D3:H8"/>
    <mergeCell ref="D20:H20"/>
    <mergeCell ref="D14:H19"/>
  </mergeCells>
  <hyperlinks>
    <hyperlink ref="D14" r:id="rId1" xr:uid="{141BBD01-4DA6-4BED-9BEF-430C09CC043D}"/>
  </hyperlinks>
  <pageMargins left="0.7" right="0.7" top="0.75" bottom="0.75" header="0.3" footer="0.3"/>
  <pageSetup paperSize="9" orientation="portrait" horizontalDpi="1200" verticalDpi="1200" r:id="rId2"/>
  <headerFooter>
    <oddFooter>&amp;C_x000D_&amp;1#&amp;"BMW Group Condensed"&amp;12&amp;KC00000 CONFIDENTIAL</oddFooter>
  </headerFooter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898F-02E4-494A-8AF0-E8C3621083F9}">
  <sheetPr codeName="Sheet17"/>
  <dimension ref="A1:X38"/>
  <sheetViews>
    <sheetView workbookViewId="0">
      <selection activeCell="A3" sqref="A3"/>
    </sheetView>
  </sheetViews>
  <sheetFormatPr defaultRowHeight="14.4" x14ac:dyDescent="0.3"/>
  <cols>
    <col min="1" max="1" width="16.33203125" bestFit="1" customWidth="1"/>
    <col min="2" max="2" width="10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f>20969 + June!B27</f>
        <v>20969</v>
      </c>
      <c r="K2" s="76" t="s">
        <v>124</v>
      </c>
      <c r="L2" s="76"/>
      <c r="M2" s="76"/>
      <c r="N2" s="76"/>
    </row>
    <row r="3" spans="1:24" x14ac:dyDescent="0.3">
      <c r="A3" t="s">
        <v>104</v>
      </c>
      <c r="B3" s="7">
        <v>500</v>
      </c>
      <c r="K3" s="58"/>
      <c r="L3" s="58"/>
      <c r="M3" s="58"/>
      <c r="N3" s="58"/>
    </row>
    <row r="4" spans="1:24" x14ac:dyDescent="0.3">
      <c r="A4" t="s">
        <v>289</v>
      </c>
      <c r="B4" s="7">
        <v>100</v>
      </c>
      <c r="K4" s="58"/>
      <c r="L4" s="58"/>
      <c r="M4" s="58"/>
      <c r="N4" s="58"/>
    </row>
    <row r="5" spans="1:24" ht="12.6" customHeight="1" x14ac:dyDescent="0.3">
      <c r="A5" t="s">
        <v>288</v>
      </c>
      <c r="B5" s="7">
        <v>500</v>
      </c>
      <c r="D5" s="77" t="s">
        <v>292</v>
      </c>
      <c r="E5" s="77"/>
      <c r="F5" s="77"/>
      <c r="G5" s="77"/>
      <c r="H5" s="77"/>
      <c r="I5" s="26"/>
      <c r="K5" s="2" t="s">
        <v>85</v>
      </c>
      <c r="L5" s="8">
        <f>(B28/4)</f>
        <v>1251.75</v>
      </c>
      <c r="M5" s="8"/>
    </row>
    <row r="6" spans="1:24" ht="12.6" customHeight="1" x14ac:dyDescent="0.3">
      <c r="A6" t="s">
        <v>287</v>
      </c>
      <c r="B6" s="7">
        <v>1200</v>
      </c>
      <c r="D6" s="77"/>
      <c r="E6" s="77"/>
      <c r="F6" s="77"/>
      <c r="G6" s="77"/>
      <c r="H6" s="77"/>
      <c r="I6" s="26"/>
      <c r="K6" s="2"/>
      <c r="L6" s="8"/>
      <c r="M6" s="8"/>
    </row>
    <row r="7" spans="1:24" x14ac:dyDescent="0.3">
      <c r="A7" t="s">
        <v>286</v>
      </c>
      <c r="B7" s="27">
        <v>10400</v>
      </c>
      <c r="D7" s="77"/>
      <c r="E7" s="77"/>
      <c r="F7" s="77"/>
      <c r="G7" s="77"/>
      <c r="H7" s="77"/>
      <c r="K7" t="s">
        <v>12</v>
      </c>
      <c r="L7" s="7">
        <v>0</v>
      </c>
      <c r="M7" s="7"/>
      <c r="N7" s="22"/>
      <c r="O7" s="23">
        <f>L7*4</f>
        <v>0</v>
      </c>
    </row>
    <row r="8" spans="1:24" x14ac:dyDescent="0.3">
      <c r="A8" t="s">
        <v>127</v>
      </c>
      <c r="B8" s="7">
        <v>450</v>
      </c>
      <c r="D8" s="77"/>
      <c r="E8" s="77"/>
      <c r="F8" s="77"/>
      <c r="G8" s="77"/>
      <c r="H8" s="77"/>
      <c r="L8" s="7"/>
      <c r="M8" s="7"/>
      <c r="N8" s="22"/>
      <c r="O8" s="23"/>
    </row>
    <row r="9" spans="1:24" x14ac:dyDescent="0.3">
      <c r="A9" t="s">
        <v>290</v>
      </c>
      <c r="B9" s="7">
        <v>0</v>
      </c>
      <c r="D9" s="77"/>
      <c r="E9" s="77"/>
      <c r="F9" s="77"/>
      <c r="G9" s="77"/>
      <c r="H9" s="77"/>
      <c r="K9" t="s">
        <v>97</v>
      </c>
      <c r="L9" s="7"/>
      <c r="M9" s="7"/>
      <c r="N9" s="22"/>
      <c r="O9" s="23"/>
    </row>
    <row r="10" spans="1:24" x14ac:dyDescent="0.3">
      <c r="A10" t="s">
        <v>139</v>
      </c>
      <c r="B10" s="7">
        <v>200</v>
      </c>
      <c r="D10" s="77"/>
      <c r="E10" s="77"/>
      <c r="F10" s="77"/>
      <c r="G10" s="77"/>
      <c r="H10" s="77"/>
      <c r="K10" t="s">
        <v>11</v>
      </c>
      <c r="L10" s="7">
        <v>0</v>
      </c>
      <c r="M10" s="7"/>
      <c r="N10" s="22"/>
      <c r="O10" s="23">
        <f>L10*4</f>
        <v>0</v>
      </c>
    </row>
    <row r="11" spans="1:24" x14ac:dyDescent="0.3">
      <c r="A11" t="s">
        <v>297</v>
      </c>
      <c r="B11" s="7">
        <v>150</v>
      </c>
      <c r="D11" s="49"/>
      <c r="E11" s="49"/>
      <c r="F11" s="49"/>
      <c r="G11" s="49"/>
      <c r="H11" s="49"/>
      <c r="L11" s="7"/>
      <c r="M11" s="7"/>
      <c r="N11" s="22"/>
      <c r="O11" s="23"/>
    </row>
    <row r="12" spans="1:24" x14ac:dyDescent="0.3">
      <c r="A12" t="s">
        <v>291</v>
      </c>
      <c r="B12" s="7">
        <v>0</v>
      </c>
      <c r="D12" s="81" t="s">
        <v>146</v>
      </c>
      <c r="E12" s="82"/>
      <c r="F12" s="82"/>
      <c r="G12" s="82"/>
      <c r="H12" s="82"/>
      <c r="K12" t="s">
        <v>163</v>
      </c>
      <c r="L12" s="7">
        <v>0</v>
      </c>
      <c r="M12" s="7"/>
      <c r="N12" s="22"/>
      <c r="O12" s="23"/>
    </row>
    <row r="13" spans="1:24" x14ac:dyDescent="0.3">
      <c r="A13" t="s">
        <v>279</v>
      </c>
      <c r="B13" s="7">
        <v>0</v>
      </c>
      <c r="D13" s="37"/>
      <c r="E13" s="37"/>
      <c r="F13" s="37"/>
      <c r="G13" s="37"/>
      <c r="H13" s="37"/>
      <c r="K13" t="s">
        <v>108</v>
      </c>
      <c r="L13" s="7">
        <v>100</v>
      </c>
      <c r="M13" s="7"/>
      <c r="N13" s="22"/>
      <c r="O13" s="23"/>
    </row>
    <row r="14" spans="1:24" x14ac:dyDescent="0.3">
      <c r="A14" t="s">
        <v>278</v>
      </c>
      <c r="B14" s="7">
        <v>0</v>
      </c>
      <c r="D14" s="57"/>
      <c r="E14" s="57"/>
      <c r="F14" s="57"/>
      <c r="G14" s="57"/>
      <c r="H14" s="57"/>
      <c r="L14" s="7"/>
      <c r="M14" s="7"/>
      <c r="N14" s="22"/>
      <c r="O14" s="23"/>
    </row>
    <row r="15" spans="1:24" x14ac:dyDescent="0.3">
      <c r="A15" t="s">
        <v>168</v>
      </c>
      <c r="B15" s="7">
        <v>0</v>
      </c>
      <c r="D15" s="38"/>
      <c r="E15" s="38"/>
      <c r="F15" s="38"/>
      <c r="G15" s="38"/>
      <c r="H15" s="38"/>
      <c r="K15" t="s">
        <v>264</v>
      </c>
      <c r="L15" s="7">
        <v>150</v>
      </c>
      <c r="M15" s="7"/>
      <c r="N15" s="22"/>
      <c r="O15" s="23"/>
    </row>
    <row r="16" spans="1:24" x14ac:dyDescent="0.3">
      <c r="A16" t="s">
        <v>296</v>
      </c>
      <c r="B16" s="7">
        <v>180</v>
      </c>
      <c r="D16" s="37"/>
      <c r="E16" s="37"/>
      <c r="F16" s="37"/>
      <c r="G16" s="37"/>
      <c r="H16" s="37"/>
      <c r="K16" t="s">
        <v>21</v>
      </c>
      <c r="L16" s="7">
        <v>50</v>
      </c>
      <c r="M16" s="7"/>
      <c r="N16" s="22"/>
      <c r="O16" s="23"/>
    </row>
    <row r="17" spans="1:15" x14ac:dyDescent="0.3">
      <c r="A17" t="s">
        <v>89</v>
      </c>
      <c r="B17" s="7">
        <f>D28</f>
        <v>490</v>
      </c>
      <c r="D17" s="72"/>
      <c r="E17" s="72"/>
      <c r="F17" s="72"/>
      <c r="G17" s="72"/>
      <c r="H17" s="72"/>
      <c r="K17" t="s">
        <v>111</v>
      </c>
      <c r="L17" s="7">
        <v>75</v>
      </c>
      <c r="M17" s="7"/>
      <c r="N17" s="24" t="s">
        <v>94</v>
      </c>
      <c r="O17" s="25">
        <f>O7+O10</f>
        <v>0</v>
      </c>
    </row>
    <row r="18" spans="1:15" x14ac:dyDescent="0.3">
      <c r="A18" t="s">
        <v>281</v>
      </c>
      <c r="B18" s="7">
        <v>40</v>
      </c>
      <c r="C18" t="s">
        <v>188</v>
      </c>
      <c r="D18" t="s">
        <v>189</v>
      </c>
      <c r="E18">
        <v>5400</v>
      </c>
      <c r="K18" t="s">
        <v>9</v>
      </c>
      <c r="L18" s="7">
        <v>250</v>
      </c>
      <c r="M18" s="7"/>
    </row>
    <row r="19" spans="1:15" x14ac:dyDescent="0.3">
      <c r="A19" t="s">
        <v>253</v>
      </c>
      <c r="B19" s="7">
        <v>0</v>
      </c>
      <c r="L19" s="7"/>
      <c r="M19" s="7"/>
    </row>
    <row r="20" spans="1:15" x14ac:dyDescent="0.3">
      <c r="A20" t="s">
        <v>95</v>
      </c>
      <c r="B20" s="7">
        <v>1052</v>
      </c>
      <c r="L20" s="7"/>
      <c r="M20" s="7"/>
    </row>
    <row r="21" spans="1:15" x14ac:dyDescent="0.3">
      <c r="A21" t="s">
        <v>158</v>
      </c>
      <c r="B21" s="7">
        <v>200</v>
      </c>
      <c r="C21" t="s">
        <v>141</v>
      </c>
      <c r="D21">
        <v>0</v>
      </c>
      <c r="L21" s="7"/>
      <c r="M21" s="7"/>
    </row>
    <row r="22" spans="1:15" x14ac:dyDescent="0.3">
      <c r="A22" t="s">
        <v>110</v>
      </c>
      <c r="B22" s="7">
        <v>500</v>
      </c>
      <c r="C22" t="s">
        <v>92</v>
      </c>
      <c r="D22">
        <v>140</v>
      </c>
      <c r="F22" t="s">
        <v>113</v>
      </c>
      <c r="G22" t="s">
        <v>46</v>
      </c>
      <c r="L22" s="7"/>
      <c r="M22" s="7"/>
    </row>
    <row r="23" spans="1:15" x14ac:dyDescent="0.3">
      <c r="A23" t="s">
        <v>5</v>
      </c>
      <c r="B23" s="7">
        <v>0</v>
      </c>
      <c r="C23" t="s">
        <v>142</v>
      </c>
      <c r="D23">
        <v>80</v>
      </c>
      <c r="F23" t="s">
        <v>114</v>
      </c>
      <c r="G23" t="s">
        <v>122</v>
      </c>
      <c r="L23" s="7"/>
      <c r="M23" s="7"/>
    </row>
    <row r="24" spans="1:15" x14ac:dyDescent="0.3">
      <c r="A24" t="s">
        <v>276</v>
      </c>
      <c r="B24" s="7">
        <v>0</v>
      </c>
      <c r="C24" t="s">
        <v>27</v>
      </c>
      <c r="D24">
        <v>80</v>
      </c>
      <c r="F24" t="s">
        <v>115</v>
      </c>
      <c r="G24" t="s">
        <v>52</v>
      </c>
      <c r="K24" t="s">
        <v>13</v>
      </c>
      <c r="L24" s="7">
        <v>600</v>
      </c>
      <c r="M24" s="7"/>
    </row>
    <row r="25" spans="1:15" x14ac:dyDescent="0.3">
      <c r="B25" s="7"/>
      <c r="C25" t="s">
        <v>202</v>
      </c>
      <c r="D25">
        <v>80</v>
      </c>
      <c r="L25" s="7"/>
      <c r="M25" s="7"/>
    </row>
    <row r="26" spans="1:15" x14ac:dyDescent="0.3">
      <c r="A26" t="s">
        <v>221</v>
      </c>
      <c r="B26" s="7">
        <v>0</v>
      </c>
      <c r="C26" t="s">
        <v>169</v>
      </c>
      <c r="D26">
        <v>0</v>
      </c>
      <c r="F26" t="s">
        <v>116</v>
      </c>
      <c r="G26" t="s">
        <v>47</v>
      </c>
      <c r="L26" s="7"/>
      <c r="M26" s="7"/>
    </row>
    <row r="27" spans="1:15" x14ac:dyDescent="0.3">
      <c r="A27" s="2" t="s">
        <v>83</v>
      </c>
      <c r="B27" s="8">
        <f>SUM(B3:B26)</f>
        <v>15962</v>
      </c>
      <c r="C27" t="s">
        <v>29</v>
      </c>
      <c r="D27">
        <v>110</v>
      </c>
      <c r="F27" t="s">
        <v>117</v>
      </c>
      <c r="G27" t="s">
        <v>87</v>
      </c>
      <c r="K27" s="2" t="s">
        <v>14</v>
      </c>
      <c r="L27" s="8">
        <f>L29</f>
        <v>26.75</v>
      </c>
      <c r="M27" s="8"/>
    </row>
    <row r="28" spans="1:15" x14ac:dyDescent="0.3">
      <c r="A28" s="2" t="s">
        <v>84</v>
      </c>
      <c r="B28" s="8">
        <f>SUM(B2-B27)</f>
        <v>5007</v>
      </c>
      <c r="C28" t="s">
        <v>18</v>
      </c>
      <c r="D28">
        <f>SUBTOTAL(109,D21:D27)</f>
        <v>490</v>
      </c>
      <c r="F28" t="s">
        <v>118</v>
      </c>
      <c r="G28" t="s">
        <v>87</v>
      </c>
      <c r="K28" s="2" t="s">
        <v>86</v>
      </c>
      <c r="L28" s="8">
        <f>SUM(L7:L24)</f>
        <v>1225</v>
      </c>
      <c r="M28" s="8"/>
    </row>
    <row r="29" spans="1:15" x14ac:dyDescent="0.3">
      <c r="F29" t="s">
        <v>119</v>
      </c>
      <c r="G29" t="s">
        <v>120</v>
      </c>
      <c r="K29" s="1" t="s">
        <v>0</v>
      </c>
      <c r="L29" s="7">
        <f>SUM(L5-L28)</f>
        <v>26.75</v>
      </c>
      <c r="M29" s="7"/>
    </row>
    <row r="30" spans="1:15" x14ac:dyDescent="0.3">
      <c r="K30" s="1" t="s">
        <v>93</v>
      </c>
      <c r="L30" s="7">
        <f>L27 *2</f>
        <v>53.5</v>
      </c>
      <c r="M30" s="7"/>
    </row>
    <row r="31" spans="1:15" x14ac:dyDescent="0.3">
      <c r="G31">
        <f>100/4</f>
        <v>25</v>
      </c>
      <c r="K31" t="s">
        <v>100</v>
      </c>
      <c r="L31" s="7">
        <f>L30*2</f>
        <v>107</v>
      </c>
      <c r="M31" s="7"/>
    </row>
    <row r="32" spans="1:15" x14ac:dyDescent="0.3">
      <c r="D32" t="s">
        <v>107</v>
      </c>
      <c r="E32">
        <v>1500</v>
      </c>
      <c r="L32" s="7"/>
      <c r="M32" s="7"/>
    </row>
    <row r="33" spans="1:13" x14ac:dyDescent="0.3">
      <c r="D33" t="s">
        <v>9</v>
      </c>
      <c r="E33">
        <v>400</v>
      </c>
      <c r="L33" s="7"/>
      <c r="M33" s="7"/>
    </row>
    <row r="34" spans="1:13" x14ac:dyDescent="0.3">
      <c r="A34" s="27">
        <f>1937.5 - 500</f>
        <v>1437.5</v>
      </c>
      <c r="D34" t="s">
        <v>109</v>
      </c>
      <c r="E34">
        <v>800</v>
      </c>
    </row>
    <row r="38" spans="1:13" x14ac:dyDescent="0.3">
      <c r="A38" t="s">
        <v>284</v>
      </c>
    </row>
  </sheetData>
  <mergeCells count="5">
    <mergeCell ref="A1:X1"/>
    <mergeCell ref="K2:N2"/>
    <mergeCell ref="D5:H10"/>
    <mergeCell ref="D17:H17"/>
    <mergeCell ref="D12:H12"/>
  </mergeCells>
  <hyperlinks>
    <hyperlink ref="D12" r:id="rId1" xr:uid="{B77A2FB0-72AF-4E43-9D1E-A6F403FA47DE}"/>
  </hyperlinks>
  <pageMargins left="0.7" right="0.7" top="0.75" bottom="0.75" header="0.3" footer="0.3"/>
  <pageSetup paperSize="9" orientation="portrait" horizontalDpi="1200" verticalDpi="1200" r:id="rId2"/>
  <headerFooter>
    <oddFooter>&amp;C_x000D_&amp;1#&amp;"BMW Group Condensed"&amp;12&amp;KC00000 CONFIDENTIAL</oddFooter>
  </headerFooter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B033-F719-486B-AB80-01AE8D2E8C6C}">
  <sheetPr codeName="Sheet18"/>
  <dimension ref="A1:X30"/>
  <sheetViews>
    <sheetView topLeftCell="A5" workbookViewId="0">
      <selection activeCell="I20" sqref="I20"/>
    </sheetView>
  </sheetViews>
  <sheetFormatPr defaultRowHeight="14.4" x14ac:dyDescent="0.3"/>
  <cols>
    <col min="1" max="1" width="16.33203125" bestFit="1" customWidth="1"/>
    <col min="2" max="2" width="10.33203125" bestFit="1" customWidth="1"/>
    <col min="4" max="4" width="21.44140625" bestFit="1" customWidth="1"/>
    <col min="7" max="7" width="14.33203125" bestFit="1" customWidth="1"/>
    <col min="9" max="9" width="18" bestFit="1" customWidth="1"/>
    <col min="10" max="10" width="27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f>20969 + 3200</f>
        <v>24169</v>
      </c>
      <c r="K2" s="76" t="s">
        <v>101</v>
      </c>
      <c r="L2" s="76"/>
      <c r="M2" s="76"/>
      <c r="N2" s="76"/>
    </row>
    <row r="3" spans="1:24" ht="12.6" customHeight="1" x14ac:dyDescent="0.3">
      <c r="A3" t="s">
        <v>104</v>
      </c>
      <c r="B3" s="7">
        <v>500</v>
      </c>
      <c r="C3" t="s">
        <v>316</v>
      </c>
      <c r="D3" s="77" t="s">
        <v>302</v>
      </c>
      <c r="E3" s="77"/>
      <c r="F3" s="77"/>
      <c r="G3" s="77"/>
      <c r="H3" s="77"/>
      <c r="I3" s="26"/>
      <c r="K3" s="2" t="s">
        <v>85</v>
      </c>
      <c r="L3" s="8">
        <f>(B23/4)</f>
        <v>1925.75</v>
      </c>
      <c r="M3" s="8"/>
    </row>
    <row r="4" spans="1:24" x14ac:dyDescent="0.3">
      <c r="A4" t="s">
        <v>6</v>
      </c>
      <c r="B4" s="7">
        <v>6200</v>
      </c>
      <c r="C4" t="s">
        <v>267</v>
      </c>
      <c r="D4" s="77"/>
      <c r="E4" s="77"/>
      <c r="F4" s="77"/>
      <c r="G4" s="77"/>
      <c r="H4" s="77"/>
      <c r="K4" t="s">
        <v>12</v>
      </c>
      <c r="L4" s="7">
        <v>0</v>
      </c>
      <c r="M4" s="7"/>
      <c r="N4" s="22"/>
      <c r="O4" s="23">
        <f>L4*4</f>
        <v>0</v>
      </c>
    </row>
    <row r="5" spans="1:24" x14ac:dyDescent="0.3">
      <c r="A5" t="s">
        <v>127</v>
      </c>
      <c r="B5" s="7">
        <v>450</v>
      </c>
      <c r="C5" t="s">
        <v>316</v>
      </c>
      <c r="D5" s="77"/>
      <c r="E5" s="77"/>
      <c r="F5" s="77"/>
      <c r="G5" s="77"/>
      <c r="H5" s="77"/>
      <c r="L5" s="7"/>
      <c r="M5" s="7"/>
      <c r="N5" s="22"/>
      <c r="O5" s="23"/>
    </row>
    <row r="6" spans="1:24" x14ac:dyDescent="0.3">
      <c r="A6" t="s">
        <v>139</v>
      </c>
      <c r="B6" s="7">
        <v>280</v>
      </c>
      <c r="C6" t="s">
        <v>267</v>
      </c>
      <c r="D6" s="77"/>
      <c r="E6" s="77"/>
      <c r="F6" s="77"/>
      <c r="G6" s="77"/>
      <c r="H6" s="77"/>
      <c r="K6" t="s">
        <v>11</v>
      </c>
      <c r="L6" s="7">
        <v>0</v>
      </c>
      <c r="M6" s="7"/>
      <c r="N6" s="22"/>
      <c r="O6" s="23">
        <f>L6*4</f>
        <v>0</v>
      </c>
    </row>
    <row r="7" spans="1:24" x14ac:dyDescent="0.3">
      <c r="A7" t="s">
        <v>293</v>
      </c>
      <c r="B7" s="7">
        <v>2700</v>
      </c>
      <c r="C7" t="s">
        <v>267</v>
      </c>
      <c r="D7" s="30"/>
      <c r="E7" s="30"/>
      <c r="F7" s="30"/>
      <c r="G7" s="30"/>
      <c r="H7" s="30"/>
      <c r="K7" t="s">
        <v>163</v>
      </c>
      <c r="L7" s="7">
        <v>0</v>
      </c>
      <c r="M7" s="7"/>
      <c r="N7" s="22"/>
      <c r="O7" s="23"/>
    </row>
    <row r="8" spans="1:24" x14ac:dyDescent="0.3">
      <c r="A8" t="s">
        <v>158</v>
      </c>
      <c r="B8" s="7">
        <v>200</v>
      </c>
      <c r="C8" t="s">
        <v>315</v>
      </c>
      <c r="D8" s="36"/>
      <c r="E8" s="36"/>
      <c r="F8" s="36"/>
      <c r="G8" s="36"/>
      <c r="H8" s="36"/>
      <c r="L8" s="7"/>
      <c r="M8" s="7"/>
      <c r="N8" s="22"/>
      <c r="O8" s="23"/>
    </row>
    <row r="9" spans="1:24" x14ac:dyDescent="0.3">
      <c r="A9" t="s">
        <v>298</v>
      </c>
      <c r="B9" s="7">
        <v>150</v>
      </c>
      <c r="C9" t="s">
        <v>316</v>
      </c>
      <c r="D9" s="30"/>
      <c r="E9" s="30"/>
      <c r="F9" s="30"/>
      <c r="G9" s="30"/>
      <c r="H9" s="30"/>
      <c r="K9" t="s">
        <v>108</v>
      </c>
      <c r="L9" s="7">
        <v>0</v>
      </c>
      <c r="M9" s="7"/>
      <c r="N9" s="22"/>
      <c r="O9" s="23"/>
    </row>
    <row r="10" spans="1:24" x14ac:dyDescent="0.3">
      <c r="A10" t="s">
        <v>304</v>
      </c>
      <c r="B10" s="62">
        <v>1000</v>
      </c>
      <c r="C10" t="s">
        <v>314</v>
      </c>
      <c r="D10" s="36"/>
      <c r="E10" s="36"/>
      <c r="F10" s="36"/>
      <c r="G10" s="36"/>
      <c r="H10" s="36"/>
      <c r="K10" t="s">
        <v>264</v>
      </c>
      <c r="L10" s="7">
        <v>0</v>
      </c>
      <c r="M10" s="7"/>
      <c r="N10" s="22"/>
      <c r="O10" s="23"/>
    </row>
    <row r="11" spans="1:24" x14ac:dyDescent="0.3">
      <c r="A11" t="s">
        <v>46</v>
      </c>
      <c r="B11" s="7">
        <v>400</v>
      </c>
      <c r="C11" t="s">
        <v>316</v>
      </c>
      <c r="D11" s="30"/>
      <c r="E11" s="30"/>
      <c r="F11" s="30"/>
      <c r="G11" s="30"/>
      <c r="H11" s="30"/>
      <c r="K11" t="s">
        <v>21</v>
      </c>
      <c r="L11" s="7">
        <v>50</v>
      </c>
      <c r="M11" s="7" t="s">
        <v>316</v>
      </c>
      <c r="N11" s="22"/>
      <c r="O11" s="23"/>
    </row>
    <row r="12" spans="1:24" x14ac:dyDescent="0.3">
      <c r="A12" t="s">
        <v>295</v>
      </c>
      <c r="B12" s="7">
        <v>100</v>
      </c>
      <c r="C12" t="s">
        <v>315</v>
      </c>
      <c r="D12" s="49"/>
      <c r="E12" s="49"/>
      <c r="F12" s="49"/>
      <c r="G12" s="49"/>
      <c r="H12" s="49"/>
      <c r="L12" s="7"/>
      <c r="M12" s="7"/>
      <c r="N12" s="22"/>
      <c r="O12" s="23"/>
    </row>
    <row r="13" spans="1:24" x14ac:dyDescent="0.3">
      <c r="A13" t="s">
        <v>89</v>
      </c>
      <c r="B13" s="7">
        <v>490</v>
      </c>
      <c r="C13" t="s">
        <v>316</v>
      </c>
      <c r="D13" s="83"/>
      <c r="E13" s="83"/>
      <c r="F13" s="83"/>
      <c r="G13" s="83"/>
      <c r="H13" s="83"/>
      <c r="K13" t="s">
        <v>111</v>
      </c>
      <c r="L13" s="7">
        <v>75</v>
      </c>
      <c r="M13" s="7" t="s">
        <v>316</v>
      </c>
      <c r="N13" s="24" t="s">
        <v>94</v>
      </c>
      <c r="O13" s="25">
        <f>O4+O6</f>
        <v>0</v>
      </c>
    </row>
    <row r="14" spans="1:24" x14ac:dyDescent="0.3">
      <c r="A14" t="s">
        <v>307</v>
      </c>
      <c r="B14" s="7">
        <v>300</v>
      </c>
      <c r="C14" t="s">
        <v>315</v>
      </c>
      <c r="D14" s="61"/>
      <c r="E14" s="61"/>
      <c r="F14" s="61"/>
      <c r="G14" s="61"/>
      <c r="H14" s="61"/>
      <c r="L14" s="7"/>
      <c r="M14" s="7"/>
      <c r="N14" s="24"/>
      <c r="O14" s="25"/>
    </row>
    <row r="15" spans="1:24" x14ac:dyDescent="0.3">
      <c r="A15" t="s">
        <v>306</v>
      </c>
      <c r="B15" s="7">
        <v>80</v>
      </c>
      <c r="C15" t="s">
        <v>315</v>
      </c>
      <c r="K15" t="s">
        <v>9</v>
      </c>
      <c r="L15" s="7">
        <v>300</v>
      </c>
      <c r="M15" s="7" t="s">
        <v>316</v>
      </c>
    </row>
    <row r="16" spans="1:24" x14ac:dyDescent="0.3">
      <c r="A16" t="s">
        <v>303</v>
      </c>
      <c r="B16" s="62">
        <v>500</v>
      </c>
      <c r="C16" t="s">
        <v>314</v>
      </c>
      <c r="L16" s="7"/>
      <c r="M16" s="7"/>
    </row>
    <row r="17" spans="1:13" x14ac:dyDescent="0.3">
      <c r="A17" t="s">
        <v>305</v>
      </c>
      <c r="B17" s="7">
        <v>1400</v>
      </c>
      <c r="C17" t="s">
        <v>316</v>
      </c>
      <c r="L17" s="7"/>
      <c r="M17" s="7"/>
    </row>
    <row r="18" spans="1:13" x14ac:dyDescent="0.3">
      <c r="A18" t="s">
        <v>296</v>
      </c>
      <c r="B18" s="7">
        <v>150</v>
      </c>
      <c r="C18" t="s">
        <v>316</v>
      </c>
      <c r="E18" t="s">
        <v>308</v>
      </c>
      <c r="L18" s="7"/>
      <c r="M18" s="7"/>
    </row>
    <row r="19" spans="1:13" x14ac:dyDescent="0.3">
      <c r="A19" t="s">
        <v>5</v>
      </c>
      <c r="B19" s="62">
        <v>766</v>
      </c>
      <c r="C19" t="s">
        <v>316</v>
      </c>
      <c r="D19" t="s">
        <v>309</v>
      </c>
      <c r="E19">
        <v>500</v>
      </c>
      <c r="F19" t="s">
        <v>313</v>
      </c>
      <c r="G19" s="1"/>
      <c r="I19" s="1" t="s">
        <v>0</v>
      </c>
      <c r="J19">
        <v>3200</v>
      </c>
      <c r="K19" t="s">
        <v>165</v>
      </c>
      <c r="L19" s="7">
        <v>600</v>
      </c>
      <c r="M19" s="7" t="s">
        <v>316</v>
      </c>
    </row>
    <row r="20" spans="1:13" x14ac:dyDescent="0.3">
      <c r="A20" t="s">
        <v>276</v>
      </c>
      <c r="B20" s="62">
        <v>500</v>
      </c>
      <c r="C20" t="s">
        <v>316</v>
      </c>
      <c r="D20" t="s">
        <v>310</v>
      </c>
      <c r="E20">
        <v>500</v>
      </c>
      <c r="F20" t="s">
        <v>313</v>
      </c>
      <c r="I20" t="s">
        <v>238</v>
      </c>
      <c r="J20">
        <v>500</v>
      </c>
      <c r="K20" t="s">
        <v>166</v>
      </c>
      <c r="L20" s="7">
        <v>100</v>
      </c>
      <c r="M20" s="7" t="s">
        <v>316</v>
      </c>
    </row>
    <row r="21" spans="1:13" x14ac:dyDescent="0.3">
      <c r="A21" t="s">
        <v>294</v>
      </c>
      <c r="B21" s="7">
        <v>300</v>
      </c>
      <c r="C21" t="s">
        <v>313</v>
      </c>
      <c r="D21" t="s">
        <v>304</v>
      </c>
      <c r="E21">
        <v>1000</v>
      </c>
      <c r="F21" t="s">
        <v>313</v>
      </c>
      <c r="I21" t="s">
        <v>318</v>
      </c>
      <c r="J21">
        <v>700</v>
      </c>
      <c r="L21" s="7"/>
      <c r="M21" s="7"/>
    </row>
    <row r="22" spans="1:13" x14ac:dyDescent="0.3">
      <c r="A22" s="2" t="s">
        <v>83</v>
      </c>
      <c r="B22" s="8">
        <f>SUM(B3:B21)</f>
        <v>16466</v>
      </c>
      <c r="D22" t="s">
        <v>5</v>
      </c>
      <c r="E22">
        <v>766</v>
      </c>
      <c r="F22" t="s">
        <v>313</v>
      </c>
      <c r="I22" t="s">
        <v>309</v>
      </c>
      <c r="J22">
        <v>500</v>
      </c>
      <c r="K22" s="2" t="s">
        <v>14</v>
      </c>
      <c r="L22" s="8">
        <f>L25</f>
        <v>800.75</v>
      </c>
      <c r="M22" s="8" t="s">
        <v>316</v>
      </c>
    </row>
    <row r="23" spans="1:13" x14ac:dyDescent="0.3">
      <c r="A23" s="2" t="s">
        <v>84</v>
      </c>
      <c r="B23" s="8">
        <f>SUM(B2-B22)</f>
        <v>7703</v>
      </c>
      <c r="D23" t="s">
        <v>311</v>
      </c>
      <c r="E23">
        <v>800</v>
      </c>
      <c r="F23" t="s">
        <v>313</v>
      </c>
      <c r="I23" t="s">
        <v>319</v>
      </c>
      <c r="J23">
        <v>200</v>
      </c>
      <c r="K23" s="2" t="s">
        <v>86</v>
      </c>
      <c r="L23" s="8">
        <f>SUM(L4:L20)</f>
        <v>1125</v>
      </c>
      <c r="M23" s="8"/>
    </row>
    <row r="24" spans="1:13" x14ac:dyDescent="0.3">
      <c r="A24" s="2"/>
      <c r="B24" s="8"/>
      <c r="I24" t="s">
        <v>110</v>
      </c>
      <c r="J24">
        <v>500</v>
      </c>
      <c r="K24" s="2"/>
      <c r="L24" s="8"/>
      <c r="M24" s="8"/>
    </row>
    <row r="25" spans="1:13" x14ac:dyDescent="0.3">
      <c r="I25" t="s">
        <v>168</v>
      </c>
      <c r="J25">
        <v>800</v>
      </c>
      <c r="K25" s="1" t="s">
        <v>0</v>
      </c>
      <c r="L25" s="62">
        <f>SUM(L3-L23)</f>
        <v>800.75</v>
      </c>
      <c r="M25" s="7"/>
    </row>
    <row r="26" spans="1:13" x14ac:dyDescent="0.3">
      <c r="I26" t="s">
        <v>320</v>
      </c>
      <c r="J26">
        <v>0</v>
      </c>
      <c r="K26" s="1" t="s">
        <v>93</v>
      </c>
      <c r="L26" s="7">
        <f>L22 *2</f>
        <v>1601.5</v>
      </c>
      <c r="M26" s="7"/>
    </row>
    <row r="27" spans="1:13" x14ac:dyDescent="0.3">
      <c r="D27" t="s">
        <v>312</v>
      </c>
      <c r="E27">
        <f>SUM(E19:E23)</f>
        <v>3566</v>
      </c>
      <c r="G27" s="1" t="s">
        <v>18</v>
      </c>
      <c r="H27" s="33"/>
      <c r="I27" t="s">
        <v>18</v>
      </c>
      <c r="K27" t="s">
        <v>100</v>
      </c>
      <c r="L27" s="7">
        <f>L26*2</f>
        <v>3203</v>
      </c>
      <c r="M27" s="7"/>
    </row>
    <row r="28" spans="1:13" x14ac:dyDescent="0.3">
      <c r="D28" t="s">
        <v>107</v>
      </c>
      <c r="E28">
        <v>1500</v>
      </c>
      <c r="J28">
        <f>SUM(J20:J26)</f>
        <v>3200</v>
      </c>
      <c r="L28" s="7"/>
      <c r="M28" s="7"/>
    </row>
    <row r="29" spans="1:13" x14ac:dyDescent="0.3">
      <c r="D29" t="s">
        <v>9</v>
      </c>
      <c r="E29">
        <v>400</v>
      </c>
      <c r="L29" s="7"/>
      <c r="M29" s="7"/>
    </row>
    <row r="30" spans="1:13" x14ac:dyDescent="0.3">
      <c r="A30" s="27">
        <f>1937.5 - 500</f>
        <v>1437.5</v>
      </c>
      <c r="D30" t="s">
        <v>109</v>
      </c>
      <c r="E30">
        <v>800</v>
      </c>
    </row>
  </sheetData>
  <mergeCells count="4">
    <mergeCell ref="A1:X1"/>
    <mergeCell ref="K2:N2"/>
    <mergeCell ref="D3:H6"/>
    <mergeCell ref="D13:H13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6972-2436-4089-9A06-89485BAB37C1}">
  <dimension ref="A1:E10"/>
  <sheetViews>
    <sheetView workbookViewId="0">
      <selection activeCell="I7" sqref="I7"/>
    </sheetView>
  </sheetViews>
  <sheetFormatPr defaultRowHeight="14.4" x14ac:dyDescent="0.3"/>
  <cols>
    <col min="1" max="1" width="13.33203125" customWidth="1"/>
    <col min="2" max="2" width="9.6640625" customWidth="1"/>
    <col min="5" max="5" width="46" bestFit="1" customWidth="1"/>
  </cols>
  <sheetData>
    <row r="1" spans="1:5" x14ac:dyDescent="0.3">
      <c r="A1" s="1" t="s">
        <v>0</v>
      </c>
      <c r="B1">
        <v>3200</v>
      </c>
    </row>
    <row r="2" spans="1:5" x14ac:dyDescent="0.3">
      <c r="A2" t="s">
        <v>323</v>
      </c>
      <c r="B2">
        <v>150</v>
      </c>
      <c r="C2" s="63"/>
      <c r="D2" s="63"/>
      <c r="E2" t="s">
        <v>327</v>
      </c>
    </row>
    <row r="3" spans="1:5" x14ac:dyDescent="0.3">
      <c r="A3" t="s">
        <v>12</v>
      </c>
      <c r="B3">
        <v>200</v>
      </c>
      <c r="C3" s="63"/>
      <c r="D3" s="63"/>
      <c r="E3" t="s">
        <v>328</v>
      </c>
    </row>
    <row r="4" spans="1:5" x14ac:dyDescent="0.3">
      <c r="A4" t="s">
        <v>324</v>
      </c>
      <c r="B4">
        <v>200</v>
      </c>
    </row>
    <row r="5" spans="1:5" x14ac:dyDescent="0.3">
      <c r="A5" t="s">
        <v>110</v>
      </c>
      <c r="B5">
        <v>500</v>
      </c>
    </row>
    <row r="6" spans="1:5" x14ac:dyDescent="0.3">
      <c r="A6" t="s">
        <v>168</v>
      </c>
      <c r="B6">
        <v>500</v>
      </c>
    </row>
    <row r="7" spans="1:5" x14ac:dyDescent="0.3">
      <c r="A7" t="s">
        <v>238</v>
      </c>
      <c r="B7">
        <v>500</v>
      </c>
    </row>
    <row r="8" spans="1:5" x14ac:dyDescent="0.3">
      <c r="A8" t="s">
        <v>326</v>
      </c>
      <c r="B8">
        <v>700</v>
      </c>
    </row>
    <row r="9" spans="1:5" x14ac:dyDescent="0.3">
      <c r="A9" t="s">
        <v>14</v>
      </c>
      <c r="B9">
        <v>800</v>
      </c>
    </row>
    <row r="10" spans="1:5" x14ac:dyDescent="0.3">
      <c r="A10" t="s">
        <v>325</v>
      </c>
      <c r="B10">
        <f>SUM(B2:B9)</f>
        <v>3550</v>
      </c>
    </row>
  </sheetData>
  <pageMargins left="0.7" right="0.7" top="0.75" bottom="0.75" header="0.3" footer="0.3"/>
  <pageSetup paperSize="9" orientation="portrait" r:id="rId1"/>
  <headerFooter>
    <oddFooter>&amp;C_x000D_&amp;1#&amp;"BMW Group Condensed"&amp;12&amp;KC00000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DC28-7E02-4FF0-A9D0-3C17086DC78D}">
  <dimension ref="A1:X30"/>
  <sheetViews>
    <sheetView workbookViewId="0">
      <selection activeCell="D21" sqref="D21"/>
    </sheetView>
  </sheetViews>
  <sheetFormatPr defaultRowHeight="14.4" x14ac:dyDescent="0.3"/>
  <cols>
    <col min="1" max="1" width="16.33203125" bestFit="1" customWidth="1"/>
    <col min="2" max="2" width="10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K2" s="76" t="s">
        <v>101</v>
      </c>
      <c r="L2" s="76"/>
      <c r="M2" s="76"/>
      <c r="N2" s="76"/>
    </row>
    <row r="3" spans="1:24" ht="12.6" customHeight="1" x14ac:dyDescent="0.3">
      <c r="A3" t="s">
        <v>104</v>
      </c>
      <c r="B3" s="7">
        <v>500</v>
      </c>
      <c r="D3" s="77" t="s">
        <v>102</v>
      </c>
      <c r="E3" s="77"/>
      <c r="F3" s="77"/>
      <c r="G3" s="77"/>
      <c r="H3" s="77"/>
      <c r="I3" s="26"/>
      <c r="K3" s="2" t="s">
        <v>85</v>
      </c>
      <c r="L3" s="8">
        <f>(B24/4)</f>
        <v>1733.25</v>
      </c>
      <c r="M3" s="8"/>
    </row>
    <row r="4" spans="1:24" ht="12.6" customHeight="1" x14ac:dyDescent="0.3">
      <c r="A4" t="s">
        <v>204</v>
      </c>
      <c r="B4" s="7">
        <v>0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D5" s="77"/>
      <c r="E5" s="77"/>
      <c r="F5" s="77"/>
      <c r="G5" s="77"/>
      <c r="H5" s="77"/>
      <c r="K5" t="s">
        <v>12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97</v>
      </c>
      <c r="B7" s="7">
        <v>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139</v>
      </c>
      <c r="B8" s="7">
        <v>250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293</v>
      </c>
      <c r="B9" s="7">
        <v>2500</v>
      </c>
      <c r="C9" t="s">
        <v>205</v>
      </c>
      <c r="D9" s="60"/>
      <c r="E9" s="60"/>
      <c r="F9" s="60"/>
      <c r="G9" s="60"/>
      <c r="H9" s="60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158</v>
      </c>
      <c r="B10" s="7">
        <v>200</v>
      </c>
      <c r="D10" s="60"/>
      <c r="E10" s="60"/>
      <c r="F10" s="60"/>
      <c r="G10" s="60"/>
      <c r="H10" s="60"/>
      <c r="L10" s="7"/>
      <c r="M10" s="7"/>
      <c r="N10" s="22"/>
      <c r="O10" s="23"/>
    </row>
    <row r="11" spans="1:24" x14ac:dyDescent="0.3">
      <c r="A11" t="s">
        <v>298</v>
      </c>
      <c r="B11" s="7">
        <v>150</v>
      </c>
      <c r="D11" s="60"/>
      <c r="E11" s="60"/>
      <c r="F11" s="60"/>
      <c r="G11" s="60"/>
      <c r="H11" s="60"/>
      <c r="K11" t="s">
        <v>108</v>
      </c>
      <c r="L11" s="7">
        <v>100</v>
      </c>
      <c r="M11" s="7"/>
      <c r="N11" s="22"/>
      <c r="O11" s="23"/>
    </row>
    <row r="12" spans="1:24" x14ac:dyDescent="0.3">
      <c r="A12" t="s">
        <v>168</v>
      </c>
      <c r="B12" s="7">
        <v>700</v>
      </c>
      <c r="D12" s="60"/>
      <c r="E12" s="60"/>
      <c r="F12" s="60"/>
      <c r="G12" s="60"/>
      <c r="H12" s="60"/>
      <c r="K12" t="s">
        <v>264</v>
      </c>
      <c r="L12" s="7">
        <v>0</v>
      </c>
      <c r="M12" s="7"/>
      <c r="N12" s="22"/>
      <c r="O12" s="23"/>
    </row>
    <row r="13" spans="1:24" x14ac:dyDescent="0.3">
      <c r="A13" t="s">
        <v>46</v>
      </c>
      <c r="B13" s="7">
        <v>200</v>
      </c>
      <c r="C13" t="s">
        <v>171</v>
      </c>
      <c r="D13" s="60"/>
      <c r="E13" s="60"/>
      <c r="F13" s="60"/>
      <c r="G13" s="60"/>
      <c r="H13" s="60"/>
      <c r="K13" t="s">
        <v>21</v>
      </c>
      <c r="L13" s="7">
        <v>50</v>
      </c>
      <c r="M13" s="7"/>
      <c r="N13" s="22"/>
      <c r="O13" s="23"/>
    </row>
    <row r="14" spans="1:24" x14ac:dyDescent="0.3">
      <c r="A14" t="s">
        <v>295</v>
      </c>
      <c r="B14" s="7">
        <v>0</v>
      </c>
      <c r="D14" s="60"/>
      <c r="E14" s="60"/>
      <c r="F14" s="60"/>
      <c r="G14" s="60"/>
      <c r="H14" s="60"/>
      <c r="L14" s="7"/>
      <c r="M14" s="7"/>
      <c r="N14" s="22"/>
      <c r="O14" s="23"/>
    </row>
    <row r="15" spans="1:24" x14ac:dyDescent="0.3">
      <c r="A15" t="s">
        <v>89</v>
      </c>
      <c r="B15" s="7">
        <v>490</v>
      </c>
      <c r="D15" s="72" t="s">
        <v>103</v>
      </c>
      <c r="E15" s="72"/>
      <c r="F15" s="72"/>
      <c r="G15" s="72"/>
      <c r="H15" s="72"/>
      <c r="K15" t="s">
        <v>111</v>
      </c>
      <c r="L15" s="7">
        <v>0</v>
      </c>
      <c r="M15" s="7"/>
      <c r="N15" s="24" t="s">
        <v>94</v>
      </c>
      <c r="O15" s="25">
        <f>O5+O8</f>
        <v>0</v>
      </c>
    </row>
    <row r="16" spans="1:24" x14ac:dyDescent="0.3">
      <c r="A16" t="s">
        <v>321</v>
      </c>
      <c r="B16" s="7">
        <v>500</v>
      </c>
      <c r="C16" t="s">
        <v>322</v>
      </c>
      <c r="D16" s="59"/>
      <c r="E16" s="59"/>
      <c r="F16" s="59"/>
      <c r="G16" s="59"/>
      <c r="H16" s="59"/>
      <c r="L16" s="7"/>
      <c r="M16" s="7"/>
      <c r="N16" s="24"/>
      <c r="O16" s="25"/>
    </row>
    <row r="17" spans="1:15" x14ac:dyDescent="0.3">
      <c r="A17" t="s">
        <v>123</v>
      </c>
      <c r="B17" s="7">
        <v>600</v>
      </c>
      <c r="D17" s="59"/>
      <c r="E17" s="59"/>
      <c r="F17" s="59"/>
      <c r="G17" s="59"/>
      <c r="H17" s="59"/>
      <c r="L17" s="7"/>
      <c r="M17" s="7"/>
      <c r="N17" s="24"/>
      <c r="O17" s="25"/>
    </row>
    <row r="18" spans="1:15" x14ac:dyDescent="0.3">
      <c r="A18" t="s">
        <v>301</v>
      </c>
      <c r="B18" s="7">
        <v>0</v>
      </c>
      <c r="C18" t="s">
        <v>317</v>
      </c>
      <c r="K18" t="s">
        <v>9</v>
      </c>
      <c r="L18" s="7">
        <v>280</v>
      </c>
      <c r="M18" s="7"/>
    </row>
    <row r="19" spans="1:15" x14ac:dyDescent="0.3">
      <c r="A19" t="s">
        <v>110</v>
      </c>
      <c r="B19" s="7">
        <v>0</v>
      </c>
      <c r="F19" t="s">
        <v>113</v>
      </c>
      <c r="G19" t="s">
        <v>46</v>
      </c>
      <c r="L19" s="7"/>
      <c r="M19" s="7"/>
    </row>
    <row r="20" spans="1:15" x14ac:dyDescent="0.3">
      <c r="A20" t="s">
        <v>5</v>
      </c>
      <c r="B20" s="7">
        <v>766</v>
      </c>
      <c r="F20" t="s">
        <v>114</v>
      </c>
      <c r="G20" t="s">
        <v>122</v>
      </c>
      <c r="L20" s="7"/>
      <c r="M20" s="7"/>
    </row>
    <row r="21" spans="1:15" x14ac:dyDescent="0.3">
      <c r="B21" s="7">
        <v>0</v>
      </c>
      <c r="F21" t="s">
        <v>115</v>
      </c>
      <c r="G21" t="s">
        <v>52</v>
      </c>
      <c r="K21" t="s">
        <v>13</v>
      </c>
      <c r="L21" s="7">
        <v>700</v>
      </c>
      <c r="M21" s="7"/>
    </row>
    <row r="22" spans="1:15" x14ac:dyDescent="0.3">
      <c r="A22" t="s">
        <v>294</v>
      </c>
      <c r="B22" s="7">
        <v>700</v>
      </c>
      <c r="F22" t="s">
        <v>116</v>
      </c>
      <c r="G22" t="s">
        <v>47</v>
      </c>
      <c r="L22" s="7"/>
      <c r="M22" s="7"/>
    </row>
    <row r="23" spans="1:15" x14ac:dyDescent="0.3">
      <c r="A23" s="2" t="s">
        <v>83</v>
      </c>
      <c r="B23" s="8">
        <f>SUM(B3:B22)</f>
        <v>14036</v>
      </c>
      <c r="F23" t="s">
        <v>117</v>
      </c>
      <c r="G23" t="s">
        <v>87</v>
      </c>
      <c r="K23" s="2" t="s">
        <v>14</v>
      </c>
      <c r="L23" s="8">
        <f>L25</f>
        <v>603.25</v>
      </c>
      <c r="M23" s="8"/>
    </row>
    <row r="24" spans="1:15" x14ac:dyDescent="0.3">
      <c r="A24" s="2" t="s">
        <v>84</v>
      </c>
      <c r="B24" s="8">
        <f>SUM(B2-B23)</f>
        <v>6933</v>
      </c>
      <c r="F24" t="s">
        <v>118</v>
      </c>
      <c r="G24" t="s">
        <v>87</v>
      </c>
      <c r="K24" s="2" t="s">
        <v>86</v>
      </c>
      <c r="L24" s="8">
        <f>SUM(L5:L21)</f>
        <v>1130</v>
      </c>
      <c r="M24" s="8"/>
    </row>
    <row r="25" spans="1:15" x14ac:dyDescent="0.3">
      <c r="F25" t="s">
        <v>119</v>
      </c>
      <c r="G25" t="s">
        <v>120</v>
      </c>
      <c r="K25" s="1" t="s">
        <v>0</v>
      </c>
      <c r="L25" s="7">
        <f>SUM(L3-L24)</f>
        <v>603.25</v>
      </c>
      <c r="M25" s="7"/>
    </row>
    <row r="26" spans="1:15" x14ac:dyDescent="0.3">
      <c r="K26" s="1" t="s">
        <v>93</v>
      </c>
      <c r="L26" s="7">
        <f>L23 *2</f>
        <v>1206.5</v>
      </c>
      <c r="M26" s="7"/>
    </row>
    <row r="27" spans="1:15" x14ac:dyDescent="0.3">
      <c r="K27" t="s">
        <v>100</v>
      </c>
      <c r="L27" s="7">
        <f>L26*2</f>
        <v>2413</v>
      </c>
      <c r="M27" s="7"/>
    </row>
    <row r="28" spans="1:15" x14ac:dyDescent="0.3">
      <c r="D28" t="s">
        <v>107</v>
      </c>
      <c r="E28">
        <v>1500</v>
      </c>
      <c r="L28" s="7"/>
      <c r="M28" s="7"/>
    </row>
    <row r="29" spans="1:15" x14ac:dyDescent="0.3">
      <c r="D29" t="s">
        <v>9</v>
      </c>
      <c r="E29">
        <v>400</v>
      </c>
      <c r="L29" s="7"/>
      <c r="M29" s="7"/>
    </row>
    <row r="30" spans="1:15" x14ac:dyDescent="0.3">
      <c r="A30" s="27">
        <f>1937.5 - 500</f>
        <v>1437.5</v>
      </c>
      <c r="D30" t="s">
        <v>109</v>
      </c>
      <c r="E30">
        <v>800</v>
      </c>
    </row>
  </sheetData>
  <mergeCells count="4">
    <mergeCell ref="A1:X1"/>
    <mergeCell ref="K2:N2"/>
    <mergeCell ref="D3:H8"/>
    <mergeCell ref="D15:H15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8003-58AF-4B0E-A9EB-93D35DA3E612}">
  <sheetPr codeName="Sheet20"/>
  <dimension ref="A1:X27"/>
  <sheetViews>
    <sheetView topLeftCell="A2" zoomScale="89" zoomScaleNormal="89"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27.66406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K2" s="76" t="s">
        <v>101</v>
      </c>
      <c r="L2" s="76"/>
      <c r="M2" s="76"/>
      <c r="N2" s="76"/>
    </row>
    <row r="3" spans="1:24" ht="12.6" customHeight="1" x14ac:dyDescent="0.3">
      <c r="A3" t="s">
        <v>104</v>
      </c>
      <c r="B3" s="7">
        <v>109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(B21/4)</f>
        <v>1747.5</v>
      </c>
      <c r="M3" s="8"/>
    </row>
    <row r="4" spans="1:24" ht="12.6" customHeight="1" x14ac:dyDescent="0.3">
      <c r="A4" t="s">
        <v>343</v>
      </c>
      <c r="B4" s="7">
        <v>70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D5" s="77"/>
      <c r="E5" s="77"/>
      <c r="F5" s="77"/>
      <c r="G5" s="77"/>
      <c r="H5" s="77"/>
      <c r="K5" t="s">
        <v>9</v>
      </c>
      <c r="L5" s="7">
        <v>180</v>
      </c>
      <c r="M5" s="7"/>
      <c r="N5" s="22"/>
      <c r="O5" s="23">
        <f>L5*4</f>
        <v>720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330</v>
      </c>
      <c r="B7" s="7">
        <v>4000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2000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70</v>
      </c>
      <c r="D9" s="30"/>
      <c r="E9" s="30"/>
      <c r="F9" s="30"/>
      <c r="G9" s="30"/>
      <c r="H9" s="30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55"/>
      <c r="E10" s="55"/>
      <c r="F10" s="55"/>
      <c r="G10" s="55"/>
      <c r="H10" s="55"/>
      <c r="L10" s="7"/>
      <c r="M10" s="7"/>
      <c r="N10" s="22"/>
      <c r="O10" s="23"/>
    </row>
    <row r="11" spans="1:24" x14ac:dyDescent="0.3">
      <c r="A11" t="s">
        <v>143</v>
      </c>
      <c r="B11" s="7">
        <v>0</v>
      </c>
      <c r="D11" s="36"/>
      <c r="E11" s="36"/>
      <c r="F11" s="36"/>
      <c r="G11" s="36"/>
      <c r="H11" s="36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200</v>
      </c>
      <c r="C12" t="s">
        <v>332</v>
      </c>
      <c r="D12" s="30"/>
      <c r="E12" s="30"/>
      <c r="F12" s="30"/>
      <c r="G12" s="30"/>
      <c r="H12" s="30"/>
      <c r="K12" t="s">
        <v>108</v>
      </c>
      <c r="L12" s="7">
        <v>100</v>
      </c>
      <c r="M12" s="7"/>
      <c r="N12" s="22"/>
      <c r="O12" s="23"/>
    </row>
    <row r="13" spans="1:24" x14ac:dyDescent="0.3">
      <c r="A13" t="s">
        <v>123</v>
      </c>
      <c r="B13" s="7">
        <v>0</v>
      </c>
      <c r="D13" s="30"/>
      <c r="E13" s="30"/>
      <c r="F13" s="30"/>
      <c r="G13" s="30"/>
      <c r="H13" s="30"/>
      <c r="K13" t="s">
        <v>21</v>
      </c>
      <c r="L13" s="7">
        <v>40</v>
      </c>
      <c r="M13" s="7"/>
      <c r="N13" s="22"/>
      <c r="O13" s="23"/>
    </row>
    <row r="14" spans="1:24" x14ac:dyDescent="0.3">
      <c r="A14" t="s">
        <v>89</v>
      </c>
      <c r="B14" s="7">
        <v>490</v>
      </c>
      <c r="D14" s="72" t="s">
        <v>103</v>
      </c>
      <c r="E14" s="72"/>
      <c r="F14" s="72"/>
      <c r="G14" s="72"/>
      <c r="H14" s="72"/>
      <c r="K14" t="s">
        <v>111</v>
      </c>
      <c r="L14" s="7">
        <v>75</v>
      </c>
      <c r="M14" s="7"/>
      <c r="N14" s="24" t="s">
        <v>94</v>
      </c>
      <c r="O14" s="25">
        <f>O5+O8</f>
        <v>720</v>
      </c>
    </row>
    <row r="15" spans="1:24" x14ac:dyDescent="0.3">
      <c r="A15" t="s">
        <v>139</v>
      </c>
      <c r="B15" s="7">
        <v>250</v>
      </c>
      <c r="D15" s="35"/>
      <c r="E15" s="35"/>
      <c r="F15" s="35"/>
      <c r="G15" s="35"/>
      <c r="H15" s="35"/>
      <c r="L15" s="7"/>
      <c r="M15" s="7"/>
      <c r="N15" s="24"/>
      <c r="O15" s="25"/>
    </row>
    <row r="16" spans="1:24" x14ac:dyDescent="0.3">
      <c r="A16" t="s">
        <v>158</v>
      </c>
      <c r="B16" s="7">
        <v>160</v>
      </c>
      <c r="L16" s="7"/>
      <c r="M16" s="7"/>
    </row>
    <row r="17" spans="1:13" x14ac:dyDescent="0.3">
      <c r="A17" t="s">
        <v>5</v>
      </c>
      <c r="B17" s="7">
        <v>0</v>
      </c>
      <c r="F17" t="s">
        <v>114</v>
      </c>
      <c r="G17" t="s">
        <v>122</v>
      </c>
      <c r="L17" s="7"/>
      <c r="M17" s="7"/>
    </row>
    <row r="18" spans="1:13" x14ac:dyDescent="0.3">
      <c r="A18" t="s">
        <v>276</v>
      </c>
      <c r="B18" s="7">
        <v>0</v>
      </c>
      <c r="F18" t="s">
        <v>115</v>
      </c>
      <c r="G18" t="s">
        <v>52</v>
      </c>
      <c r="K18" t="s">
        <v>13</v>
      </c>
      <c r="L18" s="7">
        <v>750</v>
      </c>
      <c r="M18" s="7"/>
    </row>
    <row r="19" spans="1:13" x14ac:dyDescent="0.3">
      <c r="A19" t="s">
        <v>197</v>
      </c>
      <c r="B19" s="7">
        <v>0</v>
      </c>
      <c r="F19" t="s">
        <v>116</v>
      </c>
      <c r="G19" t="s">
        <v>47</v>
      </c>
      <c r="L19" s="7"/>
      <c r="M19" s="7"/>
    </row>
    <row r="20" spans="1:13" x14ac:dyDescent="0.3">
      <c r="A20" s="2" t="s">
        <v>83</v>
      </c>
      <c r="B20" s="8">
        <f>SUM(B3:B19)</f>
        <v>13979</v>
      </c>
      <c r="F20" t="s">
        <v>117</v>
      </c>
      <c r="G20" t="s">
        <v>87</v>
      </c>
      <c r="K20" s="2" t="s">
        <v>14</v>
      </c>
      <c r="L20" s="8">
        <f>L22</f>
        <v>602.5</v>
      </c>
      <c r="M20" s="8"/>
    </row>
    <row r="21" spans="1:13" x14ac:dyDescent="0.3">
      <c r="A21" s="2" t="s">
        <v>84</v>
      </c>
      <c r="B21" s="8">
        <f>SUM(B2-B20)</f>
        <v>6990</v>
      </c>
      <c r="F21" t="s">
        <v>118</v>
      </c>
      <c r="G21" t="s">
        <v>87</v>
      </c>
      <c r="K21" s="2" t="s">
        <v>86</v>
      </c>
      <c r="L21" s="8">
        <f>SUM(L5:L18)</f>
        <v>1145</v>
      </c>
      <c r="M21" s="8"/>
    </row>
    <row r="22" spans="1:13" x14ac:dyDescent="0.3">
      <c r="F22" t="s">
        <v>119</v>
      </c>
      <c r="G22" t="s">
        <v>120</v>
      </c>
      <c r="K22" s="1" t="s">
        <v>0</v>
      </c>
      <c r="L22" s="7">
        <f>SUM(L3-L21)</f>
        <v>602.5</v>
      </c>
      <c r="M22" s="7"/>
    </row>
    <row r="23" spans="1:13" x14ac:dyDescent="0.3">
      <c r="K23" s="1" t="s">
        <v>93</v>
      </c>
      <c r="L23" s="7">
        <f>L20 *2</f>
        <v>1205</v>
      </c>
      <c r="M23" s="7"/>
    </row>
    <row r="24" spans="1:13" x14ac:dyDescent="0.3">
      <c r="K24" t="s">
        <v>100</v>
      </c>
      <c r="L24" s="7">
        <f>L23*2</f>
        <v>2410</v>
      </c>
      <c r="M24" s="7"/>
    </row>
    <row r="25" spans="1:13" x14ac:dyDescent="0.3">
      <c r="D25" t="s">
        <v>107</v>
      </c>
      <c r="E25">
        <v>1500</v>
      </c>
      <c r="L25" s="7"/>
      <c r="M25" s="7"/>
    </row>
    <row r="26" spans="1:13" x14ac:dyDescent="0.3">
      <c r="D26" t="s">
        <v>9</v>
      </c>
      <c r="E26">
        <v>400</v>
      </c>
      <c r="L26" s="7"/>
      <c r="M26" s="7"/>
    </row>
    <row r="27" spans="1:13" x14ac:dyDescent="0.3">
      <c r="A27" s="27">
        <f>1937.5 - 500</f>
        <v>1437.5</v>
      </c>
      <c r="D27" t="s">
        <v>109</v>
      </c>
      <c r="E27">
        <v>800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456A-7890-4E75-820A-246B0DBD5845}">
  <dimension ref="A1:X28"/>
  <sheetViews>
    <sheetView tabSelected="1" workbookViewId="0">
      <selection activeCell="M13" sqref="M13"/>
    </sheetView>
  </sheetViews>
  <sheetFormatPr defaultRowHeight="14.4" x14ac:dyDescent="0.3"/>
  <cols>
    <col min="1" max="1" width="16.33203125" bestFit="1" customWidth="1"/>
    <col min="2" max="2" width="10.33203125" bestFit="1" customWidth="1"/>
    <col min="3" max="3" width="24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55.7773437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382</v>
      </c>
      <c r="K2" s="76" t="s">
        <v>101</v>
      </c>
      <c r="L2" s="76"/>
      <c r="M2" s="76"/>
      <c r="N2" s="76"/>
    </row>
    <row r="3" spans="1:24" ht="12.6" customHeight="1" x14ac:dyDescent="0.3">
      <c r="A3" t="s">
        <v>104</v>
      </c>
      <c r="B3" s="7">
        <v>0</v>
      </c>
      <c r="C3" t="s">
        <v>414</v>
      </c>
      <c r="D3" s="77" t="s">
        <v>102</v>
      </c>
      <c r="E3" s="77"/>
      <c r="F3" s="77"/>
      <c r="G3" s="77"/>
      <c r="H3" s="77"/>
      <c r="I3" s="26"/>
      <c r="K3" s="2" t="s">
        <v>85</v>
      </c>
      <c r="L3" s="8">
        <f>(B22/4)</f>
        <v>1515.25</v>
      </c>
      <c r="M3" s="8"/>
    </row>
    <row r="4" spans="1:24" ht="12.6" customHeight="1" x14ac:dyDescent="0.3">
      <c r="A4" t="s">
        <v>204</v>
      </c>
      <c r="B4" s="7">
        <v>0</v>
      </c>
      <c r="C4" t="s">
        <v>420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415</v>
      </c>
      <c r="D5" s="77"/>
      <c r="E5" s="77"/>
      <c r="F5" s="77"/>
      <c r="G5" s="77"/>
      <c r="H5" s="77"/>
      <c r="K5" t="s">
        <v>12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C6" t="s">
        <v>416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112</v>
      </c>
      <c r="B7" s="7">
        <v>2250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139</v>
      </c>
      <c r="B8" s="7">
        <v>320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293</v>
      </c>
      <c r="B9" s="7">
        <v>2200</v>
      </c>
      <c r="C9" t="s">
        <v>205</v>
      </c>
      <c r="D9" s="60"/>
      <c r="E9" s="60"/>
      <c r="F9" s="60"/>
      <c r="G9" s="60"/>
      <c r="H9" s="60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158</v>
      </c>
      <c r="B10" s="7">
        <v>100</v>
      </c>
      <c r="D10" s="60"/>
      <c r="E10" s="60"/>
      <c r="F10" s="60"/>
      <c r="G10" s="60"/>
      <c r="H10" s="60"/>
      <c r="L10" s="7"/>
      <c r="M10" s="7"/>
      <c r="N10" s="22"/>
      <c r="O10" s="23"/>
    </row>
    <row r="11" spans="1:24" x14ac:dyDescent="0.3">
      <c r="A11" t="s">
        <v>298</v>
      </c>
      <c r="B11" s="7">
        <v>80</v>
      </c>
      <c r="D11" s="60"/>
      <c r="E11" s="60"/>
      <c r="F11" s="60"/>
      <c r="G11" s="60"/>
      <c r="H11" s="60"/>
      <c r="K11" t="s">
        <v>108</v>
      </c>
      <c r="L11" s="7">
        <v>0</v>
      </c>
      <c r="M11" s="7"/>
      <c r="N11" s="22"/>
      <c r="O11" s="23"/>
    </row>
    <row r="12" spans="1:24" x14ac:dyDescent="0.3">
      <c r="A12" t="s">
        <v>365</v>
      </c>
      <c r="B12" s="7">
        <v>650</v>
      </c>
      <c r="D12" s="60"/>
      <c r="E12" s="60"/>
      <c r="F12" s="60"/>
      <c r="G12" s="60"/>
      <c r="H12" s="60"/>
      <c r="K12" t="s">
        <v>21</v>
      </c>
      <c r="L12" s="7">
        <v>15</v>
      </c>
      <c r="M12" s="7"/>
      <c r="N12" s="22"/>
      <c r="O12" s="23"/>
    </row>
    <row r="13" spans="1:24" x14ac:dyDescent="0.3">
      <c r="A13" t="s">
        <v>295</v>
      </c>
      <c r="B13" s="7">
        <v>348</v>
      </c>
      <c r="D13" s="60"/>
      <c r="E13" s="60"/>
      <c r="F13" s="60"/>
      <c r="G13" s="60"/>
      <c r="H13" s="60"/>
      <c r="L13" s="7"/>
      <c r="M13" s="7"/>
      <c r="N13" s="22"/>
      <c r="O13" s="23"/>
    </row>
    <row r="14" spans="1:24" x14ac:dyDescent="0.3">
      <c r="A14" t="s">
        <v>89</v>
      </c>
      <c r="B14" s="7">
        <f>490-140</f>
        <v>350</v>
      </c>
      <c r="D14" s="72" t="s">
        <v>103</v>
      </c>
      <c r="E14" s="72"/>
      <c r="F14" s="72"/>
      <c r="G14" s="72"/>
      <c r="H14" s="72"/>
      <c r="K14" t="s">
        <v>111</v>
      </c>
      <c r="L14" s="7">
        <v>0</v>
      </c>
      <c r="M14" s="7"/>
      <c r="N14" s="24" t="s">
        <v>94</v>
      </c>
      <c r="O14" s="25">
        <f>O5+O8</f>
        <v>0</v>
      </c>
    </row>
    <row r="15" spans="1:24" x14ac:dyDescent="0.3">
      <c r="A15" t="s">
        <v>5</v>
      </c>
      <c r="B15" s="7">
        <v>880</v>
      </c>
      <c r="D15" s="59"/>
      <c r="E15" s="59"/>
      <c r="F15" s="59"/>
      <c r="G15" s="59"/>
      <c r="H15" s="59"/>
      <c r="L15" s="7"/>
      <c r="M15" s="7"/>
      <c r="N15" s="24"/>
      <c r="O15" s="25"/>
    </row>
    <row r="16" spans="1:24" x14ac:dyDescent="0.3">
      <c r="A16" t="s">
        <v>333</v>
      </c>
      <c r="B16" s="7">
        <f>500</f>
        <v>500</v>
      </c>
      <c r="E16">
        <f>2250 + 3000</f>
        <v>5250</v>
      </c>
      <c r="K16" t="s">
        <v>9</v>
      </c>
      <c r="L16" s="7">
        <v>0</v>
      </c>
      <c r="M16" s="7"/>
    </row>
    <row r="17" spans="1:13" x14ac:dyDescent="0.3">
      <c r="A17" t="s">
        <v>111</v>
      </c>
      <c r="B17" s="7">
        <v>250</v>
      </c>
      <c r="C17" s="18"/>
      <c r="D17" t="s">
        <v>369</v>
      </c>
      <c r="F17" t="s">
        <v>113</v>
      </c>
      <c r="G17" t="s">
        <v>46</v>
      </c>
      <c r="L17" s="7"/>
      <c r="M17" s="7"/>
    </row>
    <row r="18" spans="1:13" x14ac:dyDescent="0.3">
      <c r="A18" t="s">
        <v>112</v>
      </c>
      <c r="B18" s="7">
        <v>0</v>
      </c>
      <c r="F18" t="s">
        <v>114</v>
      </c>
      <c r="G18" t="s">
        <v>122</v>
      </c>
      <c r="L18" s="7"/>
      <c r="M18" s="7"/>
    </row>
    <row r="19" spans="1:13" x14ac:dyDescent="0.3">
      <c r="A19" t="s">
        <v>276</v>
      </c>
      <c r="B19" s="7">
        <v>500</v>
      </c>
      <c r="F19" t="s">
        <v>115</v>
      </c>
      <c r="G19" t="s">
        <v>52</v>
      </c>
      <c r="K19" t="s">
        <v>13</v>
      </c>
      <c r="L19" s="7">
        <v>700</v>
      </c>
      <c r="M19" s="7"/>
    </row>
    <row r="20" spans="1:13" x14ac:dyDescent="0.3">
      <c r="A20" t="s">
        <v>294</v>
      </c>
      <c r="B20" s="7">
        <v>0</v>
      </c>
      <c r="F20" t="s">
        <v>116</v>
      </c>
      <c r="G20" t="s">
        <v>47</v>
      </c>
      <c r="L20" s="7"/>
      <c r="M20" s="7"/>
    </row>
    <row r="21" spans="1:13" x14ac:dyDescent="0.3">
      <c r="A21" s="2" t="s">
        <v>83</v>
      </c>
      <c r="B21" s="8">
        <f>SUM(B3:B19)</f>
        <v>14908</v>
      </c>
      <c r="F21" t="s">
        <v>117</v>
      </c>
      <c r="G21" t="s">
        <v>87</v>
      </c>
      <c r="K21" s="2" t="s">
        <v>14</v>
      </c>
      <c r="L21" s="8">
        <f>L23</f>
        <v>800.25</v>
      </c>
      <c r="M21" s="8"/>
    </row>
    <row r="22" spans="1:13" x14ac:dyDescent="0.3">
      <c r="A22" s="2" t="s">
        <v>84</v>
      </c>
      <c r="B22" s="8">
        <f>SUM(B2-B21)</f>
        <v>6061</v>
      </c>
      <c r="F22" t="s">
        <v>118</v>
      </c>
      <c r="G22" t="s">
        <v>87</v>
      </c>
      <c r="K22" s="2" t="s">
        <v>86</v>
      </c>
      <c r="L22" s="8">
        <f>SUM(L5:L19)</f>
        <v>715</v>
      </c>
      <c r="M22" s="8"/>
    </row>
    <row r="23" spans="1:13" x14ac:dyDescent="0.3">
      <c r="F23" t="s">
        <v>119</v>
      </c>
      <c r="G23" t="s">
        <v>120</v>
      </c>
      <c r="K23" s="1" t="s">
        <v>0</v>
      </c>
      <c r="L23" s="7">
        <f>SUM(L3-L22)</f>
        <v>800.25</v>
      </c>
      <c r="M23" s="7"/>
    </row>
    <row r="24" spans="1:13" x14ac:dyDescent="0.3">
      <c r="K24" s="1" t="s">
        <v>93</v>
      </c>
      <c r="L24" s="7">
        <f>L21 *2</f>
        <v>1600.5</v>
      </c>
      <c r="M24" s="7"/>
    </row>
    <row r="25" spans="1:13" x14ac:dyDescent="0.3">
      <c r="K25" t="s">
        <v>100</v>
      </c>
      <c r="L25" s="7">
        <f>L24*2</f>
        <v>3201</v>
      </c>
      <c r="M25" s="7"/>
    </row>
    <row r="26" spans="1:13" x14ac:dyDescent="0.3">
      <c r="D26" t="s">
        <v>107</v>
      </c>
      <c r="E26">
        <v>1500</v>
      </c>
      <c r="L26" s="7"/>
      <c r="M26" s="7"/>
    </row>
    <row r="27" spans="1:13" x14ac:dyDescent="0.3">
      <c r="D27" t="s">
        <v>9</v>
      </c>
      <c r="E27">
        <v>400</v>
      </c>
      <c r="L27" s="7"/>
      <c r="M27" s="7"/>
    </row>
    <row r="28" spans="1:13" x14ac:dyDescent="0.3">
      <c r="A28" s="27">
        <f>1937.5 - 500</f>
        <v>1437.5</v>
      </c>
      <c r="D28" t="s">
        <v>109</v>
      </c>
      <c r="E28">
        <v>800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BE27-0B62-4353-8FB7-995D54339123}">
  <sheetPr codeName="Sheet3"/>
  <dimension ref="A1:X30"/>
  <sheetViews>
    <sheetView workbookViewId="0">
      <selection activeCell="C12" sqref="C12"/>
    </sheetView>
  </sheetViews>
  <sheetFormatPr defaultRowHeight="14.4" x14ac:dyDescent="0.3"/>
  <cols>
    <col min="1" max="1" width="16.33203125" bestFit="1" customWidth="1"/>
    <col min="2" max="2" width="17.33203125" customWidth="1"/>
    <col min="3" max="3" width="26" customWidth="1"/>
    <col min="4" max="4" width="52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372</v>
      </c>
      <c r="K2" s="76" t="s">
        <v>101</v>
      </c>
      <c r="L2" s="76"/>
      <c r="M2" s="76"/>
      <c r="N2" s="76"/>
    </row>
    <row r="3" spans="1:24" ht="12.6" customHeight="1" x14ac:dyDescent="0.3">
      <c r="A3" t="s">
        <v>104</v>
      </c>
      <c r="B3" s="7">
        <v>0</v>
      </c>
      <c r="C3" t="s">
        <v>414</v>
      </c>
      <c r="D3" s="77" t="s">
        <v>102</v>
      </c>
      <c r="E3" s="77"/>
      <c r="F3" s="77"/>
      <c r="G3" s="77"/>
      <c r="H3" s="77"/>
      <c r="I3" s="26"/>
      <c r="K3" s="2" t="s">
        <v>85</v>
      </c>
      <c r="L3" s="8">
        <f>(B24/4)</f>
        <v>1047.25</v>
      </c>
      <c r="M3" s="8"/>
    </row>
    <row r="4" spans="1:24" ht="12.6" customHeight="1" x14ac:dyDescent="0.3">
      <c r="A4" t="s">
        <v>204</v>
      </c>
      <c r="B4" s="7">
        <v>0</v>
      </c>
      <c r="C4" t="s">
        <v>391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418</v>
      </c>
      <c r="D5" s="77"/>
      <c r="E5" s="77"/>
      <c r="F5" s="77"/>
      <c r="G5" s="77"/>
      <c r="H5" s="77"/>
      <c r="K5" t="s">
        <v>12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97</v>
      </c>
      <c r="B6" s="7">
        <v>0</v>
      </c>
      <c r="C6" t="s">
        <v>416</v>
      </c>
      <c r="D6" s="77"/>
      <c r="E6" s="77"/>
      <c r="F6" s="77"/>
      <c r="G6" s="77"/>
      <c r="H6" s="77"/>
      <c r="K6" t="s">
        <v>97</v>
      </c>
      <c r="L6" s="7"/>
      <c r="M6" s="7"/>
      <c r="N6" s="22"/>
      <c r="O6" s="23"/>
    </row>
    <row r="7" spans="1:24" ht="18.45" customHeight="1" x14ac:dyDescent="0.3">
      <c r="A7" t="s">
        <v>127</v>
      </c>
      <c r="B7" s="7">
        <v>280</v>
      </c>
      <c r="C7" t="s">
        <v>421</v>
      </c>
      <c r="D7" s="77"/>
      <c r="E7" s="77"/>
      <c r="F7" s="77"/>
      <c r="G7" s="77"/>
      <c r="H7" s="77"/>
      <c r="L7" s="7"/>
      <c r="M7" s="7"/>
      <c r="N7" s="22"/>
      <c r="O7" s="23"/>
    </row>
    <row r="8" spans="1:24" x14ac:dyDescent="0.3">
      <c r="A8" t="s">
        <v>46</v>
      </c>
      <c r="B8" s="7">
        <v>400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334</v>
      </c>
      <c r="B9" s="7">
        <v>2000</v>
      </c>
      <c r="D9" s="28"/>
      <c r="E9" s="28"/>
      <c r="F9" s="28"/>
      <c r="G9" s="28"/>
      <c r="H9" s="28"/>
      <c r="K9" t="s">
        <v>164</v>
      </c>
      <c r="L9" s="7">
        <v>0</v>
      </c>
      <c r="M9" s="7"/>
      <c r="N9" s="22"/>
      <c r="O9" s="23"/>
    </row>
    <row r="10" spans="1:24" x14ac:dyDescent="0.3">
      <c r="A10" t="s">
        <v>293</v>
      </c>
      <c r="B10" s="7">
        <v>2200</v>
      </c>
      <c r="D10" s="28"/>
      <c r="E10" s="28"/>
      <c r="F10" s="28"/>
      <c r="G10" s="28"/>
      <c r="H10" s="28"/>
      <c r="K10" t="s">
        <v>108</v>
      </c>
      <c r="L10" s="7">
        <v>0</v>
      </c>
      <c r="M10" s="7"/>
      <c r="N10" s="22"/>
      <c r="O10" s="23"/>
    </row>
    <row r="11" spans="1:24" x14ac:dyDescent="0.3">
      <c r="A11" s="18" t="s">
        <v>403</v>
      </c>
      <c r="B11" s="7">
        <v>0</v>
      </c>
      <c r="D11" s="28"/>
      <c r="E11" s="28"/>
      <c r="F11" s="28"/>
      <c r="G11" s="28"/>
      <c r="H11" s="28"/>
      <c r="K11" t="s">
        <v>21</v>
      </c>
      <c r="L11" s="7">
        <v>15</v>
      </c>
      <c r="M11" s="7"/>
      <c r="N11" s="22"/>
      <c r="O11" s="23"/>
    </row>
    <row r="12" spans="1:24" x14ac:dyDescent="0.3">
      <c r="A12" t="s">
        <v>89</v>
      </c>
      <c r="B12" s="7">
        <v>490</v>
      </c>
      <c r="D12" s="72" t="s">
        <v>103</v>
      </c>
      <c r="E12" s="72"/>
      <c r="F12" s="72"/>
      <c r="G12" s="72"/>
      <c r="H12" s="72"/>
      <c r="K12" t="s">
        <v>111</v>
      </c>
      <c r="L12" s="7">
        <v>0</v>
      </c>
      <c r="M12" s="7"/>
      <c r="N12" s="24" t="s">
        <v>94</v>
      </c>
      <c r="O12" s="25">
        <f>O5+O8</f>
        <v>0</v>
      </c>
    </row>
    <row r="13" spans="1:24" x14ac:dyDescent="0.3">
      <c r="A13" t="s">
        <v>357</v>
      </c>
      <c r="B13" s="7">
        <v>1000</v>
      </c>
      <c r="K13" t="s">
        <v>9</v>
      </c>
      <c r="L13" s="7">
        <v>0</v>
      </c>
      <c r="M13" s="7"/>
    </row>
    <row r="14" spans="1:24" x14ac:dyDescent="0.3">
      <c r="A14" t="s">
        <v>5</v>
      </c>
      <c r="B14" s="7">
        <v>880</v>
      </c>
      <c r="D14" t="s">
        <v>369</v>
      </c>
      <c r="L14" s="7"/>
      <c r="M14" s="7"/>
    </row>
    <row r="15" spans="1:24" x14ac:dyDescent="0.3">
      <c r="A15" t="s">
        <v>366</v>
      </c>
      <c r="B15" s="7">
        <v>800</v>
      </c>
      <c r="L15" s="7"/>
      <c r="M15" s="7"/>
    </row>
    <row r="16" spans="1:24" x14ac:dyDescent="0.3">
      <c r="A16" t="s">
        <v>329</v>
      </c>
      <c r="B16" s="7">
        <v>230</v>
      </c>
      <c r="C16" t="s">
        <v>344</v>
      </c>
      <c r="L16" s="7"/>
      <c r="M16" s="7"/>
    </row>
    <row r="17" spans="1:13" x14ac:dyDescent="0.3">
      <c r="A17" t="s">
        <v>402</v>
      </c>
      <c r="B17" s="7">
        <v>1000</v>
      </c>
      <c r="L17" s="7"/>
      <c r="M17" s="7"/>
    </row>
    <row r="18" spans="1:13" x14ac:dyDescent="0.3">
      <c r="A18" t="s">
        <v>401</v>
      </c>
      <c r="B18" s="7">
        <v>500</v>
      </c>
      <c r="E18" t="s">
        <v>91</v>
      </c>
      <c r="K18" t="s">
        <v>13</v>
      </c>
      <c r="L18" s="7">
        <v>700</v>
      </c>
      <c r="M18" s="7"/>
    </row>
    <row r="19" spans="1:13" x14ac:dyDescent="0.3">
      <c r="A19" t="s">
        <v>339</v>
      </c>
      <c r="B19" s="7">
        <v>500</v>
      </c>
      <c r="C19" t="s">
        <v>277</v>
      </c>
      <c r="L19" s="7"/>
      <c r="M19" s="7"/>
    </row>
    <row r="20" spans="1:13" x14ac:dyDescent="0.3">
      <c r="A20" t="s">
        <v>404</v>
      </c>
      <c r="B20" s="7">
        <v>300</v>
      </c>
      <c r="D20" t="s">
        <v>222</v>
      </c>
      <c r="E20" t="s">
        <v>223</v>
      </c>
      <c r="L20" s="7"/>
      <c r="M20" s="7"/>
    </row>
    <row r="21" spans="1:13" x14ac:dyDescent="0.3">
      <c r="B21" s="7"/>
      <c r="D21" t="s">
        <v>224</v>
      </c>
      <c r="L21" s="7"/>
      <c r="M21" s="7"/>
    </row>
    <row r="22" spans="1:13" x14ac:dyDescent="0.3">
      <c r="A22" t="s">
        <v>221</v>
      </c>
      <c r="B22" s="7">
        <v>0</v>
      </c>
      <c r="D22" t="s">
        <v>225</v>
      </c>
      <c r="L22" s="7"/>
      <c r="M22" s="7"/>
    </row>
    <row r="23" spans="1:13" x14ac:dyDescent="0.3">
      <c r="A23" s="2" t="s">
        <v>83</v>
      </c>
      <c r="B23" s="8">
        <f>SUM(B3:B22)</f>
        <v>16780</v>
      </c>
      <c r="D23" t="s">
        <v>226</v>
      </c>
      <c r="F23" t="s">
        <v>91</v>
      </c>
      <c r="K23" s="2" t="s">
        <v>14</v>
      </c>
      <c r="L23" s="8">
        <f>L25</f>
        <v>332.25</v>
      </c>
      <c r="M23" s="8"/>
    </row>
    <row r="24" spans="1:13" x14ac:dyDescent="0.3">
      <c r="A24" s="2" t="s">
        <v>84</v>
      </c>
      <c r="B24" s="8">
        <f>SUM(B2-B23)</f>
        <v>4189</v>
      </c>
      <c r="D24" t="s">
        <v>227</v>
      </c>
      <c r="K24" s="2" t="s">
        <v>86</v>
      </c>
      <c r="L24" s="8">
        <f>SUM(L5:L18)</f>
        <v>715</v>
      </c>
      <c r="M24" s="8"/>
    </row>
    <row r="25" spans="1:13" x14ac:dyDescent="0.3">
      <c r="D25" t="s">
        <v>228</v>
      </c>
      <c r="K25" s="1" t="s">
        <v>0</v>
      </c>
      <c r="L25" s="7">
        <f>SUM(L3-L24)</f>
        <v>332.25</v>
      </c>
      <c r="M25" s="7"/>
    </row>
    <row r="26" spans="1:13" x14ac:dyDescent="0.3">
      <c r="K26" s="1" t="s">
        <v>93</v>
      </c>
      <c r="L26" s="7">
        <f>L23 *2</f>
        <v>664.5</v>
      </c>
      <c r="M26" s="7"/>
    </row>
    <row r="27" spans="1:13" x14ac:dyDescent="0.3">
      <c r="K27" t="s">
        <v>100</v>
      </c>
      <c r="L27" s="7">
        <f>L26*2</f>
        <v>1329</v>
      </c>
      <c r="M27" s="7"/>
    </row>
    <row r="28" spans="1:13" x14ac:dyDescent="0.3">
      <c r="D28" t="s">
        <v>107</v>
      </c>
      <c r="E28">
        <v>1500</v>
      </c>
      <c r="L28" s="7"/>
      <c r="M28" s="7"/>
    </row>
    <row r="29" spans="1:13" x14ac:dyDescent="0.3">
      <c r="D29" t="s">
        <v>9</v>
      </c>
      <c r="E29">
        <v>400</v>
      </c>
      <c r="L29" s="7"/>
      <c r="M29" s="7"/>
    </row>
    <row r="30" spans="1:13" x14ac:dyDescent="0.3">
      <c r="A30" s="27">
        <f>1937.5 - 500</f>
        <v>1437.5</v>
      </c>
      <c r="D30" t="s">
        <v>109</v>
      </c>
      <c r="E30">
        <v>800</v>
      </c>
    </row>
  </sheetData>
  <mergeCells count="4">
    <mergeCell ref="A1:X1"/>
    <mergeCell ref="K2:N2"/>
    <mergeCell ref="D3:H8"/>
    <mergeCell ref="D12:H12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7418-4066-4541-9A37-1AAC38B6BFFC}">
  <dimension ref="A1:X30"/>
  <sheetViews>
    <sheetView topLeftCell="A2" zoomScale="89" zoomScaleNormal="89" workbookViewId="0">
      <selection activeCell="C18" sqref="C18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27.66406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368</v>
      </c>
      <c r="K2" s="76" t="s">
        <v>101</v>
      </c>
      <c r="L2" s="76"/>
      <c r="M2" s="76"/>
      <c r="N2" s="76"/>
    </row>
    <row r="3" spans="1:24" ht="12.6" customHeight="1" x14ac:dyDescent="0.3">
      <c r="A3" t="s">
        <v>104</v>
      </c>
      <c r="B3" s="7">
        <v>0</v>
      </c>
      <c r="C3" t="s">
        <v>370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(B23/4)</f>
        <v>1554.75</v>
      </c>
      <c r="M3" s="8"/>
    </row>
    <row r="4" spans="1:24" ht="12.6" customHeight="1" x14ac:dyDescent="0.3">
      <c r="A4" t="s">
        <v>276</v>
      </c>
      <c r="B4" s="7">
        <v>0</v>
      </c>
      <c r="C4" t="s">
        <v>371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417</v>
      </c>
      <c r="D5" s="77"/>
      <c r="E5" s="77"/>
      <c r="F5" s="77"/>
      <c r="G5" s="77"/>
      <c r="H5" s="77"/>
      <c r="K5" t="s">
        <v>9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335</v>
      </c>
      <c r="B7" s="7">
        <v>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2200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200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366</v>
      </c>
      <c r="B11" s="7">
        <v>800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230</v>
      </c>
      <c r="C12" t="s">
        <v>358</v>
      </c>
      <c r="D12" s="65"/>
      <c r="E12" s="65"/>
      <c r="F12" s="65"/>
      <c r="G12" s="65"/>
      <c r="H12" s="65"/>
      <c r="K12" t="s">
        <v>108</v>
      </c>
      <c r="L12" s="7">
        <v>0</v>
      </c>
      <c r="M12" s="7"/>
      <c r="N12" s="22"/>
      <c r="O12" s="23"/>
    </row>
    <row r="13" spans="1:24" x14ac:dyDescent="0.3">
      <c r="A13" t="s">
        <v>345</v>
      </c>
      <c r="B13" s="7">
        <v>250</v>
      </c>
      <c r="D13" s="66"/>
      <c r="E13" s="66"/>
      <c r="F13" s="66"/>
      <c r="G13" s="66"/>
      <c r="H13" s="66"/>
      <c r="L13" s="7"/>
      <c r="M13" s="7"/>
      <c r="N13" s="22"/>
      <c r="O13" s="23"/>
    </row>
    <row r="14" spans="1:24" x14ac:dyDescent="0.3">
      <c r="A14" t="s">
        <v>123</v>
      </c>
      <c r="B14" s="7">
        <v>500</v>
      </c>
      <c r="D14" s="65"/>
      <c r="E14" s="65"/>
      <c r="F14" s="65"/>
      <c r="G14" s="65"/>
      <c r="H14" s="65"/>
      <c r="K14" t="s">
        <v>21</v>
      </c>
      <c r="L14" s="7">
        <v>15</v>
      </c>
      <c r="M14" s="7"/>
      <c r="N14" s="22"/>
      <c r="O14" s="23"/>
    </row>
    <row r="15" spans="1:24" x14ac:dyDescent="0.3">
      <c r="A15" t="s">
        <v>89</v>
      </c>
      <c r="B15" s="7">
        <v>490</v>
      </c>
      <c r="D15" s="72" t="s">
        <v>103</v>
      </c>
      <c r="E15" s="72"/>
      <c r="F15" s="72"/>
      <c r="G15" s="72"/>
      <c r="H15" s="72"/>
      <c r="K15" t="s">
        <v>111</v>
      </c>
      <c r="L15" s="7">
        <v>0</v>
      </c>
      <c r="M15" s="7"/>
      <c r="N15" s="24" t="s">
        <v>94</v>
      </c>
      <c r="O15" s="25">
        <f>O5+O8</f>
        <v>0</v>
      </c>
    </row>
    <row r="16" spans="1:24" x14ac:dyDescent="0.3">
      <c r="A16" t="s">
        <v>139</v>
      </c>
      <c r="B16" s="7">
        <v>250</v>
      </c>
      <c r="D16" s="64"/>
      <c r="E16" s="64"/>
      <c r="F16" s="64"/>
      <c r="G16" s="64"/>
      <c r="H16" s="64"/>
      <c r="L16" s="7"/>
      <c r="M16" s="7"/>
      <c r="N16" s="24"/>
      <c r="O16" s="25"/>
    </row>
    <row r="17" spans="1:13" x14ac:dyDescent="0.3">
      <c r="A17" t="s">
        <v>158</v>
      </c>
      <c r="B17" s="7">
        <v>200</v>
      </c>
      <c r="L17" s="7"/>
      <c r="M17" s="7"/>
    </row>
    <row r="18" spans="1:13" x14ac:dyDescent="0.3">
      <c r="A18" t="s">
        <v>359</v>
      </c>
      <c r="B18" s="7">
        <v>1500</v>
      </c>
      <c r="F18" t="s">
        <v>114</v>
      </c>
      <c r="G18" t="s">
        <v>122</v>
      </c>
      <c r="L18" s="7"/>
      <c r="M18" s="7"/>
    </row>
    <row r="19" spans="1:13" x14ac:dyDescent="0.3">
      <c r="A19" t="s">
        <v>401</v>
      </c>
      <c r="B19" s="7">
        <v>500</v>
      </c>
      <c r="L19" s="7"/>
      <c r="M19" s="7"/>
    </row>
    <row r="20" spans="1:13" x14ac:dyDescent="0.3">
      <c r="A20" t="s">
        <v>402</v>
      </c>
      <c r="B20" s="7">
        <v>1000</v>
      </c>
      <c r="F20" t="s">
        <v>115</v>
      </c>
      <c r="G20" t="s">
        <v>52</v>
      </c>
      <c r="K20" t="s">
        <v>13</v>
      </c>
      <c r="L20" s="7">
        <v>700</v>
      </c>
      <c r="M20" s="7"/>
    </row>
    <row r="21" spans="1:13" x14ac:dyDescent="0.3">
      <c r="A21" t="s">
        <v>197</v>
      </c>
      <c r="B21" s="7">
        <v>0</v>
      </c>
      <c r="F21" t="s">
        <v>116</v>
      </c>
      <c r="G21" t="s">
        <v>47</v>
      </c>
      <c r="L21" s="7"/>
      <c r="M21" s="7"/>
    </row>
    <row r="22" spans="1:13" x14ac:dyDescent="0.3">
      <c r="A22" s="2" t="s">
        <v>83</v>
      </c>
      <c r="B22" s="8">
        <f>SUM(B3:B21)</f>
        <v>14750</v>
      </c>
      <c r="F22" t="s">
        <v>117</v>
      </c>
      <c r="G22" t="s">
        <v>87</v>
      </c>
      <c r="K22" s="2" t="s">
        <v>14</v>
      </c>
      <c r="L22" s="8">
        <f>L24</f>
        <v>839.75</v>
      </c>
      <c r="M22" s="8"/>
    </row>
    <row r="23" spans="1:13" x14ac:dyDescent="0.3">
      <c r="A23" s="2" t="s">
        <v>84</v>
      </c>
      <c r="B23" s="8">
        <f>SUM(B2-B22)</f>
        <v>6219</v>
      </c>
      <c r="F23" t="s">
        <v>118</v>
      </c>
      <c r="G23" t="s">
        <v>87</v>
      </c>
      <c r="K23" s="2" t="s">
        <v>86</v>
      </c>
      <c r="L23" s="8">
        <f>SUM(L5:L20)</f>
        <v>715</v>
      </c>
      <c r="M23" s="8"/>
    </row>
    <row r="24" spans="1:13" x14ac:dyDescent="0.3">
      <c r="F24" t="s">
        <v>119</v>
      </c>
      <c r="G24" t="s">
        <v>120</v>
      </c>
      <c r="K24" s="1" t="s">
        <v>0</v>
      </c>
      <c r="L24" s="7">
        <f>SUM(L3-L23)</f>
        <v>839.75</v>
      </c>
      <c r="M24" s="7"/>
    </row>
    <row r="25" spans="1:13" x14ac:dyDescent="0.3">
      <c r="K25" s="1" t="s">
        <v>93</v>
      </c>
      <c r="L25" s="7">
        <f>L22 *2</f>
        <v>1679.5</v>
      </c>
      <c r="M25" s="7"/>
    </row>
    <row r="26" spans="1:13" x14ac:dyDescent="0.3">
      <c r="K26" t="s">
        <v>100</v>
      </c>
      <c r="L26" s="7">
        <f>L25*2</f>
        <v>3359</v>
      </c>
      <c r="M26" s="7"/>
    </row>
    <row r="27" spans="1:13" x14ac:dyDescent="0.3">
      <c r="D27" t="s">
        <v>107</v>
      </c>
      <c r="E27">
        <v>1500</v>
      </c>
      <c r="L27" s="7"/>
      <c r="M27" s="7"/>
    </row>
    <row r="28" spans="1:13" x14ac:dyDescent="0.3">
      <c r="D28" t="s">
        <v>9</v>
      </c>
      <c r="E28">
        <v>400</v>
      </c>
      <c r="L28" s="7"/>
      <c r="M28" s="7"/>
    </row>
    <row r="29" spans="1:13" x14ac:dyDescent="0.3">
      <c r="A29" s="27">
        <f>1937.5 - 500</f>
        <v>1437.5</v>
      </c>
      <c r="D29" t="s">
        <v>109</v>
      </c>
      <c r="E29">
        <v>800</v>
      </c>
    </row>
    <row r="30" spans="1:13" x14ac:dyDescent="0.3">
      <c r="B30" t="s">
        <v>405</v>
      </c>
      <c r="C30">
        <v>2500</v>
      </c>
    </row>
  </sheetData>
  <mergeCells count="4">
    <mergeCell ref="A1:X1"/>
    <mergeCell ref="K2:N2"/>
    <mergeCell ref="D3:H8"/>
    <mergeCell ref="D15:H15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176A-E04F-48EB-91FE-FD728E65C7FA}">
  <dimension ref="A1:X30"/>
  <sheetViews>
    <sheetView topLeftCell="A2" zoomScale="89" zoomScaleNormal="89" workbookViewId="0">
      <selection activeCell="J18" sqref="J18"/>
    </sheetView>
  </sheetViews>
  <sheetFormatPr defaultRowHeight="14.4" x14ac:dyDescent="0.3"/>
  <cols>
    <col min="1" max="1" width="18.44140625" bestFit="1" customWidth="1"/>
    <col min="2" max="2" width="12.88671875" customWidth="1"/>
    <col min="3" max="3" width="27.66406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372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1200</v>
      </c>
      <c r="C3" t="s">
        <v>359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(B22/4)</f>
        <v>1509.75</v>
      </c>
      <c r="M3" s="8"/>
    </row>
    <row r="4" spans="1:24" ht="12.6" customHeight="1" x14ac:dyDescent="0.3">
      <c r="A4" t="s">
        <v>204</v>
      </c>
      <c r="B4" s="7">
        <v>0</v>
      </c>
      <c r="C4" t="s">
        <v>373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417</v>
      </c>
      <c r="D5" s="77"/>
      <c r="E5" s="77"/>
      <c r="F5" s="77"/>
      <c r="G5" s="77"/>
      <c r="H5" s="77"/>
      <c r="K5" t="s">
        <v>9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406</v>
      </c>
      <c r="B7" s="7">
        <v>1400</v>
      </c>
      <c r="C7" t="s">
        <v>360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2200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C9" t="s">
        <v>367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366</v>
      </c>
      <c r="B11" s="7">
        <v>800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230</v>
      </c>
      <c r="C12" t="s">
        <v>360</v>
      </c>
      <c r="D12" s="65"/>
      <c r="E12" s="65"/>
      <c r="F12" s="65"/>
      <c r="G12" s="65"/>
      <c r="H12" s="65"/>
      <c r="K12" t="s">
        <v>108</v>
      </c>
      <c r="L12" s="7">
        <v>0</v>
      </c>
      <c r="M12" s="7"/>
      <c r="N12" s="22"/>
      <c r="O12" s="23"/>
    </row>
    <row r="13" spans="1:24" x14ac:dyDescent="0.3">
      <c r="A13" t="s">
        <v>345</v>
      </c>
      <c r="B13" s="7">
        <v>250</v>
      </c>
      <c r="D13" s="66"/>
      <c r="E13" s="66"/>
      <c r="F13" s="66"/>
      <c r="G13" s="66"/>
      <c r="H13" s="66"/>
      <c r="L13" s="7"/>
      <c r="M13" s="7"/>
      <c r="N13" s="22"/>
      <c r="O13" s="23"/>
    </row>
    <row r="14" spans="1:24" x14ac:dyDescent="0.3">
      <c r="A14" t="s">
        <v>46</v>
      </c>
      <c r="B14" s="7">
        <v>400</v>
      </c>
      <c r="D14" s="65"/>
      <c r="E14" s="65"/>
      <c r="F14" s="65"/>
      <c r="G14" s="65"/>
      <c r="H14" s="65"/>
      <c r="K14" t="s">
        <v>21</v>
      </c>
      <c r="L14" s="7">
        <v>15</v>
      </c>
      <c r="M14" s="7"/>
      <c r="N14" s="22"/>
      <c r="O14" s="23"/>
    </row>
    <row r="15" spans="1:24" x14ac:dyDescent="0.3">
      <c r="A15" t="s">
        <v>89</v>
      </c>
      <c r="B15" s="7">
        <v>490</v>
      </c>
      <c r="D15" s="72" t="s">
        <v>103</v>
      </c>
      <c r="E15" s="72"/>
      <c r="F15" s="72"/>
      <c r="G15" s="72"/>
      <c r="H15" s="72"/>
      <c r="K15" t="s">
        <v>111</v>
      </c>
      <c r="L15" s="7">
        <v>0</v>
      </c>
      <c r="M15" s="7"/>
      <c r="N15" s="24" t="s">
        <v>94</v>
      </c>
      <c r="O15" s="25">
        <f>O5+O8</f>
        <v>0</v>
      </c>
    </row>
    <row r="16" spans="1:24" x14ac:dyDescent="0.3">
      <c r="A16" t="s">
        <v>139</v>
      </c>
      <c r="B16" s="7">
        <v>250</v>
      </c>
      <c r="D16" s="64"/>
      <c r="E16" s="64"/>
      <c r="F16" s="64"/>
      <c r="G16" s="64"/>
      <c r="H16" s="64"/>
      <c r="L16" s="7"/>
      <c r="M16" s="7"/>
      <c r="N16" s="24"/>
      <c r="O16" s="25"/>
    </row>
    <row r="17" spans="1:13" x14ac:dyDescent="0.3">
      <c r="A17" t="s">
        <v>158</v>
      </c>
      <c r="B17" s="7">
        <v>200</v>
      </c>
      <c r="L17" s="7"/>
      <c r="M17" s="7"/>
    </row>
    <row r="18" spans="1:13" x14ac:dyDescent="0.3">
      <c r="A18" t="s">
        <v>419</v>
      </c>
      <c r="B18" s="7">
        <v>230</v>
      </c>
      <c r="L18" s="7"/>
      <c r="M18" s="7"/>
    </row>
    <row r="19" spans="1:13" x14ac:dyDescent="0.3">
      <c r="A19" t="s">
        <v>276</v>
      </c>
      <c r="B19" s="7">
        <v>500</v>
      </c>
      <c r="F19" t="s">
        <v>115</v>
      </c>
      <c r="G19" t="s">
        <v>52</v>
      </c>
      <c r="K19" t="s">
        <v>13</v>
      </c>
      <c r="L19" s="7">
        <v>700</v>
      </c>
      <c r="M19" s="7"/>
    </row>
    <row r="20" spans="1:13" x14ac:dyDescent="0.3">
      <c r="A20" t="s">
        <v>197</v>
      </c>
      <c r="B20" s="7">
        <v>0</v>
      </c>
      <c r="F20" t="s">
        <v>116</v>
      </c>
      <c r="G20" t="s">
        <v>47</v>
      </c>
      <c r="L20" s="7"/>
      <c r="M20" s="7"/>
    </row>
    <row r="21" spans="1:13" x14ac:dyDescent="0.3">
      <c r="A21" s="2" t="s">
        <v>83</v>
      </c>
      <c r="B21" s="8">
        <f>SUM(B3:B20)</f>
        <v>14930</v>
      </c>
      <c r="F21" t="s">
        <v>117</v>
      </c>
      <c r="G21" t="s">
        <v>87</v>
      </c>
      <c r="K21" s="2" t="s">
        <v>14</v>
      </c>
      <c r="L21" s="8">
        <f>L23</f>
        <v>794.75</v>
      </c>
      <c r="M21" s="8"/>
    </row>
    <row r="22" spans="1:13" x14ac:dyDescent="0.3">
      <c r="A22" s="2" t="s">
        <v>84</v>
      </c>
      <c r="B22" s="8">
        <f>SUM(B2-B21)</f>
        <v>6039</v>
      </c>
      <c r="F22" t="s">
        <v>118</v>
      </c>
      <c r="G22" t="s">
        <v>87</v>
      </c>
      <c r="K22" s="2" t="s">
        <v>86</v>
      </c>
      <c r="L22" s="8">
        <f>SUM(L5:L19)</f>
        <v>715</v>
      </c>
      <c r="M22" s="8"/>
    </row>
    <row r="23" spans="1:13" x14ac:dyDescent="0.3">
      <c r="F23" t="s">
        <v>119</v>
      </c>
      <c r="G23" t="s">
        <v>120</v>
      </c>
      <c r="K23" s="1" t="s">
        <v>0</v>
      </c>
      <c r="L23" s="7">
        <f>SUM(L3-L22)</f>
        <v>794.75</v>
      </c>
      <c r="M23" s="7"/>
    </row>
    <row r="24" spans="1:13" x14ac:dyDescent="0.3">
      <c r="K24" s="1" t="s">
        <v>93</v>
      </c>
      <c r="L24" s="7">
        <f>L21 *2</f>
        <v>1589.5</v>
      </c>
      <c r="M24" s="7"/>
    </row>
    <row r="25" spans="1:13" x14ac:dyDescent="0.3">
      <c r="K25" t="s">
        <v>100</v>
      </c>
      <c r="L25" s="7">
        <f>L24*2</f>
        <v>3179</v>
      </c>
      <c r="M25" s="7"/>
    </row>
    <row r="26" spans="1:13" x14ac:dyDescent="0.3">
      <c r="D26" t="s">
        <v>107</v>
      </c>
      <c r="E26">
        <v>1500</v>
      </c>
      <c r="L26" s="7"/>
      <c r="M26" s="7"/>
    </row>
    <row r="27" spans="1:13" x14ac:dyDescent="0.3">
      <c r="D27" t="s">
        <v>9</v>
      </c>
      <c r="E27">
        <v>400</v>
      </c>
      <c r="L27" s="7"/>
      <c r="M27" s="7"/>
    </row>
    <row r="28" spans="1:13" x14ac:dyDescent="0.3">
      <c r="A28" s="27">
        <f>1937.5 - 500</f>
        <v>1437.5</v>
      </c>
      <c r="D28" t="s">
        <v>109</v>
      </c>
      <c r="E28">
        <v>800</v>
      </c>
    </row>
    <row r="30" spans="1:13" x14ac:dyDescent="0.3">
      <c r="B30" t="s">
        <v>405</v>
      </c>
      <c r="C30">
        <f>2500 + 1400</f>
        <v>3900</v>
      </c>
    </row>
  </sheetData>
  <mergeCells count="4">
    <mergeCell ref="A1:X1"/>
    <mergeCell ref="K2:N2"/>
    <mergeCell ref="D3:H8"/>
    <mergeCell ref="D15:H15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9D05-A961-46B8-BBE1-6AC41D2261A5}">
  <dimension ref="A1:X32"/>
  <sheetViews>
    <sheetView zoomScale="89" zoomScaleNormal="89" workbookViewId="0">
      <selection activeCell="C12" sqref="C12"/>
    </sheetView>
  </sheetViews>
  <sheetFormatPr defaultRowHeight="14.4" x14ac:dyDescent="0.3"/>
  <cols>
    <col min="1" max="1" width="23.7773437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374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371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(B25/4)</f>
        <v>1517.25</v>
      </c>
      <c r="M3" s="8"/>
    </row>
    <row r="4" spans="1:24" ht="12.6" customHeight="1" x14ac:dyDescent="0.3">
      <c r="A4" t="s">
        <v>204</v>
      </c>
      <c r="B4" s="7">
        <v>0</v>
      </c>
      <c r="C4" t="s">
        <v>385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407</v>
      </c>
      <c r="D5" s="77"/>
      <c r="E5" s="77"/>
      <c r="F5" s="77"/>
      <c r="G5" s="77"/>
      <c r="H5" s="77"/>
      <c r="K5" t="s">
        <v>9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405</v>
      </c>
      <c r="B7" s="7">
        <v>1700</v>
      </c>
      <c r="C7" t="s">
        <v>386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2200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112</v>
      </c>
      <c r="B11" s="7">
        <v>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230</v>
      </c>
      <c r="C12" t="s">
        <v>337</v>
      </c>
      <c r="D12" s="65"/>
      <c r="E12" s="65"/>
      <c r="F12" s="65"/>
      <c r="G12" s="65"/>
      <c r="H12" s="65"/>
      <c r="K12" t="s">
        <v>108</v>
      </c>
      <c r="L12" s="7">
        <v>0</v>
      </c>
      <c r="M12" s="7"/>
      <c r="N12" s="22"/>
      <c r="O12" s="23"/>
    </row>
    <row r="13" spans="1:24" x14ac:dyDescent="0.3">
      <c r="A13" t="s">
        <v>346</v>
      </c>
      <c r="B13" s="7">
        <v>230</v>
      </c>
      <c r="C13" t="s">
        <v>361</v>
      </c>
      <c r="D13" s="66"/>
      <c r="E13" s="66"/>
      <c r="F13" s="66"/>
      <c r="G13" s="66"/>
      <c r="H13" s="66"/>
      <c r="L13" s="7"/>
      <c r="M13" s="7"/>
      <c r="N13" s="22"/>
      <c r="O13" s="23"/>
    </row>
    <row r="14" spans="1:24" x14ac:dyDescent="0.3">
      <c r="A14" t="s">
        <v>345</v>
      </c>
      <c r="B14" s="7">
        <v>250</v>
      </c>
      <c r="D14" s="67"/>
      <c r="E14" s="67"/>
      <c r="F14" s="67"/>
      <c r="G14" s="67"/>
      <c r="H14" s="67"/>
      <c r="L14" s="7"/>
      <c r="M14" s="7"/>
      <c r="N14" s="22"/>
      <c r="O14" s="23"/>
    </row>
    <row r="15" spans="1:24" x14ac:dyDescent="0.3">
      <c r="A15" t="s">
        <v>403</v>
      </c>
      <c r="B15" s="7">
        <v>500</v>
      </c>
      <c r="D15" s="65"/>
      <c r="E15" s="65"/>
      <c r="F15" s="65"/>
      <c r="G15" s="65"/>
      <c r="H15" s="65"/>
      <c r="K15" t="s">
        <v>21</v>
      </c>
      <c r="L15" s="7">
        <v>15</v>
      </c>
      <c r="M15" s="7"/>
      <c r="N15" s="22"/>
      <c r="O15" s="23"/>
    </row>
    <row r="16" spans="1:24" x14ac:dyDescent="0.3">
      <c r="A16" t="s">
        <v>89</v>
      </c>
      <c r="B16" s="7">
        <v>360</v>
      </c>
      <c r="D16" s="72" t="s">
        <v>103</v>
      </c>
      <c r="E16" s="72"/>
      <c r="F16" s="72"/>
      <c r="G16" s="72"/>
      <c r="H16" s="72"/>
      <c r="K16" t="s">
        <v>111</v>
      </c>
      <c r="L16" s="7">
        <v>0</v>
      </c>
      <c r="M16" s="7"/>
      <c r="N16" s="24" t="s">
        <v>94</v>
      </c>
      <c r="O16" s="25">
        <f>O5+O8</f>
        <v>0</v>
      </c>
    </row>
    <row r="17" spans="1:15" x14ac:dyDescent="0.3">
      <c r="A17" t="s">
        <v>139</v>
      </c>
      <c r="B17" s="7">
        <v>250</v>
      </c>
      <c r="D17" s="64"/>
      <c r="E17" s="64"/>
      <c r="F17" s="64"/>
      <c r="G17" s="64"/>
      <c r="H17" s="64"/>
      <c r="L17" s="7"/>
      <c r="M17" s="7"/>
      <c r="N17" s="24"/>
      <c r="O17" s="25"/>
    </row>
    <row r="18" spans="1:15" x14ac:dyDescent="0.3">
      <c r="A18" t="s">
        <v>158</v>
      </c>
      <c r="B18" s="7">
        <v>200</v>
      </c>
      <c r="L18" s="7"/>
      <c r="M18" s="7"/>
    </row>
    <row r="19" spans="1:15" x14ac:dyDescent="0.3">
      <c r="A19" t="s">
        <v>402</v>
      </c>
      <c r="B19" s="7">
        <v>1000</v>
      </c>
      <c r="L19" s="7"/>
      <c r="M19" s="7"/>
    </row>
    <row r="20" spans="1:15" x14ac:dyDescent="0.3">
      <c r="A20" t="s">
        <v>366</v>
      </c>
      <c r="B20" s="7">
        <v>700</v>
      </c>
      <c r="L20" s="7"/>
      <c r="M20" s="7"/>
    </row>
    <row r="21" spans="1:15" x14ac:dyDescent="0.3">
      <c r="A21" t="s">
        <v>5</v>
      </c>
      <c r="B21" s="7">
        <v>0</v>
      </c>
      <c r="F21" t="s">
        <v>114</v>
      </c>
      <c r="G21" t="s">
        <v>122</v>
      </c>
      <c r="L21" s="7"/>
      <c r="M21" s="7"/>
    </row>
    <row r="22" spans="1:15" x14ac:dyDescent="0.3">
      <c r="A22" t="s">
        <v>276</v>
      </c>
      <c r="B22" s="7">
        <v>500</v>
      </c>
      <c r="F22" t="s">
        <v>115</v>
      </c>
      <c r="G22" t="s">
        <v>52</v>
      </c>
      <c r="K22" t="s">
        <v>13</v>
      </c>
      <c r="L22" s="7">
        <v>700</v>
      </c>
      <c r="M22" s="7"/>
    </row>
    <row r="23" spans="1:15" x14ac:dyDescent="0.3">
      <c r="A23" t="s">
        <v>197</v>
      </c>
      <c r="B23" s="7">
        <v>0</v>
      </c>
      <c r="F23" t="s">
        <v>116</v>
      </c>
      <c r="G23" t="s">
        <v>47</v>
      </c>
      <c r="L23" s="7"/>
      <c r="M23" s="7"/>
    </row>
    <row r="24" spans="1:15" x14ac:dyDescent="0.3">
      <c r="A24" s="2" t="s">
        <v>83</v>
      </c>
      <c r="B24" s="8">
        <f>SUM(B3:B23)</f>
        <v>14900</v>
      </c>
      <c r="F24" t="s">
        <v>117</v>
      </c>
      <c r="G24" t="s">
        <v>87</v>
      </c>
      <c r="K24" s="2" t="s">
        <v>14</v>
      </c>
      <c r="L24" s="8">
        <f>L26</f>
        <v>802.25</v>
      </c>
      <c r="M24" s="8"/>
    </row>
    <row r="25" spans="1:15" x14ac:dyDescent="0.3">
      <c r="A25" s="2" t="s">
        <v>84</v>
      </c>
      <c r="B25" s="8">
        <f>SUM(B2-B24)</f>
        <v>6069</v>
      </c>
      <c r="F25" t="s">
        <v>118</v>
      </c>
      <c r="G25" t="s">
        <v>87</v>
      </c>
      <c r="K25" s="2" t="s">
        <v>86</v>
      </c>
      <c r="L25" s="8">
        <f>SUM(L5:L22)</f>
        <v>715</v>
      </c>
      <c r="M25" s="8"/>
    </row>
    <row r="26" spans="1:15" x14ac:dyDescent="0.3">
      <c r="F26" t="s">
        <v>119</v>
      </c>
      <c r="G26" t="s">
        <v>120</v>
      </c>
      <c r="K26" s="1" t="s">
        <v>0</v>
      </c>
      <c r="L26" s="7">
        <f>SUM(L3-L25)</f>
        <v>802.25</v>
      </c>
      <c r="M26" s="7"/>
    </row>
    <row r="27" spans="1:15" x14ac:dyDescent="0.3">
      <c r="K27" s="1" t="s">
        <v>93</v>
      </c>
      <c r="L27" s="7">
        <f>L24 *2</f>
        <v>1604.5</v>
      </c>
      <c r="M27" s="7"/>
    </row>
    <row r="28" spans="1:15" x14ac:dyDescent="0.3">
      <c r="K28" t="s">
        <v>100</v>
      </c>
      <c r="L28" s="7">
        <f>L27*2</f>
        <v>3209</v>
      </c>
      <c r="M28" s="7"/>
    </row>
    <row r="29" spans="1:15" x14ac:dyDescent="0.3">
      <c r="D29" t="s">
        <v>107</v>
      </c>
      <c r="E29">
        <v>1500</v>
      </c>
      <c r="L29" s="7"/>
      <c r="M29" s="7"/>
    </row>
    <row r="30" spans="1:15" x14ac:dyDescent="0.3">
      <c r="D30" t="s">
        <v>9</v>
      </c>
      <c r="E30">
        <v>400</v>
      </c>
      <c r="L30" s="7"/>
      <c r="M30" s="7"/>
    </row>
    <row r="31" spans="1:15" x14ac:dyDescent="0.3">
      <c r="A31" s="27">
        <f>1937.5 - 500</f>
        <v>1437.5</v>
      </c>
      <c r="D31" t="s">
        <v>109</v>
      </c>
      <c r="E31">
        <v>800</v>
      </c>
    </row>
    <row r="32" spans="1:15" x14ac:dyDescent="0.3">
      <c r="B32" t="s">
        <v>405</v>
      </c>
      <c r="C32">
        <v>3900</v>
      </c>
    </row>
  </sheetData>
  <mergeCells count="4">
    <mergeCell ref="A1:X1"/>
    <mergeCell ref="K2:N2"/>
    <mergeCell ref="D3:H8"/>
    <mergeCell ref="D16:H16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1538-BA5A-402D-96CE-142365BD0376}">
  <dimension ref="A1:X28"/>
  <sheetViews>
    <sheetView zoomScale="89" zoomScaleNormal="89" workbookViewId="0">
      <selection activeCell="C19" sqref="C19"/>
    </sheetView>
  </sheetViews>
  <sheetFormatPr defaultRowHeight="14.4" x14ac:dyDescent="0.3"/>
  <cols>
    <col min="1" max="1" width="23.7773437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375</v>
      </c>
      <c r="K2" s="76" t="s">
        <v>101</v>
      </c>
      <c r="L2" s="76"/>
      <c r="M2" s="76"/>
      <c r="N2" s="76"/>
    </row>
    <row r="3" spans="1:24" ht="12.6" customHeight="1" x14ac:dyDescent="0.3">
      <c r="B3" s="7">
        <v>0</v>
      </c>
      <c r="C3" t="s">
        <v>376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(B22/4)</f>
        <v>1574.75</v>
      </c>
      <c r="M3" s="8"/>
    </row>
    <row r="4" spans="1:24" ht="12.6" customHeight="1" x14ac:dyDescent="0.3">
      <c r="A4" t="s">
        <v>204</v>
      </c>
      <c r="B4" s="7">
        <v>0</v>
      </c>
      <c r="C4" t="s">
        <v>386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377</v>
      </c>
      <c r="D5" s="77"/>
      <c r="E5" s="77"/>
      <c r="F5" s="77"/>
      <c r="G5" s="77"/>
      <c r="H5" s="77"/>
      <c r="K5" t="s">
        <v>9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408</v>
      </c>
      <c r="B7" s="7">
        <v>2500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2200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112</v>
      </c>
      <c r="B11" s="7">
        <v>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230</v>
      </c>
      <c r="C12" t="s">
        <v>342</v>
      </c>
      <c r="D12" s="65"/>
      <c r="E12" s="65"/>
      <c r="F12" s="65"/>
      <c r="G12" s="65"/>
      <c r="H12" s="65"/>
      <c r="K12" t="s">
        <v>108</v>
      </c>
      <c r="L12" s="7">
        <v>0</v>
      </c>
      <c r="M12" s="7"/>
      <c r="N12" s="22"/>
      <c r="O12" s="23"/>
    </row>
    <row r="13" spans="1:24" x14ac:dyDescent="0.3">
      <c r="A13" t="s">
        <v>362</v>
      </c>
      <c r="B13" s="7">
        <v>250</v>
      </c>
      <c r="D13" s="66"/>
      <c r="E13" s="66"/>
      <c r="F13" s="66"/>
      <c r="G13" s="66"/>
      <c r="H13" s="66"/>
      <c r="L13" s="7"/>
      <c r="M13" s="7"/>
      <c r="N13" s="22"/>
      <c r="O13" s="23"/>
    </row>
    <row r="14" spans="1:24" x14ac:dyDescent="0.3">
      <c r="A14" t="s">
        <v>46</v>
      </c>
      <c r="B14" s="7">
        <v>400</v>
      </c>
      <c r="D14" s="65"/>
      <c r="E14" s="65"/>
      <c r="F14" s="65"/>
      <c r="G14" s="65"/>
      <c r="H14" s="65"/>
      <c r="K14" t="s">
        <v>21</v>
      </c>
      <c r="L14" s="7">
        <v>15</v>
      </c>
      <c r="M14" s="7"/>
      <c r="N14" s="22"/>
      <c r="O14" s="23"/>
    </row>
    <row r="15" spans="1:24" x14ac:dyDescent="0.3">
      <c r="A15" t="s">
        <v>89</v>
      </c>
      <c r="B15" s="7">
        <v>360</v>
      </c>
      <c r="D15" s="72" t="s">
        <v>103</v>
      </c>
      <c r="E15" s="72"/>
      <c r="F15" s="72"/>
      <c r="G15" s="72"/>
      <c r="H15" s="72"/>
      <c r="K15" t="s">
        <v>111</v>
      </c>
      <c r="L15" s="7">
        <v>0</v>
      </c>
      <c r="M15" s="7"/>
      <c r="N15" s="24" t="s">
        <v>94</v>
      </c>
      <c r="O15" s="25">
        <f>O5+O8</f>
        <v>0</v>
      </c>
    </row>
    <row r="16" spans="1:24" x14ac:dyDescent="0.3">
      <c r="A16" t="s">
        <v>139</v>
      </c>
      <c r="B16" s="7">
        <v>250</v>
      </c>
      <c r="D16" s="64"/>
      <c r="E16" s="64"/>
      <c r="F16" s="64"/>
      <c r="G16" s="64"/>
      <c r="H16" s="64"/>
      <c r="L16" s="7"/>
      <c r="M16" s="7"/>
      <c r="N16" s="24"/>
      <c r="O16" s="25"/>
    </row>
    <row r="17" spans="1:13" x14ac:dyDescent="0.3">
      <c r="A17" t="s">
        <v>158</v>
      </c>
      <c r="B17" s="7">
        <v>200</v>
      </c>
      <c r="L17" s="7"/>
      <c r="M17" s="7"/>
    </row>
    <row r="18" spans="1:13" x14ac:dyDescent="0.3">
      <c r="A18" t="s">
        <v>366</v>
      </c>
      <c r="B18" s="7">
        <v>800</v>
      </c>
      <c r="F18" t="s">
        <v>114</v>
      </c>
      <c r="G18" t="s">
        <v>122</v>
      </c>
      <c r="L18" s="7"/>
      <c r="M18" s="7"/>
    </row>
    <row r="19" spans="1:13" x14ac:dyDescent="0.3">
      <c r="A19" t="s">
        <v>276</v>
      </c>
      <c r="B19" s="7">
        <v>700</v>
      </c>
      <c r="F19" t="s">
        <v>115</v>
      </c>
      <c r="G19" t="s">
        <v>52</v>
      </c>
      <c r="K19" t="s">
        <v>13</v>
      </c>
      <c r="L19" s="7">
        <v>750</v>
      </c>
      <c r="M19" s="7"/>
    </row>
    <row r="20" spans="1:13" x14ac:dyDescent="0.3">
      <c r="A20" t="s">
        <v>197</v>
      </c>
      <c r="B20" s="7">
        <v>0</v>
      </c>
      <c r="F20" t="s">
        <v>116</v>
      </c>
      <c r="G20" t="s">
        <v>47</v>
      </c>
      <c r="L20" s="7"/>
      <c r="M20" s="7"/>
    </row>
    <row r="21" spans="1:13" x14ac:dyDescent="0.3">
      <c r="A21" s="2" t="s">
        <v>83</v>
      </c>
      <c r="B21" s="8">
        <f>SUM(B3:B20)</f>
        <v>14670</v>
      </c>
      <c r="F21" t="s">
        <v>117</v>
      </c>
      <c r="G21" t="s">
        <v>87</v>
      </c>
      <c r="K21" s="2" t="s">
        <v>14</v>
      </c>
      <c r="L21" s="8">
        <f>L23</f>
        <v>809.75</v>
      </c>
      <c r="M21" s="8"/>
    </row>
    <row r="22" spans="1:13" x14ac:dyDescent="0.3">
      <c r="A22" s="2" t="s">
        <v>84</v>
      </c>
      <c r="B22" s="8">
        <f>SUM(B2-B21)</f>
        <v>6299</v>
      </c>
      <c r="F22" t="s">
        <v>118</v>
      </c>
      <c r="G22" t="s">
        <v>87</v>
      </c>
      <c r="K22" s="2" t="s">
        <v>86</v>
      </c>
      <c r="L22" s="8">
        <f>SUM(L5:L19)</f>
        <v>765</v>
      </c>
      <c r="M22" s="8"/>
    </row>
    <row r="23" spans="1:13" x14ac:dyDescent="0.3">
      <c r="F23" t="s">
        <v>119</v>
      </c>
      <c r="G23" t="s">
        <v>120</v>
      </c>
      <c r="K23" s="1" t="s">
        <v>0</v>
      </c>
      <c r="L23" s="7">
        <f>SUM(L3-L22)</f>
        <v>809.75</v>
      </c>
      <c r="M23" s="7"/>
    </row>
    <row r="24" spans="1:13" x14ac:dyDescent="0.3">
      <c r="K24" s="1" t="s">
        <v>93</v>
      </c>
      <c r="L24" s="7">
        <f>L21 *2</f>
        <v>1619.5</v>
      </c>
      <c r="M24" s="7"/>
    </row>
    <row r="25" spans="1:13" x14ac:dyDescent="0.3">
      <c r="K25" t="s">
        <v>100</v>
      </c>
      <c r="L25" s="7">
        <f>L24*2</f>
        <v>3239</v>
      </c>
      <c r="M25" s="7"/>
    </row>
    <row r="26" spans="1:13" x14ac:dyDescent="0.3">
      <c r="D26" t="s">
        <v>107</v>
      </c>
      <c r="E26">
        <v>1500</v>
      </c>
      <c r="L26" s="7"/>
      <c r="M26" s="7"/>
    </row>
    <row r="27" spans="1:13" x14ac:dyDescent="0.3">
      <c r="D27" t="s">
        <v>9</v>
      </c>
      <c r="E27">
        <v>400</v>
      </c>
      <c r="L27" s="7"/>
      <c r="M27" s="7"/>
    </row>
    <row r="28" spans="1:13" x14ac:dyDescent="0.3">
      <c r="A28" s="27">
        <f>1937.5 - 500</f>
        <v>1437.5</v>
      </c>
      <c r="D28" t="s">
        <v>109</v>
      </c>
      <c r="E28">
        <v>800</v>
      </c>
    </row>
  </sheetData>
  <mergeCells count="4">
    <mergeCell ref="A1:X1"/>
    <mergeCell ref="K2:N2"/>
    <mergeCell ref="D3:H8"/>
    <mergeCell ref="D15:H15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03D3-7291-4394-BDD9-26AF2C9AFF83}">
  <dimension ref="A1:X27"/>
  <sheetViews>
    <sheetView zoomScale="89" zoomScaleNormal="89" workbookViewId="0">
      <selection activeCell="C18" sqref="C18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378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379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(B21/4)</f>
        <v>1579.75</v>
      </c>
      <c r="M3" s="8"/>
    </row>
    <row r="4" spans="1:24" ht="12.6" customHeight="1" x14ac:dyDescent="0.3">
      <c r="A4" t="s">
        <v>204</v>
      </c>
      <c r="B4" s="7">
        <v>0</v>
      </c>
      <c r="C4" t="s">
        <v>386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337</v>
      </c>
      <c r="D5" s="77"/>
      <c r="E5" s="77"/>
      <c r="F5" s="77"/>
      <c r="G5" s="77"/>
      <c r="H5" s="77"/>
      <c r="K5" t="s">
        <v>9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409</v>
      </c>
      <c r="B7" s="7">
        <v>2500</v>
      </c>
      <c r="C7" t="s">
        <v>363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2200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112</v>
      </c>
      <c r="B11" s="7">
        <v>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230</v>
      </c>
      <c r="C12" t="s">
        <v>341</v>
      </c>
      <c r="D12" s="65"/>
      <c r="E12" s="65"/>
      <c r="F12" s="65"/>
      <c r="G12" s="65"/>
      <c r="H12" s="65"/>
      <c r="K12" t="s">
        <v>108</v>
      </c>
      <c r="L12" s="7">
        <v>0</v>
      </c>
      <c r="M12" s="7"/>
      <c r="N12" s="22"/>
      <c r="O12" s="23"/>
    </row>
    <row r="13" spans="1:24" x14ac:dyDescent="0.3">
      <c r="A13" t="s">
        <v>403</v>
      </c>
      <c r="B13" s="7">
        <v>500</v>
      </c>
      <c r="D13" s="65"/>
      <c r="E13" s="65"/>
      <c r="F13" s="65"/>
      <c r="G13" s="65"/>
      <c r="H13" s="65"/>
      <c r="K13" t="s">
        <v>21</v>
      </c>
      <c r="L13" s="7">
        <v>15</v>
      </c>
      <c r="M13" s="7"/>
      <c r="N13" s="22"/>
      <c r="O13" s="23"/>
    </row>
    <row r="14" spans="1:24" x14ac:dyDescent="0.3">
      <c r="A14" t="s">
        <v>89</v>
      </c>
      <c r="B14" s="7">
        <v>490</v>
      </c>
      <c r="D14" s="72" t="s">
        <v>103</v>
      </c>
      <c r="E14" s="72"/>
      <c r="F14" s="72"/>
      <c r="G14" s="72"/>
      <c r="H14" s="72"/>
      <c r="K14" t="s">
        <v>111</v>
      </c>
      <c r="L14" s="7">
        <v>0</v>
      </c>
      <c r="M14" s="7"/>
      <c r="N14" s="24" t="s">
        <v>94</v>
      </c>
      <c r="O14" s="25">
        <f>O5+O8</f>
        <v>0</v>
      </c>
    </row>
    <row r="15" spans="1:24" x14ac:dyDescent="0.3">
      <c r="A15" t="s">
        <v>139</v>
      </c>
      <c r="B15" s="7">
        <v>250</v>
      </c>
      <c r="D15" s="64"/>
      <c r="E15" s="64"/>
      <c r="F15" s="64"/>
      <c r="G15" s="64"/>
      <c r="H15" s="64"/>
      <c r="L15" s="7"/>
      <c r="M15" s="7"/>
      <c r="N15" s="24"/>
      <c r="O15" s="25"/>
    </row>
    <row r="16" spans="1:24" x14ac:dyDescent="0.3">
      <c r="A16" t="s">
        <v>158</v>
      </c>
      <c r="B16" s="7">
        <v>200</v>
      </c>
      <c r="L16" s="7"/>
      <c r="M16" s="7"/>
    </row>
    <row r="17" spans="1:13" x14ac:dyDescent="0.3">
      <c r="A17" t="s">
        <v>366</v>
      </c>
      <c r="B17" s="7">
        <v>800</v>
      </c>
      <c r="F17" t="s">
        <v>114</v>
      </c>
      <c r="G17" t="s">
        <v>122</v>
      </c>
      <c r="L17" s="7"/>
      <c r="M17" s="7"/>
    </row>
    <row r="18" spans="1:13" x14ac:dyDescent="0.3">
      <c r="A18" t="s">
        <v>276</v>
      </c>
      <c r="B18" s="7">
        <v>700</v>
      </c>
      <c r="F18" t="s">
        <v>115</v>
      </c>
      <c r="G18" t="s">
        <v>52</v>
      </c>
      <c r="K18" t="s">
        <v>13</v>
      </c>
      <c r="L18" s="7">
        <v>750</v>
      </c>
      <c r="M18" s="7"/>
    </row>
    <row r="19" spans="1:13" x14ac:dyDescent="0.3">
      <c r="A19" t="s">
        <v>197</v>
      </c>
      <c r="B19" s="7">
        <v>0</v>
      </c>
      <c r="F19" t="s">
        <v>116</v>
      </c>
      <c r="G19" t="s">
        <v>47</v>
      </c>
      <c r="L19" s="7"/>
      <c r="M19" s="7"/>
    </row>
    <row r="20" spans="1:13" x14ac:dyDescent="0.3">
      <c r="A20" s="2" t="s">
        <v>83</v>
      </c>
      <c r="B20" s="8">
        <f>SUM(B3:B19)</f>
        <v>14650</v>
      </c>
      <c r="F20" t="s">
        <v>117</v>
      </c>
      <c r="G20" t="s">
        <v>87</v>
      </c>
      <c r="K20" s="2" t="s">
        <v>14</v>
      </c>
      <c r="L20" s="8">
        <f>L22</f>
        <v>814.75</v>
      </c>
      <c r="M20" s="8"/>
    </row>
    <row r="21" spans="1:13" x14ac:dyDescent="0.3">
      <c r="A21" s="2" t="s">
        <v>84</v>
      </c>
      <c r="B21" s="8">
        <f>SUM(B2-B20)</f>
        <v>6319</v>
      </c>
      <c r="F21" t="s">
        <v>118</v>
      </c>
      <c r="G21" t="s">
        <v>87</v>
      </c>
      <c r="K21" s="2" t="s">
        <v>86</v>
      </c>
      <c r="L21" s="8">
        <f>SUM(L5:L18)</f>
        <v>765</v>
      </c>
      <c r="M21" s="8"/>
    </row>
    <row r="22" spans="1:13" x14ac:dyDescent="0.3">
      <c r="F22" t="s">
        <v>119</v>
      </c>
      <c r="G22" t="s">
        <v>120</v>
      </c>
      <c r="K22" s="1" t="s">
        <v>0</v>
      </c>
      <c r="L22" s="7">
        <f>SUM(L3-L21)</f>
        <v>814.75</v>
      </c>
      <c r="M22" s="7"/>
    </row>
    <row r="23" spans="1:13" x14ac:dyDescent="0.3">
      <c r="K23" s="1" t="s">
        <v>93</v>
      </c>
      <c r="L23" s="7">
        <f>L20 *2</f>
        <v>1629.5</v>
      </c>
      <c r="M23" s="7"/>
    </row>
    <row r="24" spans="1:13" x14ac:dyDescent="0.3">
      <c r="K24" t="s">
        <v>100</v>
      </c>
      <c r="L24" s="7">
        <f>L23*2</f>
        <v>3259</v>
      </c>
      <c r="M24" s="7"/>
    </row>
    <row r="25" spans="1:13" x14ac:dyDescent="0.3">
      <c r="D25" t="s">
        <v>107</v>
      </c>
      <c r="E25">
        <v>1500</v>
      </c>
      <c r="L25" s="7"/>
      <c r="M25" s="7"/>
    </row>
    <row r="26" spans="1:13" x14ac:dyDescent="0.3">
      <c r="D26" t="s">
        <v>9</v>
      </c>
      <c r="E26">
        <v>400</v>
      </c>
      <c r="L26" s="7"/>
      <c r="M26" s="7"/>
    </row>
    <row r="27" spans="1:13" x14ac:dyDescent="0.3">
      <c r="A27" s="27">
        <f>1937.5 - 500</f>
        <v>1437.5</v>
      </c>
      <c r="D27" t="s">
        <v>109</v>
      </c>
      <c r="E27">
        <v>800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91FC-E867-435D-863C-6423D02B73DB}">
  <dimension ref="A1:X28"/>
  <sheetViews>
    <sheetView zoomScale="89" zoomScaleNormal="89" workbookViewId="0">
      <selection activeCell="C15" sqref="C15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380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381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(B22/4)</f>
        <v>1554.75</v>
      </c>
      <c r="M3" s="8"/>
    </row>
    <row r="4" spans="1:24" ht="12.6" customHeight="1" x14ac:dyDescent="0.3">
      <c r="A4" t="s">
        <v>204</v>
      </c>
      <c r="B4" s="7">
        <v>0</v>
      </c>
      <c r="C4" t="s">
        <v>387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377</v>
      </c>
      <c r="D5" s="77"/>
      <c r="E5" s="77"/>
      <c r="F5" s="77"/>
      <c r="G5" s="77"/>
      <c r="H5" s="77"/>
      <c r="K5" t="s">
        <v>9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410</v>
      </c>
      <c r="B7" s="7">
        <v>2500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347</v>
      </c>
      <c r="B8" s="7">
        <v>0</v>
      </c>
      <c r="D8" s="77"/>
      <c r="E8" s="77"/>
      <c r="F8" s="77"/>
      <c r="G8" s="77"/>
      <c r="H8" s="77"/>
      <c r="L8" s="7"/>
      <c r="M8" s="7"/>
      <c r="N8" s="22"/>
      <c r="O8" s="23"/>
    </row>
    <row r="9" spans="1:24" x14ac:dyDescent="0.3">
      <c r="A9" t="s">
        <v>293</v>
      </c>
      <c r="B9" s="7">
        <v>2500</v>
      </c>
      <c r="D9" s="77"/>
      <c r="E9" s="77"/>
      <c r="F9" s="77"/>
      <c r="G9" s="77"/>
      <c r="H9" s="77"/>
      <c r="K9" t="s">
        <v>11</v>
      </c>
      <c r="L9" s="7">
        <v>0</v>
      </c>
      <c r="M9" s="7"/>
      <c r="N9" s="22"/>
      <c r="O9" s="23">
        <f>L9*4</f>
        <v>0</v>
      </c>
    </row>
    <row r="10" spans="1:24" x14ac:dyDescent="0.3">
      <c r="A10" t="s">
        <v>331</v>
      </c>
      <c r="B10" s="7">
        <v>150</v>
      </c>
      <c r="D10" s="65"/>
      <c r="E10" s="65"/>
      <c r="F10" s="65"/>
      <c r="G10" s="65"/>
      <c r="H10" s="65"/>
      <c r="K10" t="s">
        <v>163</v>
      </c>
      <c r="L10" s="7">
        <v>0</v>
      </c>
      <c r="M10" s="7"/>
      <c r="N10" s="22"/>
      <c r="O10" s="23"/>
    </row>
    <row r="11" spans="1:24" x14ac:dyDescent="0.3">
      <c r="A11" t="s">
        <v>299</v>
      </c>
      <c r="B11" s="7">
        <v>200</v>
      </c>
      <c r="D11" s="65"/>
      <c r="E11" s="65"/>
      <c r="F11" s="65"/>
      <c r="G11" s="65"/>
      <c r="H11" s="65"/>
      <c r="L11" s="7"/>
      <c r="M11" s="7"/>
      <c r="N11" s="22"/>
      <c r="O11" s="23"/>
    </row>
    <row r="12" spans="1:24" x14ac:dyDescent="0.3">
      <c r="A12" t="s">
        <v>112</v>
      </c>
      <c r="B12" s="7">
        <v>0</v>
      </c>
      <c r="D12" s="65"/>
      <c r="E12" s="65"/>
      <c r="F12" s="65"/>
      <c r="G12" s="65"/>
      <c r="H12" s="65"/>
      <c r="K12" t="s">
        <v>264</v>
      </c>
      <c r="L12" s="7">
        <v>0</v>
      </c>
      <c r="M12" s="7"/>
      <c r="N12" s="22"/>
      <c r="O12" s="23"/>
    </row>
    <row r="13" spans="1:24" x14ac:dyDescent="0.3">
      <c r="A13" t="s">
        <v>329</v>
      </c>
      <c r="B13" s="7">
        <v>230</v>
      </c>
      <c r="C13" t="s">
        <v>348</v>
      </c>
      <c r="D13" s="65"/>
      <c r="E13" s="65"/>
      <c r="F13" s="65"/>
      <c r="G13" s="65"/>
      <c r="H13" s="65"/>
      <c r="K13" t="s">
        <v>108</v>
      </c>
      <c r="L13" s="7">
        <v>0</v>
      </c>
      <c r="M13" s="7"/>
      <c r="N13" s="22"/>
      <c r="O13" s="23"/>
    </row>
    <row r="14" spans="1:24" x14ac:dyDescent="0.3">
      <c r="A14" t="s">
        <v>411</v>
      </c>
      <c r="B14" s="7">
        <v>380</v>
      </c>
      <c r="D14" s="65"/>
      <c r="E14" s="65"/>
      <c r="F14" s="65"/>
      <c r="G14" s="65"/>
      <c r="H14" s="65"/>
      <c r="K14" t="s">
        <v>21</v>
      </c>
      <c r="L14" s="7">
        <v>50</v>
      </c>
      <c r="M14" s="7"/>
      <c r="N14" s="22"/>
      <c r="O14" s="23"/>
    </row>
    <row r="15" spans="1:24" x14ac:dyDescent="0.3">
      <c r="A15" t="s">
        <v>89</v>
      </c>
      <c r="B15" s="7">
        <v>360</v>
      </c>
      <c r="D15" s="72" t="s">
        <v>103</v>
      </c>
      <c r="E15" s="72"/>
      <c r="F15" s="72"/>
      <c r="G15" s="72"/>
      <c r="H15" s="72"/>
      <c r="K15" t="s">
        <v>111</v>
      </c>
      <c r="L15" s="7">
        <v>0</v>
      </c>
      <c r="M15" s="7"/>
      <c r="N15" s="24" t="s">
        <v>94</v>
      </c>
      <c r="O15" s="25">
        <f>O5+O9</f>
        <v>0</v>
      </c>
    </row>
    <row r="16" spans="1:24" x14ac:dyDescent="0.3">
      <c r="A16" t="s">
        <v>139</v>
      </c>
      <c r="B16" s="7">
        <v>250</v>
      </c>
      <c r="D16" s="64"/>
      <c r="E16" s="64"/>
      <c r="F16" s="64"/>
      <c r="G16" s="64"/>
      <c r="H16" s="64"/>
      <c r="L16" s="7"/>
      <c r="M16" s="7"/>
      <c r="N16" s="24"/>
      <c r="O16" s="25"/>
    </row>
    <row r="17" spans="1:13" x14ac:dyDescent="0.3">
      <c r="A17" t="s">
        <v>158</v>
      </c>
      <c r="B17" s="7">
        <v>200</v>
      </c>
      <c r="L17" s="7"/>
      <c r="M17" s="7"/>
    </row>
    <row r="18" spans="1:13" x14ac:dyDescent="0.3">
      <c r="A18" t="s">
        <v>366</v>
      </c>
      <c r="B18" s="7">
        <v>800</v>
      </c>
      <c r="F18" t="s">
        <v>114</v>
      </c>
      <c r="G18" t="s">
        <v>122</v>
      </c>
      <c r="L18" s="7"/>
      <c r="M18" s="7"/>
    </row>
    <row r="19" spans="1:13" x14ac:dyDescent="0.3">
      <c r="A19" t="s">
        <v>276</v>
      </c>
      <c r="B19" s="7">
        <v>700</v>
      </c>
      <c r="F19" t="s">
        <v>115</v>
      </c>
      <c r="G19" t="s">
        <v>52</v>
      </c>
      <c r="K19" t="s">
        <v>13</v>
      </c>
      <c r="L19" s="7">
        <v>700</v>
      </c>
      <c r="M19" s="7"/>
    </row>
    <row r="20" spans="1:13" x14ac:dyDescent="0.3">
      <c r="A20" t="s">
        <v>197</v>
      </c>
      <c r="B20" s="7">
        <v>0</v>
      </c>
      <c r="F20" t="s">
        <v>116</v>
      </c>
      <c r="G20" t="s">
        <v>47</v>
      </c>
      <c r="L20" s="7"/>
      <c r="M20" s="7"/>
    </row>
    <row r="21" spans="1:13" x14ac:dyDescent="0.3">
      <c r="A21" s="2" t="s">
        <v>83</v>
      </c>
      <c r="B21" s="8">
        <f>SUM(B3:B20)</f>
        <v>14750</v>
      </c>
      <c r="F21" t="s">
        <v>117</v>
      </c>
      <c r="G21" t="s">
        <v>87</v>
      </c>
      <c r="K21" s="2" t="s">
        <v>14</v>
      </c>
      <c r="L21" s="8">
        <f>L23</f>
        <v>804.75</v>
      </c>
      <c r="M21" s="8"/>
    </row>
    <row r="22" spans="1:13" x14ac:dyDescent="0.3">
      <c r="A22" s="2" t="s">
        <v>84</v>
      </c>
      <c r="B22" s="8">
        <f>SUM(B2-B21)</f>
        <v>6219</v>
      </c>
      <c r="F22" t="s">
        <v>118</v>
      </c>
      <c r="G22" t="s">
        <v>87</v>
      </c>
      <c r="K22" s="2" t="s">
        <v>86</v>
      </c>
      <c r="L22" s="8">
        <f>SUM(L5:L19)</f>
        <v>750</v>
      </c>
      <c r="M22" s="8"/>
    </row>
    <row r="23" spans="1:13" x14ac:dyDescent="0.3">
      <c r="F23" t="s">
        <v>119</v>
      </c>
      <c r="G23" t="s">
        <v>120</v>
      </c>
      <c r="K23" s="1" t="s">
        <v>0</v>
      </c>
      <c r="L23" s="7">
        <f>SUM(L3-L22)</f>
        <v>804.75</v>
      </c>
      <c r="M23" s="7"/>
    </row>
    <row r="24" spans="1:13" x14ac:dyDescent="0.3">
      <c r="K24" s="1" t="s">
        <v>93</v>
      </c>
      <c r="L24" s="7">
        <f>L21 *2</f>
        <v>1609.5</v>
      </c>
      <c r="M24" s="7"/>
    </row>
    <row r="25" spans="1:13" x14ac:dyDescent="0.3">
      <c r="K25" t="s">
        <v>100</v>
      </c>
      <c r="L25" s="7">
        <f>L24*2</f>
        <v>3219</v>
      </c>
      <c r="M25" s="7"/>
    </row>
    <row r="26" spans="1:13" x14ac:dyDescent="0.3">
      <c r="D26" t="s">
        <v>107</v>
      </c>
      <c r="E26">
        <v>1500</v>
      </c>
      <c r="L26" s="7"/>
      <c r="M26" s="7"/>
    </row>
    <row r="27" spans="1:13" x14ac:dyDescent="0.3">
      <c r="D27" t="s">
        <v>9</v>
      </c>
      <c r="E27">
        <v>400</v>
      </c>
      <c r="L27" s="7"/>
      <c r="M27" s="7"/>
    </row>
    <row r="28" spans="1:13" x14ac:dyDescent="0.3">
      <c r="A28" s="27">
        <f>1937.5 - 500</f>
        <v>1437.5</v>
      </c>
      <c r="D28" t="s">
        <v>109</v>
      </c>
      <c r="E28">
        <v>800</v>
      </c>
    </row>
  </sheetData>
  <mergeCells count="4">
    <mergeCell ref="A1:X1"/>
    <mergeCell ref="K2:N2"/>
    <mergeCell ref="D3:H9"/>
    <mergeCell ref="D15:H15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8872-3F93-419E-A424-F3807B6A38E3}">
  <dimension ref="A1:X28"/>
  <sheetViews>
    <sheetView zoomScale="89" zoomScaleNormal="89" workbookViewId="0">
      <selection activeCell="D19" sqref="D19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382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392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(B22/4)</f>
        <v>1587.25</v>
      </c>
      <c r="M3" s="8"/>
    </row>
    <row r="4" spans="1:24" ht="12.6" customHeight="1" x14ac:dyDescent="0.3">
      <c r="A4" t="s">
        <v>204</v>
      </c>
      <c r="B4" s="7">
        <v>0</v>
      </c>
      <c r="C4" t="s">
        <v>383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384</v>
      </c>
      <c r="D5" s="77"/>
      <c r="E5" s="77"/>
      <c r="F5" s="77"/>
      <c r="G5" s="77"/>
      <c r="H5" s="77"/>
      <c r="K5" t="s">
        <v>9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C6" t="s">
        <v>388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412</v>
      </c>
      <c r="B7" s="7">
        <v>2500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354</v>
      </c>
      <c r="B8" s="7">
        <v>0</v>
      </c>
      <c r="D8" s="77"/>
      <c r="E8" s="77"/>
      <c r="F8" s="77"/>
      <c r="G8" s="77"/>
      <c r="H8" s="77"/>
      <c r="L8" s="7"/>
      <c r="M8" s="7"/>
      <c r="N8" s="22"/>
      <c r="O8" s="23"/>
    </row>
    <row r="9" spans="1:24" x14ac:dyDescent="0.3">
      <c r="A9" t="s">
        <v>293</v>
      </c>
      <c r="B9" s="7">
        <v>2500</v>
      </c>
      <c r="D9" s="77"/>
      <c r="E9" s="77"/>
      <c r="F9" s="77"/>
      <c r="G9" s="77"/>
      <c r="H9" s="77"/>
      <c r="K9" t="s">
        <v>11</v>
      </c>
      <c r="L9" s="7">
        <v>0</v>
      </c>
      <c r="M9" s="7"/>
      <c r="N9" s="22"/>
      <c r="O9" s="23">
        <f>L9*4</f>
        <v>0</v>
      </c>
    </row>
    <row r="10" spans="1:24" x14ac:dyDescent="0.3">
      <c r="A10" t="s">
        <v>331</v>
      </c>
      <c r="B10" s="7">
        <v>150</v>
      </c>
      <c r="D10" s="65"/>
      <c r="E10" s="65"/>
      <c r="F10" s="65"/>
      <c r="G10" s="65"/>
      <c r="H10" s="65"/>
      <c r="K10" t="s">
        <v>163</v>
      </c>
      <c r="L10" s="7">
        <v>0</v>
      </c>
      <c r="M10" s="7"/>
      <c r="N10" s="22"/>
      <c r="O10" s="23"/>
    </row>
    <row r="11" spans="1:24" x14ac:dyDescent="0.3">
      <c r="A11" t="s">
        <v>299</v>
      </c>
      <c r="B11" s="7">
        <v>150</v>
      </c>
      <c r="D11" s="65"/>
      <c r="E11" s="65"/>
      <c r="F11" s="65"/>
      <c r="G11" s="65"/>
      <c r="H11" s="65"/>
      <c r="L11" s="7"/>
      <c r="M11" s="7"/>
      <c r="N11" s="22"/>
      <c r="O11" s="23"/>
    </row>
    <row r="12" spans="1:24" x14ac:dyDescent="0.3">
      <c r="A12" t="s">
        <v>112</v>
      </c>
      <c r="B12" s="7">
        <v>0</v>
      </c>
      <c r="D12" s="65"/>
      <c r="E12" s="65"/>
      <c r="F12" s="65"/>
      <c r="G12" s="65"/>
      <c r="H12" s="65"/>
      <c r="K12" t="s">
        <v>264</v>
      </c>
      <c r="L12" s="7">
        <v>0</v>
      </c>
      <c r="M12" s="7"/>
      <c r="N12" s="22"/>
      <c r="O12" s="23"/>
    </row>
    <row r="13" spans="1:24" x14ac:dyDescent="0.3">
      <c r="A13" t="s">
        <v>329</v>
      </c>
      <c r="B13" s="7">
        <v>230</v>
      </c>
      <c r="C13" t="s">
        <v>349</v>
      </c>
      <c r="D13" s="65"/>
      <c r="E13" s="65"/>
      <c r="F13" s="65"/>
      <c r="G13" s="65"/>
      <c r="H13" s="65"/>
      <c r="K13" t="s">
        <v>108</v>
      </c>
      <c r="L13" s="7">
        <v>0</v>
      </c>
      <c r="M13" s="7"/>
      <c r="N13" s="22"/>
      <c r="O13" s="23"/>
    </row>
    <row r="14" spans="1:24" x14ac:dyDescent="0.3">
      <c r="A14" t="s">
        <v>123</v>
      </c>
      <c r="B14" s="7">
        <v>500</v>
      </c>
      <c r="D14" s="65"/>
      <c r="E14" s="65"/>
      <c r="F14" s="65"/>
      <c r="G14" s="65"/>
      <c r="H14" s="65"/>
      <c r="K14" t="s">
        <v>21</v>
      </c>
      <c r="L14" s="7">
        <v>15</v>
      </c>
      <c r="M14" s="7"/>
      <c r="N14" s="22"/>
      <c r="O14" s="23"/>
    </row>
    <row r="15" spans="1:24" x14ac:dyDescent="0.3">
      <c r="A15" t="s">
        <v>89</v>
      </c>
      <c r="B15" s="7">
        <v>360</v>
      </c>
      <c r="D15" s="72" t="s">
        <v>103</v>
      </c>
      <c r="E15" s="72"/>
      <c r="F15" s="72"/>
      <c r="G15" s="72"/>
      <c r="H15" s="72"/>
      <c r="K15" t="s">
        <v>111</v>
      </c>
      <c r="L15" s="7">
        <v>0</v>
      </c>
      <c r="M15" s="7"/>
      <c r="N15" s="24" t="s">
        <v>94</v>
      </c>
      <c r="O15" s="25">
        <f>O5+O9</f>
        <v>0</v>
      </c>
    </row>
    <row r="16" spans="1:24" x14ac:dyDescent="0.3">
      <c r="A16" t="s">
        <v>139</v>
      </c>
      <c r="B16" s="7">
        <v>250</v>
      </c>
      <c r="D16" s="64"/>
      <c r="E16" s="64"/>
      <c r="F16" s="64"/>
      <c r="G16" s="64"/>
      <c r="H16" s="64"/>
      <c r="L16" s="7"/>
      <c r="M16" s="7"/>
      <c r="N16" s="24"/>
      <c r="O16" s="25"/>
    </row>
    <row r="17" spans="1:13" x14ac:dyDescent="0.3">
      <c r="A17" t="s">
        <v>158</v>
      </c>
      <c r="B17" s="7">
        <v>200</v>
      </c>
      <c r="L17" s="7"/>
      <c r="M17" s="7"/>
    </row>
    <row r="18" spans="1:13" x14ac:dyDescent="0.3">
      <c r="A18" t="s">
        <v>366</v>
      </c>
      <c r="B18" s="7">
        <v>800</v>
      </c>
      <c r="F18" t="s">
        <v>114</v>
      </c>
      <c r="G18" t="s">
        <v>122</v>
      </c>
      <c r="L18" s="7"/>
      <c r="M18" s="7"/>
    </row>
    <row r="19" spans="1:13" x14ac:dyDescent="0.3">
      <c r="A19" t="s">
        <v>276</v>
      </c>
      <c r="B19" s="7">
        <v>500</v>
      </c>
      <c r="F19" t="s">
        <v>115</v>
      </c>
      <c r="G19" t="s">
        <v>52</v>
      </c>
      <c r="K19" t="s">
        <v>13</v>
      </c>
      <c r="L19" s="7">
        <v>750</v>
      </c>
      <c r="M19" s="7"/>
    </row>
    <row r="20" spans="1:13" x14ac:dyDescent="0.3">
      <c r="A20" t="s">
        <v>197</v>
      </c>
      <c r="B20" s="7">
        <v>0</v>
      </c>
      <c r="F20" t="s">
        <v>116</v>
      </c>
      <c r="G20" t="s">
        <v>47</v>
      </c>
      <c r="L20" s="7"/>
      <c r="M20" s="7"/>
    </row>
    <row r="21" spans="1:13" x14ac:dyDescent="0.3">
      <c r="A21" s="2" t="s">
        <v>83</v>
      </c>
      <c r="B21" s="8">
        <f>SUM(B3:B20)</f>
        <v>14620</v>
      </c>
      <c r="F21" t="s">
        <v>117</v>
      </c>
      <c r="G21" t="s">
        <v>87</v>
      </c>
      <c r="K21" s="2" t="s">
        <v>14</v>
      </c>
      <c r="L21" s="8">
        <f>L23</f>
        <v>822.25</v>
      </c>
      <c r="M21" s="8"/>
    </row>
    <row r="22" spans="1:13" x14ac:dyDescent="0.3">
      <c r="A22" s="2" t="s">
        <v>84</v>
      </c>
      <c r="B22" s="8">
        <f>SUM(B2-B21)</f>
        <v>6349</v>
      </c>
      <c r="F22" t="s">
        <v>118</v>
      </c>
      <c r="G22" t="s">
        <v>87</v>
      </c>
      <c r="K22" s="2" t="s">
        <v>86</v>
      </c>
      <c r="L22" s="8">
        <f>SUM(L5:L19)</f>
        <v>765</v>
      </c>
      <c r="M22" s="8"/>
    </row>
    <row r="23" spans="1:13" x14ac:dyDescent="0.3">
      <c r="F23" t="s">
        <v>119</v>
      </c>
      <c r="G23" t="s">
        <v>120</v>
      </c>
      <c r="K23" s="1" t="s">
        <v>0</v>
      </c>
      <c r="L23" s="7">
        <f>SUM(L3-L22)</f>
        <v>822.25</v>
      </c>
      <c r="M23" s="7"/>
    </row>
    <row r="24" spans="1:13" x14ac:dyDescent="0.3">
      <c r="K24" s="1" t="s">
        <v>93</v>
      </c>
      <c r="L24" s="7">
        <f>L21 *2</f>
        <v>1644.5</v>
      </c>
      <c r="M24" s="7"/>
    </row>
    <row r="25" spans="1:13" x14ac:dyDescent="0.3">
      <c r="K25" t="s">
        <v>100</v>
      </c>
      <c r="L25" s="7">
        <f>L24*2</f>
        <v>3289</v>
      </c>
      <c r="M25" s="7"/>
    </row>
    <row r="26" spans="1:13" x14ac:dyDescent="0.3">
      <c r="D26" t="s">
        <v>107</v>
      </c>
      <c r="E26">
        <v>1500</v>
      </c>
      <c r="L26" s="7"/>
      <c r="M26" s="7"/>
    </row>
    <row r="27" spans="1:13" x14ac:dyDescent="0.3">
      <c r="D27" t="s">
        <v>9</v>
      </c>
      <c r="E27">
        <v>400</v>
      </c>
      <c r="L27" s="7"/>
      <c r="M27" s="7"/>
    </row>
    <row r="28" spans="1:13" x14ac:dyDescent="0.3">
      <c r="A28" s="27">
        <f>1937.5 - 500</f>
        <v>1437.5</v>
      </c>
      <c r="D28" t="s">
        <v>109</v>
      </c>
      <c r="E28">
        <v>800</v>
      </c>
    </row>
  </sheetData>
  <mergeCells count="4">
    <mergeCell ref="A1:X1"/>
    <mergeCell ref="K2:N2"/>
    <mergeCell ref="D3:H9"/>
    <mergeCell ref="D15:H15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77D0-E8D2-4138-A96F-1AFEDB4F4E72}">
  <dimension ref="A1:X27"/>
  <sheetViews>
    <sheetView zoomScale="89" zoomScaleNormal="89" workbookViewId="0">
      <selection activeCell="C11" sqref="C11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372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392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(B21/4)</f>
        <v>1574.75</v>
      </c>
      <c r="M3" s="8"/>
    </row>
    <row r="4" spans="1:24" ht="12.6" customHeight="1" x14ac:dyDescent="0.3">
      <c r="A4" t="s">
        <v>204</v>
      </c>
      <c r="B4" s="7">
        <v>0</v>
      </c>
      <c r="C4" t="s">
        <v>383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384</v>
      </c>
      <c r="D5" s="77"/>
      <c r="E5" s="77"/>
      <c r="F5" s="77"/>
      <c r="G5" s="77"/>
      <c r="H5" s="77"/>
      <c r="K5" t="s">
        <v>9</v>
      </c>
      <c r="L5" s="7">
        <v>0</v>
      </c>
      <c r="M5" s="7"/>
      <c r="N5" s="22"/>
      <c r="O5" s="23">
        <f>L5*4</f>
        <v>0</v>
      </c>
    </row>
    <row r="6" spans="1:24" x14ac:dyDescent="0.3">
      <c r="A6" t="s">
        <v>127</v>
      </c>
      <c r="B6" s="7">
        <v>280</v>
      </c>
      <c r="C6" t="s">
        <v>389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413</v>
      </c>
      <c r="B7" s="7">
        <v>2500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2500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111</v>
      </c>
      <c r="B11" s="7">
        <v>150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230</v>
      </c>
      <c r="C12" t="s">
        <v>338</v>
      </c>
      <c r="D12" s="65"/>
      <c r="E12" s="65"/>
      <c r="F12" s="65"/>
      <c r="G12" s="65"/>
      <c r="H12" s="65"/>
      <c r="K12" t="s">
        <v>108</v>
      </c>
      <c r="L12" s="7">
        <v>0</v>
      </c>
      <c r="M12" s="7"/>
      <c r="N12" s="22"/>
      <c r="O12" s="23"/>
    </row>
    <row r="13" spans="1:24" x14ac:dyDescent="0.3">
      <c r="A13" t="s">
        <v>46</v>
      </c>
      <c r="B13" s="7">
        <v>400</v>
      </c>
      <c r="D13" s="65"/>
      <c r="E13" s="65"/>
      <c r="F13" s="65"/>
      <c r="G13" s="65"/>
      <c r="H13" s="65"/>
      <c r="K13" t="s">
        <v>21</v>
      </c>
      <c r="L13" s="7">
        <v>15</v>
      </c>
      <c r="M13" s="7"/>
      <c r="N13" s="22"/>
      <c r="O13" s="23"/>
    </row>
    <row r="14" spans="1:24" x14ac:dyDescent="0.3">
      <c r="A14" t="s">
        <v>89</v>
      </c>
      <c r="B14" s="7">
        <v>360</v>
      </c>
      <c r="D14" s="72" t="s">
        <v>103</v>
      </c>
      <c r="E14" s="72"/>
      <c r="F14" s="72"/>
      <c r="G14" s="72"/>
      <c r="H14" s="72"/>
      <c r="K14" t="s">
        <v>111</v>
      </c>
      <c r="L14" s="7">
        <v>0</v>
      </c>
      <c r="M14" s="7"/>
      <c r="N14" s="24" t="s">
        <v>94</v>
      </c>
      <c r="O14" s="25">
        <f>O5+O8</f>
        <v>0</v>
      </c>
    </row>
    <row r="15" spans="1:24" x14ac:dyDescent="0.3">
      <c r="A15" t="s">
        <v>139</v>
      </c>
      <c r="B15" s="7">
        <v>250</v>
      </c>
      <c r="D15" s="64"/>
      <c r="E15" s="64"/>
      <c r="F15" s="64"/>
      <c r="G15" s="64"/>
      <c r="H15" s="64"/>
      <c r="L15" s="7"/>
      <c r="M15" s="7"/>
      <c r="N15" s="24"/>
      <c r="O15" s="25"/>
    </row>
    <row r="16" spans="1:24" x14ac:dyDescent="0.3">
      <c r="A16" t="s">
        <v>158</v>
      </c>
      <c r="B16" s="7">
        <v>200</v>
      </c>
      <c r="L16" s="7"/>
      <c r="M16" s="7"/>
    </row>
    <row r="17" spans="1:13" x14ac:dyDescent="0.3">
      <c r="A17" t="s">
        <v>366</v>
      </c>
      <c r="B17" s="7">
        <v>800</v>
      </c>
      <c r="F17" t="s">
        <v>114</v>
      </c>
      <c r="G17" t="s">
        <v>122</v>
      </c>
      <c r="L17" s="7"/>
      <c r="M17" s="7"/>
    </row>
    <row r="18" spans="1:13" x14ac:dyDescent="0.3">
      <c r="A18" t="s">
        <v>276</v>
      </c>
      <c r="B18" s="7">
        <v>500</v>
      </c>
      <c r="F18" t="s">
        <v>115</v>
      </c>
      <c r="G18" t="s">
        <v>52</v>
      </c>
      <c r="K18" t="s">
        <v>13</v>
      </c>
      <c r="L18" s="7">
        <v>750</v>
      </c>
      <c r="M18" s="7"/>
    </row>
    <row r="19" spans="1:13" x14ac:dyDescent="0.3">
      <c r="A19" t="s">
        <v>197</v>
      </c>
      <c r="B19" s="7">
        <v>0</v>
      </c>
      <c r="F19" t="s">
        <v>116</v>
      </c>
      <c r="G19" t="s">
        <v>47</v>
      </c>
      <c r="L19" s="7"/>
      <c r="M19" s="7"/>
    </row>
    <row r="20" spans="1:13" x14ac:dyDescent="0.3">
      <c r="A20" s="2" t="s">
        <v>83</v>
      </c>
      <c r="B20" s="8">
        <f>SUM(B3:B19)</f>
        <v>14670</v>
      </c>
      <c r="F20" t="s">
        <v>117</v>
      </c>
      <c r="G20" t="s">
        <v>87</v>
      </c>
      <c r="K20" s="2" t="s">
        <v>14</v>
      </c>
      <c r="L20" s="8">
        <f>L22</f>
        <v>809.75</v>
      </c>
      <c r="M20" s="8"/>
    </row>
    <row r="21" spans="1:13" x14ac:dyDescent="0.3">
      <c r="A21" s="2" t="s">
        <v>84</v>
      </c>
      <c r="B21" s="8">
        <f>SUM(B2-B20)</f>
        <v>6299</v>
      </c>
      <c r="F21" t="s">
        <v>118</v>
      </c>
      <c r="G21" t="s">
        <v>87</v>
      </c>
      <c r="K21" s="2" t="s">
        <v>86</v>
      </c>
      <c r="L21" s="8">
        <f>SUM(L5:L18)</f>
        <v>765</v>
      </c>
      <c r="M21" s="8"/>
    </row>
    <row r="22" spans="1:13" x14ac:dyDescent="0.3">
      <c r="F22" t="s">
        <v>119</v>
      </c>
      <c r="G22" t="s">
        <v>120</v>
      </c>
      <c r="K22" s="1" t="s">
        <v>0</v>
      </c>
      <c r="L22" s="7">
        <f>SUM(L3-L21)</f>
        <v>809.75</v>
      </c>
      <c r="M22" s="7"/>
    </row>
    <row r="23" spans="1:13" x14ac:dyDescent="0.3">
      <c r="K23" s="1" t="s">
        <v>93</v>
      </c>
      <c r="L23" s="7">
        <f>L20 *2</f>
        <v>1619.5</v>
      </c>
      <c r="M23" s="7"/>
    </row>
    <row r="24" spans="1:13" x14ac:dyDescent="0.3">
      <c r="K24" t="s">
        <v>100</v>
      </c>
      <c r="L24" s="7">
        <f>L23*2</f>
        <v>3239</v>
      </c>
      <c r="M24" s="7"/>
    </row>
    <row r="25" spans="1:13" x14ac:dyDescent="0.3">
      <c r="D25" t="s">
        <v>107</v>
      </c>
      <c r="E25">
        <v>1500</v>
      </c>
      <c r="L25" s="7"/>
      <c r="M25" s="7"/>
    </row>
    <row r="26" spans="1:13" x14ac:dyDescent="0.3">
      <c r="D26" t="s">
        <v>9</v>
      </c>
      <c r="E26">
        <v>400</v>
      </c>
      <c r="L26" s="7"/>
      <c r="M26" s="7"/>
    </row>
    <row r="27" spans="1:13" x14ac:dyDescent="0.3">
      <c r="A27" s="27">
        <f>1937.5 - 500</f>
        <v>1437.5</v>
      </c>
      <c r="D27" t="s">
        <v>109</v>
      </c>
      <c r="E27">
        <v>800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9843-C9B5-448F-A80D-316A453DE728}">
  <dimension ref="A1:X29"/>
  <sheetViews>
    <sheetView zoomScale="89" zoomScaleNormal="89" workbookViewId="0">
      <selection activeCell="C19" sqref="C19"/>
    </sheetView>
  </sheetViews>
  <sheetFormatPr defaultRowHeight="14.4" x14ac:dyDescent="0.3"/>
  <cols>
    <col min="1" max="1" width="19.554687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390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392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(B21/4)</f>
        <v>1829.75</v>
      </c>
      <c r="M3" s="8"/>
    </row>
    <row r="4" spans="1:24" ht="12.6" customHeight="1" x14ac:dyDescent="0.3">
      <c r="A4" t="s">
        <v>204</v>
      </c>
      <c r="B4" s="7">
        <v>0</v>
      </c>
      <c r="C4" t="s">
        <v>383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384</v>
      </c>
      <c r="D5" s="77"/>
      <c r="E5" s="77"/>
      <c r="F5" s="77"/>
      <c r="G5" s="77"/>
      <c r="H5" s="77"/>
      <c r="K5" t="s">
        <v>9</v>
      </c>
      <c r="L5" s="7">
        <v>250</v>
      </c>
      <c r="M5" s="7"/>
      <c r="N5" s="22"/>
      <c r="O5" s="23">
        <f>L5*4</f>
        <v>1000</v>
      </c>
    </row>
    <row r="6" spans="1:24" x14ac:dyDescent="0.3">
      <c r="A6" t="s">
        <v>127</v>
      </c>
      <c r="B6" s="7">
        <v>280</v>
      </c>
      <c r="C6" t="s">
        <v>389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355</v>
      </c>
      <c r="B7" s="7">
        <f xml:space="preserve"> 2500 + 1500</f>
        <v>4000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364</v>
      </c>
      <c r="B8" s="7">
        <v>1000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112</v>
      </c>
      <c r="B11" s="7">
        <v>300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230</v>
      </c>
      <c r="C12" t="s">
        <v>350</v>
      </c>
      <c r="D12" s="65"/>
      <c r="E12" s="65"/>
      <c r="F12" s="65"/>
      <c r="G12" s="65"/>
      <c r="H12" s="65"/>
      <c r="K12" t="s">
        <v>108</v>
      </c>
      <c r="L12" s="7">
        <v>100</v>
      </c>
      <c r="M12" s="7"/>
      <c r="N12" s="22"/>
      <c r="O12" s="23"/>
    </row>
    <row r="13" spans="1:24" x14ac:dyDescent="0.3">
      <c r="A13" t="s">
        <v>46</v>
      </c>
      <c r="B13" s="7">
        <v>400</v>
      </c>
      <c r="D13" s="65"/>
      <c r="E13" s="65"/>
      <c r="F13" s="65"/>
      <c r="G13" s="65"/>
      <c r="H13" s="65"/>
      <c r="K13" t="s">
        <v>21</v>
      </c>
      <c r="L13" s="7">
        <v>50</v>
      </c>
      <c r="M13" s="7"/>
      <c r="N13" s="22"/>
      <c r="O13" s="23"/>
    </row>
    <row r="14" spans="1:24" x14ac:dyDescent="0.3">
      <c r="A14" t="s">
        <v>89</v>
      </c>
      <c r="B14" s="7">
        <v>490</v>
      </c>
      <c r="D14" s="72" t="s">
        <v>103</v>
      </c>
      <c r="E14" s="72"/>
      <c r="F14" s="72"/>
      <c r="G14" s="72"/>
      <c r="H14" s="72"/>
      <c r="K14" t="s">
        <v>111</v>
      </c>
      <c r="L14" s="7">
        <v>75</v>
      </c>
      <c r="M14" s="7"/>
      <c r="N14" s="24" t="s">
        <v>94</v>
      </c>
      <c r="O14" s="25">
        <f>O5+O8</f>
        <v>1000</v>
      </c>
    </row>
    <row r="15" spans="1:24" x14ac:dyDescent="0.3">
      <c r="A15" t="s">
        <v>139</v>
      </c>
      <c r="B15" s="7">
        <v>250</v>
      </c>
      <c r="D15" s="64"/>
      <c r="E15" s="64"/>
      <c r="F15" s="64"/>
      <c r="G15" s="64"/>
      <c r="H15" s="64"/>
      <c r="L15" s="7"/>
      <c r="M15" s="7"/>
      <c r="N15" s="24"/>
      <c r="O15" s="25"/>
    </row>
    <row r="16" spans="1:24" x14ac:dyDescent="0.3">
      <c r="A16" t="s">
        <v>158</v>
      </c>
      <c r="B16" s="7">
        <v>200</v>
      </c>
      <c r="L16" s="7"/>
      <c r="M16" s="7"/>
    </row>
    <row r="17" spans="1:13" x14ac:dyDescent="0.3">
      <c r="A17" t="s">
        <v>5</v>
      </c>
      <c r="B17" s="7">
        <v>0</v>
      </c>
      <c r="F17" t="s">
        <v>114</v>
      </c>
      <c r="G17" t="s">
        <v>122</v>
      </c>
      <c r="L17" s="7"/>
      <c r="M17" s="7"/>
    </row>
    <row r="18" spans="1:13" x14ac:dyDescent="0.3">
      <c r="A18" t="s">
        <v>276</v>
      </c>
      <c r="B18" s="7">
        <v>0</v>
      </c>
      <c r="F18" t="s">
        <v>115</v>
      </c>
      <c r="G18" t="s">
        <v>52</v>
      </c>
      <c r="K18" t="s">
        <v>13</v>
      </c>
      <c r="L18" s="7">
        <v>700</v>
      </c>
      <c r="M18" s="7"/>
    </row>
    <row r="19" spans="1:13" x14ac:dyDescent="0.3">
      <c r="A19" t="s">
        <v>197</v>
      </c>
      <c r="B19" s="7">
        <v>0</v>
      </c>
      <c r="F19" t="s">
        <v>116</v>
      </c>
      <c r="G19" t="s">
        <v>47</v>
      </c>
      <c r="L19" s="7"/>
      <c r="M19" s="7"/>
    </row>
    <row r="20" spans="1:13" x14ac:dyDescent="0.3">
      <c r="A20" s="2" t="s">
        <v>83</v>
      </c>
      <c r="B20" s="8">
        <f>SUM(B3:B19)</f>
        <v>13650</v>
      </c>
      <c r="F20" t="s">
        <v>117</v>
      </c>
      <c r="G20" t="s">
        <v>87</v>
      </c>
      <c r="K20" s="2" t="s">
        <v>14</v>
      </c>
      <c r="L20" s="8">
        <f>L22</f>
        <v>654.75</v>
      </c>
      <c r="M20" s="8"/>
    </row>
    <row r="21" spans="1:13" x14ac:dyDescent="0.3">
      <c r="A21" s="2" t="s">
        <v>84</v>
      </c>
      <c r="B21" s="8">
        <f>SUM(B2-B20)</f>
        <v>7319</v>
      </c>
      <c r="F21" t="s">
        <v>118</v>
      </c>
      <c r="G21" t="s">
        <v>87</v>
      </c>
      <c r="K21" s="2" t="s">
        <v>86</v>
      </c>
      <c r="L21" s="8">
        <f>SUM(L5:L18)</f>
        <v>1175</v>
      </c>
      <c r="M21" s="8"/>
    </row>
    <row r="22" spans="1:13" x14ac:dyDescent="0.3">
      <c r="F22" t="s">
        <v>119</v>
      </c>
      <c r="G22" t="s">
        <v>120</v>
      </c>
      <c r="K22" s="1" t="s">
        <v>0</v>
      </c>
      <c r="L22" s="7">
        <f>SUM(L3-L21)</f>
        <v>654.75</v>
      </c>
      <c r="M22" s="7"/>
    </row>
    <row r="23" spans="1:13" x14ac:dyDescent="0.3">
      <c r="K23" s="1" t="s">
        <v>93</v>
      </c>
      <c r="L23" s="7">
        <f>L20 *2</f>
        <v>1309.5</v>
      </c>
      <c r="M23" s="7"/>
    </row>
    <row r="24" spans="1:13" x14ac:dyDescent="0.3">
      <c r="K24" t="s">
        <v>100</v>
      </c>
      <c r="L24" s="7">
        <f>L23*2</f>
        <v>2619</v>
      </c>
      <c r="M24" s="7"/>
    </row>
    <row r="25" spans="1:13" x14ac:dyDescent="0.3">
      <c r="D25" t="s">
        <v>107</v>
      </c>
      <c r="E25">
        <v>1500</v>
      </c>
      <c r="L25" s="7"/>
      <c r="M25" s="7"/>
    </row>
    <row r="26" spans="1:13" x14ac:dyDescent="0.3">
      <c r="D26" t="s">
        <v>9</v>
      </c>
      <c r="E26">
        <v>400</v>
      </c>
      <c r="L26" s="7"/>
      <c r="M26" s="7"/>
    </row>
    <row r="27" spans="1:13" x14ac:dyDescent="0.3">
      <c r="A27" s="27">
        <f>1937.5 - 500</f>
        <v>1437.5</v>
      </c>
      <c r="D27" t="s">
        <v>109</v>
      </c>
      <c r="E27">
        <v>800</v>
      </c>
    </row>
    <row r="29" spans="1:13" x14ac:dyDescent="0.3">
      <c r="G29">
        <f>8000/3</f>
        <v>2666.6666666666665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31D5-8705-4B38-9BBC-F2CDB1E28B0B}">
  <dimension ref="A1:X27"/>
  <sheetViews>
    <sheetView zoomScale="89" zoomScaleNormal="89" workbookViewId="0">
      <selection activeCell="H34" sqref="H34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375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393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(B21/4)</f>
        <v>1987.25</v>
      </c>
      <c r="M3" s="8"/>
    </row>
    <row r="4" spans="1:24" ht="12.6" customHeight="1" x14ac:dyDescent="0.3">
      <c r="A4" t="s">
        <v>204</v>
      </c>
      <c r="B4" s="7">
        <v>0</v>
      </c>
      <c r="C4" t="s">
        <v>383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C5" t="s">
        <v>384</v>
      </c>
      <c r="D5" s="77"/>
      <c r="E5" s="77"/>
      <c r="F5" s="77"/>
      <c r="G5" s="77"/>
      <c r="H5" s="77"/>
      <c r="K5" t="s">
        <v>9</v>
      </c>
      <c r="L5" s="7">
        <v>250</v>
      </c>
      <c r="M5" s="7"/>
      <c r="N5" s="22"/>
      <c r="O5" s="23">
        <f>L5*4</f>
        <v>1000</v>
      </c>
    </row>
    <row r="6" spans="1:24" x14ac:dyDescent="0.3">
      <c r="A6" t="s">
        <v>127</v>
      </c>
      <c r="B6" s="7">
        <v>280</v>
      </c>
      <c r="C6" t="s">
        <v>389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342</v>
      </c>
      <c r="B7" s="7">
        <v>3000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2200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112</v>
      </c>
      <c r="B11" s="7">
        <v>300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0</v>
      </c>
      <c r="C12" t="s">
        <v>351</v>
      </c>
      <c r="D12" s="65"/>
      <c r="E12" s="65"/>
      <c r="F12" s="65"/>
      <c r="G12" s="65"/>
      <c r="H12" s="65"/>
      <c r="K12" t="s">
        <v>108</v>
      </c>
      <c r="L12" s="7">
        <v>100</v>
      </c>
      <c r="M12" s="7"/>
      <c r="N12" s="22"/>
      <c r="O12" s="23"/>
    </row>
    <row r="13" spans="1:24" x14ac:dyDescent="0.3">
      <c r="A13" t="s">
        <v>46</v>
      </c>
      <c r="B13" s="7">
        <v>0</v>
      </c>
      <c r="D13" s="65"/>
      <c r="E13" s="65"/>
      <c r="F13" s="65"/>
      <c r="G13" s="65"/>
      <c r="H13" s="65"/>
      <c r="K13" t="s">
        <v>21</v>
      </c>
      <c r="L13" s="7">
        <v>0</v>
      </c>
      <c r="M13" s="7"/>
      <c r="N13" s="22"/>
      <c r="O13" s="23"/>
    </row>
    <row r="14" spans="1:24" x14ac:dyDescent="0.3">
      <c r="A14" t="s">
        <v>89</v>
      </c>
      <c r="B14" s="7">
        <v>490</v>
      </c>
      <c r="D14" s="72" t="s">
        <v>103</v>
      </c>
      <c r="E14" s="72"/>
      <c r="F14" s="72"/>
      <c r="G14" s="72"/>
      <c r="H14" s="72"/>
      <c r="K14" t="s">
        <v>111</v>
      </c>
      <c r="L14" s="7">
        <v>0</v>
      </c>
      <c r="M14" s="7"/>
      <c r="N14" s="24" t="s">
        <v>94</v>
      </c>
      <c r="O14" s="25">
        <f>O5+O8</f>
        <v>1000</v>
      </c>
    </row>
    <row r="15" spans="1:24" x14ac:dyDescent="0.3">
      <c r="A15" t="s">
        <v>139</v>
      </c>
      <c r="B15" s="7">
        <v>250</v>
      </c>
      <c r="D15" s="64"/>
      <c r="E15" s="64"/>
      <c r="F15" s="64"/>
      <c r="G15" s="64"/>
      <c r="H15" s="64"/>
      <c r="L15" s="7"/>
      <c r="M15" s="7"/>
      <c r="N15" s="24"/>
      <c r="O15" s="25"/>
    </row>
    <row r="16" spans="1:24" x14ac:dyDescent="0.3">
      <c r="A16" t="s">
        <v>158</v>
      </c>
      <c r="B16" s="7">
        <v>0</v>
      </c>
      <c r="L16" s="7"/>
      <c r="M16" s="7"/>
    </row>
    <row r="17" spans="1:13" x14ac:dyDescent="0.3">
      <c r="A17" t="s">
        <v>5</v>
      </c>
      <c r="B17" s="7">
        <v>0</v>
      </c>
      <c r="F17" t="s">
        <v>114</v>
      </c>
      <c r="G17" t="s">
        <v>122</v>
      </c>
      <c r="L17" s="7"/>
      <c r="M17" s="7"/>
    </row>
    <row r="18" spans="1:13" x14ac:dyDescent="0.3">
      <c r="A18" t="s">
        <v>276</v>
      </c>
      <c r="B18" s="7">
        <v>0</v>
      </c>
      <c r="F18" t="s">
        <v>115</v>
      </c>
      <c r="G18" t="s">
        <v>52</v>
      </c>
      <c r="K18" t="s">
        <v>13</v>
      </c>
      <c r="L18" s="7">
        <v>600</v>
      </c>
      <c r="M18" s="7"/>
    </row>
    <row r="19" spans="1:13" x14ac:dyDescent="0.3">
      <c r="A19" t="s">
        <v>197</v>
      </c>
      <c r="B19" s="7">
        <v>0</v>
      </c>
      <c r="F19" t="s">
        <v>116</v>
      </c>
      <c r="G19" t="s">
        <v>47</v>
      </c>
      <c r="L19" s="7"/>
      <c r="M19" s="7"/>
    </row>
    <row r="20" spans="1:13" x14ac:dyDescent="0.3">
      <c r="A20" s="2" t="s">
        <v>83</v>
      </c>
      <c r="B20" s="8">
        <f>SUM(B3:B19)</f>
        <v>13020</v>
      </c>
      <c r="F20" t="s">
        <v>117</v>
      </c>
      <c r="G20" t="s">
        <v>87</v>
      </c>
      <c r="K20" s="2" t="s">
        <v>14</v>
      </c>
      <c r="L20" s="8">
        <f>L22</f>
        <v>1037.25</v>
      </c>
      <c r="M20" s="8"/>
    </row>
    <row r="21" spans="1:13" x14ac:dyDescent="0.3">
      <c r="A21" s="2" t="s">
        <v>84</v>
      </c>
      <c r="B21" s="8">
        <f>SUM(B2-B20)</f>
        <v>7949</v>
      </c>
      <c r="F21" t="s">
        <v>118</v>
      </c>
      <c r="G21" t="s">
        <v>87</v>
      </c>
      <c r="K21" s="2" t="s">
        <v>86</v>
      </c>
      <c r="L21" s="8">
        <f>SUM(L5:L18)</f>
        <v>950</v>
      </c>
      <c r="M21" s="8"/>
    </row>
    <row r="22" spans="1:13" x14ac:dyDescent="0.3">
      <c r="F22" t="s">
        <v>119</v>
      </c>
      <c r="G22" t="s">
        <v>120</v>
      </c>
      <c r="K22" s="1" t="s">
        <v>0</v>
      </c>
      <c r="L22" s="7">
        <f>SUM(L3-L21)</f>
        <v>1037.25</v>
      </c>
      <c r="M22" s="7"/>
    </row>
    <row r="23" spans="1:13" x14ac:dyDescent="0.3">
      <c r="K23" s="1" t="s">
        <v>93</v>
      </c>
      <c r="L23" s="7">
        <f>L20 *2</f>
        <v>2074.5</v>
      </c>
      <c r="M23" s="7"/>
    </row>
    <row r="24" spans="1:13" x14ac:dyDescent="0.3">
      <c r="K24" t="s">
        <v>100</v>
      </c>
      <c r="L24" s="7">
        <f>L23*2</f>
        <v>4149</v>
      </c>
      <c r="M24" s="7"/>
    </row>
    <row r="25" spans="1:13" x14ac:dyDescent="0.3">
      <c r="D25" t="s">
        <v>107</v>
      </c>
      <c r="E25">
        <v>1500</v>
      </c>
      <c r="L25" s="7"/>
      <c r="M25" s="7"/>
    </row>
    <row r="26" spans="1:13" x14ac:dyDescent="0.3">
      <c r="D26" t="s">
        <v>9</v>
      </c>
      <c r="E26">
        <v>400</v>
      </c>
      <c r="L26" s="7"/>
      <c r="M26" s="7"/>
    </row>
    <row r="27" spans="1:13" x14ac:dyDescent="0.3">
      <c r="A27" s="27">
        <f>1937.5 - 500</f>
        <v>1437.5</v>
      </c>
      <c r="D27" t="s">
        <v>109</v>
      </c>
      <c r="E27">
        <v>800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4F5B-F63D-4449-8D9F-558C1D526D48}">
  <dimension ref="A1:X28"/>
  <sheetViews>
    <sheetView zoomScale="89" zoomScaleNormal="89" workbookViewId="0">
      <selection activeCell="C4" sqref="C4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382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394</v>
      </c>
      <c r="D3" s="77" t="s">
        <v>353</v>
      </c>
      <c r="E3" s="77"/>
      <c r="F3" s="77"/>
      <c r="G3" s="77"/>
      <c r="H3" s="77"/>
      <c r="I3" s="26"/>
      <c r="K3" s="2" t="s">
        <v>85</v>
      </c>
      <c r="L3" s="8">
        <f>(B22/4)</f>
        <v>1829.75</v>
      </c>
      <c r="M3" s="8"/>
    </row>
    <row r="4" spans="1:24" ht="12.6" customHeight="1" x14ac:dyDescent="0.3">
      <c r="A4" t="s">
        <v>204</v>
      </c>
      <c r="B4" s="7">
        <v>0</v>
      </c>
      <c r="C4" t="s">
        <v>395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D5" s="77"/>
      <c r="E5" s="77"/>
      <c r="F5" s="77"/>
      <c r="G5" s="77"/>
      <c r="H5" s="77"/>
      <c r="K5" t="s">
        <v>9</v>
      </c>
      <c r="L5" s="7">
        <v>250</v>
      </c>
      <c r="M5" s="7"/>
      <c r="N5" s="22"/>
      <c r="O5" s="23">
        <f>L5*4</f>
        <v>1000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356</v>
      </c>
      <c r="B7" s="7">
        <v>2500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2500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112</v>
      </c>
      <c r="B11" s="7">
        <v>300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230</v>
      </c>
      <c r="C12" t="s">
        <v>338</v>
      </c>
      <c r="D12" s="65"/>
      <c r="E12" s="65"/>
      <c r="F12" s="65"/>
      <c r="G12" s="65"/>
      <c r="H12" s="65"/>
      <c r="K12" t="s">
        <v>108</v>
      </c>
      <c r="L12" s="7">
        <v>100</v>
      </c>
      <c r="M12" s="7"/>
      <c r="N12" s="22"/>
      <c r="O12" s="23"/>
    </row>
    <row r="13" spans="1:24" x14ac:dyDescent="0.3">
      <c r="A13" t="s">
        <v>352</v>
      </c>
      <c r="B13" s="7">
        <v>0</v>
      </c>
      <c r="D13" s="66"/>
      <c r="E13" s="66"/>
      <c r="F13" s="66"/>
      <c r="G13" s="66"/>
      <c r="H13" s="66"/>
      <c r="L13" s="7"/>
      <c r="M13" s="7"/>
      <c r="N13" s="22"/>
      <c r="O13" s="23"/>
    </row>
    <row r="14" spans="1:24" x14ac:dyDescent="0.3">
      <c r="A14" t="s">
        <v>46</v>
      </c>
      <c r="B14" s="7">
        <v>400</v>
      </c>
      <c r="D14" s="65"/>
      <c r="E14" s="65"/>
      <c r="F14" s="65"/>
      <c r="G14" s="65"/>
      <c r="H14" s="65"/>
      <c r="K14" t="s">
        <v>21</v>
      </c>
      <c r="L14" s="7">
        <v>50</v>
      </c>
      <c r="M14" s="7"/>
      <c r="N14" s="22"/>
      <c r="O14" s="23"/>
    </row>
    <row r="15" spans="1:24" x14ac:dyDescent="0.3">
      <c r="A15" t="s">
        <v>89</v>
      </c>
      <c r="B15" s="7">
        <v>490</v>
      </c>
      <c r="D15" s="72" t="s">
        <v>103</v>
      </c>
      <c r="E15" s="72"/>
      <c r="F15" s="72"/>
      <c r="G15" s="72"/>
      <c r="H15" s="72"/>
      <c r="K15" t="s">
        <v>111</v>
      </c>
      <c r="L15" s="7">
        <v>75</v>
      </c>
      <c r="M15" s="7"/>
      <c r="N15" s="24" t="s">
        <v>94</v>
      </c>
      <c r="O15" s="25">
        <f>O5+O8</f>
        <v>1000</v>
      </c>
    </row>
    <row r="16" spans="1:24" x14ac:dyDescent="0.3">
      <c r="A16" t="s">
        <v>139</v>
      </c>
      <c r="B16" s="7">
        <v>250</v>
      </c>
      <c r="D16" s="64"/>
      <c r="E16" s="64"/>
      <c r="F16" s="64"/>
      <c r="G16" s="64"/>
      <c r="H16" s="64"/>
      <c r="L16" s="7"/>
      <c r="M16" s="7"/>
      <c r="N16" s="24"/>
      <c r="O16" s="25"/>
    </row>
    <row r="17" spans="1:13" x14ac:dyDescent="0.3">
      <c r="A17" t="s">
        <v>158</v>
      </c>
      <c r="B17" s="7">
        <v>200</v>
      </c>
      <c r="L17" s="7"/>
      <c r="M17" s="7"/>
    </row>
    <row r="18" spans="1:13" x14ac:dyDescent="0.3">
      <c r="A18" t="s">
        <v>5</v>
      </c>
      <c r="B18" s="7">
        <v>0</v>
      </c>
      <c r="F18" t="s">
        <v>114</v>
      </c>
      <c r="G18" t="s">
        <v>122</v>
      </c>
      <c r="L18" s="7"/>
      <c r="M18" s="7"/>
    </row>
    <row r="19" spans="1:13" x14ac:dyDescent="0.3">
      <c r="A19" t="s">
        <v>276</v>
      </c>
      <c r="B19" s="7">
        <v>0</v>
      </c>
      <c r="F19" t="s">
        <v>115</v>
      </c>
      <c r="G19" t="s">
        <v>52</v>
      </c>
      <c r="K19" t="s">
        <v>13</v>
      </c>
      <c r="L19" s="7">
        <v>700</v>
      </c>
      <c r="M19" s="7"/>
    </row>
    <row r="20" spans="1:13" x14ac:dyDescent="0.3">
      <c r="A20" t="s">
        <v>197</v>
      </c>
      <c r="B20" s="7">
        <v>0</v>
      </c>
      <c r="F20" t="s">
        <v>116</v>
      </c>
      <c r="G20" t="s">
        <v>47</v>
      </c>
      <c r="L20" s="7"/>
      <c r="M20" s="7"/>
    </row>
    <row r="21" spans="1:13" x14ac:dyDescent="0.3">
      <c r="A21" s="2" t="s">
        <v>83</v>
      </c>
      <c r="B21" s="8">
        <f>SUM(B3:B20)</f>
        <v>13650</v>
      </c>
      <c r="F21" t="s">
        <v>117</v>
      </c>
      <c r="G21" t="s">
        <v>87</v>
      </c>
      <c r="K21" s="2" t="s">
        <v>14</v>
      </c>
      <c r="L21" s="8">
        <f>L23</f>
        <v>654.75</v>
      </c>
      <c r="M21" s="8"/>
    </row>
    <row r="22" spans="1:13" x14ac:dyDescent="0.3">
      <c r="A22" s="2" t="s">
        <v>84</v>
      </c>
      <c r="B22" s="8">
        <f>SUM(B2-B21)</f>
        <v>7319</v>
      </c>
      <c r="F22" t="s">
        <v>118</v>
      </c>
      <c r="G22" t="s">
        <v>87</v>
      </c>
      <c r="K22" s="2" t="s">
        <v>86</v>
      </c>
      <c r="L22" s="8">
        <f>SUM(L5:L19)</f>
        <v>1175</v>
      </c>
      <c r="M22" s="8"/>
    </row>
    <row r="23" spans="1:13" x14ac:dyDescent="0.3">
      <c r="F23" t="s">
        <v>119</v>
      </c>
      <c r="G23" t="s">
        <v>120</v>
      </c>
      <c r="K23" s="1" t="s">
        <v>0</v>
      </c>
      <c r="L23" s="7">
        <f>SUM(L3-L22)</f>
        <v>654.75</v>
      </c>
      <c r="M23" s="7"/>
    </row>
    <row r="24" spans="1:13" x14ac:dyDescent="0.3">
      <c r="K24" s="1" t="s">
        <v>93</v>
      </c>
      <c r="L24" s="7">
        <f>L21 *2</f>
        <v>1309.5</v>
      </c>
      <c r="M24" s="7"/>
    </row>
    <row r="25" spans="1:13" x14ac:dyDescent="0.3">
      <c r="K25" t="s">
        <v>100</v>
      </c>
      <c r="L25" s="7">
        <f>L24*2</f>
        <v>2619</v>
      </c>
      <c r="M25" s="7"/>
    </row>
    <row r="26" spans="1:13" x14ac:dyDescent="0.3">
      <c r="D26" t="s">
        <v>107</v>
      </c>
      <c r="E26">
        <v>1500</v>
      </c>
      <c r="L26" s="7"/>
      <c r="M26" s="7"/>
    </row>
    <row r="27" spans="1:13" x14ac:dyDescent="0.3">
      <c r="D27" t="s">
        <v>9</v>
      </c>
      <c r="E27">
        <v>400</v>
      </c>
      <c r="L27" s="7"/>
      <c r="M27" s="7"/>
    </row>
    <row r="28" spans="1:13" x14ac:dyDescent="0.3">
      <c r="A28" s="27">
        <f>1937.5 - 500</f>
        <v>1437.5</v>
      </c>
      <c r="D28" t="s">
        <v>109</v>
      </c>
      <c r="E28">
        <v>800</v>
      </c>
    </row>
  </sheetData>
  <mergeCells count="4">
    <mergeCell ref="A1:X1"/>
    <mergeCell ref="K2:N2"/>
    <mergeCell ref="D3:H8"/>
    <mergeCell ref="D15:H15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E512-89BD-489B-B273-B6E5D6B6E20B}">
  <dimension ref="A1:X27"/>
  <sheetViews>
    <sheetView zoomScale="89" zoomScaleNormal="89" workbookViewId="0">
      <selection activeCell="C8" sqref="C8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372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398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(B21/4)</f>
        <v>1637.25</v>
      </c>
      <c r="M3" s="8"/>
    </row>
    <row r="4" spans="1:24" ht="12.6" customHeight="1" x14ac:dyDescent="0.3">
      <c r="A4" t="s">
        <v>204</v>
      </c>
      <c r="B4" s="7">
        <v>0</v>
      </c>
      <c r="C4" t="s">
        <v>397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D5" s="77"/>
      <c r="E5" s="77"/>
      <c r="F5" s="77"/>
      <c r="G5" s="77"/>
      <c r="H5" s="77"/>
      <c r="K5" t="s">
        <v>9</v>
      </c>
      <c r="L5" s="7">
        <v>250</v>
      </c>
      <c r="M5" s="7"/>
      <c r="N5" s="22"/>
      <c r="O5" s="23">
        <f>L5*4</f>
        <v>1000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356</v>
      </c>
      <c r="B7" s="7">
        <v>2500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2000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5"/>
      <c r="E9" s="65"/>
      <c r="F9" s="65"/>
      <c r="G9" s="65"/>
      <c r="H9" s="65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5"/>
      <c r="E10" s="65"/>
      <c r="F10" s="65"/>
      <c r="G10" s="65"/>
      <c r="H10" s="65"/>
      <c r="L10" s="7"/>
      <c r="M10" s="7"/>
      <c r="N10" s="22"/>
      <c r="O10" s="23"/>
    </row>
    <row r="11" spans="1:24" x14ac:dyDescent="0.3">
      <c r="A11" t="s">
        <v>112</v>
      </c>
      <c r="B11" s="7">
        <v>300</v>
      </c>
      <c r="D11" s="65"/>
      <c r="E11" s="65"/>
      <c r="F11" s="65"/>
      <c r="G11" s="65"/>
      <c r="H11" s="65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0</v>
      </c>
      <c r="C12" t="s">
        <v>338</v>
      </c>
      <c r="D12" s="65"/>
      <c r="E12" s="65"/>
      <c r="F12" s="65"/>
      <c r="G12" s="65"/>
      <c r="H12" s="65"/>
      <c r="K12" t="s">
        <v>108</v>
      </c>
      <c r="L12" s="7">
        <v>100</v>
      </c>
      <c r="M12" s="7"/>
      <c r="N12" s="22"/>
      <c r="O12" s="23"/>
    </row>
    <row r="13" spans="1:24" x14ac:dyDescent="0.3">
      <c r="A13" t="s">
        <v>46</v>
      </c>
      <c r="B13" s="7">
        <v>400</v>
      </c>
      <c r="D13" s="65"/>
      <c r="E13" s="65"/>
      <c r="F13" s="65"/>
      <c r="G13" s="65"/>
      <c r="H13" s="65"/>
      <c r="K13" t="s">
        <v>21</v>
      </c>
      <c r="L13" s="7">
        <v>50</v>
      </c>
      <c r="M13" s="7"/>
      <c r="N13" s="22"/>
      <c r="O13" s="23"/>
    </row>
    <row r="14" spans="1:24" x14ac:dyDescent="0.3">
      <c r="A14" t="s">
        <v>89</v>
      </c>
      <c r="B14" s="7">
        <v>490</v>
      </c>
      <c r="D14" s="72" t="s">
        <v>103</v>
      </c>
      <c r="E14" s="72"/>
      <c r="F14" s="72"/>
      <c r="G14" s="72"/>
      <c r="H14" s="72"/>
      <c r="K14" t="s">
        <v>111</v>
      </c>
      <c r="L14" s="7">
        <v>75</v>
      </c>
      <c r="M14" s="7"/>
      <c r="N14" s="24" t="s">
        <v>94</v>
      </c>
      <c r="O14" s="25">
        <f>O5+O8</f>
        <v>1000</v>
      </c>
    </row>
    <row r="15" spans="1:24" x14ac:dyDescent="0.3">
      <c r="A15" t="s">
        <v>139</v>
      </c>
      <c r="B15" s="7">
        <v>250</v>
      </c>
      <c r="D15" s="64"/>
      <c r="E15" s="64"/>
      <c r="F15" s="64"/>
      <c r="G15" s="64"/>
      <c r="H15" s="64"/>
      <c r="L15" s="7"/>
      <c r="M15" s="7"/>
      <c r="N15" s="24"/>
      <c r="O15" s="25"/>
    </row>
    <row r="16" spans="1:24" x14ac:dyDescent="0.3">
      <c r="A16" t="s">
        <v>158</v>
      </c>
      <c r="B16" s="7">
        <v>200</v>
      </c>
      <c r="L16" s="7"/>
      <c r="M16" s="7"/>
    </row>
    <row r="17" spans="1:13" x14ac:dyDescent="0.3">
      <c r="A17" t="s">
        <v>5</v>
      </c>
      <c r="B17" s="7">
        <v>0</v>
      </c>
      <c r="F17" t="s">
        <v>114</v>
      </c>
      <c r="G17" t="s">
        <v>122</v>
      </c>
      <c r="L17" s="7"/>
      <c r="M17" s="7"/>
    </row>
    <row r="18" spans="1:13" x14ac:dyDescent="0.3">
      <c r="A18" t="s">
        <v>339</v>
      </c>
      <c r="B18" s="7">
        <v>1500</v>
      </c>
      <c r="F18" t="s">
        <v>115</v>
      </c>
      <c r="G18" t="s">
        <v>52</v>
      </c>
      <c r="K18" t="s">
        <v>13</v>
      </c>
      <c r="L18" s="7">
        <v>750</v>
      </c>
      <c r="M18" s="7"/>
    </row>
    <row r="19" spans="1:13" x14ac:dyDescent="0.3">
      <c r="A19" t="s">
        <v>197</v>
      </c>
      <c r="B19" s="7">
        <v>0</v>
      </c>
      <c r="F19" t="s">
        <v>116</v>
      </c>
      <c r="G19" t="s">
        <v>47</v>
      </c>
      <c r="L19" s="7"/>
      <c r="M19" s="7"/>
    </row>
    <row r="20" spans="1:13" x14ac:dyDescent="0.3">
      <c r="A20" s="2" t="s">
        <v>83</v>
      </c>
      <c r="B20" s="8">
        <f>SUM(B3:B19)</f>
        <v>14420</v>
      </c>
      <c r="F20" t="s">
        <v>117</v>
      </c>
      <c r="G20" t="s">
        <v>87</v>
      </c>
      <c r="K20" s="2" t="s">
        <v>14</v>
      </c>
      <c r="L20" s="8">
        <f>L22</f>
        <v>412.25</v>
      </c>
      <c r="M20" s="8"/>
    </row>
    <row r="21" spans="1:13" x14ac:dyDescent="0.3">
      <c r="A21" s="2" t="s">
        <v>84</v>
      </c>
      <c r="B21" s="8">
        <f>SUM(B2-B20)</f>
        <v>6549</v>
      </c>
      <c r="F21" t="s">
        <v>118</v>
      </c>
      <c r="G21" t="s">
        <v>87</v>
      </c>
      <c r="K21" s="2" t="s">
        <v>86</v>
      </c>
      <c r="L21" s="8">
        <f>SUM(L5:L18)</f>
        <v>1225</v>
      </c>
      <c r="M21" s="8"/>
    </row>
    <row r="22" spans="1:13" x14ac:dyDescent="0.3">
      <c r="C22" t="s">
        <v>340</v>
      </c>
      <c r="F22" t="s">
        <v>119</v>
      </c>
      <c r="G22" t="s">
        <v>120</v>
      </c>
      <c r="K22" s="1" t="s">
        <v>0</v>
      </c>
      <c r="L22" s="7">
        <f>SUM(L3-L21)</f>
        <v>412.25</v>
      </c>
      <c r="M22" s="7"/>
    </row>
    <row r="23" spans="1:13" x14ac:dyDescent="0.3">
      <c r="K23" s="1" t="s">
        <v>93</v>
      </c>
      <c r="L23" s="7">
        <f>L20 *2</f>
        <v>824.5</v>
      </c>
      <c r="M23" s="7"/>
    </row>
    <row r="24" spans="1:13" x14ac:dyDescent="0.3">
      <c r="K24" t="s">
        <v>100</v>
      </c>
      <c r="L24" s="7">
        <f>L23*2</f>
        <v>1649</v>
      </c>
      <c r="M24" s="7"/>
    </row>
    <row r="25" spans="1:13" x14ac:dyDescent="0.3">
      <c r="D25" t="s">
        <v>107</v>
      </c>
      <c r="E25">
        <v>1500</v>
      </c>
      <c r="L25" s="7"/>
      <c r="M25" s="7"/>
    </row>
    <row r="26" spans="1:13" x14ac:dyDescent="0.3">
      <c r="D26" t="s">
        <v>9</v>
      </c>
      <c r="E26">
        <v>400</v>
      </c>
      <c r="L26" s="7"/>
      <c r="M26" s="7"/>
    </row>
    <row r="27" spans="1:13" x14ac:dyDescent="0.3">
      <c r="A27" s="27">
        <f>1937.5 - 500</f>
        <v>1437.5</v>
      </c>
      <c r="D27" t="s">
        <v>109</v>
      </c>
      <c r="E27">
        <v>800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12F8-438A-4AF2-A944-FD56BBE4BF32}">
  <dimension ref="A1:X27"/>
  <sheetViews>
    <sheetView zoomScale="89" zoomScaleNormal="89" workbookViewId="0">
      <selection activeCell="H30" sqref="H30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372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396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(B21/4)</f>
        <v>1637.25</v>
      </c>
      <c r="M3" s="8"/>
    </row>
    <row r="4" spans="1:24" ht="12.6" customHeight="1" x14ac:dyDescent="0.3">
      <c r="A4" t="s">
        <v>204</v>
      </c>
      <c r="B4" s="7">
        <v>0</v>
      </c>
      <c r="C4" t="s">
        <v>399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D5" s="77"/>
      <c r="E5" s="77"/>
      <c r="F5" s="77"/>
      <c r="G5" s="77"/>
      <c r="H5" s="77"/>
      <c r="K5" t="s">
        <v>9</v>
      </c>
      <c r="L5" s="7">
        <v>250</v>
      </c>
      <c r="M5" s="7"/>
      <c r="N5" s="22"/>
      <c r="O5" s="23">
        <f>L5*4</f>
        <v>1000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356</v>
      </c>
      <c r="B7" s="7">
        <v>2500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2000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9"/>
      <c r="E9" s="69"/>
      <c r="F9" s="69"/>
      <c r="G9" s="69"/>
      <c r="H9" s="69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9"/>
      <c r="E10" s="69"/>
      <c r="F10" s="69"/>
      <c r="G10" s="69"/>
      <c r="H10" s="69"/>
      <c r="L10" s="7"/>
      <c r="M10" s="7"/>
      <c r="N10" s="22"/>
      <c r="O10" s="23"/>
    </row>
    <row r="11" spans="1:24" x14ac:dyDescent="0.3">
      <c r="A11" t="s">
        <v>112</v>
      </c>
      <c r="B11" s="7">
        <v>300</v>
      </c>
      <c r="D11" s="69"/>
      <c r="E11" s="69"/>
      <c r="F11" s="69"/>
      <c r="G11" s="69"/>
      <c r="H11" s="69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0</v>
      </c>
      <c r="C12" t="s">
        <v>338</v>
      </c>
      <c r="D12" s="69"/>
      <c r="E12" s="69"/>
      <c r="F12" s="69"/>
      <c r="G12" s="69"/>
      <c r="H12" s="69"/>
      <c r="K12" t="s">
        <v>108</v>
      </c>
      <c r="L12" s="7">
        <v>100</v>
      </c>
      <c r="M12" s="7"/>
      <c r="N12" s="22"/>
      <c r="O12" s="23"/>
    </row>
    <row r="13" spans="1:24" x14ac:dyDescent="0.3">
      <c r="A13" t="s">
        <v>46</v>
      </c>
      <c r="B13" s="7">
        <v>400</v>
      </c>
      <c r="D13" s="69"/>
      <c r="E13" s="69"/>
      <c r="F13" s="69"/>
      <c r="G13" s="69"/>
      <c r="H13" s="69"/>
      <c r="K13" t="s">
        <v>21</v>
      </c>
      <c r="L13" s="7">
        <v>50</v>
      </c>
      <c r="M13" s="7"/>
      <c r="N13" s="22"/>
      <c r="O13" s="23"/>
    </row>
    <row r="14" spans="1:24" x14ac:dyDescent="0.3">
      <c r="A14" t="s">
        <v>89</v>
      </c>
      <c r="B14" s="7">
        <v>490</v>
      </c>
      <c r="D14" s="72" t="s">
        <v>103</v>
      </c>
      <c r="E14" s="72"/>
      <c r="F14" s="72"/>
      <c r="G14" s="72"/>
      <c r="H14" s="72"/>
      <c r="K14" t="s">
        <v>111</v>
      </c>
      <c r="L14" s="7">
        <v>75</v>
      </c>
      <c r="M14" s="7"/>
      <c r="N14" s="24" t="s">
        <v>94</v>
      </c>
      <c r="O14" s="25">
        <f>O5+O8</f>
        <v>1000</v>
      </c>
    </row>
    <row r="15" spans="1:24" x14ac:dyDescent="0.3">
      <c r="A15" t="s">
        <v>139</v>
      </c>
      <c r="B15" s="7">
        <v>250</v>
      </c>
      <c r="D15" s="68"/>
      <c r="E15" s="68"/>
      <c r="F15" s="68"/>
      <c r="G15" s="68"/>
      <c r="H15" s="68"/>
      <c r="L15" s="7"/>
      <c r="M15" s="7"/>
      <c r="N15" s="24"/>
      <c r="O15" s="25"/>
    </row>
    <row r="16" spans="1:24" x14ac:dyDescent="0.3">
      <c r="A16" t="s">
        <v>158</v>
      </c>
      <c r="B16" s="7">
        <v>200</v>
      </c>
      <c r="L16" s="7"/>
      <c r="M16" s="7"/>
    </row>
    <row r="17" spans="1:13" x14ac:dyDescent="0.3">
      <c r="A17" t="s">
        <v>5</v>
      </c>
      <c r="B17" s="7">
        <v>0</v>
      </c>
      <c r="F17" t="s">
        <v>114</v>
      </c>
      <c r="G17" t="s">
        <v>122</v>
      </c>
      <c r="L17" s="7"/>
      <c r="M17" s="7"/>
    </row>
    <row r="18" spans="1:13" x14ac:dyDescent="0.3">
      <c r="A18" t="s">
        <v>339</v>
      </c>
      <c r="B18" s="7">
        <v>1500</v>
      </c>
      <c r="F18" t="s">
        <v>115</v>
      </c>
      <c r="G18" t="s">
        <v>52</v>
      </c>
      <c r="K18" t="s">
        <v>13</v>
      </c>
      <c r="L18" s="7">
        <v>750</v>
      </c>
      <c r="M18" s="7"/>
    </row>
    <row r="19" spans="1:13" x14ac:dyDescent="0.3">
      <c r="A19" t="s">
        <v>197</v>
      </c>
      <c r="B19" s="7">
        <v>0</v>
      </c>
      <c r="F19" t="s">
        <v>116</v>
      </c>
      <c r="G19" t="s">
        <v>47</v>
      </c>
      <c r="L19" s="7"/>
      <c r="M19" s="7"/>
    </row>
    <row r="20" spans="1:13" x14ac:dyDescent="0.3">
      <c r="A20" s="2" t="s">
        <v>83</v>
      </c>
      <c r="B20" s="8">
        <f>SUM(B3:B19)</f>
        <v>14420</v>
      </c>
      <c r="F20" t="s">
        <v>117</v>
      </c>
      <c r="G20" t="s">
        <v>87</v>
      </c>
      <c r="K20" s="2" t="s">
        <v>14</v>
      </c>
      <c r="L20" s="8">
        <f>L22</f>
        <v>412.25</v>
      </c>
      <c r="M20" s="8"/>
    </row>
    <row r="21" spans="1:13" x14ac:dyDescent="0.3">
      <c r="A21" s="2" t="s">
        <v>84</v>
      </c>
      <c r="B21" s="8">
        <f>SUM(B2-B20)</f>
        <v>6549</v>
      </c>
      <c r="F21" t="s">
        <v>118</v>
      </c>
      <c r="G21" t="s">
        <v>87</v>
      </c>
      <c r="K21" s="2" t="s">
        <v>86</v>
      </c>
      <c r="L21" s="8">
        <f>SUM(L5:L18)</f>
        <v>1225</v>
      </c>
      <c r="M21" s="8"/>
    </row>
    <row r="22" spans="1:13" x14ac:dyDescent="0.3">
      <c r="C22" t="s">
        <v>340</v>
      </c>
      <c r="F22" t="s">
        <v>119</v>
      </c>
      <c r="G22" t="s">
        <v>120</v>
      </c>
      <c r="K22" s="1" t="s">
        <v>0</v>
      </c>
      <c r="L22" s="7">
        <f>SUM(L3-L21)</f>
        <v>412.25</v>
      </c>
      <c r="M22" s="7"/>
    </row>
    <row r="23" spans="1:13" x14ac:dyDescent="0.3">
      <c r="K23" s="1" t="s">
        <v>93</v>
      </c>
      <c r="L23" s="7">
        <f>L20 *2</f>
        <v>824.5</v>
      </c>
      <c r="M23" s="7"/>
    </row>
    <row r="24" spans="1:13" x14ac:dyDescent="0.3">
      <c r="K24" t="s">
        <v>100</v>
      </c>
      <c r="L24" s="7">
        <f>L23*2</f>
        <v>1649</v>
      </c>
      <c r="M24" s="7"/>
    </row>
    <row r="25" spans="1:13" x14ac:dyDescent="0.3">
      <c r="D25" t="s">
        <v>107</v>
      </c>
      <c r="E25">
        <v>1500</v>
      </c>
      <c r="L25" s="7"/>
      <c r="M25" s="7"/>
    </row>
    <row r="26" spans="1:13" x14ac:dyDescent="0.3">
      <c r="D26" t="s">
        <v>9</v>
      </c>
      <c r="E26">
        <v>400</v>
      </c>
      <c r="L26" s="7"/>
      <c r="M26" s="7"/>
    </row>
    <row r="27" spans="1:13" x14ac:dyDescent="0.3">
      <c r="A27" s="27">
        <f>1937.5 - 500</f>
        <v>1437.5</v>
      </c>
      <c r="D27" t="s">
        <v>109</v>
      </c>
      <c r="E27">
        <v>800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EAD9-D6CC-4D7B-8A57-E943F816B10A}">
  <dimension ref="A1:X27"/>
  <sheetViews>
    <sheetView zoomScale="89" zoomScaleNormal="89" workbookViewId="0">
      <selection activeCell="C6" sqref="C6"/>
    </sheetView>
  </sheetViews>
  <sheetFormatPr defaultRowHeight="14.4" x14ac:dyDescent="0.3"/>
  <cols>
    <col min="1" max="1" width="16.33203125" bestFit="1" customWidth="1"/>
    <col min="2" max="2" width="12.88671875" customWidth="1"/>
    <col min="3" max="3" width="32.33203125" bestFit="1" customWidth="1"/>
    <col min="7" max="7" width="10.6640625" bestFit="1" customWidth="1"/>
    <col min="11" max="11" width="12.5546875" bestFit="1" customWidth="1"/>
    <col min="12" max="12" width="9.33203125" bestFit="1" customWidth="1"/>
    <col min="13" max="13" width="9.33203125" customWidth="1"/>
    <col min="14" max="14" width="18.33203125" bestFit="1" customWidth="1"/>
    <col min="15" max="15" width="15.44140625" bestFit="1" customWidth="1"/>
  </cols>
  <sheetData>
    <row r="1" spans="1:24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3">
      <c r="A2" s="1" t="s">
        <v>82</v>
      </c>
      <c r="B2" s="21">
        <v>20969</v>
      </c>
      <c r="C2" t="s">
        <v>372</v>
      </c>
      <c r="K2" s="76" t="s">
        <v>101</v>
      </c>
      <c r="L2" s="76"/>
      <c r="M2" s="76"/>
      <c r="N2" s="76"/>
    </row>
    <row r="3" spans="1:24" ht="12.6" customHeight="1" x14ac:dyDescent="0.3">
      <c r="A3" t="s">
        <v>336</v>
      </c>
      <c r="B3" s="7">
        <v>0</v>
      </c>
      <c r="C3" t="s">
        <v>396</v>
      </c>
      <c r="D3" s="77" t="s">
        <v>300</v>
      </c>
      <c r="E3" s="77"/>
      <c r="F3" s="77"/>
      <c r="G3" s="77"/>
      <c r="H3" s="77"/>
      <c r="I3" s="26"/>
      <c r="K3" s="2" t="s">
        <v>85</v>
      </c>
      <c r="L3" s="8">
        <f>(B21/4)</f>
        <v>1637.25</v>
      </c>
      <c r="M3" s="8"/>
    </row>
    <row r="4" spans="1:24" ht="12.6" customHeight="1" x14ac:dyDescent="0.3">
      <c r="A4" t="s">
        <v>204</v>
      </c>
      <c r="B4" s="7">
        <v>0</v>
      </c>
      <c r="C4" t="s">
        <v>400</v>
      </c>
      <c r="D4" s="77"/>
      <c r="E4" s="77"/>
      <c r="F4" s="77"/>
      <c r="G4" s="77"/>
      <c r="H4" s="77"/>
      <c r="I4" s="26"/>
      <c r="K4" s="2"/>
      <c r="L4" s="8"/>
      <c r="M4" s="8"/>
    </row>
    <row r="5" spans="1:24" x14ac:dyDescent="0.3">
      <c r="A5" t="s">
        <v>6</v>
      </c>
      <c r="B5" s="7">
        <v>6200</v>
      </c>
      <c r="D5" s="77"/>
      <c r="E5" s="77"/>
      <c r="F5" s="77"/>
      <c r="G5" s="77"/>
      <c r="H5" s="77"/>
      <c r="K5" t="s">
        <v>9</v>
      </c>
      <c r="L5" s="7">
        <v>250</v>
      </c>
      <c r="M5" s="7"/>
      <c r="N5" s="22"/>
      <c r="O5" s="23">
        <f>L5*4</f>
        <v>1000</v>
      </c>
    </row>
    <row r="6" spans="1:24" x14ac:dyDescent="0.3">
      <c r="A6" t="s">
        <v>127</v>
      </c>
      <c r="B6" s="7">
        <v>280</v>
      </c>
      <c r="D6" s="77"/>
      <c r="E6" s="77"/>
      <c r="F6" s="77"/>
      <c r="G6" s="77"/>
      <c r="H6" s="77"/>
      <c r="L6" s="7"/>
      <c r="M6" s="7"/>
      <c r="N6" s="22"/>
      <c r="O6" s="23"/>
    </row>
    <row r="7" spans="1:24" x14ac:dyDescent="0.3">
      <c r="A7" t="s">
        <v>356</v>
      </c>
      <c r="B7" s="7">
        <v>2500</v>
      </c>
      <c r="D7" s="77"/>
      <c r="E7" s="77"/>
      <c r="F7" s="77"/>
      <c r="G7" s="77"/>
      <c r="H7" s="77"/>
      <c r="K7" t="s">
        <v>97</v>
      </c>
      <c r="L7" s="7"/>
      <c r="M7" s="7"/>
      <c r="N7" s="22"/>
      <c r="O7" s="23"/>
    </row>
    <row r="8" spans="1:24" x14ac:dyDescent="0.3">
      <c r="A8" t="s">
        <v>293</v>
      </c>
      <c r="B8" s="7">
        <v>2000</v>
      </c>
      <c r="D8" s="77"/>
      <c r="E8" s="77"/>
      <c r="F8" s="77"/>
      <c r="G8" s="77"/>
      <c r="H8" s="77"/>
      <c r="K8" t="s">
        <v>11</v>
      </c>
      <c r="L8" s="7">
        <v>0</v>
      </c>
      <c r="M8" s="7"/>
      <c r="N8" s="22"/>
      <c r="O8" s="23">
        <f>L8*4</f>
        <v>0</v>
      </c>
    </row>
    <row r="9" spans="1:24" x14ac:dyDescent="0.3">
      <c r="A9" t="s">
        <v>331</v>
      </c>
      <c r="B9" s="7">
        <v>150</v>
      </c>
      <c r="D9" s="69"/>
      <c r="E9" s="69"/>
      <c r="F9" s="69"/>
      <c r="G9" s="69"/>
      <c r="H9" s="69"/>
      <c r="K9" t="s">
        <v>163</v>
      </c>
      <c r="L9" s="7">
        <v>0</v>
      </c>
      <c r="M9" s="7"/>
      <c r="N9" s="22"/>
      <c r="O9" s="23"/>
    </row>
    <row r="10" spans="1:24" x14ac:dyDescent="0.3">
      <c r="A10" t="s">
        <v>299</v>
      </c>
      <c r="B10" s="7">
        <v>150</v>
      </c>
      <c r="D10" s="69"/>
      <c r="E10" s="69"/>
      <c r="F10" s="69"/>
      <c r="G10" s="69"/>
      <c r="H10" s="69"/>
      <c r="L10" s="7"/>
      <c r="M10" s="7"/>
      <c r="N10" s="22"/>
      <c r="O10" s="23"/>
    </row>
    <row r="11" spans="1:24" x14ac:dyDescent="0.3">
      <c r="A11" t="s">
        <v>112</v>
      </c>
      <c r="B11" s="7">
        <v>300</v>
      </c>
      <c r="D11" s="69"/>
      <c r="E11" s="69"/>
      <c r="F11" s="69"/>
      <c r="G11" s="69"/>
      <c r="H11" s="69"/>
      <c r="K11" t="s">
        <v>264</v>
      </c>
      <c r="L11" s="7">
        <v>0</v>
      </c>
      <c r="M11" s="7"/>
      <c r="N11" s="22"/>
      <c r="O11" s="23"/>
    </row>
    <row r="12" spans="1:24" x14ac:dyDescent="0.3">
      <c r="A12" t="s">
        <v>329</v>
      </c>
      <c r="B12" s="7">
        <v>0</v>
      </c>
      <c r="C12" t="s">
        <v>338</v>
      </c>
      <c r="D12" s="69"/>
      <c r="E12" s="69"/>
      <c r="F12" s="69"/>
      <c r="G12" s="69"/>
      <c r="H12" s="69"/>
      <c r="K12" t="s">
        <v>108</v>
      </c>
      <c r="L12" s="7">
        <v>100</v>
      </c>
      <c r="M12" s="7"/>
      <c r="N12" s="22"/>
      <c r="O12" s="23"/>
    </row>
    <row r="13" spans="1:24" x14ac:dyDescent="0.3">
      <c r="A13" t="s">
        <v>46</v>
      </c>
      <c r="B13" s="7">
        <v>400</v>
      </c>
      <c r="D13" s="69"/>
      <c r="E13" s="69"/>
      <c r="F13" s="69"/>
      <c r="G13" s="69"/>
      <c r="H13" s="69"/>
      <c r="K13" t="s">
        <v>21</v>
      </c>
      <c r="L13" s="7">
        <v>50</v>
      </c>
      <c r="M13" s="7"/>
      <c r="N13" s="22"/>
      <c r="O13" s="23"/>
    </row>
    <row r="14" spans="1:24" x14ac:dyDescent="0.3">
      <c r="A14" t="s">
        <v>89</v>
      </c>
      <c r="B14" s="7">
        <v>490</v>
      </c>
      <c r="D14" s="72" t="s">
        <v>103</v>
      </c>
      <c r="E14" s="72"/>
      <c r="F14" s="72"/>
      <c r="G14" s="72"/>
      <c r="H14" s="72"/>
      <c r="K14" t="s">
        <v>111</v>
      </c>
      <c r="L14" s="7">
        <v>75</v>
      </c>
      <c r="M14" s="7"/>
      <c r="N14" s="24" t="s">
        <v>94</v>
      </c>
      <c r="O14" s="25">
        <f>O5+O8</f>
        <v>1000</v>
      </c>
    </row>
    <row r="15" spans="1:24" x14ac:dyDescent="0.3">
      <c r="A15" t="s">
        <v>139</v>
      </c>
      <c r="B15" s="7">
        <v>250</v>
      </c>
      <c r="D15" s="68"/>
      <c r="E15" s="68"/>
      <c r="F15" s="68"/>
      <c r="G15" s="68"/>
      <c r="H15" s="68"/>
      <c r="L15" s="7"/>
      <c r="M15" s="7"/>
      <c r="N15" s="24"/>
      <c r="O15" s="25"/>
    </row>
    <row r="16" spans="1:24" x14ac:dyDescent="0.3">
      <c r="A16" t="s">
        <v>158</v>
      </c>
      <c r="B16" s="7">
        <v>200</v>
      </c>
      <c r="L16" s="7"/>
      <c r="M16" s="7"/>
    </row>
    <row r="17" spans="1:13" x14ac:dyDescent="0.3">
      <c r="A17" t="s">
        <v>5</v>
      </c>
      <c r="B17" s="7">
        <v>0</v>
      </c>
      <c r="F17" t="s">
        <v>114</v>
      </c>
      <c r="G17" t="s">
        <v>122</v>
      </c>
      <c r="L17" s="7"/>
      <c r="M17" s="7"/>
    </row>
    <row r="18" spans="1:13" x14ac:dyDescent="0.3">
      <c r="A18" t="s">
        <v>339</v>
      </c>
      <c r="B18" s="7">
        <v>1500</v>
      </c>
      <c r="F18" t="s">
        <v>115</v>
      </c>
      <c r="G18" t="s">
        <v>52</v>
      </c>
      <c r="K18" t="s">
        <v>13</v>
      </c>
      <c r="L18" s="7">
        <v>750</v>
      </c>
      <c r="M18" s="7"/>
    </row>
    <row r="19" spans="1:13" x14ac:dyDescent="0.3">
      <c r="A19" t="s">
        <v>197</v>
      </c>
      <c r="B19" s="7">
        <v>0</v>
      </c>
      <c r="F19" t="s">
        <v>116</v>
      </c>
      <c r="G19" t="s">
        <v>47</v>
      </c>
      <c r="L19" s="7"/>
      <c r="M19" s="7"/>
    </row>
    <row r="20" spans="1:13" x14ac:dyDescent="0.3">
      <c r="A20" s="2" t="s">
        <v>83</v>
      </c>
      <c r="B20" s="8">
        <f>SUM(B3:B19)</f>
        <v>14420</v>
      </c>
      <c r="F20" t="s">
        <v>117</v>
      </c>
      <c r="G20" t="s">
        <v>87</v>
      </c>
      <c r="K20" s="2" t="s">
        <v>14</v>
      </c>
      <c r="L20" s="8">
        <f>L22</f>
        <v>412.25</v>
      </c>
      <c r="M20" s="8"/>
    </row>
    <row r="21" spans="1:13" x14ac:dyDescent="0.3">
      <c r="A21" s="2" t="s">
        <v>84</v>
      </c>
      <c r="B21" s="8">
        <f>SUM(B2-B20)</f>
        <v>6549</v>
      </c>
      <c r="F21" t="s">
        <v>118</v>
      </c>
      <c r="G21" t="s">
        <v>87</v>
      </c>
      <c r="K21" s="2" t="s">
        <v>86</v>
      </c>
      <c r="L21" s="8">
        <f>SUM(L5:L18)</f>
        <v>1225</v>
      </c>
      <c r="M21" s="8"/>
    </row>
    <row r="22" spans="1:13" x14ac:dyDescent="0.3">
      <c r="C22" t="s">
        <v>340</v>
      </c>
      <c r="F22" t="s">
        <v>119</v>
      </c>
      <c r="G22" t="s">
        <v>120</v>
      </c>
      <c r="K22" s="1" t="s">
        <v>0</v>
      </c>
      <c r="L22" s="7">
        <f>SUM(L3-L21)</f>
        <v>412.25</v>
      </c>
      <c r="M22" s="7"/>
    </row>
    <row r="23" spans="1:13" x14ac:dyDescent="0.3">
      <c r="K23" s="1" t="s">
        <v>93</v>
      </c>
      <c r="L23" s="7">
        <f>L20 *2</f>
        <v>824.5</v>
      </c>
      <c r="M23" s="7"/>
    </row>
    <row r="24" spans="1:13" x14ac:dyDescent="0.3">
      <c r="K24" t="s">
        <v>100</v>
      </c>
      <c r="L24" s="7">
        <f>L23*2</f>
        <v>1649</v>
      </c>
      <c r="M24" s="7"/>
    </row>
    <row r="25" spans="1:13" x14ac:dyDescent="0.3">
      <c r="D25" t="s">
        <v>107</v>
      </c>
      <c r="E25">
        <v>1500</v>
      </c>
      <c r="L25" s="7"/>
      <c r="M25" s="7"/>
    </row>
    <row r="26" spans="1:13" x14ac:dyDescent="0.3">
      <c r="D26" t="s">
        <v>9</v>
      </c>
      <c r="E26">
        <v>400</v>
      </c>
      <c r="L26" s="7"/>
      <c r="M26" s="7"/>
    </row>
    <row r="27" spans="1:13" x14ac:dyDescent="0.3">
      <c r="A27" s="27">
        <f>1937.5 - 500</f>
        <v>1437.5</v>
      </c>
      <c r="D27" t="s">
        <v>109</v>
      </c>
      <c r="E27">
        <v>800</v>
      </c>
    </row>
  </sheetData>
  <mergeCells count="4">
    <mergeCell ref="A1:X1"/>
    <mergeCell ref="K2:N2"/>
    <mergeCell ref="D3:H8"/>
    <mergeCell ref="D14:H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0E0-4B15-41E9-AB9E-204E68BABE12}">
  <sheetPr codeName="Sheet21"/>
  <dimension ref="A1:Q29"/>
  <sheetViews>
    <sheetView topLeftCell="A3" workbookViewId="0">
      <selection activeCell="I22" sqref="I22"/>
    </sheetView>
  </sheetViews>
  <sheetFormatPr defaultRowHeight="14.4" x14ac:dyDescent="0.3"/>
  <cols>
    <col min="1" max="1" width="13.6640625" customWidth="1"/>
    <col min="2" max="2" width="10.5546875" customWidth="1"/>
    <col min="3" max="3" width="12.6640625" customWidth="1"/>
    <col min="4" max="4" width="17.6640625" bestFit="1" customWidth="1"/>
    <col min="5" max="6" width="11.6640625" bestFit="1" customWidth="1"/>
    <col min="10" max="11" width="10.33203125" customWidth="1"/>
    <col min="13" max="14" width="10.33203125" customWidth="1"/>
    <col min="16" max="17" width="10.33203125" customWidth="1"/>
  </cols>
  <sheetData>
    <row r="1" spans="1:11" x14ac:dyDescent="0.3">
      <c r="A1" s="31" t="s">
        <v>15</v>
      </c>
      <c r="B1" s="32" t="s">
        <v>136</v>
      </c>
      <c r="J1" s="31" t="s">
        <v>121</v>
      </c>
      <c r="K1" s="7" t="s">
        <v>135</v>
      </c>
    </row>
    <row r="2" spans="1:11" x14ac:dyDescent="0.3">
      <c r="A2" t="s">
        <v>132</v>
      </c>
      <c r="B2" s="7">
        <v>0</v>
      </c>
      <c r="J2" t="s">
        <v>132</v>
      </c>
      <c r="K2" s="7">
        <v>0</v>
      </c>
    </row>
    <row r="3" spans="1:11" x14ac:dyDescent="0.3">
      <c r="A3" t="s">
        <v>113</v>
      </c>
      <c r="B3" s="7">
        <f>April!B21</f>
        <v>0</v>
      </c>
      <c r="J3" t="s">
        <v>113</v>
      </c>
      <c r="K3" s="7">
        <f>April!B3</f>
        <v>0</v>
      </c>
    </row>
    <row r="4" spans="1:11" x14ac:dyDescent="0.3">
      <c r="A4" t="s">
        <v>114</v>
      </c>
      <c r="B4" s="7">
        <f>May!B19</f>
        <v>0</v>
      </c>
      <c r="J4" t="s">
        <v>114</v>
      </c>
      <c r="K4" s="7">
        <f>May!B3</f>
        <v>0</v>
      </c>
    </row>
    <row r="5" spans="1:11" x14ac:dyDescent="0.3">
      <c r="A5" t="s">
        <v>115</v>
      </c>
      <c r="B5" s="7">
        <f>June!B21</f>
        <v>1000</v>
      </c>
      <c r="J5" t="s">
        <v>115</v>
      </c>
      <c r="K5" s="7">
        <f>June!B3</f>
        <v>0</v>
      </c>
    </row>
    <row r="6" spans="1:11" x14ac:dyDescent="0.3">
      <c r="A6" t="s">
        <v>116</v>
      </c>
      <c r="B6" s="7">
        <f>July!B18</f>
        <v>40</v>
      </c>
      <c r="J6" t="s">
        <v>116</v>
      </c>
      <c r="K6" s="7">
        <f>July!B5</f>
        <v>500</v>
      </c>
    </row>
    <row r="7" spans="1:11" x14ac:dyDescent="0.3">
      <c r="A7" t="s">
        <v>117</v>
      </c>
      <c r="B7" s="7">
        <f>August!B11</f>
        <v>400</v>
      </c>
      <c r="J7" t="s">
        <v>117</v>
      </c>
      <c r="K7" s="7">
        <f>August!B3</f>
        <v>500</v>
      </c>
    </row>
    <row r="8" spans="1:11" x14ac:dyDescent="0.3">
      <c r="A8" t="s">
        <v>118</v>
      </c>
      <c r="B8" s="7" t="e">
        <f>#REF!</f>
        <v>#REF!</v>
      </c>
      <c r="J8" t="s">
        <v>118</v>
      </c>
      <c r="K8" s="7" t="e">
        <f>#REF!</f>
        <v>#REF!</v>
      </c>
    </row>
    <row r="9" spans="1:11" x14ac:dyDescent="0.3">
      <c r="A9" t="s">
        <v>119</v>
      </c>
      <c r="B9" s="7" t="e">
        <f>October!#REF!</f>
        <v>#REF!</v>
      </c>
      <c r="J9" t="s">
        <v>119</v>
      </c>
      <c r="K9" s="7">
        <f>October!B3</f>
        <v>109</v>
      </c>
    </row>
    <row r="10" spans="1:11" x14ac:dyDescent="0.3">
      <c r="A10" t="s">
        <v>133</v>
      </c>
      <c r="B10" s="7" t="e">
        <f>#REF!</f>
        <v>#REF!</v>
      </c>
      <c r="J10" t="s">
        <v>133</v>
      </c>
      <c r="K10" s="7" t="e">
        <f>#REF!</f>
        <v>#REF!</v>
      </c>
    </row>
    <row r="11" spans="1:11" x14ac:dyDescent="0.3">
      <c r="A11" t="s">
        <v>134</v>
      </c>
      <c r="B11" s="7">
        <f>December!B16</f>
        <v>230</v>
      </c>
      <c r="J11" t="s">
        <v>134</v>
      </c>
      <c r="K11" s="7">
        <f>December!B3</f>
        <v>0</v>
      </c>
    </row>
    <row r="12" spans="1:11" x14ac:dyDescent="0.3">
      <c r="A12" s="33" t="s">
        <v>137</v>
      </c>
      <c r="B12" s="34" t="e">
        <f>SUM(B2:B11)</f>
        <v>#REF!</v>
      </c>
      <c r="J12" s="33" t="s">
        <v>138</v>
      </c>
      <c r="K12" s="34" t="e">
        <f>SUM(K2:K11)</f>
        <v>#REF!</v>
      </c>
    </row>
    <row r="17" spans="1:17" ht="18" x14ac:dyDescent="0.35">
      <c r="D17" s="84" t="s">
        <v>213</v>
      </c>
      <c r="E17" s="84"/>
      <c r="F17" s="84"/>
      <c r="J17" s="72" t="s">
        <v>204</v>
      </c>
      <c r="K17" s="72"/>
      <c r="M17" t="s">
        <v>47</v>
      </c>
      <c r="P17" t="s">
        <v>87</v>
      </c>
    </row>
    <row r="18" spans="1:17" x14ac:dyDescent="0.3">
      <c r="A18" t="s">
        <v>168</v>
      </c>
      <c r="B18" t="s">
        <v>199</v>
      </c>
      <c r="D18" t="s">
        <v>215</v>
      </c>
      <c r="E18" t="s">
        <v>214</v>
      </c>
      <c r="F18" t="s">
        <v>15</v>
      </c>
      <c r="J18" s="26" t="s">
        <v>207</v>
      </c>
      <c r="K18" s="26" t="s">
        <v>208</v>
      </c>
      <c r="M18" t="s">
        <v>218</v>
      </c>
      <c r="N18" t="s">
        <v>219</v>
      </c>
      <c r="P18" t="s">
        <v>214</v>
      </c>
      <c r="Q18" t="s">
        <v>15</v>
      </c>
    </row>
    <row r="19" spans="1:17" x14ac:dyDescent="0.3">
      <c r="D19" s="44" t="e">
        <f>August!B9 +#REF!</f>
        <v>#REF!</v>
      </c>
      <c r="E19" s="45">
        <v>12000</v>
      </c>
      <c r="F19" s="45">
        <f>August!B9</f>
        <v>150</v>
      </c>
      <c r="J19" s="26" t="s">
        <v>113</v>
      </c>
      <c r="K19" s="26">
        <f>April!B4</f>
        <v>0</v>
      </c>
      <c r="N19" t="e">
        <f>July!B26 +#REF! + October!B15 +#REF! + December!B22 +February!B21</f>
        <v>#REF!</v>
      </c>
      <c r="P19">
        <v>12000</v>
      </c>
    </row>
    <row r="20" spans="1:17" x14ac:dyDescent="0.3">
      <c r="D20" s="45">
        <v>10000</v>
      </c>
      <c r="F20" s="45" t="e">
        <f>#REF!</f>
        <v>#REF!</v>
      </c>
      <c r="J20" t="s">
        <v>114</v>
      </c>
      <c r="K20">
        <f>May!B4</f>
        <v>0</v>
      </c>
    </row>
    <row r="21" spans="1:17" x14ac:dyDescent="0.3">
      <c r="A21" t="s">
        <v>114</v>
      </c>
      <c r="B21">
        <f>May!B14</f>
        <v>150</v>
      </c>
      <c r="D21" t="s">
        <v>216</v>
      </c>
      <c r="J21" t="s">
        <v>115</v>
      </c>
      <c r="K21">
        <f>June!B4</f>
        <v>200</v>
      </c>
    </row>
    <row r="22" spans="1:17" x14ac:dyDescent="0.3">
      <c r="A22" t="s">
        <v>115</v>
      </c>
      <c r="B22">
        <f>June!B26</f>
        <v>100</v>
      </c>
      <c r="D22" t="s">
        <v>217</v>
      </c>
      <c r="J22" t="s">
        <v>116</v>
      </c>
      <c r="K22">
        <f>July!B6</f>
        <v>1200</v>
      </c>
    </row>
    <row r="23" spans="1:17" x14ac:dyDescent="0.3">
      <c r="A23" t="s">
        <v>116</v>
      </c>
      <c r="B23">
        <f>July!B15</f>
        <v>0</v>
      </c>
      <c r="J23" t="s">
        <v>117</v>
      </c>
      <c r="K23" t="e">
        <f>August!#REF!</f>
        <v>#REF!</v>
      </c>
    </row>
    <row r="24" spans="1:17" x14ac:dyDescent="0.3">
      <c r="A24" t="s">
        <v>117</v>
      </c>
      <c r="B24" s="43" t="e">
        <f>August!#REF!</f>
        <v>#REF!</v>
      </c>
      <c r="J24" t="s">
        <v>118</v>
      </c>
      <c r="K24" t="e">
        <f>#REF!</f>
        <v>#REF!</v>
      </c>
    </row>
    <row r="25" spans="1:17" x14ac:dyDescent="0.3">
      <c r="A25" t="s">
        <v>118</v>
      </c>
      <c r="B25" s="43" t="e">
        <f>#REF!</f>
        <v>#REF!</v>
      </c>
      <c r="F25" s="46" t="s">
        <v>18</v>
      </c>
      <c r="J25" t="s">
        <v>133</v>
      </c>
      <c r="K25" t="e">
        <f>#REF!</f>
        <v>#REF!</v>
      </c>
    </row>
    <row r="26" spans="1:17" x14ac:dyDescent="0.3">
      <c r="A26" t="s">
        <v>119</v>
      </c>
      <c r="B26" s="43">
        <f>October!B11</f>
        <v>0</v>
      </c>
      <c r="F26" s="45" t="e">
        <f>SUBTOTAL(109,F19:F25)</f>
        <v>#REF!</v>
      </c>
      <c r="J26" t="s">
        <v>209</v>
      </c>
      <c r="K26">
        <f>December!B4</f>
        <v>0</v>
      </c>
    </row>
    <row r="27" spans="1:17" x14ac:dyDescent="0.3">
      <c r="A27" t="s">
        <v>133</v>
      </c>
      <c r="B27" s="43" t="e">
        <f>#REF!</f>
        <v>#REF!</v>
      </c>
    </row>
    <row r="28" spans="1:17" x14ac:dyDescent="0.3">
      <c r="A28" t="s">
        <v>134</v>
      </c>
      <c r="B28" s="43">
        <f>December!B13</f>
        <v>1000</v>
      </c>
    </row>
    <row r="29" spans="1:17" x14ac:dyDescent="0.3">
      <c r="A29" t="s">
        <v>198</v>
      </c>
      <c r="B29" s="43" t="e">
        <f>SUBTOTAL(109,B19:B28)</f>
        <v>#REF!</v>
      </c>
      <c r="J29" t="s">
        <v>18</v>
      </c>
      <c r="K29" t="e">
        <f>SUBTOTAL(109,K19:K28)</f>
        <v>#REF!</v>
      </c>
    </row>
  </sheetData>
  <mergeCells count="2">
    <mergeCell ref="J17:K17"/>
    <mergeCell ref="D17:F17"/>
  </mergeCells>
  <phoneticPr fontId="5" type="noConversion"/>
  <pageMargins left="0.7" right="0.7" top="0.75" bottom="0.75" header="0.3" footer="0.3"/>
  <pageSetup paperSize="9" orientation="portrait" r:id="rId1"/>
  <headerFooter>
    <oddFooter>&amp;C_x000D_&amp;1#&amp;"BMW Group Condensed"&amp;12&amp;KC00000 CONFIDENTIAL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5036-472D-45A5-B52E-C4B7EA7BB86F}">
  <sheetPr codeName="Sheet1"/>
  <dimension ref="A1:AA29"/>
  <sheetViews>
    <sheetView topLeftCell="A2" workbookViewId="0">
      <selection activeCell="A5" sqref="A5"/>
    </sheetView>
  </sheetViews>
  <sheetFormatPr defaultRowHeight="14.4" x14ac:dyDescent="0.3"/>
  <cols>
    <col min="1" max="1" width="16.33203125" bestFit="1" customWidth="1"/>
    <col min="2" max="2" width="10.33203125" bestFit="1" customWidth="1"/>
    <col min="3" max="3" width="11.33203125" bestFit="1" customWidth="1"/>
    <col min="4" max="4" width="11.33203125" customWidth="1"/>
    <col min="5" max="5" width="17.6640625" bestFit="1" customWidth="1"/>
    <col min="6" max="6" width="10.33203125" customWidth="1"/>
    <col min="8" max="8" width="10.33203125" customWidth="1"/>
    <col min="9" max="9" width="10.6640625" bestFit="1" customWidth="1"/>
    <col min="10" max="10" width="10.6640625" customWidth="1"/>
    <col min="12" max="12" width="11.6640625" bestFit="1" customWidth="1"/>
    <col min="14" max="14" width="12.5546875" bestFit="1" customWidth="1"/>
    <col min="15" max="15" width="9.33203125" bestFit="1" customWidth="1"/>
    <col min="16" max="16" width="9.33203125" customWidth="1"/>
    <col min="17" max="17" width="18.33203125" bestFit="1" customWidth="1"/>
    <col min="18" max="18" width="15.44140625" bestFit="1" customWidth="1"/>
  </cols>
  <sheetData>
    <row r="1" spans="1:27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x14ac:dyDescent="0.3">
      <c r="A2" s="1" t="s">
        <v>82</v>
      </c>
      <c r="B2" s="21">
        <f>SUM(20969)</f>
        <v>20969</v>
      </c>
      <c r="C2" s="21" t="s">
        <v>175</v>
      </c>
      <c r="D2" s="21" t="s">
        <v>174</v>
      </c>
      <c r="E2" s="21"/>
      <c r="N2" s="76" t="s">
        <v>124</v>
      </c>
      <c r="O2" s="76"/>
      <c r="P2" s="76"/>
      <c r="Q2" s="76"/>
    </row>
    <row r="3" spans="1:27" ht="12.6" customHeight="1" x14ac:dyDescent="0.3">
      <c r="A3" t="s">
        <v>104</v>
      </c>
      <c r="B3" s="7">
        <v>500</v>
      </c>
      <c r="C3" s="7">
        <v>0</v>
      </c>
      <c r="D3" s="7">
        <f t="shared" ref="D3:D12" si="0">B3-C3</f>
        <v>500</v>
      </c>
      <c r="F3" s="77" t="s">
        <v>203</v>
      </c>
      <c r="G3" s="77"/>
      <c r="H3" s="77"/>
      <c r="I3" s="77"/>
      <c r="J3" s="77"/>
      <c r="K3" s="77"/>
      <c r="L3" s="26"/>
      <c r="N3" s="2" t="s">
        <v>85</v>
      </c>
      <c r="O3" s="8">
        <f>(B23/4)</f>
        <v>1940.5</v>
      </c>
      <c r="P3" s="8"/>
    </row>
    <row r="4" spans="1:27" x14ac:dyDescent="0.3">
      <c r="A4" t="s">
        <v>6</v>
      </c>
      <c r="B4" s="7">
        <v>3564</v>
      </c>
      <c r="C4" s="7">
        <v>3500</v>
      </c>
      <c r="D4" s="7">
        <f t="shared" si="0"/>
        <v>64</v>
      </c>
      <c r="F4" s="77"/>
      <c r="G4" s="77"/>
      <c r="H4" s="77"/>
      <c r="I4" s="77"/>
      <c r="J4" s="77"/>
      <c r="K4" s="77"/>
      <c r="N4" t="s">
        <v>12</v>
      </c>
      <c r="O4" s="7">
        <v>0</v>
      </c>
      <c r="P4" s="7"/>
      <c r="Q4" s="22"/>
      <c r="R4" s="23">
        <f>O4*4</f>
        <v>0</v>
      </c>
    </row>
    <row r="5" spans="1:27" x14ac:dyDescent="0.3">
      <c r="A5" t="s">
        <v>200</v>
      </c>
      <c r="B5" s="7">
        <v>500</v>
      </c>
      <c r="C5" s="7">
        <v>0</v>
      </c>
      <c r="D5" s="7">
        <f t="shared" si="0"/>
        <v>500</v>
      </c>
      <c r="F5" s="77"/>
      <c r="G5" s="77"/>
      <c r="H5" s="77"/>
      <c r="I5" s="77"/>
      <c r="J5" s="77"/>
      <c r="K5" s="77"/>
      <c r="O5" s="7"/>
      <c r="P5" s="7"/>
      <c r="Q5" s="22"/>
      <c r="R5" s="23"/>
    </row>
    <row r="6" spans="1:27" x14ac:dyDescent="0.3">
      <c r="A6" t="s">
        <v>97</v>
      </c>
      <c r="B6" s="7">
        <v>350</v>
      </c>
      <c r="C6" s="7">
        <v>0</v>
      </c>
      <c r="D6" s="7">
        <f t="shared" si="0"/>
        <v>350</v>
      </c>
      <c r="F6" s="77"/>
      <c r="G6" s="77"/>
      <c r="H6" s="77"/>
      <c r="I6" s="77"/>
      <c r="J6" s="77"/>
      <c r="K6" s="77"/>
      <c r="N6" t="s">
        <v>97</v>
      </c>
      <c r="O6" s="7"/>
      <c r="P6" s="7"/>
      <c r="Q6" s="22"/>
      <c r="R6" s="23"/>
    </row>
    <row r="7" spans="1:27" x14ac:dyDescent="0.3">
      <c r="A7" t="s">
        <v>152</v>
      </c>
      <c r="B7" s="7">
        <v>845</v>
      </c>
      <c r="C7" s="7">
        <v>0</v>
      </c>
      <c r="D7" s="7">
        <f t="shared" si="0"/>
        <v>845</v>
      </c>
      <c r="F7" s="77"/>
      <c r="G7" s="77"/>
      <c r="H7" s="77"/>
      <c r="I7" s="77"/>
      <c r="J7" s="77"/>
      <c r="K7" s="77"/>
      <c r="N7" t="s">
        <v>11</v>
      </c>
      <c r="O7" s="7">
        <v>0</v>
      </c>
      <c r="P7" s="7"/>
      <c r="Q7" s="22"/>
      <c r="R7" s="23">
        <f>O7*4</f>
        <v>0</v>
      </c>
    </row>
    <row r="8" spans="1:27" ht="13.5" customHeight="1" x14ac:dyDescent="0.3">
      <c r="A8" t="s">
        <v>201</v>
      </c>
      <c r="B8" s="7">
        <v>4000</v>
      </c>
      <c r="C8" s="7">
        <v>0</v>
      </c>
      <c r="D8" s="7">
        <f t="shared" si="0"/>
        <v>4000</v>
      </c>
      <c r="F8" s="78"/>
      <c r="G8" s="78"/>
      <c r="H8" s="78"/>
      <c r="I8" s="78"/>
      <c r="J8" s="78"/>
      <c r="K8" s="78"/>
      <c r="N8" t="s">
        <v>106</v>
      </c>
      <c r="O8" s="7">
        <v>0</v>
      </c>
      <c r="P8" s="7"/>
      <c r="Q8" s="22"/>
      <c r="R8" s="23"/>
    </row>
    <row r="9" spans="1:27" x14ac:dyDescent="0.3">
      <c r="A9" t="s">
        <v>105</v>
      </c>
      <c r="B9" s="7">
        <v>0</v>
      </c>
      <c r="C9" s="7">
        <v>0</v>
      </c>
      <c r="D9" s="7">
        <f t="shared" si="0"/>
        <v>0</v>
      </c>
      <c r="F9" s="78"/>
      <c r="G9" s="78"/>
      <c r="H9" s="78"/>
      <c r="I9" s="78"/>
      <c r="J9" s="78"/>
      <c r="K9" s="78"/>
      <c r="N9" t="s">
        <v>108</v>
      </c>
      <c r="O9" s="7">
        <v>100</v>
      </c>
      <c r="P9" s="7"/>
      <c r="Q9" s="22"/>
      <c r="R9" s="23"/>
    </row>
    <row r="10" spans="1:27" x14ac:dyDescent="0.3">
      <c r="A10" t="s">
        <v>153</v>
      </c>
      <c r="B10" s="7">
        <v>0</v>
      </c>
      <c r="C10" s="7">
        <v>0</v>
      </c>
      <c r="D10" s="7">
        <f t="shared" si="0"/>
        <v>0</v>
      </c>
      <c r="F10" s="78"/>
      <c r="G10" s="78"/>
      <c r="H10" s="78"/>
      <c r="I10" s="78"/>
      <c r="J10" s="78"/>
      <c r="K10" s="78"/>
      <c r="N10" t="s">
        <v>162</v>
      </c>
      <c r="O10" s="7">
        <v>0</v>
      </c>
      <c r="P10" s="7"/>
      <c r="Q10" s="22"/>
      <c r="R10" s="23"/>
    </row>
    <row r="11" spans="1:27" x14ac:dyDescent="0.3">
      <c r="A11" t="s">
        <v>123</v>
      </c>
      <c r="B11" s="7">
        <v>0</v>
      </c>
      <c r="C11" s="7">
        <v>0</v>
      </c>
      <c r="D11" s="7">
        <f t="shared" si="0"/>
        <v>0</v>
      </c>
      <c r="F11" s="78"/>
      <c r="G11" s="78"/>
      <c r="H11" s="78"/>
      <c r="I11" s="78"/>
      <c r="J11" s="78"/>
      <c r="K11" s="78"/>
      <c r="N11" t="s">
        <v>21</v>
      </c>
      <c r="O11" s="7">
        <v>30</v>
      </c>
      <c r="P11" s="7"/>
      <c r="Q11" s="22"/>
      <c r="R11" s="23"/>
    </row>
    <row r="12" spans="1:27" x14ac:dyDescent="0.3">
      <c r="A12" t="s">
        <v>89</v>
      </c>
      <c r="B12" s="7">
        <f>F24</f>
        <v>770</v>
      </c>
      <c r="C12" s="7">
        <v>0</v>
      </c>
      <c r="D12" s="7">
        <f t="shared" si="0"/>
        <v>770</v>
      </c>
      <c r="F12" s="72"/>
      <c r="G12" s="72"/>
      <c r="H12" s="72"/>
      <c r="I12" s="72"/>
      <c r="J12" s="72"/>
      <c r="K12" s="72"/>
      <c r="N12" t="s">
        <v>111</v>
      </c>
      <c r="O12" s="7">
        <v>100</v>
      </c>
      <c r="P12" s="7"/>
      <c r="Q12" s="24" t="s">
        <v>94</v>
      </c>
      <c r="R12" s="25">
        <f>R4+R7</f>
        <v>0</v>
      </c>
    </row>
    <row r="13" spans="1:27" x14ac:dyDescent="0.3">
      <c r="A13" t="s">
        <v>181</v>
      </c>
      <c r="B13" s="7">
        <v>0</v>
      </c>
      <c r="C13" s="7"/>
      <c r="D13" s="7"/>
      <c r="E13" t="s">
        <v>182</v>
      </c>
      <c r="F13" s="41"/>
      <c r="G13" s="41"/>
      <c r="H13" s="41"/>
      <c r="I13" s="41"/>
      <c r="J13" s="41"/>
      <c r="K13" s="41"/>
      <c r="O13" s="7"/>
      <c r="P13" s="7"/>
      <c r="Q13" s="24"/>
      <c r="R13" s="25"/>
    </row>
    <row r="14" spans="1:27" ht="17.100000000000001" customHeight="1" x14ac:dyDescent="0.3">
      <c r="A14" t="s">
        <v>156</v>
      </c>
      <c r="B14" s="7">
        <v>400</v>
      </c>
      <c r="C14" s="7">
        <v>0</v>
      </c>
      <c r="D14" s="7">
        <f t="shared" ref="D14:D21" si="1">B14-C14</f>
        <v>400</v>
      </c>
      <c r="F14" s="71" t="s">
        <v>151</v>
      </c>
      <c r="G14" s="71"/>
      <c r="H14" s="71"/>
      <c r="I14" s="71"/>
      <c r="J14" s="71"/>
      <c r="K14" s="71"/>
      <c r="O14" s="7"/>
      <c r="P14" s="7"/>
      <c r="Q14" s="24"/>
      <c r="R14" s="25"/>
    </row>
    <row r="15" spans="1:27" x14ac:dyDescent="0.3">
      <c r="A15" t="s">
        <v>112</v>
      </c>
      <c r="B15" s="7">
        <v>0</v>
      </c>
      <c r="C15" s="7">
        <v>0</v>
      </c>
      <c r="D15" s="7">
        <f t="shared" si="1"/>
        <v>0</v>
      </c>
      <c r="E15" t="s">
        <v>188</v>
      </c>
      <c r="F15" t="s">
        <v>189</v>
      </c>
      <c r="N15" t="s">
        <v>9</v>
      </c>
      <c r="O15" s="7">
        <v>100</v>
      </c>
      <c r="P15" s="7"/>
    </row>
    <row r="16" spans="1:27" x14ac:dyDescent="0.3">
      <c r="A16" t="s">
        <v>125</v>
      </c>
      <c r="B16" s="7">
        <f>1052 + 26</f>
        <v>1078</v>
      </c>
      <c r="C16" s="7">
        <v>0</v>
      </c>
      <c r="D16" s="7">
        <f t="shared" si="1"/>
        <v>1078</v>
      </c>
      <c r="E16" t="s">
        <v>141</v>
      </c>
      <c r="F16">
        <v>125</v>
      </c>
      <c r="N16" s="72" t="s">
        <v>155</v>
      </c>
      <c r="O16" s="72"/>
      <c r="P16" s="7"/>
    </row>
    <row r="17" spans="1:16" x14ac:dyDescent="0.3">
      <c r="A17" t="s">
        <v>110</v>
      </c>
      <c r="B17" s="7">
        <v>600</v>
      </c>
      <c r="C17" s="7">
        <v>0</v>
      </c>
      <c r="D17" s="7">
        <f t="shared" si="1"/>
        <v>600</v>
      </c>
      <c r="E17" t="s">
        <v>92</v>
      </c>
      <c r="F17">
        <v>0</v>
      </c>
      <c r="N17" s="72"/>
      <c r="O17" s="72"/>
      <c r="P17" s="7"/>
    </row>
    <row r="18" spans="1:16" x14ac:dyDescent="0.3">
      <c r="A18" t="s">
        <v>15</v>
      </c>
      <c r="B18" s="7">
        <v>500</v>
      </c>
      <c r="C18" s="7">
        <v>0</v>
      </c>
      <c r="D18" s="7">
        <f t="shared" si="1"/>
        <v>500</v>
      </c>
      <c r="E18" t="s">
        <v>142</v>
      </c>
      <c r="F18">
        <v>80</v>
      </c>
      <c r="N18" s="72"/>
      <c r="O18" s="72"/>
      <c r="P18" s="7"/>
    </row>
    <row r="19" spans="1:16" x14ac:dyDescent="0.3">
      <c r="A19" t="s">
        <v>90</v>
      </c>
      <c r="B19" s="7">
        <v>0</v>
      </c>
      <c r="C19" s="7">
        <v>0</v>
      </c>
      <c r="D19" s="7">
        <f t="shared" si="1"/>
        <v>0</v>
      </c>
      <c r="E19" t="s">
        <v>27</v>
      </c>
      <c r="F19">
        <v>35</v>
      </c>
      <c r="L19" t="s">
        <v>165</v>
      </c>
      <c r="M19" t="s">
        <v>166</v>
      </c>
      <c r="N19" s="72"/>
      <c r="O19" s="72"/>
      <c r="P19" s="7"/>
    </row>
    <row r="20" spans="1:16" x14ac:dyDescent="0.3">
      <c r="A20" t="s">
        <v>112</v>
      </c>
      <c r="B20" s="7">
        <v>100</v>
      </c>
      <c r="C20" s="7">
        <v>0</v>
      </c>
      <c r="D20" s="7">
        <f t="shared" si="1"/>
        <v>100</v>
      </c>
      <c r="E20" t="s">
        <v>169</v>
      </c>
      <c r="F20">
        <v>200</v>
      </c>
      <c r="L20" s="7">
        <f>I33</f>
        <v>0</v>
      </c>
      <c r="M20" s="7">
        <f>K33</f>
        <v>0</v>
      </c>
      <c r="N20" t="s">
        <v>13</v>
      </c>
      <c r="O20" s="7">
        <v>600</v>
      </c>
      <c r="P20" s="7"/>
    </row>
    <row r="21" spans="1:16" x14ac:dyDescent="0.3">
      <c r="A21" t="s">
        <v>159</v>
      </c>
      <c r="B21" s="7">
        <v>0</v>
      </c>
      <c r="C21" s="7">
        <v>0</v>
      </c>
      <c r="D21" s="7">
        <f t="shared" si="1"/>
        <v>0</v>
      </c>
      <c r="E21" t="s">
        <v>29</v>
      </c>
      <c r="F21">
        <v>110</v>
      </c>
      <c r="O21" s="7"/>
      <c r="P21" s="7"/>
    </row>
    <row r="22" spans="1:16" x14ac:dyDescent="0.3">
      <c r="A22" s="2" t="s">
        <v>83</v>
      </c>
      <c r="B22" s="8">
        <f>SUM(B3:B20)</f>
        <v>13207</v>
      </c>
      <c r="C22" s="8">
        <f>SUM(C3:C21)</f>
        <v>3500</v>
      </c>
      <c r="D22" s="8"/>
      <c r="E22" t="s">
        <v>92</v>
      </c>
      <c r="F22">
        <v>140</v>
      </c>
      <c r="L22" s="39" t="s">
        <v>18</v>
      </c>
      <c r="M22" s="40">
        <f>L20+M20</f>
        <v>0</v>
      </c>
      <c r="N22" s="2" t="s">
        <v>14</v>
      </c>
      <c r="O22" s="8">
        <f>O24</f>
        <v>1010.5</v>
      </c>
      <c r="P22" s="8"/>
    </row>
    <row r="23" spans="1:16" x14ac:dyDescent="0.3">
      <c r="A23" s="2" t="s">
        <v>84</v>
      </c>
      <c r="B23" s="8">
        <f>SUM(B2-B22)</f>
        <v>7762</v>
      </c>
      <c r="C23" s="8"/>
      <c r="D23" s="8"/>
      <c r="E23" t="s">
        <v>202</v>
      </c>
      <c r="F23">
        <v>80</v>
      </c>
      <c r="N23" s="2" t="s">
        <v>86</v>
      </c>
      <c r="O23" s="8">
        <f>SUM(O4:O20)</f>
        <v>930</v>
      </c>
      <c r="P23" s="8"/>
    </row>
    <row r="24" spans="1:16" x14ac:dyDescent="0.3">
      <c r="E24" t="s">
        <v>18</v>
      </c>
      <c r="F24">
        <f>SUBTOTAL(109,F16:F23)</f>
        <v>770</v>
      </c>
      <c r="N24" s="1" t="s">
        <v>0</v>
      </c>
      <c r="O24" s="7">
        <f>SUM(O3-O23)</f>
        <v>1010.5</v>
      </c>
      <c r="P24" s="7"/>
    </row>
    <row r="25" spans="1:16" x14ac:dyDescent="0.3">
      <c r="L25">
        <f>550/2</f>
        <v>275</v>
      </c>
      <c r="N25" s="1" t="s">
        <v>93</v>
      </c>
      <c r="O25" s="7">
        <f>O22 *2</f>
        <v>2021</v>
      </c>
      <c r="P25" s="7"/>
    </row>
    <row r="26" spans="1:16" x14ac:dyDescent="0.3">
      <c r="N26" t="s">
        <v>100</v>
      </c>
      <c r="O26" s="7">
        <f>O25*2</f>
        <v>4042</v>
      </c>
      <c r="P26" s="7"/>
    </row>
    <row r="27" spans="1:16" x14ac:dyDescent="0.3">
      <c r="O27" s="7"/>
      <c r="P27" s="7"/>
    </row>
    <row r="28" spans="1:16" x14ac:dyDescent="0.3">
      <c r="O28" s="7"/>
      <c r="P28" s="7"/>
    </row>
    <row r="29" spans="1:16" x14ac:dyDescent="0.3">
      <c r="A29" s="27"/>
    </row>
  </sheetData>
  <mergeCells count="7">
    <mergeCell ref="N16:O19"/>
    <mergeCell ref="A1:AA1"/>
    <mergeCell ref="N2:Q2"/>
    <mergeCell ref="F3:K7"/>
    <mergeCell ref="F8:K11"/>
    <mergeCell ref="F12:K12"/>
    <mergeCell ref="F14:K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3D84-657F-496D-B72F-F226BD381F2F}">
  <sheetPr codeName="Sheet22"/>
  <dimension ref="A1:AA29"/>
  <sheetViews>
    <sheetView workbookViewId="0">
      <selection activeCell="J19" sqref="J19"/>
    </sheetView>
  </sheetViews>
  <sheetFormatPr defaultRowHeight="14.4" x14ac:dyDescent="0.3"/>
  <cols>
    <col min="1" max="1" width="16.33203125" bestFit="1" customWidth="1"/>
    <col min="2" max="2" width="10.33203125" bestFit="1" customWidth="1"/>
    <col min="3" max="3" width="11.33203125" bestFit="1" customWidth="1"/>
    <col min="4" max="4" width="11.33203125" customWidth="1"/>
    <col min="5" max="5" width="17.6640625" bestFit="1" customWidth="1"/>
    <col min="6" max="6" width="10.33203125" customWidth="1"/>
    <col min="8" max="8" width="10.33203125" customWidth="1"/>
    <col min="9" max="9" width="10.6640625" bestFit="1" customWidth="1"/>
    <col min="10" max="10" width="10.6640625" customWidth="1"/>
    <col min="12" max="12" width="11.6640625" bestFit="1" customWidth="1"/>
    <col min="14" max="14" width="12.5546875" bestFit="1" customWidth="1"/>
    <col min="15" max="15" width="9.33203125" bestFit="1" customWidth="1"/>
    <col min="16" max="16" width="9.33203125" customWidth="1"/>
    <col min="17" max="17" width="18.33203125" bestFit="1" customWidth="1"/>
    <col min="18" max="18" width="15.44140625" bestFit="1" customWidth="1"/>
  </cols>
  <sheetData>
    <row r="1" spans="1:27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x14ac:dyDescent="0.3">
      <c r="A2" s="1" t="s">
        <v>82</v>
      </c>
      <c r="B2" s="21">
        <f>SUM(20969)</f>
        <v>20969</v>
      </c>
      <c r="C2" s="21" t="s">
        <v>175</v>
      </c>
      <c r="D2" s="21" t="s">
        <v>174</v>
      </c>
      <c r="E2" s="21"/>
      <c r="N2" s="76" t="s">
        <v>124</v>
      </c>
      <c r="O2" s="76"/>
      <c r="P2" s="76"/>
      <c r="Q2" s="76"/>
    </row>
    <row r="3" spans="1:27" ht="12.6" customHeight="1" x14ac:dyDescent="0.3">
      <c r="A3" t="s">
        <v>104</v>
      </c>
      <c r="B3" s="7">
        <v>500</v>
      </c>
      <c r="C3" s="7">
        <v>0</v>
      </c>
      <c r="D3" s="7">
        <f t="shared" ref="D3:D12" si="0">B3-C3</f>
        <v>500</v>
      </c>
      <c r="F3" s="77" t="s">
        <v>203</v>
      </c>
      <c r="G3" s="77"/>
      <c r="H3" s="77"/>
      <c r="I3" s="77"/>
      <c r="J3" s="77"/>
      <c r="K3" s="77"/>
      <c r="L3" s="26"/>
      <c r="N3" s="2" t="s">
        <v>85</v>
      </c>
      <c r="O3" s="8">
        <f>(B23/4)</f>
        <v>1971.75</v>
      </c>
      <c r="P3" s="8"/>
    </row>
    <row r="4" spans="1:27" x14ac:dyDescent="0.3">
      <c r="A4" t="s">
        <v>6</v>
      </c>
      <c r="B4" s="7">
        <v>3585</v>
      </c>
      <c r="C4" s="7">
        <v>3500</v>
      </c>
      <c r="D4" s="7">
        <f t="shared" si="0"/>
        <v>85</v>
      </c>
      <c r="F4" s="77"/>
      <c r="G4" s="77"/>
      <c r="H4" s="77"/>
      <c r="I4" s="77"/>
      <c r="J4" s="77"/>
      <c r="K4" s="77"/>
      <c r="N4" t="s">
        <v>12</v>
      </c>
      <c r="O4" s="7">
        <v>0</v>
      </c>
      <c r="P4" s="7"/>
      <c r="Q4" s="22"/>
      <c r="R4" s="23">
        <f>O4*4</f>
        <v>0</v>
      </c>
    </row>
    <row r="5" spans="1:27" x14ac:dyDescent="0.3">
      <c r="A5" t="s">
        <v>200</v>
      </c>
      <c r="B5" s="7">
        <v>350</v>
      </c>
      <c r="C5" s="7">
        <v>0</v>
      </c>
      <c r="D5" s="7">
        <f t="shared" si="0"/>
        <v>350</v>
      </c>
      <c r="F5" s="77"/>
      <c r="G5" s="77"/>
      <c r="H5" s="77"/>
      <c r="I5" s="77"/>
      <c r="J5" s="77"/>
      <c r="K5" s="77"/>
      <c r="O5" s="7"/>
      <c r="P5" s="7"/>
      <c r="Q5" s="22"/>
      <c r="R5" s="23"/>
    </row>
    <row r="6" spans="1:27" x14ac:dyDescent="0.3">
      <c r="A6" t="s">
        <v>97</v>
      </c>
      <c r="B6" s="7">
        <v>350</v>
      </c>
      <c r="C6" s="7">
        <v>0</v>
      </c>
      <c r="D6" s="7">
        <f t="shared" si="0"/>
        <v>350</v>
      </c>
      <c r="F6" s="77"/>
      <c r="G6" s="77"/>
      <c r="H6" s="77"/>
      <c r="I6" s="77"/>
      <c r="J6" s="77"/>
      <c r="K6" s="77"/>
      <c r="N6" t="s">
        <v>97</v>
      </c>
      <c r="O6" s="7"/>
      <c r="P6" s="7"/>
      <c r="Q6" s="22"/>
      <c r="R6" s="23"/>
    </row>
    <row r="7" spans="1:27" x14ac:dyDescent="0.3">
      <c r="A7" t="s">
        <v>152</v>
      </c>
      <c r="B7" s="7">
        <v>845</v>
      </c>
      <c r="C7" s="7">
        <v>0</v>
      </c>
      <c r="D7" s="7">
        <f t="shared" si="0"/>
        <v>845</v>
      </c>
      <c r="F7" s="77"/>
      <c r="G7" s="77"/>
      <c r="H7" s="77"/>
      <c r="I7" s="77"/>
      <c r="J7" s="77"/>
      <c r="K7" s="77"/>
      <c r="N7" t="s">
        <v>11</v>
      </c>
      <c r="O7" s="7">
        <v>0</v>
      </c>
      <c r="P7" s="7"/>
      <c r="Q7" s="22"/>
      <c r="R7" s="23">
        <f>O7*4</f>
        <v>0</v>
      </c>
    </row>
    <row r="8" spans="1:27" ht="13.5" customHeight="1" x14ac:dyDescent="0.3">
      <c r="A8" t="s">
        <v>201</v>
      </c>
      <c r="B8" s="7">
        <v>1500</v>
      </c>
      <c r="C8" s="7">
        <v>0</v>
      </c>
      <c r="D8" s="7">
        <f t="shared" si="0"/>
        <v>1500</v>
      </c>
      <c r="F8" s="78"/>
      <c r="G8" s="78"/>
      <c r="H8" s="78"/>
      <c r="I8" s="78"/>
      <c r="J8" s="78"/>
      <c r="K8" s="78"/>
      <c r="N8" t="s">
        <v>106</v>
      </c>
      <c r="O8" s="7">
        <v>0</v>
      </c>
      <c r="P8" s="7"/>
      <c r="Q8" s="22"/>
      <c r="R8" s="23"/>
    </row>
    <row r="9" spans="1:27" x14ac:dyDescent="0.3">
      <c r="A9" t="s">
        <v>105</v>
      </c>
      <c r="B9" s="7">
        <v>0</v>
      </c>
      <c r="C9" s="7">
        <v>0</v>
      </c>
      <c r="D9" s="7">
        <f t="shared" si="0"/>
        <v>0</v>
      </c>
      <c r="F9" s="78"/>
      <c r="G9" s="78"/>
      <c r="H9" s="78"/>
      <c r="I9" s="78"/>
      <c r="J9" s="78"/>
      <c r="K9" s="78"/>
      <c r="N9" t="s">
        <v>108</v>
      </c>
      <c r="O9" s="7">
        <v>100</v>
      </c>
      <c r="P9" s="7"/>
      <c r="Q9" s="22"/>
      <c r="R9" s="23"/>
    </row>
    <row r="10" spans="1:27" x14ac:dyDescent="0.3">
      <c r="A10" t="s">
        <v>153</v>
      </c>
      <c r="B10" s="7">
        <v>0</v>
      </c>
      <c r="C10" s="7">
        <v>0</v>
      </c>
      <c r="D10" s="7">
        <f t="shared" si="0"/>
        <v>0</v>
      </c>
      <c r="F10" s="78"/>
      <c r="G10" s="78"/>
      <c r="H10" s="78"/>
      <c r="I10" s="78"/>
      <c r="J10" s="78"/>
      <c r="K10" s="78"/>
      <c r="N10" t="s">
        <v>162</v>
      </c>
      <c r="O10" s="7">
        <v>0</v>
      </c>
      <c r="P10" s="7"/>
      <c r="Q10" s="22"/>
      <c r="R10" s="23"/>
    </row>
    <row r="11" spans="1:27" x14ac:dyDescent="0.3">
      <c r="A11" t="s">
        <v>123</v>
      </c>
      <c r="B11" s="7">
        <v>0</v>
      </c>
      <c r="C11" s="7">
        <v>0</v>
      </c>
      <c r="D11" s="7">
        <f t="shared" si="0"/>
        <v>0</v>
      </c>
      <c r="F11" s="78"/>
      <c r="G11" s="78"/>
      <c r="H11" s="78"/>
      <c r="I11" s="78"/>
      <c r="J11" s="78"/>
      <c r="K11" s="78"/>
      <c r="N11" t="s">
        <v>21</v>
      </c>
      <c r="O11" s="7">
        <v>15</v>
      </c>
      <c r="P11" s="7"/>
      <c r="Q11" s="22"/>
      <c r="R11" s="23"/>
    </row>
    <row r="12" spans="1:27" x14ac:dyDescent="0.3">
      <c r="A12" t="s">
        <v>89</v>
      </c>
      <c r="B12" s="7">
        <f>F24</f>
        <v>550</v>
      </c>
      <c r="C12" s="7">
        <v>0</v>
      </c>
      <c r="D12" s="7">
        <f t="shared" si="0"/>
        <v>550</v>
      </c>
      <c r="F12" s="72"/>
      <c r="G12" s="72"/>
      <c r="H12" s="72"/>
      <c r="I12" s="72"/>
      <c r="J12" s="72"/>
      <c r="K12" s="72"/>
      <c r="N12" t="s">
        <v>111</v>
      </c>
      <c r="O12" s="7">
        <v>150</v>
      </c>
      <c r="P12" s="7"/>
      <c r="Q12" s="24" t="s">
        <v>94</v>
      </c>
      <c r="R12" s="25">
        <f>R4+R7</f>
        <v>0</v>
      </c>
    </row>
    <row r="13" spans="1:27" x14ac:dyDescent="0.3">
      <c r="A13" t="s">
        <v>181</v>
      </c>
      <c r="B13" s="7">
        <v>0</v>
      </c>
      <c r="C13" s="7"/>
      <c r="D13" s="7"/>
      <c r="E13" t="s">
        <v>182</v>
      </c>
      <c r="F13" s="41"/>
      <c r="G13" s="41"/>
      <c r="H13" s="41"/>
      <c r="I13" s="41"/>
      <c r="J13" s="41"/>
      <c r="K13" s="41"/>
      <c r="O13" s="7"/>
      <c r="P13" s="7"/>
      <c r="Q13" s="24"/>
      <c r="R13" s="25"/>
    </row>
    <row r="14" spans="1:27" ht="17.100000000000001" customHeight="1" x14ac:dyDescent="0.3">
      <c r="A14" t="s">
        <v>156</v>
      </c>
      <c r="B14" s="7">
        <v>300</v>
      </c>
      <c r="C14" s="7">
        <v>0</v>
      </c>
      <c r="D14" s="7">
        <f t="shared" ref="D14:D21" si="1">B14-C14</f>
        <v>300</v>
      </c>
      <c r="F14" s="71" t="s">
        <v>151</v>
      </c>
      <c r="G14" s="71"/>
      <c r="H14" s="71"/>
      <c r="I14" s="71"/>
      <c r="J14" s="71"/>
      <c r="K14" s="71"/>
      <c r="O14" s="7"/>
      <c r="P14" s="7"/>
      <c r="Q14" s="24"/>
      <c r="R14" s="25"/>
    </row>
    <row r="15" spans="1:27" x14ac:dyDescent="0.3">
      <c r="A15" t="s">
        <v>112</v>
      </c>
      <c r="B15" s="7">
        <v>0</v>
      </c>
      <c r="C15" s="7">
        <v>0</v>
      </c>
      <c r="D15" s="7">
        <f t="shared" si="1"/>
        <v>0</v>
      </c>
      <c r="E15" t="s">
        <v>188</v>
      </c>
      <c r="F15" t="s">
        <v>189</v>
      </c>
      <c r="N15" t="s">
        <v>9</v>
      </c>
      <c r="O15" s="7">
        <v>100</v>
      </c>
      <c r="P15" s="7"/>
    </row>
    <row r="16" spans="1:27" x14ac:dyDescent="0.3">
      <c r="A16" t="s">
        <v>125</v>
      </c>
      <c r="B16" s="7">
        <v>1052</v>
      </c>
      <c r="C16" s="7">
        <v>0</v>
      </c>
      <c r="D16" s="7">
        <f t="shared" si="1"/>
        <v>1052</v>
      </c>
      <c r="E16" t="s">
        <v>141</v>
      </c>
      <c r="F16">
        <v>125</v>
      </c>
      <c r="N16" s="72" t="s">
        <v>155</v>
      </c>
      <c r="O16" s="72"/>
      <c r="P16" s="7"/>
    </row>
    <row r="17" spans="1:16" x14ac:dyDescent="0.3">
      <c r="A17" t="s">
        <v>110</v>
      </c>
      <c r="B17" s="7">
        <v>600</v>
      </c>
      <c r="C17" s="7">
        <v>0</v>
      </c>
      <c r="D17" s="7">
        <f t="shared" si="1"/>
        <v>600</v>
      </c>
      <c r="E17" t="s">
        <v>92</v>
      </c>
      <c r="F17">
        <v>0</v>
      </c>
      <c r="N17" s="72"/>
      <c r="O17" s="72"/>
      <c r="P17" s="7"/>
    </row>
    <row r="18" spans="1:16" x14ac:dyDescent="0.3">
      <c r="A18" t="s">
        <v>15</v>
      </c>
      <c r="B18" s="7">
        <v>350</v>
      </c>
      <c r="C18" s="7">
        <v>0</v>
      </c>
      <c r="D18" s="7">
        <f t="shared" si="1"/>
        <v>350</v>
      </c>
      <c r="E18" t="s">
        <v>142</v>
      </c>
      <c r="F18">
        <v>80</v>
      </c>
      <c r="N18" s="72"/>
      <c r="O18" s="72"/>
      <c r="P18" s="7"/>
    </row>
    <row r="19" spans="1:16" x14ac:dyDescent="0.3">
      <c r="A19" t="s">
        <v>90</v>
      </c>
      <c r="B19" s="7">
        <v>0</v>
      </c>
      <c r="C19" s="7">
        <v>0</v>
      </c>
      <c r="D19" s="7">
        <f t="shared" si="1"/>
        <v>0</v>
      </c>
      <c r="E19" t="s">
        <v>27</v>
      </c>
      <c r="F19">
        <v>35</v>
      </c>
      <c r="L19" t="s">
        <v>165</v>
      </c>
      <c r="M19" t="s">
        <v>166</v>
      </c>
      <c r="N19" s="72"/>
      <c r="O19" s="72"/>
      <c r="P19" s="7"/>
    </row>
    <row r="20" spans="1:16" x14ac:dyDescent="0.3">
      <c r="A20" t="s">
        <v>112</v>
      </c>
      <c r="B20" s="7">
        <v>100</v>
      </c>
      <c r="C20" s="7">
        <v>0</v>
      </c>
      <c r="D20" s="7">
        <f t="shared" si="1"/>
        <v>100</v>
      </c>
      <c r="E20" t="s">
        <v>169</v>
      </c>
      <c r="F20">
        <v>200</v>
      </c>
      <c r="L20" s="7">
        <f>I33</f>
        <v>0</v>
      </c>
      <c r="M20" s="7">
        <f>K33</f>
        <v>0</v>
      </c>
      <c r="N20" t="s">
        <v>13</v>
      </c>
      <c r="O20" s="7">
        <v>650</v>
      </c>
      <c r="P20" s="7"/>
    </row>
    <row r="21" spans="1:16" x14ac:dyDescent="0.3">
      <c r="A21" t="s">
        <v>47</v>
      </c>
      <c r="B21" s="7">
        <v>3000</v>
      </c>
      <c r="C21" s="7">
        <v>0</v>
      </c>
      <c r="D21" s="7">
        <f t="shared" si="1"/>
        <v>3000</v>
      </c>
      <c r="E21" t="s">
        <v>29</v>
      </c>
      <c r="F21">
        <v>110</v>
      </c>
      <c r="O21" s="7"/>
      <c r="P21" s="7"/>
    </row>
    <row r="22" spans="1:16" x14ac:dyDescent="0.3">
      <c r="A22" s="2" t="s">
        <v>83</v>
      </c>
      <c r="B22" s="8">
        <f>SUM(B3:B21)</f>
        <v>13082</v>
      </c>
      <c r="C22" s="8">
        <f>SUM(C3:C21)</f>
        <v>3500</v>
      </c>
      <c r="D22" s="8"/>
      <c r="E22" t="s">
        <v>92</v>
      </c>
      <c r="F22">
        <v>0</v>
      </c>
      <c r="L22" s="39" t="s">
        <v>18</v>
      </c>
      <c r="M22" s="40">
        <f>L20+M20</f>
        <v>0</v>
      </c>
      <c r="N22" s="2" t="s">
        <v>14</v>
      </c>
      <c r="O22" s="8">
        <f>O24</f>
        <v>956.75</v>
      </c>
      <c r="P22" s="8"/>
    </row>
    <row r="23" spans="1:16" x14ac:dyDescent="0.3">
      <c r="A23" s="2" t="s">
        <v>84</v>
      </c>
      <c r="B23" s="8">
        <f>SUM(B2-B22)</f>
        <v>7887</v>
      </c>
      <c r="C23" s="8"/>
      <c r="D23" s="8"/>
      <c r="E23" t="s">
        <v>202</v>
      </c>
      <c r="F23">
        <v>0</v>
      </c>
      <c r="N23" s="2" t="s">
        <v>86</v>
      </c>
      <c r="O23" s="8">
        <f>SUM(O4:O20)</f>
        <v>1015</v>
      </c>
      <c r="P23" s="8"/>
    </row>
    <row r="24" spans="1:16" x14ac:dyDescent="0.3">
      <c r="E24" t="s">
        <v>18</v>
      </c>
      <c r="F24">
        <f>SUBTOTAL(109,F16:F23)</f>
        <v>550</v>
      </c>
      <c r="N24" s="1" t="s">
        <v>0</v>
      </c>
      <c r="O24" s="7">
        <f>SUM(O3-O23)</f>
        <v>956.75</v>
      </c>
      <c r="P24" s="7"/>
    </row>
    <row r="25" spans="1:16" x14ac:dyDescent="0.3">
      <c r="L25">
        <f>550/2</f>
        <v>275</v>
      </c>
      <c r="N25" s="1" t="s">
        <v>93</v>
      </c>
      <c r="O25" s="7">
        <f>O22 *2</f>
        <v>1913.5</v>
      </c>
      <c r="P25" s="7"/>
    </row>
    <row r="26" spans="1:16" x14ac:dyDescent="0.3">
      <c r="N26" t="s">
        <v>100</v>
      </c>
      <c r="O26" s="7">
        <f>O25*2</f>
        <v>3827</v>
      </c>
      <c r="P26" s="7"/>
    </row>
    <row r="27" spans="1:16" x14ac:dyDescent="0.3">
      <c r="O27" s="7"/>
      <c r="P27" s="7"/>
    </row>
    <row r="28" spans="1:16" x14ac:dyDescent="0.3">
      <c r="O28" s="7"/>
      <c r="P28" s="7"/>
    </row>
    <row r="29" spans="1:16" x14ac:dyDescent="0.3">
      <c r="A29" s="27"/>
    </row>
  </sheetData>
  <mergeCells count="7">
    <mergeCell ref="N16:O19"/>
    <mergeCell ref="A1:AA1"/>
    <mergeCell ref="N2:Q2"/>
    <mergeCell ref="F3:K7"/>
    <mergeCell ref="F8:K11"/>
    <mergeCell ref="F12:K12"/>
    <mergeCell ref="F14:K14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1299-DC8B-4997-8E41-CF9C8163EB6E}">
  <sheetPr codeName="Sheet23"/>
  <dimension ref="A1:AA30"/>
  <sheetViews>
    <sheetView workbookViewId="0">
      <selection activeCell="J25" sqref="J25"/>
    </sheetView>
  </sheetViews>
  <sheetFormatPr defaultRowHeight="14.4" x14ac:dyDescent="0.3"/>
  <cols>
    <col min="1" max="1" width="16.33203125" bestFit="1" customWidth="1"/>
    <col min="2" max="2" width="10.33203125" bestFit="1" customWidth="1"/>
    <col min="3" max="3" width="11.33203125" bestFit="1" customWidth="1"/>
    <col min="4" max="4" width="11.33203125" customWidth="1"/>
    <col min="5" max="5" width="17.6640625" bestFit="1" customWidth="1"/>
    <col min="6" max="6" width="10.33203125" customWidth="1"/>
    <col min="8" max="8" width="10.33203125" customWidth="1"/>
    <col min="9" max="9" width="10.6640625" bestFit="1" customWidth="1"/>
    <col min="10" max="10" width="10.6640625" customWidth="1"/>
    <col min="12" max="12" width="11.6640625" bestFit="1" customWidth="1"/>
    <col min="14" max="14" width="12.5546875" bestFit="1" customWidth="1"/>
    <col min="15" max="15" width="9.33203125" bestFit="1" customWidth="1"/>
    <col min="16" max="16" width="9.33203125" customWidth="1"/>
    <col min="17" max="17" width="18.33203125" bestFit="1" customWidth="1"/>
    <col min="18" max="18" width="15.44140625" bestFit="1" customWidth="1"/>
  </cols>
  <sheetData>
    <row r="1" spans="1:27" x14ac:dyDescent="0.3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x14ac:dyDescent="0.3">
      <c r="A2" s="1" t="s">
        <v>82</v>
      </c>
      <c r="B2" s="21">
        <f>SUM(20969)</f>
        <v>20969</v>
      </c>
      <c r="C2" s="21" t="s">
        <v>175</v>
      </c>
      <c r="D2" s="21" t="s">
        <v>174</v>
      </c>
      <c r="E2" s="21"/>
      <c r="N2" s="76" t="s">
        <v>124</v>
      </c>
      <c r="O2" s="76"/>
      <c r="P2" s="76"/>
      <c r="Q2" s="76"/>
    </row>
    <row r="3" spans="1:27" ht="12.6" customHeight="1" x14ac:dyDescent="0.3">
      <c r="A3" t="s">
        <v>104</v>
      </c>
      <c r="B3" s="7">
        <v>500</v>
      </c>
      <c r="C3" s="7">
        <v>0</v>
      </c>
      <c r="D3" s="7">
        <f>B3-C3</f>
        <v>500</v>
      </c>
      <c r="F3" s="77" t="s">
        <v>203</v>
      </c>
      <c r="G3" s="77"/>
      <c r="H3" s="77"/>
      <c r="I3" s="77"/>
      <c r="J3" s="77"/>
      <c r="K3" s="77"/>
      <c r="L3" s="26"/>
      <c r="N3" s="2" t="s">
        <v>85</v>
      </c>
      <c r="O3" s="8">
        <f>(B24/4)</f>
        <v>2575</v>
      </c>
      <c r="P3" s="8"/>
    </row>
    <row r="4" spans="1:27" x14ac:dyDescent="0.3">
      <c r="A4" t="s">
        <v>6</v>
      </c>
      <c r="B4" s="7">
        <v>3564</v>
      </c>
      <c r="C4" s="7">
        <v>3500</v>
      </c>
      <c r="D4" s="7">
        <f>B4-C4</f>
        <v>64</v>
      </c>
      <c r="F4" s="77"/>
      <c r="G4" s="77"/>
      <c r="H4" s="77"/>
      <c r="I4" s="77"/>
      <c r="J4" s="77"/>
      <c r="K4" s="77"/>
      <c r="N4" t="s">
        <v>12</v>
      </c>
      <c r="O4" s="7">
        <v>0</v>
      </c>
      <c r="P4" s="7"/>
      <c r="Q4" s="22"/>
      <c r="R4" s="23">
        <f>O4*4</f>
        <v>0</v>
      </c>
    </row>
    <row r="5" spans="1:27" x14ac:dyDescent="0.3">
      <c r="A5" t="s">
        <v>206</v>
      </c>
      <c r="B5" s="7">
        <v>100</v>
      </c>
      <c r="C5" s="7"/>
      <c r="D5" s="7"/>
      <c r="F5" s="77"/>
      <c r="G5" s="77"/>
      <c r="H5" s="77"/>
      <c r="I5" s="77"/>
      <c r="J5" s="77"/>
      <c r="K5" s="77"/>
      <c r="O5" s="7"/>
      <c r="P5" s="7"/>
      <c r="Q5" s="22"/>
      <c r="R5" s="23"/>
    </row>
    <row r="6" spans="1:27" x14ac:dyDescent="0.3">
      <c r="A6" t="s">
        <v>200</v>
      </c>
      <c r="B6" s="7">
        <v>250</v>
      </c>
      <c r="C6" s="7">
        <v>0</v>
      </c>
      <c r="D6" s="7">
        <f t="shared" ref="D6:D13" si="0">B6-C6</f>
        <v>250</v>
      </c>
      <c r="F6" s="77"/>
      <c r="G6" s="77"/>
      <c r="H6" s="77"/>
      <c r="I6" s="77"/>
      <c r="J6" s="77"/>
      <c r="K6" s="77"/>
      <c r="O6" s="7"/>
      <c r="P6" s="7"/>
      <c r="Q6" s="22"/>
      <c r="R6" s="23"/>
    </row>
    <row r="7" spans="1:27" x14ac:dyDescent="0.3">
      <c r="A7" t="s">
        <v>97</v>
      </c>
      <c r="B7" s="7">
        <v>350</v>
      </c>
      <c r="C7" s="7">
        <v>0</v>
      </c>
      <c r="D7" s="7">
        <f t="shared" si="0"/>
        <v>350</v>
      </c>
      <c r="F7" s="77"/>
      <c r="G7" s="77"/>
      <c r="H7" s="77"/>
      <c r="I7" s="77"/>
      <c r="J7" s="77"/>
      <c r="K7" s="77"/>
      <c r="N7" t="s">
        <v>97</v>
      </c>
      <c r="O7" s="7"/>
      <c r="P7" s="7"/>
      <c r="Q7" s="22"/>
      <c r="R7" s="23"/>
    </row>
    <row r="8" spans="1:27" x14ac:dyDescent="0.3">
      <c r="A8" t="s">
        <v>152</v>
      </c>
      <c r="B8" s="7">
        <v>845</v>
      </c>
      <c r="C8" s="7">
        <v>0</v>
      </c>
      <c r="D8" s="7">
        <f t="shared" si="0"/>
        <v>845</v>
      </c>
      <c r="F8" s="77"/>
      <c r="G8" s="77"/>
      <c r="H8" s="77"/>
      <c r="I8" s="77"/>
      <c r="J8" s="77"/>
      <c r="K8" s="77"/>
      <c r="N8" t="s">
        <v>11</v>
      </c>
      <c r="O8" s="7">
        <v>0</v>
      </c>
      <c r="P8" s="7"/>
      <c r="Q8" s="22"/>
      <c r="R8" s="23">
        <f>O8*4</f>
        <v>0</v>
      </c>
    </row>
    <row r="9" spans="1:27" ht="13.5" customHeight="1" x14ac:dyDescent="0.3">
      <c r="A9" t="s">
        <v>201</v>
      </c>
      <c r="B9" s="7">
        <v>1000</v>
      </c>
      <c r="C9" s="7">
        <v>0</v>
      </c>
      <c r="D9" s="7">
        <f t="shared" si="0"/>
        <v>1000</v>
      </c>
      <c r="F9" s="78"/>
      <c r="G9" s="78"/>
      <c r="H9" s="78"/>
      <c r="I9" s="78"/>
      <c r="J9" s="78"/>
      <c r="K9" s="78"/>
      <c r="N9" t="s">
        <v>106</v>
      </c>
      <c r="O9" s="7">
        <v>0</v>
      </c>
      <c r="P9" s="7"/>
      <c r="Q9" s="22"/>
      <c r="R9" s="23"/>
    </row>
    <row r="10" spans="1:27" x14ac:dyDescent="0.3">
      <c r="A10" t="s">
        <v>105</v>
      </c>
      <c r="B10" s="7">
        <v>0</v>
      </c>
      <c r="C10" s="7">
        <v>0</v>
      </c>
      <c r="D10" s="7">
        <f t="shared" si="0"/>
        <v>0</v>
      </c>
      <c r="F10" s="78"/>
      <c r="G10" s="78"/>
      <c r="H10" s="78"/>
      <c r="I10" s="78"/>
      <c r="J10" s="78"/>
      <c r="K10" s="78"/>
      <c r="N10" t="s">
        <v>108</v>
      </c>
      <c r="O10" s="7">
        <v>100</v>
      </c>
      <c r="P10" s="7"/>
      <c r="Q10" s="22"/>
      <c r="R10" s="23"/>
    </row>
    <row r="11" spans="1:27" x14ac:dyDescent="0.3">
      <c r="A11" t="s">
        <v>153</v>
      </c>
      <c r="B11" s="7">
        <v>200</v>
      </c>
      <c r="C11" s="7">
        <v>0</v>
      </c>
      <c r="D11" s="7">
        <f t="shared" si="0"/>
        <v>200</v>
      </c>
      <c r="F11" s="78"/>
      <c r="G11" s="78"/>
      <c r="H11" s="78"/>
      <c r="I11" s="78"/>
      <c r="J11" s="78"/>
      <c r="K11" s="78"/>
      <c r="N11" t="s">
        <v>162</v>
      </c>
      <c r="O11" s="7">
        <v>50</v>
      </c>
      <c r="P11" s="7"/>
      <c r="Q11" s="22"/>
      <c r="R11" s="23"/>
    </row>
    <row r="12" spans="1:27" x14ac:dyDescent="0.3">
      <c r="A12" t="s">
        <v>123</v>
      </c>
      <c r="B12" s="7">
        <v>400</v>
      </c>
      <c r="C12" s="7">
        <v>0</v>
      </c>
      <c r="D12" s="7">
        <f t="shared" si="0"/>
        <v>400</v>
      </c>
      <c r="F12" s="78"/>
      <c r="G12" s="78"/>
      <c r="H12" s="78"/>
      <c r="I12" s="78"/>
      <c r="J12" s="78"/>
      <c r="K12" s="78"/>
      <c r="N12" t="s">
        <v>21</v>
      </c>
      <c r="O12" s="7">
        <v>15</v>
      </c>
      <c r="P12" s="7"/>
      <c r="Q12" s="22"/>
      <c r="R12" s="23"/>
    </row>
    <row r="13" spans="1:27" x14ac:dyDescent="0.3">
      <c r="A13" t="s">
        <v>89</v>
      </c>
      <c r="B13" s="7">
        <f>F25</f>
        <v>550</v>
      </c>
      <c r="C13" s="7">
        <v>0</v>
      </c>
      <c r="D13" s="7">
        <f t="shared" si="0"/>
        <v>550</v>
      </c>
      <c r="F13" s="72"/>
      <c r="G13" s="72"/>
      <c r="H13" s="72"/>
      <c r="I13" s="72"/>
      <c r="J13" s="72"/>
      <c r="K13" s="72"/>
      <c r="N13" t="s">
        <v>111</v>
      </c>
      <c r="O13" s="7">
        <v>150</v>
      </c>
      <c r="P13" s="7"/>
      <c r="Q13" s="24" t="s">
        <v>94</v>
      </c>
      <c r="R13" s="25">
        <f>R4+R8</f>
        <v>0</v>
      </c>
    </row>
    <row r="14" spans="1:27" x14ac:dyDescent="0.3">
      <c r="A14" t="s">
        <v>181</v>
      </c>
      <c r="B14" s="7">
        <v>0</v>
      </c>
      <c r="C14" s="7"/>
      <c r="D14" s="7"/>
      <c r="E14" t="s">
        <v>182</v>
      </c>
      <c r="F14" s="41"/>
      <c r="G14" s="41"/>
      <c r="H14" s="41"/>
      <c r="I14" s="41"/>
      <c r="J14" s="41"/>
      <c r="K14" s="41"/>
      <c r="O14" s="7"/>
      <c r="P14" s="7"/>
      <c r="Q14" s="24"/>
      <c r="R14" s="25"/>
    </row>
    <row r="15" spans="1:27" ht="17.100000000000001" customHeight="1" x14ac:dyDescent="0.3">
      <c r="A15" t="s">
        <v>156</v>
      </c>
      <c r="B15" s="7">
        <v>400</v>
      </c>
      <c r="C15" s="7">
        <v>0</v>
      </c>
      <c r="D15" s="7">
        <f t="shared" ref="D15:D22" si="1">B15-C15</f>
        <v>400</v>
      </c>
      <c r="F15" s="71" t="s">
        <v>151</v>
      </c>
      <c r="G15" s="71"/>
      <c r="H15" s="71"/>
      <c r="I15" s="71"/>
      <c r="J15" s="71"/>
      <c r="K15" s="71"/>
      <c r="O15" s="7"/>
      <c r="P15" s="7"/>
      <c r="Q15" s="24"/>
      <c r="R15" s="25"/>
    </row>
    <row r="16" spans="1:27" x14ac:dyDescent="0.3">
      <c r="A16" t="s">
        <v>112</v>
      </c>
      <c r="B16" s="7">
        <v>0</v>
      </c>
      <c r="C16" s="7">
        <v>0</v>
      </c>
      <c r="D16" s="7">
        <f t="shared" si="1"/>
        <v>0</v>
      </c>
      <c r="E16" t="s">
        <v>188</v>
      </c>
      <c r="F16" t="s">
        <v>189</v>
      </c>
      <c r="N16" t="s">
        <v>9</v>
      </c>
      <c r="O16" s="7">
        <v>100</v>
      </c>
      <c r="P16" s="7"/>
    </row>
    <row r="17" spans="1:16" x14ac:dyDescent="0.3">
      <c r="A17" t="s">
        <v>125</v>
      </c>
      <c r="B17" s="7">
        <v>1060</v>
      </c>
      <c r="C17" s="7">
        <v>0</v>
      </c>
      <c r="D17" s="7">
        <f t="shared" si="1"/>
        <v>1060</v>
      </c>
      <c r="E17" t="s">
        <v>141</v>
      </c>
      <c r="F17">
        <v>125</v>
      </c>
      <c r="N17" s="72" t="s">
        <v>155</v>
      </c>
      <c r="O17" s="72"/>
      <c r="P17" s="7"/>
    </row>
    <row r="18" spans="1:16" x14ac:dyDescent="0.3">
      <c r="A18" t="s">
        <v>110</v>
      </c>
      <c r="B18" s="7">
        <v>600</v>
      </c>
      <c r="C18" s="7">
        <v>0</v>
      </c>
      <c r="D18" s="7">
        <f t="shared" si="1"/>
        <v>600</v>
      </c>
      <c r="E18" t="s">
        <v>92</v>
      </c>
      <c r="F18">
        <v>0</v>
      </c>
      <c r="N18" s="72"/>
      <c r="O18" s="72"/>
      <c r="P18" s="7"/>
    </row>
    <row r="19" spans="1:16" x14ac:dyDescent="0.3">
      <c r="A19" t="s">
        <v>15</v>
      </c>
      <c r="B19" s="7">
        <v>350</v>
      </c>
      <c r="C19" s="7">
        <v>0</v>
      </c>
      <c r="D19" s="7">
        <f t="shared" si="1"/>
        <v>350</v>
      </c>
      <c r="E19" t="s">
        <v>142</v>
      </c>
      <c r="F19">
        <v>80</v>
      </c>
      <c r="N19" s="72"/>
      <c r="O19" s="72"/>
      <c r="P19" s="7"/>
    </row>
    <row r="20" spans="1:16" x14ac:dyDescent="0.3">
      <c r="A20" t="s">
        <v>90</v>
      </c>
      <c r="B20" s="7">
        <v>0</v>
      </c>
      <c r="C20" s="7">
        <v>0</v>
      </c>
      <c r="D20" s="7">
        <f t="shared" si="1"/>
        <v>0</v>
      </c>
      <c r="E20" t="s">
        <v>27</v>
      </c>
      <c r="F20">
        <v>35</v>
      </c>
      <c r="L20" t="s">
        <v>165</v>
      </c>
      <c r="M20" t="s">
        <v>166</v>
      </c>
      <c r="N20" s="72"/>
      <c r="O20" s="72"/>
      <c r="P20" s="7"/>
    </row>
    <row r="21" spans="1:16" x14ac:dyDescent="0.3">
      <c r="A21" t="s">
        <v>112</v>
      </c>
      <c r="B21" s="7">
        <v>500</v>
      </c>
      <c r="C21" s="7">
        <v>0</v>
      </c>
      <c r="D21" s="7">
        <f t="shared" si="1"/>
        <v>500</v>
      </c>
      <c r="E21" t="s">
        <v>169</v>
      </c>
      <c r="F21">
        <v>200</v>
      </c>
      <c r="L21" s="7">
        <f>I34</f>
        <v>0</v>
      </c>
      <c r="M21" s="7">
        <f>K34</f>
        <v>0</v>
      </c>
      <c r="N21" t="s">
        <v>13</v>
      </c>
      <c r="O21" s="7">
        <v>650</v>
      </c>
      <c r="P21" s="7"/>
    </row>
    <row r="22" spans="1:16" x14ac:dyDescent="0.3">
      <c r="A22" t="s">
        <v>159</v>
      </c>
      <c r="B22" s="7">
        <v>0</v>
      </c>
      <c r="C22" s="7">
        <v>0</v>
      </c>
      <c r="D22" s="7">
        <f t="shared" si="1"/>
        <v>0</v>
      </c>
      <c r="E22" t="s">
        <v>29</v>
      </c>
      <c r="F22">
        <v>110</v>
      </c>
      <c r="O22" s="7"/>
      <c r="P22" s="7"/>
    </row>
    <row r="23" spans="1:16" x14ac:dyDescent="0.3">
      <c r="A23" s="2" t="s">
        <v>83</v>
      </c>
      <c r="B23" s="8">
        <f>SUM(B3:B21)</f>
        <v>10669</v>
      </c>
      <c r="C23" s="8">
        <f>SUM(C3:C22)</f>
        <v>3500</v>
      </c>
      <c r="D23" s="8"/>
      <c r="E23" t="s">
        <v>92</v>
      </c>
      <c r="F23">
        <v>0</v>
      </c>
      <c r="L23" s="39" t="s">
        <v>18</v>
      </c>
      <c r="M23" s="40">
        <f>L21+M21</f>
        <v>0</v>
      </c>
      <c r="N23" s="2" t="s">
        <v>14</v>
      </c>
      <c r="O23" s="8">
        <f>O25</f>
        <v>1510</v>
      </c>
      <c r="P23" s="8"/>
    </row>
    <row r="24" spans="1:16" x14ac:dyDescent="0.3">
      <c r="A24" s="2" t="s">
        <v>84</v>
      </c>
      <c r="B24" s="8">
        <f>SUM(B2-B23)</f>
        <v>10300</v>
      </c>
      <c r="C24" s="8"/>
      <c r="D24" s="8"/>
      <c r="E24" t="s">
        <v>202</v>
      </c>
      <c r="F24">
        <v>0</v>
      </c>
      <c r="N24" s="2" t="s">
        <v>86</v>
      </c>
      <c r="O24" s="8">
        <f>SUM(O4:O21)</f>
        <v>1065</v>
      </c>
      <c r="P24" s="8"/>
    </row>
    <row r="25" spans="1:16" x14ac:dyDescent="0.3">
      <c r="E25" t="s">
        <v>18</v>
      </c>
      <c r="F25">
        <f>SUBTOTAL(109,F17:F24)</f>
        <v>550</v>
      </c>
      <c r="N25" s="1" t="s">
        <v>0</v>
      </c>
      <c r="O25" s="7">
        <f>SUM(O3-O24)</f>
        <v>1510</v>
      </c>
      <c r="P25" s="7"/>
    </row>
    <row r="26" spans="1:16" x14ac:dyDescent="0.3">
      <c r="L26">
        <f>550/2</f>
        <v>275</v>
      </c>
      <c r="N26" s="1" t="s">
        <v>93</v>
      </c>
      <c r="O26" s="7">
        <f>O23 *2</f>
        <v>3020</v>
      </c>
      <c r="P26" s="7"/>
    </row>
    <row r="27" spans="1:16" x14ac:dyDescent="0.3">
      <c r="N27" t="s">
        <v>100</v>
      </c>
      <c r="O27" s="7">
        <f>O26*2</f>
        <v>6040</v>
      </c>
      <c r="P27" s="7"/>
    </row>
    <row r="28" spans="1:16" x14ac:dyDescent="0.3">
      <c r="O28" s="7"/>
      <c r="P28" s="7"/>
    </row>
    <row r="29" spans="1:16" x14ac:dyDescent="0.3">
      <c r="O29" s="7"/>
      <c r="P29" s="7"/>
    </row>
    <row r="30" spans="1:16" x14ac:dyDescent="0.3">
      <c r="A30" s="27"/>
    </row>
  </sheetData>
  <mergeCells count="7">
    <mergeCell ref="N17:O20"/>
    <mergeCell ref="A1:AA1"/>
    <mergeCell ref="N2:Q2"/>
    <mergeCell ref="F3:K8"/>
    <mergeCell ref="F9:K12"/>
    <mergeCell ref="F13:K13"/>
    <mergeCell ref="F15:K15"/>
  </mergeCells>
  <pageMargins left="0.7" right="0.7" top="0.75" bottom="0.75" header="0.3" footer="0.3"/>
  <pageSetup paperSize="9" orientation="portrait" horizontalDpi="1200" verticalDpi="1200" r:id="rId1"/>
  <headerFooter>
    <oddFooter>&amp;C_x000D_&amp;1#&amp;"BMW Group Condensed"&amp;12&amp;KC00000 CONFIDENTIAL</oddFooter>
  </headerFooter>
  <drawing r:id="rId2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5C0C-5555-4EFF-AACC-066787BC55F5}">
  <sheetPr codeName="Sheet4"/>
  <dimension ref="A1:H21"/>
  <sheetViews>
    <sheetView topLeftCell="A10" workbookViewId="0">
      <selection activeCell="C16" sqref="C16"/>
    </sheetView>
  </sheetViews>
  <sheetFormatPr defaultRowHeight="14.4" x14ac:dyDescent="0.3"/>
  <cols>
    <col min="1" max="1" width="16.6640625" bestFit="1" customWidth="1"/>
    <col min="2" max="2" width="10" bestFit="1" customWidth="1"/>
    <col min="3" max="4" width="27.44140625" customWidth="1"/>
    <col min="5" max="5" width="21.5546875" bestFit="1" customWidth="1"/>
    <col min="6" max="6" width="10.33203125" bestFit="1" customWidth="1"/>
    <col min="8" max="8" width="12.5546875" bestFit="1" customWidth="1"/>
  </cols>
  <sheetData>
    <row r="1" spans="1:8" x14ac:dyDescent="0.3">
      <c r="A1" s="83" t="s">
        <v>45</v>
      </c>
      <c r="B1" s="72"/>
      <c r="C1" s="72"/>
      <c r="D1" s="72"/>
      <c r="E1" s="72"/>
      <c r="F1" s="72"/>
      <c r="G1" s="72"/>
    </row>
    <row r="2" spans="1:8" x14ac:dyDescent="0.3">
      <c r="A2" s="14" t="s">
        <v>53</v>
      </c>
      <c r="B2" s="16">
        <v>13000</v>
      </c>
      <c r="C2" s="5" t="s">
        <v>69</v>
      </c>
      <c r="D2" s="5" t="s">
        <v>68</v>
      </c>
      <c r="E2" s="14" t="s">
        <v>54</v>
      </c>
      <c r="G2" s="14"/>
      <c r="H2" s="1" t="s">
        <v>55</v>
      </c>
    </row>
    <row r="3" spans="1:8" ht="57.6" x14ac:dyDescent="0.3">
      <c r="A3" s="15" t="s">
        <v>46</v>
      </c>
      <c r="B3" s="17">
        <v>5000</v>
      </c>
      <c r="C3" s="19" t="s">
        <v>64</v>
      </c>
      <c r="E3" s="7">
        <f>SUM(B2:B11)</f>
        <v>62000</v>
      </c>
      <c r="H3" s="7">
        <f>SUM(B2:B14)</f>
        <v>77000</v>
      </c>
    </row>
    <row r="4" spans="1:8" ht="43.2" x14ac:dyDescent="0.3">
      <c r="A4" s="15" t="s">
        <v>52</v>
      </c>
      <c r="B4" s="17">
        <v>5500</v>
      </c>
      <c r="C4" s="18" t="s">
        <v>67</v>
      </c>
      <c r="D4" s="18" t="s">
        <v>66</v>
      </c>
      <c r="E4" s="1" t="s">
        <v>56</v>
      </c>
    </row>
    <row r="5" spans="1:8" ht="28.8" x14ac:dyDescent="0.3">
      <c r="A5" s="15" t="s">
        <v>87</v>
      </c>
      <c r="B5" s="17">
        <v>15000</v>
      </c>
      <c r="C5" s="18" t="s">
        <v>70</v>
      </c>
      <c r="D5" t="s">
        <v>71</v>
      </c>
      <c r="E5" s="7">
        <f>SUM(E3/32)</f>
        <v>1937.5</v>
      </c>
      <c r="H5" s="7">
        <f>SUM(H3/6)</f>
        <v>12833.333333333334</v>
      </c>
    </row>
    <row r="6" spans="1:8" ht="14.7" customHeight="1" x14ac:dyDescent="0.3">
      <c r="A6" s="15" t="s">
        <v>51</v>
      </c>
      <c r="B6" s="17">
        <v>2000</v>
      </c>
      <c r="C6" s="18" t="s">
        <v>72</v>
      </c>
      <c r="D6" s="18" t="s">
        <v>73</v>
      </c>
    </row>
    <row r="7" spans="1:8" ht="14.7" customHeight="1" x14ac:dyDescent="0.3">
      <c r="A7" s="15" t="s">
        <v>65</v>
      </c>
      <c r="B7" s="17">
        <v>1500</v>
      </c>
      <c r="C7" s="18" t="s">
        <v>67</v>
      </c>
      <c r="D7" s="18" t="s">
        <v>74</v>
      </c>
    </row>
    <row r="8" spans="1:8" ht="57.6" x14ac:dyDescent="0.3">
      <c r="A8" s="15" t="s">
        <v>50</v>
      </c>
      <c r="B8" s="17">
        <v>2500</v>
      </c>
      <c r="C8" s="18" t="s">
        <v>75</v>
      </c>
      <c r="D8" s="18"/>
    </row>
    <row r="9" spans="1:8" ht="28.8" x14ac:dyDescent="0.3">
      <c r="A9" s="15" t="s">
        <v>57</v>
      </c>
      <c r="B9" s="17">
        <v>6000</v>
      </c>
      <c r="C9" s="18" t="s">
        <v>67</v>
      </c>
      <c r="D9" s="18"/>
    </row>
    <row r="10" spans="1:8" x14ac:dyDescent="0.3">
      <c r="A10" s="15" t="s">
        <v>88</v>
      </c>
      <c r="B10" s="17">
        <v>8000</v>
      </c>
      <c r="C10" s="18"/>
      <c r="D10" s="18"/>
    </row>
    <row r="11" spans="1:8" ht="43.2" x14ac:dyDescent="0.3">
      <c r="A11" s="15" t="s">
        <v>63</v>
      </c>
      <c r="B11" s="15">
        <v>3500</v>
      </c>
      <c r="C11" s="19" t="s">
        <v>77</v>
      </c>
      <c r="D11" s="18" t="s">
        <v>76</v>
      </c>
    </row>
    <row r="12" spans="1:8" ht="12.6" customHeight="1" x14ac:dyDescent="0.3">
      <c r="A12" t="s">
        <v>47</v>
      </c>
      <c r="B12" s="7">
        <v>5000</v>
      </c>
      <c r="C12" s="19" t="s">
        <v>79</v>
      </c>
      <c r="D12" s="19" t="s">
        <v>78</v>
      </c>
    </row>
    <row r="13" spans="1:8" x14ac:dyDescent="0.3">
      <c r="A13" t="s">
        <v>48</v>
      </c>
      <c r="B13" s="7">
        <v>5000</v>
      </c>
    </row>
    <row r="14" spans="1:8" x14ac:dyDescent="0.3">
      <c r="A14" t="s">
        <v>49</v>
      </c>
      <c r="B14" s="7">
        <v>5000</v>
      </c>
    </row>
    <row r="15" spans="1:8" x14ac:dyDescent="0.3">
      <c r="A15" t="s">
        <v>62</v>
      </c>
      <c r="B15" s="7">
        <v>6000</v>
      </c>
    </row>
    <row r="16" spans="1:8" ht="72" x14ac:dyDescent="0.3">
      <c r="A16" s="12" t="s">
        <v>61</v>
      </c>
      <c r="B16" s="20">
        <v>12000</v>
      </c>
      <c r="C16" s="19" t="s">
        <v>80</v>
      </c>
    </row>
    <row r="17" spans="3:6" x14ac:dyDescent="0.3">
      <c r="C17" s="19"/>
    </row>
    <row r="20" spans="3:6" x14ac:dyDescent="0.3">
      <c r="C20" s="2" t="s">
        <v>59</v>
      </c>
      <c r="D20" s="2"/>
      <c r="E20" s="2" t="s">
        <v>58</v>
      </c>
      <c r="F20" s="8">
        <f xml:space="preserve"> 8100*5</f>
        <v>40500</v>
      </c>
    </row>
    <row r="21" spans="3:6" x14ac:dyDescent="0.3">
      <c r="C21" s="2" t="s">
        <v>60</v>
      </c>
      <c r="D21" s="2"/>
      <c r="E21" s="2" t="s">
        <v>58</v>
      </c>
      <c r="F21" s="8">
        <f xml:space="preserve"> 11100 * 5</f>
        <v>55500</v>
      </c>
    </row>
  </sheetData>
  <mergeCells count="1">
    <mergeCell ref="A1:G1"/>
  </mergeCells>
  <hyperlinks>
    <hyperlink ref="C12" r:id="rId1" xr:uid="{B5D6C5E6-2E0B-4B42-AABD-555B6F2A23DF}"/>
    <hyperlink ref="C11" r:id="rId2" xr:uid="{942097D6-5E26-40CB-B6AF-AE0EF7467187}"/>
    <hyperlink ref="C3" r:id="rId3" xr:uid="{4B5CD1E5-47CB-4F50-825E-9BBBC4CDA7AF}"/>
    <hyperlink ref="C16" r:id="rId4" xr:uid="{A4FD510F-7BED-4EB1-8534-45504CA48F46}"/>
  </hyperlinks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0107-11F8-4E2B-B4FF-6F19E1C49CB9}">
  <sheetPr codeName="Sheet5"/>
  <dimension ref="A1:B8"/>
  <sheetViews>
    <sheetView workbookViewId="0">
      <selection activeCell="A8" sqref="A8"/>
    </sheetView>
  </sheetViews>
  <sheetFormatPr defaultRowHeight="14.4" x14ac:dyDescent="0.3"/>
  <cols>
    <col min="1" max="1" width="75.33203125" bestFit="1" customWidth="1"/>
    <col min="2" max="2" width="25.6640625" bestFit="1" customWidth="1"/>
    <col min="3" max="9" width="10.44140625" customWidth="1"/>
    <col min="10" max="10" width="11.44140625" customWidth="1"/>
  </cols>
  <sheetData>
    <row r="1" spans="1:2" x14ac:dyDescent="0.3">
      <c r="A1" t="s">
        <v>31</v>
      </c>
      <c r="B1" t="s">
        <v>35</v>
      </c>
    </row>
    <row r="2" spans="1:2" x14ac:dyDescent="0.3">
      <c r="A2" t="s">
        <v>32</v>
      </c>
    </row>
    <row r="3" spans="1:2" x14ac:dyDescent="0.3">
      <c r="A3" s="13" t="s">
        <v>33</v>
      </c>
      <c r="B3" t="s">
        <v>34</v>
      </c>
    </row>
    <row r="4" spans="1:2" x14ac:dyDescent="0.3">
      <c r="A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s="13" t="s">
        <v>39</v>
      </c>
      <c r="B6" t="s">
        <v>40</v>
      </c>
    </row>
    <row r="7" spans="1:2" x14ac:dyDescent="0.3">
      <c r="A7" t="s">
        <v>41</v>
      </c>
      <c r="B7" t="s">
        <v>42</v>
      </c>
    </row>
    <row r="8" spans="1:2" x14ac:dyDescent="0.3">
      <c r="A8" s="13" t="s">
        <v>43</v>
      </c>
      <c r="B8" t="s">
        <v>44</v>
      </c>
    </row>
  </sheetData>
  <hyperlinks>
    <hyperlink ref="A3" r:id="rId1" xr:uid="{0AD058F0-CD0C-4F52-BE48-3B46BFC784D0}"/>
    <hyperlink ref="A8" r:id="rId2" xr:uid="{71E3BF8F-2D21-42A8-BF61-6B3934EB9B1E}"/>
    <hyperlink ref="A6" r:id="rId3" xr:uid="{DF5A4A8A-DCAD-4000-9195-A5CC01EDF597}"/>
  </hyperlinks>
  <pageMargins left="0.7" right="0.7" top="0.75" bottom="0.75" header="0.3" footer="0.3"/>
  <headerFooter>
    <oddFooter>&amp;C_x000D_&amp;1#&amp;"BMW Group Condensed"&amp;12&amp;KC00000 CONFIDENTIAL</oddFooter>
  </headerFooter>
  <tableParts count="1">
    <tablePart r:id="rId4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8CD7-0CAB-454C-8091-6008F22AD0CB}">
  <sheetPr codeName="Sheet6"/>
  <dimension ref="A1:K11"/>
  <sheetViews>
    <sheetView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11.33203125" bestFit="1" customWidth="1"/>
  </cols>
  <sheetData>
    <row r="1" spans="1:11" x14ac:dyDescent="0.3">
      <c r="A1" s="3" t="s">
        <v>0</v>
      </c>
      <c r="B1" s="20">
        <v>20969</v>
      </c>
      <c r="C1" s="12"/>
      <c r="D1" s="85" t="s">
        <v>23</v>
      </c>
      <c r="E1" s="85"/>
      <c r="F1" s="85"/>
      <c r="G1" s="85"/>
      <c r="H1" s="85"/>
      <c r="I1" s="85"/>
      <c r="J1" s="85"/>
      <c r="K1" s="85"/>
    </row>
    <row r="2" spans="1:11" x14ac:dyDescent="0.3">
      <c r="A2" t="s">
        <v>1</v>
      </c>
      <c r="B2" s="7">
        <v>1000</v>
      </c>
      <c r="F2" s="72" t="s">
        <v>24</v>
      </c>
      <c r="G2" s="72"/>
      <c r="H2" s="72"/>
      <c r="I2" s="72"/>
    </row>
    <row r="3" spans="1:11" x14ac:dyDescent="0.3">
      <c r="A3" t="s">
        <v>2</v>
      </c>
      <c r="B3" s="7">
        <v>1000</v>
      </c>
      <c r="F3" s="72" t="s">
        <v>25</v>
      </c>
      <c r="G3" s="72"/>
      <c r="H3" s="72"/>
      <c r="I3" s="72"/>
    </row>
    <row r="4" spans="1:11" x14ac:dyDescent="0.3">
      <c r="A4" t="s">
        <v>3</v>
      </c>
      <c r="B4" s="7">
        <v>1000</v>
      </c>
    </row>
    <row r="5" spans="1:11" x14ac:dyDescent="0.3">
      <c r="A5" t="s">
        <v>4</v>
      </c>
      <c r="B5" s="7">
        <v>525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1" x14ac:dyDescent="0.3">
      <c r="A6" t="s">
        <v>5</v>
      </c>
      <c r="B6" s="7">
        <v>2200</v>
      </c>
    </row>
    <row r="7" spans="1:11" x14ac:dyDescent="0.3">
      <c r="A7" t="s">
        <v>6</v>
      </c>
      <c r="B7" s="7">
        <v>2500</v>
      </c>
    </row>
    <row r="8" spans="1:11" x14ac:dyDescent="0.3">
      <c r="A8" t="s">
        <v>15</v>
      </c>
      <c r="B8" s="7">
        <v>1000</v>
      </c>
    </row>
    <row r="9" spans="1:11" x14ac:dyDescent="0.3">
      <c r="A9" t="s">
        <v>7</v>
      </c>
      <c r="B9" s="7">
        <v>200</v>
      </c>
    </row>
    <row r="10" spans="1:11" x14ac:dyDescent="0.3">
      <c r="A10" t="s">
        <v>20</v>
      </c>
      <c r="B10" s="7">
        <f>SUM(B2:B9)</f>
        <v>9425</v>
      </c>
      <c r="C10" s="1"/>
    </row>
    <row r="11" spans="1:11" x14ac:dyDescent="0.3">
      <c r="A11" s="2" t="s">
        <v>0</v>
      </c>
      <c r="B11" s="8">
        <f>B1-B10</f>
        <v>11544</v>
      </c>
    </row>
  </sheetData>
  <mergeCells count="3">
    <mergeCell ref="D1:K1"/>
    <mergeCell ref="F2:I2"/>
    <mergeCell ref="F3:I3"/>
  </mergeCells>
  <pageMargins left="0.7" right="0.7" top="0.75" bottom="0.75" header="0.3" footer="0.3"/>
  <pageSetup orientation="portrait" r:id="rId1"/>
  <headerFooter>
    <oddFooter>&amp;C_x000D_&amp;1#&amp;"BMW Group Condensed"&amp;12&amp;KC00000 CONFIDENTIAL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AB20-45FF-4D9B-A194-9F12ED902BDB}">
  <sheetPr codeName="Sheet7"/>
  <dimension ref="A1:B11"/>
  <sheetViews>
    <sheetView workbookViewId="0">
      <selection activeCell="G9" sqref="G9"/>
    </sheetView>
  </sheetViews>
  <sheetFormatPr defaultRowHeight="14.4" x14ac:dyDescent="0.3"/>
  <cols>
    <col min="1" max="1" width="15.6640625" bestFit="1" customWidth="1"/>
    <col min="2" max="2" width="10.33203125" bestFit="1" customWidth="1"/>
  </cols>
  <sheetData>
    <row r="1" spans="1:2" x14ac:dyDescent="0.3">
      <c r="A1" s="3" t="s">
        <v>18</v>
      </c>
      <c r="B1" s="6">
        <f>'Plan 2025'!B11</f>
        <v>11544</v>
      </c>
    </row>
    <row r="2" spans="1:2" x14ac:dyDescent="0.3">
      <c r="A2" s="4" t="s">
        <v>8</v>
      </c>
      <c r="B2" s="10">
        <f>SUM(B1/4)</f>
        <v>2886</v>
      </c>
    </row>
    <row r="3" spans="1:2" x14ac:dyDescent="0.3">
      <c r="A3" t="s">
        <v>9</v>
      </c>
      <c r="B3" s="7">
        <v>500</v>
      </c>
    </row>
    <row r="4" spans="1:2" x14ac:dyDescent="0.3">
      <c r="A4" t="s">
        <v>10</v>
      </c>
      <c r="B4" s="7">
        <v>200</v>
      </c>
    </row>
    <row r="5" spans="1:2" x14ac:dyDescent="0.3">
      <c r="A5" t="s">
        <v>11</v>
      </c>
      <c r="B5" s="7">
        <f>Breakfast!A1</f>
        <v>200</v>
      </c>
    </row>
    <row r="6" spans="1:2" x14ac:dyDescent="0.3">
      <c r="A6" t="s">
        <v>12</v>
      </c>
      <c r="B6" s="7">
        <f>Lunch!B3</f>
        <v>260</v>
      </c>
    </row>
    <row r="7" spans="1:2" x14ac:dyDescent="0.3">
      <c r="A7" t="s">
        <v>21</v>
      </c>
      <c r="B7" s="7">
        <f>Haircut!A1</f>
        <v>100</v>
      </c>
    </row>
    <row r="8" spans="1:2" x14ac:dyDescent="0.3">
      <c r="A8" t="s">
        <v>13</v>
      </c>
      <c r="B8" s="7">
        <f>Groceries!A1</f>
        <v>800</v>
      </c>
    </row>
    <row r="9" spans="1:2" x14ac:dyDescent="0.3">
      <c r="A9" s="9" t="s">
        <v>22</v>
      </c>
      <c r="B9" s="11">
        <f>SUM(B3:B8)</f>
        <v>2060</v>
      </c>
    </row>
    <row r="10" spans="1:2" x14ac:dyDescent="0.3">
      <c r="B10" s="7"/>
    </row>
    <row r="11" spans="1:2" x14ac:dyDescent="0.3">
      <c r="A11" t="s">
        <v>14</v>
      </c>
      <c r="B11" s="7">
        <f>SUM(B2-B9)</f>
        <v>826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3B56-E931-4F21-B072-67395439079B}">
  <sheetPr codeName="Sheet8"/>
  <dimension ref="A1:B3"/>
  <sheetViews>
    <sheetView workbookViewId="0">
      <selection activeCell="F18" sqref="F1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16</v>
      </c>
      <c r="B1" s="7">
        <v>2200</v>
      </c>
    </row>
    <row r="2" spans="1:2" x14ac:dyDescent="0.3">
      <c r="A2" t="s">
        <v>17</v>
      </c>
      <c r="B2" s="7">
        <v>11000</v>
      </c>
    </row>
    <row r="3" spans="1:2" x14ac:dyDescent="0.3">
      <c r="B3" s="7"/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B55D-8EDD-4DC6-A012-9E609A8A9384}">
  <sheetPr codeName="Sheet9"/>
  <dimension ref="A1"/>
  <sheetViews>
    <sheetView workbookViewId="0"/>
  </sheetViews>
  <sheetFormatPr defaultRowHeight="14.4" x14ac:dyDescent="0.3"/>
  <sheetData>
    <row r="1" spans="1:1" x14ac:dyDescent="0.3">
      <c r="A1" s="7">
        <v>200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EE86-443B-49E3-9081-D7CD21512714}">
  <sheetPr codeName="Sheet10"/>
  <dimension ref="A1"/>
  <sheetViews>
    <sheetView workbookViewId="0"/>
  </sheetViews>
  <sheetFormatPr defaultRowHeight="14.4" x14ac:dyDescent="0.3"/>
  <sheetData>
    <row r="1" spans="1:1" x14ac:dyDescent="0.3">
      <c r="A1" s="7">
        <v>100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35EB-6F7B-4F73-87F7-94F3CC041B0B}">
  <sheetPr codeName="Sheet11"/>
  <dimension ref="A1"/>
  <sheetViews>
    <sheetView workbookViewId="0"/>
  </sheetViews>
  <sheetFormatPr defaultRowHeight="14.4" x14ac:dyDescent="0.3"/>
  <sheetData>
    <row r="1" spans="1:1" x14ac:dyDescent="0.3">
      <c r="A1" s="7">
        <v>200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26A0-8EDD-4E6B-9D30-559AA3F36585}">
  <sheetPr codeName="Sheet12"/>
  <dimension ref="A1:J3"/>
  <sheetViews>
    <sheetView workbookViewId="0">
      <selection activeCell="B3" sqref="B3"/>
    </sheetView>
  </sheetViews>
  <sheetFormatPr defaultRowHeight="14.4" x14ac:dyDescent="0.3"/>
  <sheetData>
    <row r="1" spans="1:10" x14ac:dyDescent="0.3">
      <c r="A1" s="72" t="s">
        <v>19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x14ac:dyDescent="0.3">
      <c r="A2">
        <f>SUM(35+16)</f>
        <v>51</v>
      </c>
    </row>
    <row r="3" spans="1:10" x14ac:dyDescent="0.3">
      <c r="A3" t="s">
        <v>12</v>
      </c>
      <c r="B3" s="7">
        <f>SUM(52*5)</f>
        <v>260</v>
      </c>
    </row>
  </sheetData>
  <mergeCells count="1">
    <mergeCell ref="A1:J1"/>
  </mergeCells>
  <pageMargins left="0.7" right="0.7" top="0.75" bottom="0.75" header="0.3" footer="0.3"/>
  <headerFooter>
    <oddFooter>&amp;C_x000D_&amp;1#&amp;"BMW Group Condensed"&amp;12&amp;KC00000 CONFIDENTIAL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A600-6D83-4A59-8168-FA34C49969C7}">
  <sheetPr codeName="Sheet13"/>
  <dimension ref="A1"/>
  <sheetViews>
    <sheetView workbookViewId="0"/>
  </sheetViews>
  <sheetFormatPr defaultRowHeight="14.4" x14ac:dyDescent="0.3"/>
  <sheetData>
    <row r="1" spans="1:1" x14ac:dyDescent="0.3">
      <c r="A1" s="7">
        <v>800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E4FE0A8C9344DA938F734B764793A" ma:contentTypeVersion="3" ma:contentTypeDescription="Create a new document." ma:contentTypeScope="" ma:versionID="616235ef6d995b7fa28870357e9370e6">
  <xsd:schema xmlns:xsd="http://www.w3.org/2001/XMLSchema" xmlns:xs="http://www.w3.org/2001/XMLSchema" xmlns:p="http://schemas.microsoft.com/office/2006/metadata/properties" xmlns:ns3="4fd6f8a4-24d8-4dbb-8f02-718bb40977b1" targetNamespace="http://schemas.microsoft.com/office/2006/metadata/properties" ma:root="true" ma:fieldsID="2e8cdf7d09ea35401de4bd4a828d6b55" ns3:_="">
    <xsd:import namespace="4fd6f8a4-24d8-4dbb-8f02-718bb4097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6f8a4-24d8-4dbb-8f02-718bb4097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A8BEB-9401-4259-BC49-CD43DE561D8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0009A93-C1DD-47C8-B965-9D2503C26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42732B-029E-4E9D-B823-AC520E214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d6f8a4-24d8-4dbb-8f02-718bb4097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ECE2B7B-9485-4650-9A6C-4948801B6E7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4fd6f8a4-24d8-4dbb-8f02-718bb40977b1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April</vt:lpstr>
      <vt:lpstr>May</vt:lpstr>
      <vt:lpstr>June</vt:lpstr>
      <vt:lpstr>July</vt:lpstr>
      <vt:lpstr>August</vt:lpstr>
      <vt:lpstr>Interim</vt:lpstr>
      <vt:lpstr>September</vt:lpstr>
      <vt:lpstr>October</vt:lpstr>
      <vt:lpstr>November</vt:lpstr>
      <vt:lpstr>December</vt:lpstr>
      <vt:lpstr>January 2025</vt:lpstr>
      <vt:lpstr>February 2025</vt:lpstr>
      <vt:lpstr>March 2025</vt:lpstr>
      <vt:lpstr>April 2025</vt:lpstr>
      <vt:lpstr>May 2025</vt:lpstr>
      <vt:lpstr>June 2025</vt:lpstr>
      <vt:lpstr>July 2025</vt:lpstr>
      <vt:lpstr>August 2025</vt:lpstr>
      <vt:lpstr>September 2025</vt:lpstr>
      <vt:lpstr>October 2025</vt:lpstr>
      <vt:lpstr>November 2025</vt:lpstr>
      <vt:lpstr>December 2025</vt:lpstr>
      <vt:lpstr>January 2026</vt:lpstr>
      <vt:lpstr>February 2026</vt:lpstr>
      <vt:lpstr>Investment Projections</vt:lpstr>
      <vt:lpstr>January2025</vt:lpstr>
      <vt:lpstr>February</vt:lpstr>
      <vt:lpstr>MarchOnwards</vt:lpstr>
      <vt:lpstr>Utilities</vt:lpstr>
      <vt:lpstr>Apartments Links</vt:lpstr>
      <vt:lpstr>Plan 2025</vt:lpstr>
      <vt:lpstr>Weekly</vt:lpstr>
      <vt:lpstr>Savings Target 2024</vt:lpstr>
      <vt:lpstr>Breakfast</vt:lpstr>
      <vt:lpstr>Haircut</vt:lpstr>
      <vt:lpstr>Laundry</vt:lpstr>
      <vt:lpstr>Lunch</vt:lpstr>
      <vt:lpstr>Groceries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JOHN GIDEON MATABOLOGA</dc:creator>
  <cp:lastModifiedBy>Moshe</cp:lastModifiedBy>
  <dcterms:created xsi:type="dcterms:W3CDTF">2023-12-30T09:46:37Z</dcterms:created>
  <dcterms:modified xsi:type="dcterms:W3CDTF">2024-10-26T07:50:44Z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0x010100E1DE4FE0A8C9344DA938F734B764793A</vt:lpwstr>
  </property>
  <property fmtid="{D5CDD505-2E9C-101B-9397-08002B2CF9AE}" pid="3" name="MSIP_Label_e6935750-240b-48e4-a615-66942a738439_Enabled">
    <vt:lpwstr>true</vt:lpwstr>
  </property>
  <property fmtid="{D5CDD505-2E9C-101B-9397-08002B2CF9AE}" pid="4" name="MSIP_Label_e6935750-240b-48e4-a615-66942a738439_SetDate">
    <vt:lpwstr>2024-10-12T00:33:07Z</vt:lpwstr>
  </property>
  <property fmtid="{D5CDD505-2E9C-101B-9397-08002B2CF9AE}" pid="5" name="MSIP_Label_e6935750-240b-48e4-a615-66942a738439_Method">
    <vt:lpwstr>Standard</vt:lpwstr>
  </property>
  <property fmtid="{D5CDD505-2E9C-101B-9397-08002B2CF9AE}" pid="6" name="MSIP_Label_e6935750-240b-48e4-a615-66942a738439_Name">
    <vt:lpwstr>e6935750-240b-48e4-a615-66942a738439</vt:lpwstr>
  </property>
  <property fmtid="{D5CDD505-2E9C-101B-9397-08002B2CF9AE}" pid="7" name="MSIP_Label_e6935750-240b-48e4-a615-66942a738439_SiteId">
    <vt:lpwstr>ce849bab-cc1c-465b-b62e-18f07c9ac198</vt:lpwstr>
  </property>
  <property fmtid="{D5CDD505-2E9C-101B-9397-08002B2CF9AE}" pid="8" name="MSIP_Label_e6935750-240b-48e4-a615-66942a738439_ActionId">
    <vt:lpwstr>0195e429-7c5b-4a83-9299-7652aa8bc3f6</vt:lpwstr>
  </property>
  <property fmtid="{D5CDD505-2E9C-101B-9397-08002B2CF9AE}" pid="9" name="MSIP_Label_e6935750-240b-48e4-a615-66942a738439_ContentBits">
    <vt:lpwstr>2</vt:lpwstr>
  </property>
</Properties>
</file>