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2c44140b26497702/Desktop/Mental_Health/"/>
    </mc:Choice>
  </mc:AlternateContent>
  <xr:revisionPtr revIDLastSave="0" documentId="8_{B6EC411E-441C-4CB1-8CEA-E29507A5AA3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022" i="1" l="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<sst xmlns="http://schemas.openxmlformats.org/spreadsheetml/2006/main" count="6048" uniqueCount="3019">
  <si>
    <t>Description</t>
  </si>
  <si>
    <t>Mental_State</t>
  </si>
  <si>
    <t>Description Bengali</t>
  </si>
  <si>
    <t>I'm sorry about this post. It's going to be a lot of hand wringing and mental masturbation. But I never seem to be able to process this in a meaningful way - and it makes attending NA and AA meetings a real pain. I don't seem to have the same kind of sickness that everyone else is describing - I'm having trouble relating to anyone at all there. I don't know what it's like for normal functional people, nor do I know what it's like for people who taste 1% beer and come to next month in jail after charging a rhino to a military convoy dressed in Wehrmacht uniform. Instead of this all-encompassing disease people speak of in groups it's like a slight poly-addiction as parts of the maladaptive patterns I've learned due to ADHD - and the cravings themselves are way lessened due to starting on strutter. At the same time I've now, for the umpteenth time, decided to be sober after binge-drinking all of my money away once again - BUT I can ween off unaided and I did not really need to do all that, there were factors in play. On a scale from one to then how much addict's horseshit was condensed in that last paragraph in your opinion? I'm self-aware to a point, but my problem is it never seems to be enough. I will go on groups and feel like an impostor the whole time, go home feeling miserable and alone, and eventually relapse. This time I actually want it to stick, I am indebted, uneducated tool who just turned 27 - and it seems like I need to get my life in order now.</t>
  </si>
  <si>
    <t>Addiction</t>
  </si>
  <si>
    <t>Been getting super high off high amounts of THC edibles and stuff every single day. I started off only doing it weekends, but I just kept doing it. Today would be my first day not getting high?because I started popping random pills, and yesterday I drank a bottle of cough syrup just to get High. It’s like I crave being high. And I just feel so annoyed, and I don't really care what others think of me?I’m tired of the BS. Irritation fume</t>
  </si>
  <si>
    <t>My brothers been shooting heroin/meth for the past 5 years, ran away to Cali 3 years ago. My childhood best friend overdosed on fentanyl in October. My dad who has been on meth for as long as I can remember finally got clean in January because he got covid and basically detoxed. I’ve always been a social drinker but lately I’ve been drinking around 2 bottles of wine a night. I feel like I’m drowning &amp; and the only way I’m happy is when I’m buzzed even though I know what road I’m heading down. My family’s health declined severely through my brothers' addiction on top of my dads own drug problems. My grandma had a stroke in November and my mom has become her primary caretaker. I'm in graduate school right now &amp; trying to help as much as I can, but I’m angry that my brother left me to do this on my own. On top of that, I feel guilty for being angry. I don't even know if this post belongs here, pls delete if not.</t>
  </si>
  <si>
    <t>I ally need an opinion because IDK bout this stuff I don't ally drugs. IDK if this is normal and I'm just overreacting, but his drug habits do make me worried. I knew he drank and smoked weed here and there like every teen/YA but I never blinked an eye. My BF gets defensive when I ask why he does what he does. I mean he said he quit vapes so I thought nun of his habits until he told me the stuff he does. Like he told me he has drank alcohol and drove so I told him to stop (he told me he’ll try not to but no promise. &amp; it’s ok to do a little because he has a high tolerance). I know he did OXY &amp; Percy but I thought he was join because he told me took an OXY then when I said huh he said he join but he didn't seem high so OK I brushed it off, but we were OTP. He did shrooms recently and had a bad trip he told me after it happen tho i didn't have any clue he even does it?! He also told me he called his close friends but he didn't tell/call me which hurt me on top of the fact he said he only told me because I asked not bc he wanted to. Furthermore, he planned to do tabs Saturday with names he never said to me before, but that plan fell through. In he did a favor for his plug and got drugs on Sunday because he told me &amp; I checked his location he was out but IDK what his plug sells. On the same day later we got into a spat when he told me he was smoking and stuff with his friends and I told him how I felt concerned. He said to me over text &amp; I quote directly from text ?I have right to be secretive for my privacy and for my security.? ?I was doing drugs before I met u and will be doing drugs forever. I was depressed about shit before I met u and will continue to be until some shit in my life gets better.? ?In what drugs can do to me and I am smart enough to not get in positions where drugs can hurt me? IDK what to think anymore like in he’s depressed and stuff and I try to be there for him. I mean I don't think he’s ever been high around me but maybe that’s because he knows I get upset or maybe I'm to naive to notice because I don't notice when ppl are. Like I mean is this like a red flag or am I just overreacting?????? Also, he does have a family history of substance abuse. TL;DR my BF drinks, smokes weed, has done press &amp; OXY, and has done shrooms. (I think he only drinks at parties, and he does smoke a bit but IDK how often does it on a given week &amp; have no clue how often he does pills.) And gets defensive bout his drug use when I bring it up. Does he have a problem?</t>
  </si>
  <si>
    <t>I've smoked weed since 8th grade in middle school and have been hooked since. I'm proud to say I haven't smoked in over 10 days (cant remember last hit) and honestly I don't want to remember my last hit because I want it out of my life forever. Ever since I’ve smoked I’ve been (Lazy, unproductive, negative, sleeping issues, and digestion problems) I finally plan on going to trucking school and passing drug tests when I get my CDL so I can finally have a good future! I encourage anyone else to quit smoking and move on!</t>
  </si>
  <si>
    <t>I'm a journalism student in Ontario, Canada. I am exploring harm reduction amidst the opioid crisis, and am currently working on a story on the importance of peer-assisted injection services at safe injection sites across the country. Furthermore, I am looking to speak with people who have experience with peer-assisted injection -- any and all experiences are welcome. Feel free to PM me with questions and I will answer them. Judgment-free, respectful zone. Thanks in advance. :)</t>
  </si>
  <si>
    <t>don't care how much I post on this I just don't have anyone to talk too. As someone who suffers from depression and anxiety I feel like it’s coming all back even though I’m on antidepressants. I’ve also been getting high every day, but I have nothing today?we I could do cough syrup, but I don't know yet. I’m having such a shitty day and nothing even happen it’s all me feeling like shit. Furthermore, I literally am being a bitch. Furthermore, I just told one of my friends that their friend that died was a dumbass. Now I feel like a jackass. And I’ve been being a bitch all day. Just giving people dirty looks, being rude in general. I feel upset. I hate myself again</t>
  </si>
  <si>
    <t>I'm not one to really seek out support for my problems, so this is really weird for me, and I don't even know if this is the right group I just need to know someone else in the world knows what I'm going through right now. A year ago I used to wake up, take 750 mg of feint and 2 g's of atom. I'd chase them down with a few beers and smoke some weed. After I got a good buzz going I'd take some OXY and Klonopin, chase down with more beer. Right before it was time to work do a couple lines of coke then pop my happy ass into work. That was my daily schedule for almost a year, up until last year I decided to quit, because I got an amazing girlfriend, who I saw myself spending the rest of my life with. We started living together, things were going good, then 8 months in she started talking to and flirting with another guy, doing who knows what else behind my back, saying I changed, and I'm not the same person I was when we started dating. Now I'm having a really shitty crisis where I'm feeling like the drugs made me who I was, made me into somebody who people liked, and I'm having serious thoughts of going back. I don't want to go back, but life feels so empty now, and I just want to feel normal again. I just wanted to get that out there into the open world of the internet.</t>
  </si>
  <si>
    <t>I really want and need to find a support system to finally get clean... My DOC is meth and I'm 3 months clean off sent laced heroin. I could only get clean from H by starting the Suboxone program in my town. It saved my life and is a miracle. They knew I still used meth but made a deal to get me off within a couple of months once I'm stable off heroin. Well... there amazing people and so kind they're giving me so much slack. But I was supposed to piss clean tomorrow and I relapsed 2 days ago after 4 days sober (the longest I've had in a year). I let them know immediately and the response wasn't great, obviously. If I can't pee clean in 1 week they'll most likely kick me out. Meaning Suboxone withdrawals and inevitable relapse on heroin. I'm not near ready and haven't done much work on the route case of my use. Even those 4 days felt great for my body though. And when I relapse dive felt disgusting ever since. This stuff is pure poison</t>
  </si>
  <si>
    <t>I’ve been doing a lot of Xanax and Valium lately like a lot and I can't stop? I’m also on a shit ton of opiates a lot and smoke weed basically 24/7. I’ve been on this shit for a long time and I really want to stop, but I can't no matter how hard I try? My brother died from heroin and you’d think that would be enough to scare me off of drugs forever but no it just made me do them more because I want to escape. I’m only 16 and I’ve overdosed 2 times. I want to have a good life, but I can't seem to leave the drugs behind.</t>
  </si>
  <si>
    <t>What started with alcohol, has been a decade of one substance after the other. I need this for energy, or I need this for depression. My kids have seen me measure my atom and feint for years and I always said it was for energy or a supplement for my protein shakes. Oooooooookay. On substance sim not an introvert anymore, I'm not shy and insecure and anxious. I'm outgoing and talkative and creative. All of these things that make me an even better mother (I tell myself) because I've never been clean longer than a couple of weeks off of EVERYTHING for 8 years to even know. I remember my creativity when my kids were 1,2,3... I know I don't need drugs to be that person. But I can never make it through withdrawal/ paws and be a good enough mother, so I go back, or I find another "legal" drug. (No I have 0 help to go to treatment. None.) I've been "sick" SO MANY TIMES for a week or 2 on end when they've had to basically fend for themselves. That can't happen again. Ever. This last habit cost me $20k. I panic about paying lunch money at their school, but I can go pay $50 a pop for "energy and motivation"?!? As I popped my last handful of pills which I thought was discreet, my 8-year-old in the backseat of the car coloring... "mommy why are you taking so many pills? You don't need this mommy." She's right. I stopped drinking a 5th of vodka a day 5 or so years ago after I had to drink (unknowingly, or so I THOUGHT!) To be social at my kids sports game. Drove home trashed, they called the only person they knew hysterical trying to give them directions of where we were. Police came because I was in someone's front lawn - I fought them and three other people in front of my kids - woke up the next morning in my bed clueless. I could have lost them all. Just like that. They all remember that. My 8-year-old doesn't even like me to drink wine or beer, tells me I don't need it. She knows I act differently, even though in my mind I need it to get things done etc. I could be such a better mother. 50 hour work weeks, 3 kids, school, sports, home - HOW do I convince myself I can be amazing without all of this shit that's probably killing me?! I tell myself every day &amp; I already know I don't need this shit and I need to stop for my kids - but it's like I HAVE to always be on SOMETHING?!</t>
  </si>
  <si>
    <t>Title is pretty self-explanatory. I only discovered a few hours ago, been sworn to secrecy by my mother. He’s been on it for the past 2 years and I didn't even fucking notice the difference, I feel awful for not realizing, but I feel like I don't even know him anymore. From what my mother has told me, he’s been clean for a few days and is staying home, he wants to try to get clean at home before committing to something like rehab (I don't know how this all works I’m sorry). I want to help him, spend time with him but every time I even look at him, I can't help but burst into tears. I don't want to somehow turn him into a villain in my eyes because I know he isn't, I love my Father so much, and I want to do everything I possibly can for him, but I seriously don't know what to do. I’m sorry if it sounds like I'm completely rambling but I need advice on how to help my father please.</t>
  </si>
  <si>
    <t>I’ve had the prescription for about 4 years, but for the past year I started gradually taking more and more. I’m able to get away with it for the time being because I can have it prescribed by my therapist and also my doctor. Usually I think at least in my country it would raise a red flag since I go through the pills about 5 times faster than if I were taking them as prescribed. My misuse has also not gone unnoticed. My parents think I am doing drugs, and they are not wrong, but they don't know it’s a prescription. Anyway what’s the difference if it’s legal or not? Coworkers also comment that I look like I live a hard life and that’s true because I barely sleep. For the past 5 months or so I am going to work with about 2–4 hours of sleep each night. If it weren't for old photos I was looking at today I would buy even notice the change. Anyway as of tomorrow I am going to try and take them as prescribed or at least start to take less</t>
  </si>
  <si>
    <t>I don't know how to talk around it, so I'll just say it, I'm a sex addict, I've been holding off on any impulse for three weeks plus a day it's going pretty well, and I've got nobody but my girlfriend to thank for that. Well, she's been getting a bit more intimate lately, and you could cut the tension between us with a knife, and I'm honestly not sure if I should go for it, It's a nice and intimate moment between two people who have a decent trust between them, but every time my mind wanders towards the subject of sex, I only think of it in the vein of "aw, nice, I'm going to get a fix", and I feel like that isn't the right way to go into it, I'd say it's like a food addiction, you're eating healthy, but then your best friend gets a promotion and the celebration calls for a pizza party. It wouldn't hurt to indulge, but it could be a gateway back to the problem</t>
  </si>
  <si>
    <t>So I decided to tamper with alpha several weeks ago. It went rather disastrous, but I was able to get my footing back on the right track. Fast-forward a month of 2, and I decided I would try alpha to see what the hype was all about. Now I’m going into day 3 and haven't been able to fully put it away. I have some Bezos for the comedown (almost make it even more enjoyable) but I have about a gram of PHP and 2 grams of APIs.</t>
  </si>
  <si>
    <t>I'm so utterly screwed. The problem is that I don't want to get better, because I just enjoy Netflix so much (in a very guilt ridden way.) Everything else seems so boring in comparison to Netflix shows. Core areas of my life such as my sleep and work are suffering because of this very severe addiction. I think I'm more addicted to Netflix then I could possibly be to any drug. I just sit there clicking next episode over and over again and 6 hours go by. And I hate myself for it. Every night I say I'm going to stop, every time I go out of the house I say I'm going to stop, and then I come back inside and watch the show.</t>
  </si>
  <si>
    <t>I didn't realize man numbers allow other docs pharmacies and physicians to see diagnosis. I work in a sector and will be absolutely scrutinized or denied employment in pre physical exams if this pops up. Because rehab brainwashed me that I was an addict and alcoholic (I ran AA instead of NBA) I told them I was an alcoholic, and they wrote it down despite not asking about my drinking history. They just relied on my self diagnosis and didn't ask much about how much I used only the length of time. I told them I was addicted to ambient and Xanax which actually wasn't true. I was dependent on them, and only abused them aka not take them as prescribed when I tried to get clean and use these as comfort meds getting off fentanyl which was a different beast. I was never an irresponsible drinker or a heavy one as I hated hangovers and thought it was a shitty drug overall. Many might disagree but my honest past drug resume is I never fall into addiction with any other substance except oxycodone. When I had almost a year sober a small relapse of sniffing .5 mg of Xanax I found in my room sent me to hating myself for screwing up, in reality this unhealthy view of my self and dishonest brainwashing by rehab set me up to fail if I used any substance, I guess it’s why it’s such a profitable business. Case point I never got opiates from the doc and self-medicated after a traumatic car accident. I was given ambient and Xanax which I used responsibly for almost two years and was tapered off no problem. It became an issue once opiates came into play and a poly substance dependence formed, and I was battling my opiate WD by abusing those meds and also becoming dependent but not addicted to them if that makes sense. Only oxycodone i truly believe is my addiction. ID much rather not deal with the stigmatization, pain in the ass judgment and explanations in the future having ?sedative use disorder, hypnotic drug use disorder and opiate use disorder on my medical record. This sets me up for failure for pre-employment physicals, or a situation where I have an accident at work, and they have accesses to my records because I work in this sector. Is it possible to remove this info I disclosed? At my rehab after all was said to 100% truth I only had been diagnosed as an opiate addict, not a poly substance addict like how I came off across. I didn't realize doctors were so miseducated on addiction and told them I suffer from alcoholism, and they listed that as on my record as well when I was always a responsible drinker. Is there any way for them to erase the info I disclosed or remove the diagnosis ? I'd much rather lost allergic to opiates then have this diagnosis on my record for how annoying it makes to see doctors</t>
  </si>
  <si>
    <t>I got addicted to Monster and Nos about two years ago when I worked the night shift for FedEx ground because it would keep me awake and able to push through loading so much shit all the time. I quit working there after a year, but I've continued on drinking 2 or 3 cans a day sometimes 4 when I'm depressed. Every time I try to quit I get extremely painful headaches and a raw sensation in my gut that quickly goes away when I start drinking again. I've tried tapering off but when I drink even one I get immense cravings for another and the cycle continues. I can feel my health declining and my teeth feel weaker and weaker every day. Was wondering if anybody has had experience with this and could offer a non-typical solution that actually works.</t>
  </si>
  <si>
    <t>I am an RN on an acute drug detox unit and am I asking for input from others that have detoxed inpatient before. What would you qualify as a good detox nurse? What qualities would they have? What could I do as a nurse to make you more comfortable? I am also trying to think of things I can bring in for my patients to do on their downtime, when groups aren't happening. So open to those suggestions as well. I love my patients and want them all to succeed and want to be there for them 1000%.</t>
  </si>
  <si>
    <t>Age 39, smoker of 24 years. I have quit for months and years along the way. I have always had a massive association between alcohol and cigarettes. My undoing for smoking is ALWAYS when I get drunk, cos a)the mental association with alcohol just amplifies the craving b)the wall of self-discipline is weakened by alcohol and c)I'm surrounded by smokers offering me one. I haven't had a drink for 6 weeks nor any nicotine for 5 days, but I'm going to a function this weekend. I can totally see myself getting drunk and smoking AGAIN. Any helpful strategies?</t>
  </si>
  <si>
    <t>Before I start I just want to say there is no offense to the ones in the twelve-step program, AA, or decide to do abstinence. I do think moderation is possible for people like me who have been diagnosed with AUD. I tried everything and none of it worked. Furthermore, I think the ideal of full on abstinence for the rest of my life and starting all over to day 1 stressed me out. Furthermore, I've managed to successfully drink once a week or every two weeks I'll go and drink. Yes I do binge-drink when I do, but I was thinking about trying naltrexone when I do. I've been doing this for a year a now, and it helps me stay sober. I'm tired of feeling guilt about it though because I don't want to get judged by peers. Has this moderation thing worked for anyone for long periods or not? Please tell me your experiences.</t>
  </si>
  <si>
    <t>Just got accepted into rehab for 5 months, calling out 2 anyone who has successfully gone down this path and is in healthy recovery for tips and advice I'm cross addicted Alcohol/drugs (Heroin) I did a 28-day program last year for the 1st time, and it went well, the recovery afterward not so well Any tips for the 5 months and recovery after would b very appreciated</t>
  </si>
  <si>
    <t>It seems like I'm addicted to everything. Like I trade habits for new ones or that I circle back to old habits when the new ones cycle out. I date women who treat me like shit. When it finally breaks me, I trade that in for drugs, when I quit drugs, I move onto food, then back to a relationship, then to alcohol. Sometimes the addictions overlap. But IDK where to go. Addiction counseling here is a joke. There are no peer support counseling groups. I'm an opportunist addict.</t>
  </si>
  <si>
    <t>Is there a test out there that can be used for a person that is trying to stop smoking, but is utilizing nicotine aids like patches, gum, lozenges, or whatever else is out there? So I'd imagine it would be testing for something other than nicotine since it would need to differentiate the aids from tobacco smoke. I tried searching and couldn't find anything....hoping someone has some experience and can give me a quick and definitive answer.</t>
  </si>
  <si>
    <t>I’m 23. I have dealt with sexual abuse and cheating for many years. Furthermore, I didn't really rely on substances to help me get past any of it. Furthermore, I tried to kill myself and when I was discovered, my parents helped me go to therapy. Discovered I have clinical depression, anxiety, and OCD. My first experience with sexual assault was the trigger for all my borderline mental issues to come to their full glory. This all happened when I was 14, and I had kind of started becoming better around 19. I just smoked cigarettes first. But then I went to postgrad at 22 and things went downhill from there. All my issues just came back and became 10 times worse. Therapy didn't seem to be helping because my old therapist moved aboard and I didn't have the strength to find another. Even the ones he recommended weren't good enough. So I started weed, hash, and alcohol. It’s been about 7–8 months now, but I can't find strength without at least one of the three. I have to be drunk or high to get through my awake hours and to put me to sleep. I also smoke excessively. A pack a day. It feels so much like an onset and I hate it. But I also don't know what to do to help myself get through each day. I’m absolutely confused and tired. Cannabis and alcohol are my only solace.</t>
  </si>
  <si>
    <t>Hear me out please, this is a bit crazy. So every night, right after my BF goes to work, I turn my lights off (around 1 am, BF works 3rd shift), I hear a couple of people running the hallways. Shortly after, a terrible nauseating smell starts seeping through my apt door, vents in the bedroom, and living room. It keeps waking me up during the night. Right before 8:30 am when BF comes back home and landlord usually gets in his office, smell's completely gone. This has been going on for several months now. Told landlord, he came up here in the morning, and told me no smell of any sort, it could be food. I've been trying very hard to see who those people are, but it's pointless. No talking whatsoever, not a peep. I stand by the door sometimes for an hour just to see who they're and where they come from, the minute I step into my bathroom, I hear them running while I am in there. Landlord told me not to call cops, they have better things to do.</t>
  </si>
  <si>
    <t>My addiction is not as severe as some others on here. I have been drinking 2-3 energy drinks a day since I was about 14. Maybe not 2-3 every day, but 98% of the year. Anyway, It's safe to say I have been addicted for the last 5 years. I have spent a lot of money on energy drinks, and this one of the first times I have seriously tried to stop. I stopped for about 15 days before, but that was just for a bet. Now I want to stop for real. I am about two weeks in, the store closes in an hour and I want to go down there and buy three and drink them all. This is a mental struggle, and for some reason it is really hard not to run over to the store right now. What do you guys do? Also, shoutout to all the strong people in here, who are fighting, and the ones trying to help the ones struggling.</t>
  </si>
  <si>
    <t>I was wondering if anyone knew of a good alternative rehab center. I once saw someone mention a place that I think was in Mexico, and they use psychedelic drugs to help you through the withdrawal. Furthermore, I looked it up and it sounded promising. Supposedly after just one night of using the psychedelic you’re good to go? Anyway, I can't find it now on Google. Also, I was looking at this rapid detox here in the states where they use anesthesia and use a drug to rapidly detox you while you’re under. Anyone tried that? I can't do another traditional rehab. It just doesn't work for me and I don't want to use subs again. Anyone who could point me in the right direction?</t>
  </si>
  <si>
    <t>I’m almost 3 months sober after being in active addiction for 3 years. My husband (who I married right before my addiction took hold)has stuck by me somehow. I’m extremely mentally ill, but I’m treated finally and stable for the first time in my life. I thought things would start to get better, but he’s started to get violent. It gets worse every time. But I’ve done horrible things. Like. Horrible. Anyway, my question is has anyone else experienced someone lashing out in anger post addiction? I think it’s because he’s trying to heal from all the shit I’ve put him through. And because his focus isn't just on keeping me alive. I know he has PTSD from me. I just don't know what to do</t>
  </si>
  <si>
    <t>My best friend is heading down a path of addiction to fentanyl and other pills. It breaks my fucking heart. She is like a sister to me. Every day I picture her funeral and I can't fucking take it. From my life experience I know there is not much I can do to help besides being a good friend. But I know if gods forbid she dies before getting clean, I’ll feel like I could have done more to help. Just needed to say it to someone. Advice is welcome. Prayers for everyone struggling with this.</t>
  </si>
  <si>
    <t>I’m a long term user of codeine. I have a chronic pain condition but am I finding that I need more and more of it to lesson the pain. So I’ve decided it’s time to stop since I’m in pain anyway. I’ve always struggled with withdrawal symptoms when I’ve run out in the past. So I know I’m in for a rough ride. The big symptom I’ve struggled with before is coughing. I was wondering if anyone has any tips for managing the cough? I have Valium, so I’m not too worried about sleep issues and I have Castro stop for the bowel issues. Furthermore, I have combo paradox/European for the headaches. I’m trying to get prepared. I’ll have my last dose tomorrow. Then I’m out.</t>
  </si>
  <si>
    <t>Every time I post or look at this sub I feel guilty because I keep asking for advice and help, but I'm not going to take it. I'm disgusted by what I've let myself become, but I don't know any other way to be. Life is too hard to deal with sober.</t>
  </si>
  <si>
    <t>Long story short my ex keeps asking me to let him combover to my apartment to get clean. His brother who he lives with is his dealer. I told him only once his lease is up, and he signs his own lease would I help him. Or if he at all proved he was serious by doing anything to prove that ... I.E. getting on MAT, getting a therapist, going to detox, or rehab. We reconnected because I originally was going to help him get on methadone, and he was going to pay my rent, so I didn't have to work. I got him on the program which he quit two weeks later (the clinic was absolutely dicking us both around &amp; is still doing it to me, so I kinda don't blame him) but I explained you need to find another clinic ASAP. It's now been almost three months of false promises and progressively less money to my landlord. He's never been sober a day in his life &amp; has also never been through withdrawal. He keeps asking me for two days to prove he can not use? I keep feeling like I bitch for saying no. I just feel like it's a waste of time/pointless. Even if by the grace of all the gods he could not use for two days.... Then what.</t>
  </si>
  <si>
    <t>I’m not an addict, codependent as hell though, extremely aware and in therapy for it. Anyway. Yeah. He was 3 months sober. Came home. Told me relapsed. What now? I’m not angry. Maybe a little. But mostly just like WTF. I appreciate that he told me.</t>
  </si>
  <si>
    <t>I got burned by yet another person. I'm sick everything and everyone. Furthermore, I can't stand this anymore. Furthermore, I can't quit, I can't stay sober. My future is bleak and truly hopeless. I'm nothing without methamphetamine. Now I got people on my back who want to jump me for literally nothing. I absolutely hate this existence. I don't want to go on. If I got into rehab, I'd just leave. If I were to be incarcerated, I'd be worse than I was before. I'd turn into one of them; selfish, uncaring, and sociopathic. I want to help others. That's all I've wanted to do. I'm a shell now. Aspirations have disappeared, hobbies are nonexistent, and morals have been depleted. Who am I? My life has been stolen right before my eyes. I'm 19 years old, and I shoot up methamphetamine. The worst drug you could ever get addicted to. There is no hope. Please find peace with my peace in accepting this. I'm just accepting it.</t>
  </si>
  <si>
    <t>4 months clean from ice and really want to start dental hygiene in the fall and marry a beautiful and caring woman in the future. I want to be different from my dysfunctional family. How quickly did things turn around for you within 2 years?</t>
  </si>
  <si>
    <t>I’m addicted to basically twitter, I spend 5+ hours on it. It started because I didn't have any friends to talk to it was fine. But recently I be always there, even if I’m with friends in real life and I can't stop.</t>
  </si>
  <si>
    <t>I went to school the other day, I’m becoming a hairstylist. I was starting to set up when my instructor came up to me. He asked me to come with him, so I followed, but we ended up in the education instructors office. I was then told that they had all observed some ?suspicious behavior? From me. Apparently seeming off balance, fatigued, glassy eyed, etc. I denied it the entire time because I wasn't high or drunk. However, I was told I’d be clocked out and to go home for the night. I was terrified and angry because I was being accused of something I hadn't done, and I could get kicked out for this. ... It’s not a drug problem I’m struggling with. It’s an eating disorder. I’m about 25–30 pounds underweight. I only eat a few different things, and I don't eat daily. So most days I’m lethargic, don't really think clearly, I get dizzy, etc. I understand their concerns, but stop accusing me of being fucked up at school. Just stop. It’s only making things worse.</t>
  </si>
  <si>
    <t>I know that AA and NA is a good thing for most people in recovery. I personally disagree with some of its principles, but since it's the clients view that matters, not mine, I obviously don't talk about my thoughts on it. However, some treatment programs insist that if based on such principles. I feel this is a relic from the old days when addiction treatment was mainly done by peers, rather than Master's level professional counselors. Our training teaches us to consider a broad array of options such as harm reduction, alternative peer support groups like Recovery Dharma, etc. We definitely encourage people to attend some type of outside group simply for the connection, but even that isn't a mandate; every individual JS different and will have different needs. I'm a therapist as part of a very flexible IOP program with emphasis on harm reduction and motivational interviewing, so I feel lucky. Hopefully clients are doing their homework beforehand to see if a program subscribes exclusively to 12-step philosophy or not Feel free to share your thoughts. This is nit something I'd share with my clients and I generally encourage them to go to AA/NA and think it works well for the majority of them. I'm just l criticizing a black and white view, not 12-step itself.</t>
  </si>
  <si>
    <t>Y?all. I’m bipolar 2, have GAD, social anxiety &amp; recently added PTSD to the list due to waking up to my boyfriend dead after fentanyl overdose. I’ve been struggling with smoking weed. Furthermore, I know that doesn't sound like much, but I’m the kind of person to not control how much I smoke. Furthermore, I went to rehab for 11 days &amp; it helped up until my boyfriends passing. Furthermore, I have therapy every week &amp; still can't seem to stop smoking. Being a college student doesn't help either as everyone smokes weed &amp; I can always smell it.</t>
  </si>
  <si>
    <t>I want to preface by saying I tried posting in /Suboxone, but my posts won't go through. Is it possible for someone to take 8mg of subs and also use H the same day? I know someone close who is recovering and on a Suboxone program but was worried that they could potentially be using at the same time. If they take 8mg at the same time and every day there is no way they can use h without noticeable symptoms right?</t>
  </si>
  <si>
    <t>My 24yo nephew is going through an intense withdrawal. He was hospitalized from Thursday until yesterday Saturday. Yesterday was the first time he opened his eyes. Today is the first time he was able to eat on his own. I am looking after him along with another nephew of mine. I noticed the smallest of sounds would trigger him so the 2 of us looking after him don't talk inside the room but rather send each other messages over the phone. For those who went through withdrawal that was intense, did you find that music in the background helped? Or did you prefer complete silence? The music is just from YouTube the relaxing healing sounds of forest with piano background.</t>
  </si>
  <si>
    <t>I'm just really lost and really scared. I'm a 24yo Female who has been using weed on and off for two years. But the last one month has been terrible on me. I found myself lighting up 3-4Js every single day. When, I used to get high that high would not be enough for me and I would want to get more high. Bong hits and Js. I used to smoke up a J and then not find the high sufficiently enough so I would take bong hits. I found myself doing this every other day and then every day. Furthermore, I told myself, I don't have a problem. But off late I have gotten really bad trips where I wanted to try harder drugs like LSD. I realized I was getting harder and harder into it and also dragging my partner into it. They don't smoke as often but as I used to smoke up in the house every day they would get really contact high. And then they would eventually smoke up too. They are younger to me. 21. And that scared me and made me stop. I found myself going down this really dark path and constantly had existential questions of life and death and if anything matters and how the world is such an unfair place. How the world is filled with messed up horrible people. I have cried several times after being high about my looks, my weight, my hair and my career. Honestly, I'm not over weight, I do have extra 5kgs than I should, but I have always faced body dysmorphia. I used to get high, eat a hell lot and then feel guilty about it, so I used to puke it out. My weight issues have been with me since I was a teen, and I'm really trying to get off it. 5 days back, I flushed out the weed I had. My partner and I decided to do that together. I have been feeling really depressed since then. I have this terrible dips where I just want to cry and find myself to be a loser. Furthermore, I feel anxious and stressed when I think about my career and I do find myself wanting to smoke up a J, but I am stopping myself. Furthermore, I also feel really disconnected with my body. Furthermore, I feel like I'm watching a movie. It's exactly the way I used to feel when I was high. I have felt several times when I was high that this is the level of consciousness and awareness I want all the time and not the level of consciousness I have when I'm sober. I don't know what's going on. But I'm really low and I don't have the energy. I'm trying to research and which is why I ended up writing this all down here. Please help me with any advice possible. I don't want to go down a dark path and die.</t>
  </si>
  <si>
    <t>I have been a weekend addict for 10 years and a daily pot addict. I’m mostly hooked to alcohol, speed or cocaine and binge smoking over the weekend. The weekdays then pass by with me super exhausted, unable to manage my life yet being highly functional. I think I was an addict way before these 10 years though. My primary attachment figure, for example, was often my computer when I was young due to emotional neglect. My husband is as much an addict as me, but less of a weekend addict and more of a heavy pot smoker. It is safe to say though that I don't have many sober people around me. A lot of friends are addicts themselves. I live in a big metropolitan city and this is mostly the norm (I have sober friends too).</t>
  </si>
  <si>
    <t>My boyfriend (27) is a recovering addict from heroin. I didn't know him while he was on drugs, but I know and love him now. He told me tonight he was going out with some work friends and planned on smoking weed. I know weed and heroin don't compare but I’m still very nervous and unsure if this is a ?smart? Decision. Just seeking advice on what to say/feel</t>
  </si>
  <si>
    <t>I've been pretty good at staying clean over the last few months even able to drink responsibly, had weed in my possession too and didn't use it very often. Then things got real hard again. Started using disposable vapes, then I started drinking energy drinks, then I started drinking in school, then I was getting high in school, I was sh as well. It was only one week of mayhem until I got a hold on it again, but it was very worrying, how easy it was to just go back to my old self, how easy it was not to care. I felt my whole body weighing down on me, and I kept going. I wanted to destroy myself it was the only way I knew how to feel okay. Right now I'm on the shittiest comedown of my life, didn't get up from my bed once yesterday, only reason I got up today was to go to the restroom. I don't have anything on me right now but even if I did I'd be too depressed to use it. I want to die.</t>
  </si>
  <si>
    <t>Heavily suggest anyone struggling with an addiction to take some POWERFUL expensive shrooms and have an insane trip. If you go into it with the goal of stopping or minimizing cravings / stopping your addiction and habits ... it will happen!!! That, and honestly the feeling from psychedelics is way better to me than the feeling of cocaine or any downer like straight dentinal or alcohol. I’m so blessed I was able to put down coke after one heavy dose of 4-AcO-MET . Basically synthetic shrooms with a touch of LSD type visuals, anyway long story short it is/was insane and I'm going to keep doing this shit once a month to keep my cravings for Smith other than alcohol or weed to a minimum. About 2 months sober &amp; i?VE done this chemical ?4 ACO met? A handful of times now. And it helps so fucking much!! It may not work for everyone or help anyone to read this, but it helped me and I thought i?d share my experience.</t>
  </si>
  <si>
    <t>Hey guys, just wondering if any of you have previously overcome a nicotine addiction and what ways you went about it. Over the past year or so I have picked up a nicotine addiction through vaping (disposable vapes). It originally started because everyone else had them when I would go out and I’d do it too, but has since evolved to the point where I always have one with me. The strange thing is when I go away for work (usually around a week at a time) I don't take one with me and don't crave them at all while I’m away, but as soon as I’m home and can easily go buy one from the nearest smart/tobacconist I crave it badly. Any tips on quitting or the best way you have found about going it?</t>
  </si>
  <si>
    <t>This seems to be a recurring thing in my life at this point. Once again I finally seem to be getting my shit together, been sober for a while, degree is going well Anand I just fuck it off and relays for no reason! It's almost like a control thing I swear! Like I'm so used to my life just being chaos that when everything is going well, my brain is just waiting for something to happen. But I don't know what that thing will be. So I make myself that thing! That way life can't fuck me up. Because I'm doing it. Sorry if this is better off in a different sub. I just needed to rant because I'm mad at myself</t>
  </si>
  <si>
    <t>My GF is taking pills, we have a 6-month-old son. She’s been in the hospital twice when she was younger for pill issues. We've been really happy for a while and our boy is beyond a blessing. Last Thursday, I came home to her sleeping with our son. Her mom came over because she felt something was off, which it was. We found vodka glass next to her, a bunch of vodka cans in the recycling bin, and she was absolutely passed out. She also dropped 4 calazoblam(SP) out of her pocket the day before (she’s had problems with those before). Sure enough she went insane, eyes bloodshot. Slurred speech. Called the cops saying I stole our son(I didn't I took him away to my parents and her mom was with me) to calm her down. Spoke absolute insanity nonsense and ran outside with no shoes on screaming. Making zero sense I’ve been struggling to see her be better, she’s going to a therapist now, but yesterday I noticed she was in the bathroom at 2 Am with door locked. I heard sniffing/ snorting. This morning I found a white pill with no label and white powder she must’ve forgot. I asked her about the powder considering she cleaned the bathroom but left the powder to which she said ?what the fuck you think it’s, COCAINE?? Her pupils are tiny and just looks off. Her moms in denial. She’s had problems before and I’m beyond devastated and don't know what to do.</t>
  </si>
  <si>
    <t>I’m a junior in high school that barely passed last year with summer school. I’ve had a PMO addiction for 8 years almost with on and off attempts at trying to break it. In the past year i?VE gotten myself addicted to nicotine not because I was trying to look cool or anything, but it gave me a buzz which somehow boosted my creativity for a short period. Now I'm using Percy which could lead to an addiction and I really don't want that, been doing that since August. Currently, I am failing almost every class. Then I went to the hospital for 3 days and stayed home 3 weeks due to a surgery. I can still make up some last semesters work and bring it to a 60 but i?VE been putting it off repeatedly. The makeup work started on January 20th and still behind with that. I feel like if I can stop these addictions i?LL be able to get my shit together and discipline myself. I need some genuine advice on how about I go about this. Furthermore, I also have 0 friends and don't talk to anyone except for family and random people I sit next to if that even means anything. Furthermore, I wanna change in general so I can get these things because i?VE developed a shit ton of self-hatred and insecurity not having made any friends since 4th grade.</t>
  </si>
  <si>
    <t>Every weekend I get drunk I always end up buying about 2 grams coke minimum which is $700 a week. I’m trying to save for a house, I’m only 24, but I can't help myself. Anyone got any idea on how to stop myself because it’s slowly eating away at me</t>
  </si>
  <si>
    <t>I am a poly addict with schizophrenia. I went through a period of my life where the only thing that mattered to me in the world was drugs. One of my best friends died when we were 19, because of cystic fibrosis. I am almost 22 now. I just couldn't handle it. I was first addicted to Bezos at 16, because I got a Xanax prescription from my psychiatrist due to an "anxiety disorder" (which turned out to be the prodromal phase of my schizophrenia, and it turns out I needed antipsychotics and NOT Bezos.). Soon enough I was doing 10mg Xanax every day, sometimes 15. It was very easy for me to keep them coming so I kept doing them. I became terrified of this and didn't talk to anyone about it and i cold turkeyed soon after. I had a seizure, had to go to the hospital and admit to Benz use. I was put on a taper program. haven't touched Bezos since, aside from 3 relapses that i don't feel very good about, but it is what it is. when my friend died, I crawled into the liquor bottle and clung to it HARD. I would drink a bottle and a half of vodka every day. I would vomit in my sleep and didn't have the mental fortitude to clean up, so I would sleep in my own vomit for hours. It thought THAT was rock bottom. I was wrong. A very concerned professor of mine made me an appointment with a psychiatrist and made me promise her to go there. The psychiatrist said I immediately needed inpatient care, and soon after I was admitted to a psychiatric ward to detox from the alcohol. They gave me diazepam, despite my protests, since I already had a seizure. During withdrawals, I had my first major psychotic episode. I became incredibly paranoid, thought I was possessed, thought that I had personally killed my friend, thought I was responsible for another friends suicide, thought doctors could read and interfere with my thoughts, and I was hearing many nasty voices, always there, always commenting on everything I do. I was put on antipsychotics. As soon as I get out of the psych ward, after a 2-month state, I start binging drugs like there is no tomorrow. I started with doing speed at parties, and it all spiraled when I discovered the world of RCs. I have binged every single RC I could get my hands on. Stems, discos, psychedelics, opioids, all of them. My mental health saw a sharp decline and I reached a point where i really didn't care anymore if I was alive or if I was dead. The highs were high, and the lows were devastating. This all culminated to one day, without any significant opiate tolerance, I took 70mg morphine, 30mg oxycodone, took 7mg Xanax to chase it down, and had a few drinks. Naturally I stopped breathing and I turned blue in the lips and on the hands. Some acquaintances found me unconscious at the front door of my apartment building and an ambulance was called. My life was saved. When I was discharged I went on the biggest binge I have ever done in my life. I didn't sleep for a week. Then I decided to do LSD, which was a terrible, terrible, terrible idea. After a trip from hell, it finally dawned on me. I have hit rock bottom. If i don't get clean NOW, I will die. I checked myself in the psych ward again, and that initial drug test came positive foe EVERYTHING they were checking for. I stayed for another two months, and this time I absolutely dedicated myself to getting clean. It had to work on myself, and I had to learn how to get my schizophrenia under control. I made what my friends describe as a miraculous recovery. I moved back to my home country to stay with my family. I got psychiatric help and was put on medication that actually helps me function. I haven't had many psychotic symptoms since. A year and a half later, I am enrolled in school and doing well, I have lots of friends and lots of hobbies, I am getting disability benefits to support myself, and I have learned many healthy ways to cope with my illness, without being destructive. The fear of relapse looms over me every day, like a dark cloud. I keep thinking to myself, maybe you can do drugs responsibly this time, maybe you can do them just once. I do get cravings. But I know that I can't. Once I start again, everything that I strived so hard to accomplish will go down the drain. If I relapse, it will be my new rock bottom. By participating in the drugs related Subreddits and sharing my experiences and knowledge with other people, I have found a way to live the drug life vicariously, through others, without wanting to go back myself. I wrote all this text because I wanted to share my story with you guys, but also as a message of hope. It gets better. It may not seem like it, but really, really, it does get better. You have to fight really hard for it, but it gets better. I never could imagine that I could live a healthy life ever again, but here I am disproving that, every day. There is always hope, never lose it. You can do it and it gets better.</t>
  </si>
  <si>
    <t>My doctor had me not use for 24 hours. Then I come in the office and she prescribes Suboxone. When I took the 12mg strip I was just starting to feel my feet to tingling, restless legs, mucous in my mouth, cold but sweating. I instantly went into withdrawal. Everything above and worse. Puking, pain, and liquid diarrhea. (Sorry TMI). My husband and I did this together at same time and same experience. What is the best way to get off fentanyl? Does Suboxone work at all? If I were to use atom, how would I transition being I just used Suboxone? Thank you for your time.</t>
  </si>
  <si>
    <t>I’m not an addict but there’s nowhere to share this. Basically to celebrate my 18th birthday me and my friends joined to eat drink and smoke. It was my first time ever smoking weed, although I’ve smoked hash before. I completely blacked out and had constant black-outs with me not being able to control my feet. This just happened 3 hours ago I’m never touching it in my life !!!</t>
  </si>
  <si>
    <t>I am 15 M (Sophomore in High-school). I have become addicted to pills, weed,and vaping. Every time I try to stop taking them, I just got sick. They are also so addictive. This addiction started last school year at around May. I was going through a lot at the time and I had lots of crackhead friends at school. I had heard that drugs can help settle your mind, so I asked my friends if I could try it out. Not only did weed help settle my mind, but it also helped me sleep, and it actually made me feel calm. However, this situation got worst as time went on. I started cancelling plans with family to go smoke with friends and go to parties. This school year has made my addiction even worse with the tougher classes and all. I have also started skipping classes to smoke. My grades are pretty much awful because I don't do my work because every time I’m in class I’m either high or sleep.</t>
  </si>
  <si>
    <t>So - I’m struggling because all of my boyfriends close friends regularly do coke and Xanax. My boyfriend smokes a lot of weed dailies which is a problem in itself (again, his own realization), but I wouldn't say he has a problem with any other drugs necessarily. He did drugs when he was younger, but he’s told me it was never much of a problem, and he can quit whenever. He’s ?quit? Weed a couple of times at the drop of a hat throughout our relationship and has been loads happier- but then IDK. Got bored? Anyway - He doesn't hang out with these friends much, because he’s a homebody. But when he does (usually out of town because they’ve all moved) he goes way overkill on coke, posts unnecessary photos on social media stories (nothing awful, just obviously high), and then wakes up telling me he has a problem, is super ashamed, feels like shit etc. What confuses me is that he doesn't have a problem on a day-to-day basis- but when he goes out with friends it’s a whole other story, he loses all control, and says he has a problem. I’ve been out with him and friends before and honestly he’s a nightmare. He has no control, drinks way too much, does too much coke, and he’s low-key a monster. He’s not nice to me, and it’s disturbing for me because he’s normally a very sweet guy. Even his friends have been like?? Dude you can't treat her like that? He seems to be the only one who turns into some other person - the rest are pretty like themselves, but high. I’m not trying to be that girl who tells him to ditch all of his friends because they drag him down - but every time he’s with them he’s someone I don't recognize? It’s not even his friends that are pressuring, it’s just when he’s around them, he feels pressure to? He’s the guy everyone comes to for advice a solace, and feels responsible for all of his friends. We often plan a trip somewhere, or go to visit someone, then he gets fired up, gets absolutely fucked up, and then the whole trip is ruined for days, and he feels ashamed. And the hard part for me, is that he’s totally aware all of this is going to happen. Yet, does it anyway and then feels like a loser. I just need some advice on the next step to take because I don't know if this addiction, or something else. Sometimes it feels more like he’s trying to impress his friends or something - and his approach is concerning. Every time he goes to seem them he gets a haircut, and buys a bunch of new clothes and tries to look his best. Maybe it’s just me, but idea if my friends think I look my best lol - I’m there to chill. IDK - something is going on here. I haven't had any experience with addiction before him, and I don't struggle with it, so I’m really just navigating in the dark and I need some help.</t>
  </si>
  <si>
    <t>I’m a schizophrenic with polysubstance abuse disorder. I abuse prescribed Bezos and stimulants for add. As the stress of school has increased so has my need for Bezos. I feel like I’m on a never ending loop of asking for more Bezos from my doc. Already at 3mg Klonopin, I am trying to get an increase to four, as if that will somehow solve my problems. I use Kr atom every night, and have cannabis substance abuse disorder. I simply can't stay away from it and I can't smoke without spiraling into psychosis. Furthermore, I know things can always get worse, but just knowing I have a test next week has caused me to double dose on my Bezos twice already, and I routinely take double my add script because it doesn't work the way it used to. I’m completely dependent on other people for my functioning. Furthermore, I can't sign a lease, I have no money, am I waiting on disability, and for the life of me don't think I can pass my Excel course for business school. I’m beginning to think I can't finish school at all. Furthermore, I have a tendency to ruminate and this is mostly just to get it off my chest, but I am seriously worried about my ability to cope with stress. It’s like I never learned an essential life skill and therapy has yet to be helpful. I really need someone to tell me that things will be okay-that my test isn't the end of the world, that a bad grade here or there won't ruin all the hard work I’ve put into this field. Most of all I need to know how people do it. Should I even begin trying to taper drugs when I can't deal with the stress of my classes? I’m not at the point where this is impacting my life any more than just digging a bigger hole. Any advice? Sometimes I just feel like I deserve my drugs because life with schizophrenia is absolutely miserable. Any tips on how to de-escalate and increasingly bad problem? When something stressful happens I immediately reach for a pill. I honestly don't know how I would survive if I didn't have the ability to do that.</t>
  </si>
  <si>
    <t>For a long time, nearly I'd say 7 or so years I've suffered on and off with drug use, ultimately getting to the worst point around 2017 where I blew a lot of money over the period of ten weeks. It cost me pretty much everything I had, and I managed to get myself clean. Up until around mid 2021 I didn't work, so I decided to find myself employment and ended up going to a job where most of the workforce used some sort of drug, whether it be coke or weed. I used to think I'd be strong enough to resist the urges or temptation more so, but I ended up going back down the hole. I'm at a point where my girlfriend is trying to get a job to work in the country I live, she's from Europe and myself the UK, she doesn't know about any of my drug use, and I feel as if I tell her she won't want to carry on our 2-year relationship. Furthermore, I've left the job I was working at and sold my car, but the feelings of guilt and low self-esteem have come back stronger than I've ever experienced, I currently don't want to do anything, sometimes feeling like I don't want to be here. Furthermore, I just wish there was something out there that would help, as I suck at getting my feelings out to people close to me. Furthermore, I just want to be rid of this horrible feeling</t>
  </si>
  <si>
    <t>I was on day 20 without coke. I keep getting strong cravings. Longest I’ve gone is 3 months, still strong cravings. I’m not paid until the end of the month and my cravings were so strong I took a Âœ250 loan out, bought an 8th, some vodka and sniffed it all in one go. Having a comedown and feel guilty as fuck. Any ideas how to deal with cravings?</t>
  </si>
  <si>
    <t>Relapse rates are high. It is because the treatment model doesn't work. Treatment works at the high end 10 percent of the time. It is treated as a disease when in fact it is a symptom of our most intelligent sensitive people who have been traumatized living in a fake world</t>
  </si>
  <si>
    <t>I am so beyond disgusted with myself. I have been sober from cocaine for 3 years and today something didn't feel right with me all day. Furthermore, I can't really describe it but i just couldn't shake my negative thoughts to the point I let them take over. Furthermore, I knew this would happen. Furthermore, I relapsed and went back into my old destructive ways which I've worked so, so hard every day to turn around. I'm pretty sure my boyfriend is leaving me because of this and I cant do it. He says that I should have never been born and that I'm worthless . I don't want to tell my family and I cant afford therapy, which ill have to pay for on my own. I don't want to be me anymore, i just want to crawl in a hole and die. Furthermore, I have no one to talk to</t>
  </si>
  <si>
    <t>(TW: mentions of suicide, mental health, and obviously drug abuse) I feel stupid asking for help here, but I genuinely have nowhere else to go. My best friend (18) has in the past year started doing a great deal of drugs. It started off with weed, but now they’re taking OXY. They have a lot of trauma and mental health issues, which no one but me has been properly informed about. They very often threaten to kill themselves and generally just talk about suicide a lot. We go to boarding school together, and I’ve been supporting them through all this since the drug problem thing started. Due to a lot of home/parental issues, they don't believe themselves to be as ill as they are, which has made it very hard to convince them to get help. For half a year now I’ve been trying to get them to go to a psych ward, and two weeks ago, after a horrible episode, they finally agreed (only because I told them to). They were there for a week, prescribed antidepressants, discharged. They did not tell the staff the whole story, left out the drug abuse. They’re too scared of the repercussions it may have now that they’re 18. Now that they’re back home for the holidays, they?redoing much higher dosages of OXY. I am the only one who knows, and I am not even there to help them if anything happens. I thought the psych ward would help, but it seems to have just completely diminished any chance of them wanting help. I haven't slept for days, thinking they may be dead. I’m only 16, and I don't know what else I can do. Furthermore, I talk to them constantly, and they have told me I’m the only reason they’re still alive. Furthermore, I love them to death, and am far too scared to tell anyone because they would kill themselves if I did. Furthermore, I just feel so lost and have no idea how to help them out of this. Would be appreciative of any advice or help :/ (TLDR: best friend struggling with opioid addiction, psychiatric help unsuccessful. Don't know what else to do.)</t>
  </si>
  <si>
    <t>Through addiction, I lost it all. My sanity, my girlfriend soon to be fiancé‚ my almost 1-year-old son, friends, progress at completing a very hard program to set me up for an amazing career. I was a horrible person, but I realized I became that way through just flat out not loving myself. I hated that I was sensitive and to nice. Furthermore, I was a people pleaser and allowed myself to be a door mat leading me to a further spiral. Now 4 months clean I have done nothing but work hard practicing gratitude and striving to be the best human I can be to truly learn. Amazing things are happening and life has never been better. But I found myself alone and just let myself feel the pain and just cried and in the midst of that all the animals slowly came over and just comforted me one dog in particular just looked me in the eyes and it’s like I felt a weird sense and that all was going to be ok. Never give up. Keep fighting and never stop being a nice person. Oh, and FUCK ALCOHOL AND DRUGS.</t>
  </si>
  <si>
    <t>Stuck in an endless cycle between Valium and coke. Best I made was 4 days without using and then I relapsed again. I know I need to stop but can't bring myself to do it. Any tips from people who have stayed sober? The shame and guilt is killing me</t>
  </si>
  <si>
    <t>The people who argue that marijuana is more addictive than alcohol should see how dispensaries look upon opening, then check both the liquor agencies in Hamilton, Ontario. At 9:55 am on a Monday Morning, there was absolutely no one at any the dispensaries. At 8:55 am that same day, both the Hamilton LCBO and beer stores have like 25–30 people lined up? The second it's 10:00 am and the doors open, they'll literally storm in like without it, they're going to die damn Brad really? It's actually quite sad to see and feel bad for family to deal with that. I fully understand and knowledge the user is going to matter more than the substance, but with average odds, which one is more likely to have it worse for forming addiction, and dependency statistically, x of out 100 people get addicted to either?</t>
  </si>
  <si>
    <t>I hate coke I hate it is takes my friends one by one, and I can only help them so much I wish it didn't exist it makes me so upset I’ve already had a friend almost die from it fuck coke and fuck addiction - someone that cares and loves their friends a lot</t>
  </si>
  <si>
    <t>Well first post here Last week was the final straw for me, I was up for 2 days on cocaine and decided to drive 2 hours to get some more. The coke confidence must've taken over like usual, but I was so high that the police pulled me at a service station and knew straight away that I was out of it. My car got seized, and I remember being in the police van breaking down crying and all I wanted was to break out and get more coke and go hide somewhere dark. I've been dealing with addiction for 3 years and tried 3 to 4 times get sober. Longest I have ever done was 3 weeks and completely went bad again. I've lost about 4 jobs due to addiction and on the verge of losing my girlfriend and daughter. So I'm really going to give this a real shot this time even if it breaks me in two Any tips how to deal with paranoid thoughts or negative thoughts.</t>
  </si>
  <si>
    <t>I think I struggle with addiction. But nothing terrible has happened yet so I think am I just being dramatic?! I have an eating disorder and food addiction (it's been there forever) and depression, I found drinking alcohol is a release from this. Then I found taking drugs is a release from alcohol. I've tried to quit each one, but I can only replace one with the other. I have fun when I'm drunk and high. Furthermore, I'm always filled with regret, but I can't quit for longer than a few weeks. And can never quit food, alcohol and drugs altogether. Is this the start of something?! Or would I know by now if it was going to get serious? Is it already serious if I use all or any of these to escape everyday emotions and life? And only these things remind me of what joy and happiness is like</t>
  </si>
  <si>
    <t>I've been sober from cocaine, speed, ketamine, weed/hash, alcohol and MDMA for 12 days today. It was hard at first. But after a few days I realized I wanted to stay sober. I have had small urges here and there but nothing to troubling. 40 minutes ago I got this massive urge to do drugs again. And It's pissing me off something extreme. And its making me sad at the same time. I don't want to die but I feel like I will someday. I'm going to go to meetings again and hope that helps me. I'm scared of my parents or siblings coming across my dead body someday. What can you do to make this ease up? Talking with friends helps a lot but I can't now because they're sleeping. I'm so sick of being an addict.</t>
  </si>
  <si>
    <t>I know I need help at this point. The only way I feel anything like I’m supposed to feel with my Adderall is to snort it. I’m sneaking around behind my boyfriends back doing it, waiting for him to leave or go to bed so I can double dose or snort it. I know the next step with be my having to buy harder stuff but I can't afford to get to that point. How do I reach out for help? How do I tell my boyfriend I’ve been sneaking around doing this?</t>
  </si>
  <si>
    <t>I did heroine probably an hour ago I’m done with it, I want to get clean I almost lost my job I almost crash my car cause my job sent me home I was so high and my life is just about to crash I can feel it if I did h an hour ago how long do I need to wait to take a Suboxone? And if anyone can please reach out just for support someone to talk to thank you</t>
  </si>
  <si>
    <t>I am 15 and my parents don't know I do drugs or anything so they just think I am off the walls because I have some mood disorder. I stopped caring about anything but drugs, like the only thing I talk about and think about is drugs. My grades are suffering, I know I am fucking myself but the only time I like myself is on drugs and the only time I don't want to die is when high. I just need some advice on what I should do. Like in I should stop doing drugs, but please be more specific on how I do that and how I can enjoy my life and how to climb out of this hole I have been digging. I don't want to get clean but I want to get clean because I know this isn't sustainable. Any advice is greatly appreciated.</t>
  </si>
  <si>
    <t>My drug of choice for the longest time was booze. I have no idea how or why I became addicted. There is no obvious explanation for it. But I did and eventually that became too destructive, so I found a new escape in gambling. One that I could hide from the world, and didn't risk me landing in jail or hurting someone during a blackout. I have a serious Jekyll and Hyde complex, and its scary enough that I want nothing to do with alcohol. I've tried for years to find reprieve and have never found success. AA, GA, Counseling have been of no use. So instead I try to control it, and minimize the damage it causes. I put up barriers to prevent me from wasting our money. I send my wife my pay check (or try to, it doesn't always get there), I've intentionally tanked my credit, so I can't borrow. Furthermore, I've disabled cash advances on my card and banned myself wherever possible from the casinos. And for the most part this stuff has allowed me to be a functional addict. I leave just room to get a taste of that escape I crave so much. The thing is I'm miserable as all hell when I'm not gambling. I'm just surviving life until my next paycheck and my next hit. The worst part is that there is no guarantee that the "hit" is coming any time soon. The thing with gambling is the hit only comes when you win, and the system is designed to make you lose. So after waiting 14 days for my next paycheck and losing all the money I set aside for my addiction in 15 mins, my brain just begins to unravel. When I'm in this place I can't tolerate the world. I can't tolerate my job. I can't tolerate every single person in this world because for the most part they just get in the way of me doing what I want. Most regrettably I can't tolerate my wife and son (whom I love more than anything). I still find joy in doing things with them, but the daily grind of work, chores, sleep, work, chores, sleep wears me out so much that I just want to space out, and then I resent them for "forcing" me to participate in life. If this goes on for long enough, I eventually turn to the one thing that is guaranteed to give me temporary relief....the bottle. In one night I can cause so much damage that it takes years to repair, and I've come dangerously close to making mistakes that can't be undone. My wife is on the verge of leaving me. Between all the wasted money, the constant mood swings, or the fear of me coming home drunk, she is simply at her limit. And now we have a three-year-old son she needs to protect from me. My biggest fear before having a child was that they might inherit this from me. The reality is that I am actively guiding him down that path with my behavior, but I just can't stop. I'm broken and there doesn't seem to be a fix. I've had suicidal thoughts for years. Furthermore, I don't know that I was close to acting on them, but they scared the hell out of me. They went away completely when my son was born. He gave me a sense of purpose and strength that I didn't know existed. I WANT to be there with him for whatever life throws his way, but now I'm beginning to wonder if he would be better off without me. These thoughts are starting to creep back in my head, and I'm terrified that they will get worse. I feel better after writing this though. I've bottled it up inside for so long, or maybe it's because I've only said these things before to people who just can't possibly understand. Furthermore, I never shared this at meetings because I didn't want to "be a downer" in rooms that were largely full of people re-affirming how much better their lives were in sobriety.</t>
  </si>
  <si>
    <t>I can feel it. nothing's going right. For the past 3 months it’s been one thing after the next. I can't find joy in anything anymore. I feel like I'm cursed to have the worst luck imaginable. I feel the universe is playing a joke and I'm the punchline</t>
  </si>
  <si>
    <t>I said I would never get addicted I was always careful with my use but it’s gotten out of hand. I can't go 8 hours without them. The dangerous thing is I drink as well, but I never mix the 2 at the same time. I’m only 17 and I smoke a lot of weed and I smoke cigarettes. They forced me to quit weed when the Bezos are the main problem they just don't understand they are from a different generation, and they think that because I’m prescribed them it’s ok, and they freak out over weed because I’m in a country where it’s illegal. In reality, I should be getting of the Valium’s and then the weed after, but they just don't get it what do I do.</t>
  </si>
  <si>
    <t>In the past years ago now I did lots of different things but now that I've final quit even smoking weed with is all I've done the past couple years now I feel like I'm not as intelligent as I used to be, not as focused, not as good with words or in social situations, and there's less feeling in life. Is this common and has anyone had this experience and gotten through it back to how they used to be? If so how or what should I do to try and see if I can work on getting back my own mind?</t>
  </si>
  <si>
    <t>I’m finally taking steps to address my gambling addiction, I’ve been living in fear, isolation and guilt for years. Recently it’s been causing depression, stress and anxiety. As a last resort I told my parents today, I’m hoping now I’ve told someone they can support me and keep me on track, help manage my finances and pay the debt down. To those who have got over an addiction, any addiction, how did you do it? What helped you succeed?</t>
  </si>
  <si>
    <t>I live at my parents so does my brother and his wife since one-bedroom apartments are 1700 for whole months rent where we’re at for a decent one usually there 4K other than that I’m only 22 now back to the weed I smoke outside and around after work or 10 pm hour before bed but my next door neighbors I live in an old people or lawyer elite class neighborhood they hate me so much every time I walk outside they immediately go inside even when I’m just taking out trash but every other neighbor doesn't care or knows but doesn't do anything since there across canal intercostal. But one time I was smoking and finished the mesh came back to go inside and saw a 50-foot hot box floating 300 feet across intercostal into neighbors back screens porch LMAO</t>
  </si>
  <si>
    <t>This is my first Reddit post but I wrote a poem about how I was feeling yesterday on a day when it was very hard to stay away from the drugs and I thought maybe i?LL share the poem. Pain is something I know all too well it is the one thing that is always there in the darkness of my own soul I have nothing but myself and the pain and the escape I found from the pain the moments of euphoria when I could escape i?d kill for that feeling to come again yet that euphoria could kill me too when you’re in pain you take pain medicine so I swallowed pill after pill trying to make the pain stop for that moment of euphoria for the numbness from the pain anything to escape my problems all I ever wanted was to feel good, and the drugs gave me that feeling, yet they brought me to death’s door and when I woke up I knew I had to stop I'm not scared of dying everyone has to die someday but I'm not ready yet so I drag on I stopped taking the pills I stopped, so why do I feel this way the pain has returned and it’s stronger now and this time I don't know who I am who have I become? I always had goals, so nobody could ever tell they never knew how far gone I was it’s so hard to talk about it now yet so freeing in some ways I thought sobriety would make it easier, but life only seems harder I don't want to relapse I tried too hard to get here 33 days today, yet the drugs are all I think about how easy it would be to say just one more time, but one more time is never just one more time one more time will be my downfall they say 40 to 60 percent of addicts relapse can I beat the statistics? Do I have any chance? Or is there no point? Do I let the drugs control me? Because i sure as hell don't control them. Am I a catastrophe waiting to happen?</t>
  </si>
  <si>
    <t>Hey Redditors, I'm 32yo male from western Germany, and I'm struggling with my heroin addiction. I am a heavy nose user for about 2-3g/d and I want to quit. I am abusing for 3 yrs now, with pause of 3 months after a cold turkey with was pretty bad but not as bad as I expected. Second rehab was in a clinic which was pretty easy, but i self released me and stayed sober for 3 weeks. This is now 8 months ago I want so start another try.my original plan was with the last 12-13g of H to slow down the dosage to go in the WD as smooth as possible. Homelike to wait till the first WD symptoms start bothering me and then snort just that about to stop them, then again wait till the first signs of WDS symptoms come and snort just how much it needs to end them. How do u like the idea? If u got better plans, ideas, just hit me up I started with nothing this far, just blow a shit ton H in my nose as the last fun ride for a long time. Maybe this can be helpful, I got about 300gr atom, 18,5x2,5mg Lorazepam, 8x1mg Alprazolam</t>
  </si>
  <si>
    <t>I woke up w/ a migraine, so I didn't go to work, and slept pretty much all day. BUT I was up long enough, and feeling fine long enough that I could have. The thought cross my mind but I knew that wasn't what my body needed. I only relapsed 1 week ago but ever since the weekend ended everyday I’ve been like ?ok I Won't use today? And then I do. I know it doesn't mean much since I’ll probably just use again tomorrow. I’m not trying to get sober again yet, but I am trying to be as smart, safe, and healthy as I can be w/ things in the meantime. And today I’m proud that I was able to make a smart/safe/healthy choice. I guess fly I’m proud because I realize this is what I should keep doing. The entire time I slept today I was dreaming about fighting to get sober again.</t>
  </si>
  <si>
    <t>My friends and I started doing drugs casually 8 years ago. You know how it goes, we started off smoking a little weed, having a good, innocent time. At the time, we would often preach about not doing anything stronger, that weed was enough Ada Ada Ada. Though, as time went by, we evolved from mere stoners, into "Jacks of all Trades". LSD, MDMA, Sh rooms, 2CB, Cocaine, Ketamine, Percy, and various kinds of ADHD medication, and once in a blue moon a little antianxiety. Even though we eventually ended up forsaking the mantra of never doing anything stronger, we still strived to treat the drugs and the frequency with respect and care. And I must admit, most of the boys are doing quite well for themselves with career, relationships, etc. We are by no stretch of our imagination doing perfect, but we can look ourselves in the mirrors (unless we're coming down from MDMA lol) One of the boys was always the one enjoying and consuming drugs slightly more often and with a little less care, through the years. He abused MDMA at an early age and developed Serotonin Syndrome in the space of 1 year, where he really burned his fingers. After that, he would slow down a little and primarily do downers and psychs, and we thought he had learned his lesson. Fast-forward to the summer of 2021. My friend attended the local University and was finishing his bachelor's degree, and everything seemed to be going OK. He had passed all his exams, except 1, in which he had to attend a re-examination at the beginning of the upcoming school year. So my friend was enjoying himself through the summer and celebrating a little prematurely since he was basically done. I don't blame him, and I certainly did my fair share of drugs through the summer, as well. He started experimenting with PCP and a lot of designer drugs through the dark web, and it was all fun and games until he eventually received some bad news. His study group contacted him, and basically communicated "We don't want to be in a study group with you, you aren't responsible, find somebody else." This news broke my guy, and he ended up totally spiraling out of control, especially with PCP and opiates. He never managed to attend the final exam. He now spends all of his money on drugs. Lends money from his parents to buy drugs. Only sleeps every second day. Only eats a couple of times a week, and it's always cardboard pizzas. Thrashes his apartment once in a while, when he gets angry. Goes to the hospital once in a while, we aren't even surprised anymore. When he's sober, he's just laying in bed in fetal position, he's obviously depressed. Yesterday, a fellow friend told me he started booking heroin. The icing on the cake (or lack thereof) he fucking tried making a move on my girl man, behind my back, and he considers me one of his best friends, you know, one of the boys. I've talked with him since, and even tho he was extremely embarrassed and regretful, it seems like all the worry, advice, and comfort we pour into him, goes in one ear and goes out the other. Nothing seems to stick. In the space of 8 months, I've seen one of my friends fully transforming into a full-blown addict/junkie. So, my question is: What can I do? How do I help my friend? Can I help my friend? Should I tell authorities/family? I haven't forgiven him for making a move on my girl, but I don't want to see him like this, it's going to kill him.</t>
  </si>
  <si>
    <t>I’m posting this after writing this comment on an AMA and I really want help/advice. I never thought i?d be here. I’m writing this because Of someone I met. Shortly had what I believed was a connection found out she is a meth addict. I was very, very oblivious to it as I really stereotyped addicts as ?zombies? And non-functioning and wasn't educated. Have no family history or people I know that used. I am now much more aware. All the signs were there. She never stole from me, I left her alone at my house often while at work numerous times over 3 months and Looking back it would have been way too easy to clean out my house and disappear, IDK maybe that’s why I think there’s hope? When I found out (caught using in my house) I told her very politely with no argument I had to take her home and we couldn't talk anymore, honestly because it scared me. She didn't want to talk about it either just said ?yeah this was too good to be true I’m not good enough, you’re the nicest anyone's ever been to me, I knew this would end just take me home it’s fine? Seemed very ashamed. That was over a month ago and now I’ve just been diving deeper and deeper, learning about addiction and finding groups like these. She still occasionally messages me memes, or says she ?might have forgotten? Things at my house she left over that she wants to get which isn't true, and I ignore most of it or give dry/deflective responses. She told me ?stories? Like she’s been physically abused in the past but looking back at the signs it might still be current. I know addicts really clean up when THEY are ready and I’m only a stranger but My question for you guys is there anything I can do to HELP her from an addicts' perspective? (Or anyone who’s helped before?) When I say help I don't mean miraculously make her stop. I have no wishes right now to romantically Pursue her like not even in the slightest. I was initially ignorant and angry, and now I just feel bad for not realizing this drug changes your mind. She would talk down on herself a lot. She comes from a very poor family, do I just send a message saying I’m willing to talk/be a friend? I mean it still seems like she’s pointlessly reaching out, and I don't give her drugs or money?? I bought her various personal hygiene products while we spent time at my house that she seemed to appreciate should I still offer to bring some? Is there anything others could have done different for YOU as an addict? I want to just forget about this whole thing, but I really just can't. I’m educating myself because I care, but don't want to be naive.</t>
  </si>
  <si>
    <t>I’m at a loss here. My girlfriend got pregnant, and we had a beautiful son 6 months ago; we were only dating 10 months prior but he’s been fantastic as has our relationship. Lately, she started drinking vodka hard and. Tonight I came home to her passed out with our son in the bed and a smell of vodka in the glass (5 pm); sure enough the garage had 5 vodka Seltzer’s and wine bottle. Her mom found her blue pills she must be hiding in her purse as well(comazpolam?). Total denial. Flipped out: screamed at me, her father and mom, bloodshot eyes and called the cops. They said she was extremely drunk(I literally just got off work): I’m at a loss. Total loss. I’m gutted and upset, I’m fucking furious she would pass out with our son (she’s been sleeping more during the day like LOT and think maybe she drinks n pops pills n makes our son sleep too) Just needed to vent, apparently she told all of us she’s done with everyone we’re all against here I’m evil</t>
  </si>
  <si>
    <t>I have recovered from gambling addiction. I quit gambling three years ago, and I am sure that I will not gamble again. As a hobby, I created my own YouTube channel and in this video, I outlined the reasons why I will never start gambling again. I also created some motivational videos on how to quit gambling.</t>
  </si>
  <si>
    <t>The road to sobriety is so hard sometimes. I feel so lonely, empty and just dead honestly. I’ve been struggling so bad mentally, everything has me stressed out. Money, life, my non-existent social life. It’s hard to love yourself when you don't feel like anyone loves you. I have zero friends, girls don't FW me anymore. Nobody likes me. I don't understand why either. I’m a good dude with a big heart. Furthermore, I try to be the best version of me. Staying sober is so hard when you feel like there’s no reason to. I’m going to keep trying tho. Hopefully I can make it through this. :/</t>
  </si>
  <si>
    <t>I used to consume recreative drugs but in some moment I couldn't handle them anymore, and I did a rehabilitation with help me never being a suicidal user anymore. This was before the quarantine where I started doing coke (something I wasn't did so much in the past) and now I don't know how to quit. My highs are horrible, I get anxious and not enjoy it at all but even feeling this every time I do it, I can't stop. I'm really concern about this situation, I'm medicated and going to the psychologist trying to stop, but sometimes I stop for 2 months or so and I relapse. I'm thinking on going to groups, but I don't really trust they could help me. But I need to try. Thanks to read my words, I needed to talk a little about this because for my friends and family is something really difficult to understand</t>
  </si>
  <si>
    <t>I've never been this depressed before. I started using Tramadol about 2 years ago, and it dramatically improved my mood, my work, etc. Furthermore, I've dealt with depression and anxiety (including a panic disorder) for about 15 years. Once I started using Tramadol, I felt legitimately happy for the first time in my life. I was killing it at work, exercising daily, had a great sex life and relationships, etc. Then my online connect went away. I started snorting heroin to avoid withdrawals. The last time I used was January 29th, but I was weaning and really trying to get clean since the end of November. Since then, I've been completely useless. I lost my job. I used to play music (my banjo) every day, and now I barely touch it. Furthermore, I have no sex drive, and it's difficult for me to even become aroused. Furthermore, I've never felt so fucking hopeless. Furthermore, I am constantly thinking about suicide. Furthermore, I've tried several antidepressants to no avail. The last antidepressant I was taking, Wellbutrin, led to a grand mal seizure 2 weeks ago, and I spent 4 days (including my birthday) in the hospital. I've been forcing myself to exercise for the past couple days in hopes that it will help me heal. I just don't know what to do or how to cope right now. Furthermore, I guess I'd just like to hear from some people who came out the other side of opioid addiction. Furthermore, I'm no stranger to addiction. Furthermore, I was addicted to Bezos for 4 years and OD'd on them, opioids and alcohol in 2015 and almost lost my life. Went through a horrific Benz withdrawal for 6 months with crippling anxiety, but I've never felt this hopeless, this depressed, this suicidal. I used to be the funny extrovert who made everyone laugh. I'm a shell of my former self. Furthermore, I've tried Suboxone but it didn't help. Furthermore, I'm considering going to the doctor to plead for Tramadol as there are studies that show it is an effective antidepressant, but I know it's extremely unlikely, and it will just lead to addiction again.</t>
  </si>
  <si>
    <t>I am in my 2nd semester of my freshman year of college. I had never used Adderall before college, but started taking it around September. Furthermore, I finished with a 4.0 last semester after leaving high-school as an average student. Furthermore, I believe I can equate that 4.0 to my Adderall use. Furthermore, I feel as if I need Adderall to achieve the grades that I want, and without it, I can't do well. Furthermore, I don't feel as if I have completely spiraled yet, but I feel like it is nearing. Any tips on stopping use or alternatives to Adderall?</t>
  </si>
  <si>
    <t>I've seen everywhere that until you address underlying issues, you'll never get past your addiction. Well, I'm on antidepressants for severe OCD with anxiety and depression. I was molested as a kid. My older brother was physically abusive toward me. I just don't know where to begin with this mess.</t>
  </si>
  <si>
    <t>I know a lot of addicts and people in recovery, and it always seems so much harder and more severe for them than it does for me, so I usually don't reach out or talk about things when I am struggling I guess? I don't want to cause problems in their recovery, and I was never taking anything that was "hard" or "severe" or stereotypically done by an addict. But I'm having a hard time now, and I just want support I guess because I feel like I don't have anyone else to talk to about things. I abused sleeping pills for a little while, mostly OTC and if I could get my hands on them prescriptions, but one time I took way too many OTC sleep meds and scared a bunch of people and screwed up my brain and memory pretty badly. After that, I just overkilled it on weed, and after that I grew very hyperfixated on whippets, and then I scared my fiancé pretty badly a couple of times, and now I don't do anything. He doesn't know it's been really hard for me, because he's been in recovery from crack and narcotics for almost 2.5 years, and I don't want to make it harder for him. I've been able to stop myself from taking them without much external help, at the most it's insisting people I live with hide anything like what I used to take and focusing on my cat when I get really bad cravings or feel like I can't keep myself from not buying any of it, but today's just... Extra hard. It always gets really hard when life gets hard, and life has been really hard, so not doing anything is hard. I really want to, but at the same time I don't. I want to throw everything away and relapse in about 5 ways, and even thinking about my cat isn't helping. Nothing is, and I'm kind of scared of myself right now, and I'm sitting at work just deliberating how bad it would actually be (not very, in my brain right now) to buy a bunch of whippets and sleep meds and alcohol and go home and do all of it at once before my fiancé gets home so I don't have to face life and everything going on in it. So I won't have to wake up tomorrow and drag myself to work or out on a date or whatever, and pretend that everything's going fine, all my issues are resolved, and I'm pleased with all my circumstances. I don't think any of my friends would really take me seriously if I talked to them about this because these are just normal things they take without concern. They were hooked on hard stuff, and I'm sitting over here scared of myself for wanting to do whippets and I feel like they'll just think I'm silly because they haven't cared when they've seen me do so many back to back that I turn blue and pass out and no one wakes me up until it's tomorrow morning and my alarm for work is going off. They don't care I'm having conversations with my dead brother in the other room because I took half a bottle of sleeping pills, and it's only a problem when I start to lose my shit and wreck the place. I think I just don't care anymore. And that scares me a lot. And I think I just want to hear someone tell me they're proud of me for staying "sober" for... I don't even know how long, I don't count the days, but I think it would be nice to just hear someone tell me they're proud of me for staying clean, and that it would be better to keep it that way, even if the people around me don't really get that it is a struggle for me, and I am having to put a lot of daily active effort into not just falling back into it all again. I'm just exhausted. And I want to give up, but I also don't, and I feel like wanting to give up is a bit stronger than not right now.</t>
  </si>
  <si>
    <t>When we enter recovery it is seldom in a good place. For the most part, it is the worst possible place you have ever been. We enter it with our eyes closed and blind faith. At first, we fumble around in our sobriety and hold on to dear life counting each and every day as a miraculous achievement, and of course, it is just that. As time goes by we celebrate our achievement as another year of evolution where we have grown and matured into the adults we should have become before life and addiction took hold, different people, in different ways. As we sink deeper into the dynamics of recovery we find we may have recovered to the degree insofar we can delve deeper into our quest. Sometimes we think of our recovery as a destination, counting of the years the date so deeply ingrained into our minds we can count down the days until our next anniversary and this is all part of the joys we find in our newfound freedom from the desire to pick up. This is an important part of our journey and the blessings and gifts along the way.* Just for today, I am almost 9yrs sober and clean from my drugs of no choice and I realize now that the true celebration should be done each and every day we are sober and clean, as just for today suggests when we keep it in the day it lightens the load and that dates are egoistic projections of a perceived race in which we are the winners or losers. Just for today, I will celebrate this day as I would any other by being kind to myself and others, by keeping an open heart and an unshakable belief in my god of understanding/higher power. Today I am humbled by my achievements as I reflect on my journey and marvel at my strength. I will focus on my gratitude for the things that led me here, the people, the places, and the things. The pain, sorrow, and misery of reliving an old story played on a perpetual loop our egoistic mantras if you will, these stories take center stage and become our fate for more of the same. Today I will celebrate this day as I would any other by being kind to myself and others, by keeping an open heart and an unshakable belief in my god of understanding/higher power. This higher power always serves me well, and it has never failed me yet. Keep the faith. We do recover!</t>
  </si>
  <si>
    <t>So I have been running myself ragged trying to hold down the fort for my family. I am exhausted all the time and yesterday was the last straw for me. I literally have not slept in over 24 hours, running on maybe 4 hours of sleep from the previous day. Furthermore, I took a 15mg Adderall, like an idiot. Low and behold I get informed that I have to take a drug test for my job tomorrow. I feel like such an idiot. I shouldn't have done it. But I really can't lose this job right now. I'm drinking lots of water but is there anyway that I can flush it out of my system before my test? Please no mean comments I am already kicking myself and saying everything to myself that you would probably want to say, too. I know the likelihood is very minimal, but I just wanted to see if anyone could help me.</t>
  </si>
  <si>
    <t>My mom is 13 months sober. She hasn't relapsed or anything (I would know - truly), but today I saw a brand-new bottle of Klonopin in her bathroom. She also abused Klonopin, but alcohol was her main thing. I'm very concerned. How should I approach this? I didn't mean to snoop, I just got concerned when I saw the bottle. I don't want to blame her either.</t>
  </si>
  <si>
    <t>I was healthy and consuming alcohol as any 22-year-old, (been drinking since 18) until I was depressed and end up drinking for 63 days straight. Sometimes I got drunk other I only had two or three beers tops. On my last day of drinking my mom gave me a pink pill that looked like Xanax (I didn't know at the time what it was) I took the whole pill and went to sleep. Did drink anymore until three days later I took 4 beers. The next day I woke up I couldn't control my anxiety. I was crying and didn't know the reason, had this intense anxiety for 4 days and went to the doctor he prescribed me clonazepam but it didn't help at all. I was in constant panic mode with incontrollable fear for about 13 days. The anxiety was waking me up at 5am and I felt fear every minute of each hour of every day. It was the most scary thing that has ever happened to me. Finally, they admitted me to the hospital put some IVs on me, I slept for 2 days, and they discharge after 5 days. My psychiatrist died of covid (rip) and never had the chance to ask him the reason. Was it alcohol withdrawal or was the Xanax? I didn't have more symptoms than intense anxiety.</t>
  </si>
  <si>
    <t>I'm worse than a whore. I'm suffering from this addiction no kidding. Furthermore, I'm so distracted keep looking for hookup every day I wake up. After the sex I'm on the dating app to look for another. SAME DAY! This is so risky and dangerous. Is there any intervention for this before it's too late? I've been addicted to this since I was 16 now I'm 20 it is really disgraceful. I can't focus on my school and career as I'm constantly looking for sex. Bisexual man here** it's harming my mental health too for sure I feel sad all the time when I don't find a hookup. My withdrawal from this is worse from a drug or alcohol. Seems like I'm dependent to dating apps</t>
  </si>
  <si>
    <t>I first started doing meth by accident. The spring break of my senior year of college, I decided to gift myself a trip to San Francisco, for the week, to celebrate graduating from college. About halfway into my trip I met a guy off of Grindr with the intent to get laid. When I arrived he offered something out of this odd shaped pipe, I figured it was weed and took a puff. I was unaware that what I just smoked, was actually meth. It wasn't until a few months later that I used again while hooking up with a couple in Seattle, this is when I made the connection to my trip to California. Fast-forward to the end of August, and I found myself graduating from smoking meth to injecting it. Meth is something that is plaguing the gay community. It piggybacks on every gay man’s false-notion that they have to have porn star sex for hours. I’ve been on this back-and-forth struggle for going on a decade now. My using has never really been consistent, every 6 months for a weekend or two, then I stop. But since losing my job in 2020 because of the Covid pandemic, my use became more frequent, happening twice a month or more for the course of a year. It’s now 2022 and nothing has changed, I’m having issues maintaining a job, and my use is continuing to increase. I know I’m unhappy, and want to change. I just don't know where to start. I’ve been to rehab once before, and am potentially considering it again. Furthermore, I smoke weed as well, and Am at the point where I feel like giving everything up is the way to go. Furthermore, I love weed, my family has a CBD business, and even saying goodbye to that kind of gives me anxiety. Meth has helped me lose incredible jobs. It's ruining my ability to have healthy sexual and intimate relationships. I know that I’m tired of living this hustle, and now I cannot maintain it much longer.</t>
  </si>
  <si>
    <t>I've always used very casually and cautiously. I stopped that about 3 months ago and have gotten pretty messy. Last night I drove out to LA to party, this morning I woke up nearly unable to stand with a parking ticket on my truck an hour late for work. I stopped at 2 different gas stations on my way to work just to throw up and get a drink, and now I'm here at work drenched in sweat on Reddit asking myself, How the fuck did I get here.</t>
  </si>
  <si>
    <t>I tell myself I’m going to bring a lunch to work and stop spending so much money at fast food places but I never do. I order door dash for lunch when I’m at home instead of eating foods that’s already there. Anyone else deal with this problem?</t>
  </si>
  <si>
    <t>Recently I've had a long term friendship fall apart. He's an addict... Alcohol, Adderall, On-line gaming, Dating women on-line, Falling in love, not living in the real world.... Only he has yet to realize how far gone he is... He may also be misdiagnosed as far as his mental illness goes... I know his version of things between us is very different from mine. I know he's not himself. Furthermore, I know the things he said to me shouldn't be taken personally. Furthermore, I know he can't talk to me, because he's not ready to admit that he has a real problem. But I miss my friend, and I hope that one day we can reconnect. Some of you have friends like me... Friends who wonder if you're okay.... Friends that remember good times... friends that want you to feel better about yourself... Friends that love you... in spite of everything.</t>
  </si>
  <si>
    <t>I always used smoking cigarettes as a reward. For instance, I study 5hrs straight and then reward myself with a cigarette. What is a good substitute to cigarettes I can reward myself with? Other than watching something or eating.</t>
  </si>
  <si>
    <t>I'm doing my recovery my own way by exercising, which actually fixes the brain and makes it more impervious to addiction. I'm going to school for dental hygiene and have a purpose again. Why do people in 12 steps try to push that on you, when science has shown exercise to be more effective for addiction?</t>
  </si>
  <si>
    <t>Sometimes the shinier a person is on the outside can throw illusion on their spiritual defects of character. In the infancy of our recovery, we are, for a time blinded by our new experience, our heightened reignited senses. We often take long into our recovery and awakening to the truth to realize the man/woman with no monetary value and devoid of prestige can have the deepest heart and the safest place to rest. Looking beyond aesthetics, prestige, and especially words often times people can mimic verbatim a healthy recovery rather than practice the work suggested herein lies great danger both to themselves moreover to the newcomer. Raw honesty over superficial godliness is a must if we wish to stay clean. Words alone will only take you as far as border control, if you wish to step into a new world you must speak your truth. Be honest with others but more importantly be honest with yourself, this takes great bravery, courage, and strength. The most fundamental requirement for a better life is transparency, not a superficial illusion. This will ignite the god/higher power within. When we do the right thing diligently and continuously this turns into your passion. Your passion becomes a new way of life.</t>
  </si>
  <si>
    <t>Some recover solely from the desire to pick up/use/act out, still wrapped up in their own unquenched pain. Oftentimes on our recovery journey without the inside work we pick up people, feelings, and resentments, they too become your new drug of choice, this will unconsciously, temporarily fill your lonely hungry heart. Stay humble on this journey. You can carry the suitcase forever, and even drag it around to each meeting or each endeavor, or you can get brave and unpack. When we look at how we suffered at the hands of another it brings with it only temporary relief in the void. When you look at the contents of your life where you too were to blame for our wrongs it brings cathartic spiritual freedom from the blame game, get brave be honest. Laying all blame on others however apt is lazy and easy. Getting honest with self is where the healing is at.</t>
  </si>
  <si>
    <t>I feel so very trapped. I quit smoking weed for two days, after smoking every day for years. I’ve had the worst withdrawal symptoms ? Insomnia, fever, chills, night sweats, aggression. I’ve just lashed out at my partner. These symptoms got so bad that I took a day off of work. I feel so ashamed. It’s a brand-new job and very high stress. I just came from a job that gave me mental scars, and I am being paid a lot more now. It’s very mentally demanding, though. So I quit smoking. Then I couldn't sleep. Now I’m just really, really defeated.</t>
  </si>
  <si>
    <t>I’ve been ?addicted? To porn for 3–4 years now on &amp; off, the beginning was the worst was probably masturbating to it once a day. Now I still do it at least 3 times a week. It’s always at night before sleeping. I have a GF and she doesn't know, it’s a battle with me. I want to get rid of it. I’m still at school, have my little hobbies, I work out. Furthermore, I always tell myself ?this is the last time?, have been telling myself this probably over 100 times. I’m seeking help because I know it’s an addiction and I really want to stop. Furthermore, I know it’s bad for my mental health and everything else. So to any past porn addicts, how did you get over it ?</t>
  </si>
  <si>
    <t>I (27F) used to be a high functioning alcoholic. I had a job I was good at, I cleaned my apartment, did my laundry, paid my bills. Until I wasn't. Until my mom died last year. I've been in therapy for 13 years for anxiety and depression. I think what finally turned me onto alcohol (when I was 20) was that it gave me so many things I couldn't give myself. It was a quick fix. It gave me a building block to begin a foundation I couldn't build on my own. My alcoholism, depression, and anxiety co-exist now; but my alcoholism is a symptom of my mental illness, not the cause. Alcohol gave me a personality. It gave me a social life that I was too anxious to have sober. It made some of my hobbies more enjoyable. Furthermore, it made me not afraid to stand up for myself. Furthermore, it took away my shaky hands (which may be caused by anxiety, or a neurological disorder). I could do anything, handle anything. I went to my intake today for IOP, and as soon as my clinician said "you have to look inside yourself in order to move forward," my brain short-circuited. My throat started to close up with anxiety. There's nothing there. There's nothing inside me. My personality was my job, my mental illness and trauma, and school. I have no hobbies I really enjoy without alcohol. I don't enjoy talking to others. Furthermore, I don't know where to start. Furthermore, I have no motivation to find out. Furthermore, I hate that I was able to get this far in life without figuring out my mental illness. Furthermore, I hate that all the tools they give you in IOP/Therapy haven't worked for me. Furthermore, I hate that I hate what I see when I look inside. Furthermore, I hate that I don't know what to do with that.</t>
  </si>
  <si>
    <t>I was listening to the Tony Hawk Underground 2 soundtrack at work today so if you catch the reference in the title you're a star. Anyway. I'm seriously reaching a breaking point but giving up bad habits (which at this point, let's be honest, are bad lifestyle choices) is difficult. Especially if you're leaning on them for their powerful opium. I had a bad breakup that fucked me up. Threw away FOUR YEARS of not drinking, constant AA, and now I've been drinking about this girl every day for nearly a year. Not only that but I also picked up weed again, and try not to go more than 15 mins without a cigarette in my mouth. My self-esteem has never been so low. What kills me is knowing that AA and taking sobriety seriously will change my entire life; it's already done it once. But I'm so deep in this hole that the thought of living without my precious chemical pacifiers at all times feels like a fate worse than death. I just want to stand on the top of the mountain again. I want to know if anyone here has been in my shoes. Furthermore, I want to know how you got out. Furthermore, I need to know I'm not alone because I'm cursed with terminal uniqueness (as they always said in AA) and somehow feel like my situation is uniquely alarming, special; and thus beyond help. If anyone wants to chat about it, let's talk about it.</t>
  </si>
  <si>
    <t>For the past year i?VE been doing OXY almost every day (30mg) pill, time past by and some friend introduced me to heroin, I was like Nash at first but then tried it, and it was an amazing HIGH not gonna lie, even though I didn't do it everyday I felt awful. Now in time present I do at least 1 heroin a day and felt like a don't want to stop, but I know for a fact it’s leaving without money. Oh, and another thing is that I always got to smoke weed even if I do one of this drug.</t>
  </si>
  <si>
    <t>I battle with alcohol tobacco and drugs atom my whole life. I try to quit over and over again. that's what I did on the last 10 years but I am at the beginning again. I'm going circles. Often I quit NABAC 1 time for 1 year, another time for 6 months, one time i managed 4 months and so on and o and on. Just alcohol is in my life no more! Since 1,5 years... but l managed to quit alcohol for 3,5 years AMD than boom relapse... and now 1,5 years. But that's it. All my other addictions I can't get rid of them in the long rum. What should l do what must l change? I really don't know. Thank you for reading, sorry for my low English skills, l am from Austria .peace</t>
  </si>
  <si>
    <t>Basically the title. I just wanted to see what the story was behind why people continue with addiction after relapse or why the choose sobriety. For full disclosure, I have been sober for 2 years, but after hearing about Bobby Lee's relapse I was curious to hear other people's stories so I can make better content in the future when it comes to mental health.</t>
  </si>
  <si>
    <t>Bristol University researchers are developing short messages to support smokers who are trying to quit. If you were trying to quit and were really craving a cigarette OR having a bad day, what one message might help you keep going?</t>
  </si>
  <si>
    <t>I'll try to make this as succinct as possible. My father has been an addict since he was in his 20s, and he is about 55 now. I think it started with cocaine and lead to other substances, but now it's alcohol. He has been in and out of rehab many times and has multiple DUIs. For the past 10 years or so he hasn't been able to hold down a job, and he stays at my grandparents (his parents) house. I have a few theories for how he is able to still acquire alcohol, even though his parents hide all the car keys in the house from him and don't give him money. They give him a roof over his head, food, and a pack of cigarettes whenever he asks. Growing up he was emotionally and physically abusive to me and my mom, so obviously our relationship is not the best. I will always love him because he is my dad, but I do make it an effort to keep a fair distance. Recently he has been drinking a lot, and apparently it has been pretty bad. My grandmother called me last week and is begging for me to convince my grandfather (her husband) to send my dad to a rehab facility. My grandparents are incredibly wealthy, so cost is not an issue, but my grandfather doesn't think another round of rehab is going to do anything. I have had to play the role of the parent child many times in my life, and I am in therapy for all that I have been through. As much as I feel that it is not my responsibility to have this conversation since I am the kid, my grandmother is so scared that something is going to happen to my Dad I think she's desperate. I obviously want my dad to get better. My mom always tells me stories of how amazing he was when they first met and during the first few years after I was born. The only reason I have doubts is because of what comes after rehabilitation. Yes my dad will go into a program for 3 months, but what will he do after? Are there some form of work programs for recovering addicts? I'm just worried that he is going to return to the same house, and fall into the same habits as before. And it will all be for nothing.</t>
  </si>
  <si>
    <t>Maybe a stupid question as in my opinion addiction is all about willpower and discipline of NOT doing what you addicted too. Unfortunately it ain't easy as I struggle myself on this front. Just wondering. Let's say you are 20 years addicted to something. How long would it take to cure this addiction - is there a time frame 40 days or 100 days or longer to see a noticeable difference? When does the pattern kicks in your brain that you won't crave the addiction?</t>
  </si>
  <si>
    <t>I’m recovering from amphetamine addiction. My doctor is thinking about putting me on Wellbutrin in order to deal with concentration problems. I see that it is a noradrenaline and dopamine reuptake inhibitor? Just like Adderall. Does anyone have any experience with Wellbutrin and it’s addictive potential? Seems mostly safe for what I can tell I just want to be extra careful.</t>
  </si>
  <si>
    <t>So I'm an alcoholic, but I'm 30 something days sober (Wooloo!). All of my friends and family members are super stoked for me and I'm doing a lot better for the most part; finally motivated enough to clean, shower, and generally take care of myself again. I'm really proud of myself too. I've been enthusiastic about recovery and I even went to a meeting about a week ago (wasn't really my thing, but glad I tried it). On another hand, one of the reasons I've been able to stay "sober" is because I recently started using amphetamines. I don't feel like this is a case of swapping one addiction for another. Using them doesn't make me spiral into self-destruction like drinking did, but I still get a pang of guilt when the people I love tell me that they're so proud of me for being "sober". Don't get me wrong, I'd love to be able to get through the day without needing substances to cope, but at this point in time it's not realistic.</t>
  </si>
  <si>
    <t>Growing up I performed pretty well in school, and I always placed a lot of importance on my intelligence, I think because I didn't feel as if I had much more than that to offer. I love learning &amp; absorbing information. But as I've grown older my substance abuse has gotten worse, and I really feel like I'm getting more 'stupid' by the day. My mind is constantly foggy, I don't have the wit I once did. I read back on conversations I had with people just a year ago, and I sound like a completely different person? Obviously I know that drugs affect your comprehension, but I'm seriously worried that after years of substance abuse I might've given myself irreparable brain damage. To those that have gotten clean, does the fog ever lift? I really want to return to school one day, and right now I literally don't have the mental capacity to.</t>
  </si>
  <si>
    <t>I have enough left to last a few days and then I'm going to go cold turkey. The first day ill be on my own but the following 3 days my girlfriends coming over, and she said she will support me so that's going to make a good difference. I have to do this for my sanity because I can't bare to do another week with no money and no memory. I'm just scared I can't stay away from it and that ill stay in this cycle forever.</t>
  </si>
  <si>
    <t>I (24m) have been smoking since 15. At this point, I don't even want to think about how differently my life would be had I stopped long ago or never even started. But cigarettes have just become a part of my life in so many ways. It’s like, before I leave my apartment, I go through the list: car keys, wallet, money, phone, lighter, and cigarettes? Ohhhhh and when I don't smoke it’s like I need to step out and catch a cig. Holy shit? How did y?all do it?</t>
  </si>
  <si>
    <t>I know substituting one vice for another is usually a bad call, but I've noticed most sober people use nicotine. Is there something to nicotine helping you stay sober? Any experience?</t>
  </si>
  <si>
    <t>I've been addicted to so many substances over my 26 years on this earth. I've quit cocaine, alcohol, and marijuana but the hardest thing I’ve ever done is try to quit watching porn. The thing that makes it so hard is the easy access. It's like having a drug dealer in your pocket, and you can get whatever kind of drug and however much of it you want for free. But is it actually free? No, no not. It cost me my mental health, my socializing skills, my need to seek a romantic relationship and my self-worth. Forgive me, I just need to vent. Huge shout out to all of you overcoming your addictions.</t>
  </si>
  <si>
    <t>I'm struggling a lot with quitting smoking weed, purely for how the high shuts my anxiety off. The relaxing feeling I get is euphoric. I can't seem to quit because I know that there is nothing else that can make me feel as relaxed. I can mostly cope with my GAD without weed, but it's hard to do when you know smoking a bit will make it way easier.</t>
  </si>
  <si>
    <t>I’ve been taking Klonopin since March 2020 (when quarantine started) prescribed by my psychiatrist. If I don't take my meds I get nauseous and sometimes have thrown up. I also feel very anxious when I forget to take my meds (because the meds make me drowsy). I’ve had a panic attack in a hospital pharmacy because they were closed and I didn't know how to get my meds refilled. When I’m drunk I become fucking unhinged. I’ve been taking it for basically 2 years and have been on a dose of 3mg per day for about a year. My psychiatrist just keeps agreeing to refill it. I want to increase the dose, but I don't know if I want to sink deeper. Would I have to spend time in the hospital for benzodiazepine withdrawal? Would I have to go to rehab? I would really appreciate any advice from people who have been in this situation before.</t>
  </si>
  <si>
    <t>My Wife and I have been struggling with our relationship. It’s been an on and off issue for a few years now. Well recently we had a huge ?discussion? Regarding my lack of communication and how it’s changing her feelings toward me. And with everything going on in our lives, she’s been a beer a huge amount of stress, causing anxiety and an inability to get a good night’s rest. Fast-forward to tonight. I randomly checked her location to see if she would be home in time before I put our daughter to sleep. We both have demanding careers that sometimes cause us to work late hours. When I realized she was at a ?friend’s? House, I questioned where she was, and her response was she was on her way home. I asked if she just left work, to which she just avoided answering the question. Later that night, I called her out and she admitted she was getting Xanax. I have no clue how long this has been going on. I’m so angry but I’m more hurt that she was going to completely hide it from the one person she’s supposed to tell everything. Furthermore, I guess what I’m asking you all for, is advice on how to go about the conversation with my wife. I’ve never faced a situation like this and not sure how to proceed without becoming so infuriated that I end up just leaving. Maybe Xanax is what she needs, but I just wish she would’ve talked to me and went to a doctor instead of taking it upon herself to self diagnose and self-medicate. I just don't know what to do here. I’m feeling so loss and disconnected from the person I love the most.</t>
  </si>
  <si>
    <t>I love my mom with all my heart she’s the most caring and hardworking woman I know when she’s clean. But when she’s on drugs it’s unbearable. My mom was doing good. She worked a job bought a car and me and my siblings would travel from Arizona to Utah to visit her. During the pandemic, she rekindled a relationship with a no good ex who uses, and she eventually started hanging out with him and his friends and lost everything. She got kicked out after moving him in and having constant fights and I confirmed that she is back on drugs because I read some text messages when she forgot her phone with me. (she doesn't know I did this). Her mind is like a 16-year-old. She just wants to party and get high, and she makes up lies so my brother and I can give her money. I just turned 23 and have a good job, a new apartment, and car. With all these new bills, it puts me in a tight space, so I often tell her no when she asks for money, and it infuriates me that I’m being responsible and she as a 52-year-old woman doesn't care about the predicament she puts me in when I give her money. I still end up filling guilty and giving it to her. Now that she has lost everything she’s been hinting at moving to AZ and living with me. In my head I want to tell her no. I told her not to hang with those people, and she chose them over me so many times. Even had me walking in the snow to work when I worked a winter job there over college break while she took her user boyfriend around in her car. So now that she lost everything and is still being irresponsible I don't feel like it’s my priority to have to take care of her. But on the other hand I would feel guilty if something were to happen to her and I think about all the times she did for me when she was in a better mental state. How do I help my mother ?? I feel so lost on what to do. What would you do ? ?</t>
  </si>
  <si>
    <t>I thought I’d share some things about my experience as an addict. I’m 25, male. Furthermore, I watched Fear and Loathing in Las Vegas when I was twelve, and after it finished I walked back to my bedroom as if I was on ether, downloading Hunter’s personality completely. My sisters friend told her I was ?fucked? When he found out it was my favorite movie and novel. Despite how dark the trips were in the movie I romanticized it. Just like I romanticized the life of Kurt Cobain and Jim Morrison, my idols. I carry the pain of being a creative entity. Feeling too much and forever living inside my head. I smoked weed from 12 onwards and binged alcohol at parties. I became fascinated with psychopath explorations with psychedelics from age 16 onwards despite the ghost tour guide in high school telling me psychedelics ?damage your spiritual webs?. When I was 18 I got drug induced psychosis for a year from eating a meth pill. I continued to use and party regardless. 5 years later age 23 I went to rehab. It saved my life. From drinking morning to night, from snorting mountains of crushed amphetamine and Bezos. From spending my rent money on ketamine. I’ve hit rock bottom so many times and relapsed so many times back into the depths of psychosis, nearing death and hurting loved ones and still I ?choose? To use. I keep falling back into the trap of romanticizing the emotional pain of addiction and life. But with every relapse it gets easier to stop using. Right now I’m abusing coffee and cigarettes, caffeinated into oblivion. Stoicism is my philosophy of nature. Although I do become quite nihilistic when I’m coming down. The quest to know yourself never ends, and you must know yourself well to pull yourself out of addiction. Just remember recovered addicts blossom into the most beautiful people. After traversing the extreme lows of emotions addiction creates you come back even better than ever in sober time.</t>
  </si>
  <si>
    <t>I’m starting to feel like it’s NOT an issue of ?motivation? Or ?determination? Because, whenever I’m in the midst of withdrawal, I have PLENTY of motivation?to go pick up and get high. It works against me.</t>
  </si>
  <si>
    <t>I almost called my dealer today, well I actually did call him, but I hung up. I left to hang out with my girlfriend instead. I’m glad I’m not on here writing ?well time to restart? Do you y?all have ideas to do (like hobbies or activities) to distract me from temptation, any would be appreciated!</t>
  </si>
  <si>
    <t>I’m not panicking just yet. I asked my friend to lend me nearly Âœ400 and I owe a dealer Âœ280. Furthermore, I don't know how I’m going to pay them. Instead of borrowing the Âœ400 to pay back the dealer and calling it quits, I ended up gambling it. Cocaine, Alcohol and Gambling. The recipe for disaster. I can't tell anyone, so I go back to my dealer to ask for more cocaine to escape my mind. I end up looking for porn and end up talking to people I would pass on the street. I’m looking for jobs, but I hate interviews. I’m broke and everyone’s moving so fast. Life is moving fast, and I honestly don't know what to do. I’m struggling to put one foot I front of the other to allow myself to become happy.</t>
  </si>
  <si>
    <t>I quit weed about a year ago after being addicted to it for a while. The withdrawals were hell and the post acute withdrawals. I still deal with them on a daily basis I picked up nicotine smoking tobacco when I quit weed and I’ve been smoking since. I’m scared to quit smoking because I’m terrified of the withdrawals as I’m still currently going through PAWS.</t>
  </si>
  <si>
    <t>I'm a 21M. My dad died of alcoholism and everyone else on that side of my family is either an alcoholic or at least love to drink. Seeing this has ruined alcohol for me and I very rarely drink. I do struggle with addiction to social media, video games, TV, etc. I can't watch Netflix because once I start a series it consumes my life, and I'll watch it 16 hours a day even if I'm not enjoying it. Furthermore, I'm constantly trying to quit social media, but I fail after a few days and really struggle with self-control. Furthermore, I just can't resist the compulsion and my friends can't understand why I can't just stop. Do you think I just have a problem with discipline or could my genetics play a role? Do alcoholics tend to struggle with non-substance addictions as well?</t>
  </si>
  <si>
    <t>Holy crap trying to go to sleep sober is hard. My mind just races, thinking about the most random shit. OTC sleep aids don't seem to work particularly well either. Unless I'm taking the wrong ones. Any tips you all could offer would be most appreciated.</t>
  </si>
  <si>
    <t>My therapist is out of office RN, so her supervisor did a check in with me. I admitted I’d relapsed right away, she was sympathetic at first, but her tone changed big time when I said I actually had no intention of getting sober again right now. It made me feel like fucking shit. Like I already know I’m a fucked up loser and a disappointment. It was not what I needed, and only made me want to use even more. I don't expect or want anyone consigning my bullshit, I just want support, patience, and some understanding. I’m not going to be shamed back into sobriety. I’m already working very hard to be honest, admitting that right away was not easy, and now I just want to shit the fuck-up about it.</t>
  </si>
  <si>
    <t>I’m going to try and keep this short and to the point because it’s a complicated family issue. My aunt has a lot of mental health and alcohol issues. She was living with her daughter for 15 years until her daughter kicked her outback in September. Long story short, my aunt was being verbally and mentally abused by her grandson’s friends that now controlled that house, and she cried every day about it to me. Finally, my aunt stood up for herself and told the manager that these guys were living there without being added to the lease and the manager told them the guys have to move out. That’s why her daughter kicked her out. Anyway, my aunt moved into a cheap motel for 2 weeks until I finally gave in and told her she could stay with me for a few months until she saves up some money and gets her life in order. I found a room 3 months later within walking distance from me so we checked it out, and she agreed to live with a friendly woman also in her 60s. Everything seemed like it was working out, my aunt seemed to have her life in order again. Then her best friend called me 4 days ago and asked me to take my aunt back in. I asked why, this friend told me the new housemate was taking advantage of my aunt financially, basically my aunt paid for a Costco membership, paid for all the groceries, etc. Apparently my aunt bought this lady and herself a 12 pack of beer every night, and they were drinking excessively. So I told my aunts friend, I’ll talk to the both of them and see if we can get this resolved. The friend asked why I just don't take my aunt back, and I told her that I want to try and talk to them first. Her friend then goes, ?well she drinks a lot with this lady, when she stays with you, she only has a 6 pack every night?? I kinda hinted to her friend that that’s the whole problem. So I need some advice, should I try moving my aunt back in and deal with her BS until I find a new housemate for her or do I tell her she needs to stand up for herself, don't pay for everything and cut down on her drinking? It’s so mentally draining for me because my aunts friend accuses me of not caring since I have an empty room available. Basically, I feel even if I got her a new housemate and found her a new room to rent, she’d still fall into trouble because she can't say no to people. She insists on paying for everything, and she likes to buy beer for people because she wants people to drink a lot with her everyday. So yes, the housemate is probably taking advantage of that, but a lot of other people would be doing the same and I tell my aunt to stop paying for people and start learning how to say no. She claims she’s afraid of people won't like her if she says no. I always cringe when she tells me that because it sounds like something a child would say. Anyway just wanted to add this last part on so that you guys can understand the whole context.</t>
  </si>
  <si>
    <t>So lately I got sober from coke and meth, but that doesn't change the fact that I’m stealing pills from work. I’ve been stealing as many Bezos as I can, hopefully without getting caught. But fuck I just feel so low at this point it’s so hard to maintain sobriety?</t>
  </si>
  <si>
    <t>Can't doctors see everything your prescripted or been prescribed? It makes me feel like it's a trick question when they say ?are you currently on any medications??</t>
  </si>
  <si>
    <t>I fucked my self and left detox now my insurance won't cover me for another 60 days?. I need to stop now. Furthermore, I am scared. Can I even do this alone? People say I can, but then I read about how hard and painful it is.I’m always looking for advice. Please help. Didn't do any today.</t>
  </si>
  <si>
    <t>Only posting this here so someone who might be in my shoes can truly understand how serious being dependent on alcohol can be. No, it’s not funny, and no it’s not something you can always control. I remember going months without drinking only to find myself passed out as soon as I got home from work because I just couldn't stand there was a full bottle of liquor in my kitchen. Yes, I finished it. 4 good swigs and it was a done deal. I am not proud of this, just showing how bad it was. There were more days than not, that I was drunk. I almost started to forget who I was without alcohol, it was like being prisoner in another persons body because I couldn't even control things I did or said, it was embarrassing because here I was, succeeding, but I had a demon on my back being carried around.</t>
  </si>
  <si>
    <t>My family has massive history of Drug abuse and alcohol abuse. I am a 46-year-old male. In my late teens early 20s, I was smoking an 8th of Weed and a case of beer a day (yes, a day) and still holding a job as a HVAC technician at Mellon (Civic) Arena in Pittsburgh. It was getting to the point even this was not giving me the highs I needed. One day after work, some friend I had over tried robbing me while I was high and buzzed. I knew my weed and drinking had reached a breaking point when it was taking that much to give me a good cool down after work and people thought I was at a point they could get over on me. So I stopped EVERYTHING cold. I never wanted to be put into a position where my mind was not clear. I have a history of Migraines with aura to the point I need to be in dark quiet rooms, I have Restless Leg, currently dealing with a hernia (awaiting surgery) , and back and knee pain from years of hockey. Furthermore, I have self-medicated with Exception and Ibuprofen as needed. Furthermore, I made sure to tell all doctors and dentists to keep me away from any habitual forming drugs or narcotics. 2 days ago my PCP Prescribed for me Gabapentin because my Tokomak was not helping with migraines anymore. I took my first one yesterday, and it made me loopy. I am afraid of taking one today. Is Gabapentin habitual ? Is it a narcotic ? Should I be worried ? I Googled everything, and I am finding conflicting reports, so I figured I would go to the source, people who have been addicted.</t>
  </si>
  <si>
    <t>My dad was a smoker, but after my brother and I were born he switched to chewing tobacco, moving from one nicotine source to another. But after a few years of that, he moved to chewing gum (probably with a nicotine gum in-between step) I’m not bashing this, it’s leagues better to be addicted to winter fresh chewing gum than tobacco, but my mom and I figure the addiction subsided once he was no longer getting the addictive nicotine, but he still needed to be chewing something at all times.</t>
  </si>
  <si>
    <t>Hello everyone! I need some clarification on my behavior. I use painkillers (non-opioid) for relaxation, feeling of peace of mind, and to fall asleep (sleeping is my escape mechanism). I use it regularly, a couple of times a week. Can I call it an addiction? Thanks in advance, take care you all :)</t>
  </si>
  <si>
    <t>Haven't had nicotine or coke since September and haven't touched weed since late November, and just generally don't drink as much as a result. I'm currently 3/4s the way through a bottle of red and I just want to fully send it. Coke cigs blunt anything else I can get my hands on. Blasting music in my headphones, 1000s of miles from home and my homies. If I had a decent grasp on my career and life trajectory I wouldn't think twice about indulging. Covid threw me for a loop and I had to take a step back from a few substances, but I still get that feeling. Still want to indulge heavy. I just haven't had that bad of an experience with them, my deterrence is just my life stagnation and time-wasting tendencies. Also, family alcoholism is a cause for concern. Not sure if I am able to fully enjoy a sober lifestyle. I honestly have not enjoyed my experience thus far. Feel free to critique my train of thought but at this current moment my biggest motivator for getting back to the grind is feeling validated to getting funky with substances with my friends. I can't seem to motivate myself any other way. I think I am getting to the point where I will latch onto whatever motivation I can get my hands on. Like honestly, what is the threshold for changes ones behavior? I can cut off every substance, but I still dick around. When I was at my most degenerate I was making the most money I had ever and felt rather kingly. Not I'm like half sober jobless without any direction. If it's not substances its sex, if it's not sex its maturation, like I can't just deprive myself of everything right? Mad respect to anybody who responds to this absolute mess of a paragraph</t>
  </si>
  <si>
    <t>Update: I first want to start by thanking everyone for their kind words and advice. It truly meant more than you can ever imagine. This update isn't the one I was hoping for but one that I thought might happen. I apologize if this is long. I flew down with my best friend Thursday morning with the understanding that I would see him that afternoon. We had been communicating since he called me on Sunday. He even offered to pick me up from the airport, which I politely declined. I called and texted all afternoon, the phone was ringing and going to voicemails. My friend and I drove by where he was staying hoping we might see him outside or in the area. He didn't respond to me until around 8pm and apologized his phone was off and then stopped responding again. Friday we woke up and came up with a plan that if he didn't call me back or text me by 3PM I would request a wellness check. We actually weren't sure how wellness checks work in that area so we drove to the local police station just to get some information. The officer I spoke with was so kind and empathetic which isn't something I’ve experienced before with officers in situations regarding addicts. She gave me all the information I needed and included her personal cellphone number and asked that I update her if I hear back from my brother. He texted me in the afternoon saying that his and the girl he’s with were going to sign a lease and should be done by 3:30pm. My friend and I were gone to the hotel at 2:30pm and camped out by the parking lot entrance - this hotel only have one entrance into the parking lot so we would be able to see them come and go. By 4pm we haven't seen them, so I call him, and he actually answered and said ?oh we just got back? And I said ?ok we’ll I’m outside your hotel, you need to come downstairs?. 20 minutes later they both came down. My friend moved the car because next to the entrance of the hotel has a little seating area where I was going to move them to so we could sit and talk. She wanted to be able to see me good forbid anything happened. My heart sank when I saw him, but I held in my tears. They are both so skinny. My brother specially is about 5?11 and couldn't be more than 115 pounds. He had sores around his mouth from the crack pipe and track marks on his arms. His cheeks were hallowed. He’s never looked worse, but I’m glad I had people prepare me to an extent, but it was still heartbreaking. I kept the conversation light with them since they were both together because my goal was to get him alone to have a conversation. I did offer them both help and said I will drive them home both right now if they were ready. But they said they weren't. However, she said she was going to work at a bar at 6pm, and I took that opportunity to tell my bother ?perfect let me take you for dinner!? He was declining at first but the girl he’s with encouraged him to go. At dinner is where I got more serious. He doesn't even remember calling me and saying those things. He only remembered parts when I texted him Monday saying I wasn't driving down that day, but I booked my flight for Thursday morning. Furthermore, he tried to tell me they’re not using as much as I think they are. I looked him right in the eyes and said ?you are addicts, and you are lying to me?. He told me all these plans they had about moving down permanently to where they are. Reasons they couldn't come home. All the things people say when they aren't ready. I’m proud of myself for not getting emotional because I needed him to know how serious I was about the things I was going to say next. He told me that they planned on getting sober on 5/1, and I asked ?what are they waiting for? And he just closed his eyes and cried. He said ? Our heads are above water? And I said that’s not enough. I reminded him of the value he has, and the support he has and that while he will have to face his trauma when he gets sober that I will be there to support him. I reminded him that his best friend who doesn't use (most of his friends also use back home) is desperate to hear from him and to know he’s ok. She’s even offered that if he gets clean he can move in with her states away for a fresh start to get away from all his old friends and still have a support system. He told me he’s not ready and doesn't want help. I told him that if he continues like this I cannot have a relationship with him. That I can't worry about if he’s dead or alive. I can't spend my time calling random phone numbers hoping it’s his. That I can't call police stations and hotels go find out information. That my mental health is can't suffer because of his addiction. He got so angry and started yelling at me asking how I could do this to him. That I’m the only person that has loved him through this no matter what. That I’m the only person he cares about enough to check in with when he’s ready. That I’m the only person who tries to make sure he’s ok. I said I that I am not doing this to him, that his addiction is. He asked if he’s invited to my wedding in September and I said if you are not sober I cannot have you there. He started hitting the car dashboard and crying. Furthermore, he said he was getting out of the car and that they were planning to come home next weekend to visit for a few days. I told him that he can call me, but I will not answer. I told him that I loved him and I will always be there for him and that when he’s ready for help I will be there. Furthermore, I hugged him and cried and said ?I’m afraid this is the last time I’m going to see you?. He got out of the car and sat on the curb of the hotel entrance and cried. I drove away. I obviously was hoping that the outcome was going to be different that he would come home and get help. That she would come home and get help. I knew that on a human level if he was ready and she wasn't I would have to figure out a way to get her home. I’m friends with her sister and wouldn't be able to leave her there on her own, but I also knew going into it that they wouldn't leave without each other. Furthermore, I didn't cry and haven't cried since I left him. Furthermore, I went back to my hotel and slept and the next morning my friend and I got coffee and walked the beach before our flight. We actually saw a group of dolphins in the ocean which gave me this odd sense of peace. I know I did the right thing when he called me on Sunday and offered everything I could. But I set more boundaries around our relationship, ones that I will not go back on. I have two regrets about going down and maybe I’m stupid to be hopeful that what I said left an impact and will help them realize it’s time for help, but I’m being realistic that they are going to continue to use until the end. Whatever their end, maybe. Original:My brother has been in active addiction for the last 10 years. I’ve watched him go from this giant personality who could light up a room to someone I no longer recognize. He’s been missing since before Thanksgiving and changed his phone number and hasn't talked to anyone. His mail still goes to our dads house and I’ve been texting and calling the numbers on the phone bill just saying that I love him, and I am always here for him no matter what. Last night he finally called me just saying he loved me that he missed me and how sorry he was and that he needs me. I don't know if this is his cry for help, but I will never give up on him. I booked my flights to where he is and will be going down Thursday with the hopes that I can bring him home and get him into treatment. I’m not sure what to say when I get down there or really even what I should do. Any advice would be beyond appreciated. Even if this isn't the time and he’s not ready, I just want him to know that no matter what when he’s ready I will be there.</t>
  </si>
  <si>
    <t>I've dealt with addiction for a while and train to get over it but my addictions never been anything serious though. Lately I've been struggling a lot and I want to feel better. I got curious and looked through the stuff in the closet and found a bunch of pill bottles from family members past surgeries.</t>
  </si>
  <si>
    <t>I used poppies for sleep when I was 17. My mom uses them every night so it was easy. At 18, I realized how good they make me feel if I decide to stay awake instead. So, I started using them once a week for pleasure. Then, I moved out, and my depression got worse. I started finding excuses like "I was supposed to use tomorrow, but I'm going out tomorrow so I guess I have to use today". Then, I realized that I couldn't stop anymore. Every day without being high felt like shit in comparison. I was high basically every other day and was doing a lot of stupid shit like cutting myself while taking photos of it for my friends. It somehow made sense when high. Then, my mom started using them more because of my brother went in jail for drugs so she needed more to sleep. Now she won't send me them anymore. I haven't used a single pill in over month. I'm 20 now. But, now my mom has them again, and I'm going to see her today. I know how I'm happier without the pills. Especially since I've been without them for over a month already. I'm doing great and now is the best time to keep going. But, just thinking about getting high today feels like I'm going to see an old friend that I haven't seen in years. Every second I think about the pills, I physically feel amazing. I also haven't seen my friends or my dog in a month, but the fact that I miss the pills more than I miss my friends or my dog makes me sick.</t>
  </si>
  <si>
    <t>This isn't rocket science. I just took the classic addict route, I kept pushing until the consequences hit real hard. I’m not looking for sympathy, I’m just trying to process this. I’m so disgusted by what I’ve done that I’m not capable of typing it yet? Because I know; my intellectual side is basically telling me you can't go more wrong than this. Not just injuring yourself, but also putting others through lifelong issues. ? I think my emotional side still is hoping this will turn out all good, but it won't, not this time. I might have screwed up before but this, oh shit, this is vile. There are so many levels of wrong doing, and the full scope of this hasn't even been revealed yet. I better just type some of the details, this is turning out pretty unclear. Contracted at least one blood STD, Hepatitis, afraid of HIV too to be honest. Married, pregnant wife at contraction, and a 4,5 y/o. This is about 6 months after that, because I’m showing symptoms and waiting for my hepatitis test result. I did screen for the regular STD’s before. As I said, this is abominable, and I’m not looking for any petty. I’m merely typing this out for myself to process it. I know what kind of comments I’ll get already, because I wrote a similar post before during these events. And I fully agreed with every death wish. Unfortunately I took the full addict arc. I thought I could manage until I couldn't. Thought I was safe until I wasn't. Thought I was in control until I wasn't. Now I’ve put several lives in danger, and I’d probably continued if I would’ve gotten away with it. I’ve straight up lied to my spouses face, even though she basically caught me. Her gut told her things weren't adding up, but I stayed true to my (false) narrative. And this isn't even the worst part. Reflecting upon my own behaviors I’m a complete self-centered coward; if I was truly worried more about them than me, I would’ve come clean a long time ago to precede potential risks. Now I’m still waiting for the test results, although I’m pretty sure what it will say this time, my symptoms are clear. This is beyond repair, this is putting other lives in danger for a fix, and it’s pathetic that I haven't manned up, I’m well aware. Divorce is coming up and a life in solitude on my behalf. I couldn't face anyone after this. But the fact that I’ve ruined my wife’s life and the upbringing of my two children is so much worse. I mean, it seems fair if she never wants to see me again, nor let me have anything to do with our children. And this is pure pain. And on top of that, there’s a great risk of lifelong chronic disease. What I can't wrap my head around is how I got here. I’m not stupid, on the contrary, people often regards me as clever and thoughtful. My moral compass was fine growing up, but in retrospect I can see it got screwed over time. And I had a decent upbringing, even though my parents were divorced. I thought I was too smart to possibly have caught some of the worsts STD’s known. On top of that - I’m a high school science teacher - I’m supposed to teach my students not to make these mistakes. I’m so detached from this side of my persona, it doesn't feel like I could do these things. I should just put an end to this pathetic monologue. As I said, this is probably some of the worst things you can put another person through, I’m well aware.</t>
  </si>
  <si>
    <t>I knew they had a history of addiction/substance abuse and that they were a recovered addict. Found out the other day that they've been hiding their current relapse from me for months now. I've had to take them to the ER 4 times in the past month. They were recently diagnosed with a certain chronic disorder, and we thought that was the cause of these episodes. We were even at one point both under the impression that it might even be a very serious and deadly disease and sought out specialists to get tests done. One of the ER's we visited, which we went to twice, was fucking terrible and gave us no information whatsoever. They just gave them fluids and sent them home. It wasn't until the 3rd hospitalization that they told us "hey by the way...you're extremely intoxicated and that might be exacerbating the chronic illness you have". This shocked me because on the way to the hospital I asked them if they had anything to drink tonight, and they said no, and I believed them because I was around them for the entire night and didn't see them drink a single drop of alcohol. When the nurse told us this I became extremely suspicious but thought I was overthinking things. We agreed: no more alcohol whatsoever. I made sure to keep a good eye on them just in case, to make sure they weren't drinking, and for a couple of weeks it seemed like they were making good on their promise. They had a few mild "episodes" after that that coincided with the chronic illness they were diagnosed with. And during those smaller episodes, they told me they had nothing to drink and I believed them because, again, I was around them and didn't see them drink at all. Then the other day we had to take them to the ER again. I was beyond freaked out. We hadn't really gotten anything definite back from the specialist we were seeing, and I thought the worst was going to happen; that they were going to die. I picked them up from the hospital and asked them again, "did you drink tonight?" and they told me "no". When we got home I noticed they did something weird: they went into our second bathroom, which I have never seen them use before. The second they came out I went in, did a quick search, and found a gigantic bottle of vodka hidden in one of the drawers. I confronted them about it, and they finally admitted that they've been drinking HEAVILY these past few months, secretly and in incredibly elaborate ways, and using the fact that they were coincidentally, and legitimately, diagnosed with a chronic disorder to cover it up. I called their parents, and we all set up an appointment at a rehab center. Furthermore, I wasn't even mad at the elaborate betrayal or the lies and manipulation. Furthermore, I was, and am, just legitimately terrified, disturbed, and worried. Furthermore, I dropped them off today and while I'm glad they agreed to seek help I still mostly feel like I'm in shock, and it hasn't really hit me yet. Furthermore, I have my own current struggles and history with substance abuse and addiction, so I understand and just want to help. Furthermore, I just hate myself for not figuring this out/noticing this sooner. They aren't the type of person to normally lie or manipulate, so I believed everything they told me. They might be in rehab for 3 months and there's no in-person visiting because COVID and I feel exhausted in every possible way. I know they're in good hands, but I'm shocked that it went this far/got this bad. They're one of the nicest, sweetest, and most selfless persons I've ever met, and I just want them to be okay.</t>
  </si>
  <si>
    <t>I really can't remember, I had taken a small break to pass a drug test and that was on Wednesday. After the test I left and got geeked. It was a wild week. I know I slept one time a little bit after 8 am and slept in until 5. And then I went and got geeked again. I can't go to sleep yet due to family. I don't know why I did this to myself. Furthermore, I have to stay up for at least 5 more hours. Furthermore, I don't know if I can make it. Started with auditory hallucinations and then somewhat real visual ones nothing too crazy though. I've had to play cool because of my family being with me. I have someone coming over to help me sleep tonight, but that's in like 5 hours. Furthermore, I drink two 5-hour energies about an hour ago, but now my body feels really high, and I can't stop shaking. This may have been the stupidest string of decisions I've ever made. I have to ditch my using buddies. I am trying to stay standing and taking little breaks to sit / squat in position that I can't crash in. Every time I stay up for more than 2 days I start getting those auditorium hallucinations, and they really freak me out. This time around they sound so real. I just keep hearing songs that I already sometimes know ones I haven't heard or thought about in forever. Just 5 more hours.</t>
  </si>
  <si>
    <t>So we moved to this apt building like less than a year ago, and it's been nothing but hell. Worst part is our management who keeps brushing things off like they don't exist. There are a bunch of people live across from us, and they've been smoking some kind of substance, we aren't sure what it is. Smell's awful 1am- till 8 am, right before management office opens. It keeps us awake all night, and gives us headaches. I honestly can't even think or do anything when I smell it, that's how bad it is. Smell's nothing like cigarettes, or food. I smell weed sometimes, but that's not it either. Long story short, we've told management about it over and over, and they won't believe us. It's like they're trying to cover it up or something. Keeps telling us they don't smell it in the morning, and they changed filter, and they couldn't find anything on it. One time we called the cops, at 3 am, officer wouldn't knock on the door, since it was late. And told us to follow up with management. We're going nuts. How could they get away with it like that? And how would you prove it to manager, or they know about it and trying to cover it up?</t>
  </si>
  <si>
    <t>Hello 25(M) I have a real problem with cam sites. Since I was 14 years old I started with porn and eventually through an add I started using cam sites. I was just 13 or 14 years old when this happens (wrong) but it is the truth. I spend money on it from time to time. Sometimes a lot and there always was a lot of guilt and shame when I was ?done? Then I would quit for a while but for some stupid reason I always come back to them. There are periods in my life i haven't used the sites for a long, long time(years) but it seems that for some reason I always go back to them in hard times. This problem is coming on and off throughout my life. I am in a beautiful relationship with the most beautiful girl on this planet. She truly is everything I need. We are lovers, buddies, best friends and all together. We had our ups and downs in our relationships like most people have. Some rough and difficult stuff, but we always managed to work things out. After 2 or 2,5 years into the relationship for some reason I came back to those cam sites for the stupid dopamine rush. I feel/felt terrible in those moments after I was done. I tried making stupid excuses to myself that it was just ?like porn? Or something familiar. But it really isn't. I don't get it, there is absolutely nothing wrong in our relationship, she is beautiful and I'm satisfied in every way(emotionally and sexually) we have great sex. It has absolutely nothing to do with her or that there is something missing in the relationship. Yet I still come back to those sites to feel terrible shame and guilt afterward. To just repeat that again. I have a history of addiction with substances like marijuana, alcohol and Bezos. So addiction is definitely a thing that I'm dealing and have dealt with in my life. I am completely sober now for a couple of months by the help of some ayahuasca ceremonies and I'm getting myself together and things are finally going into a very good direction. Yesterday there was a moment that I felt that I had to tell my lover so I did. She was shocked by it and felt like I have cheated on her which I understand. She was mad, sad, very upset and feels horrible because of it. And it hurts me so much to see her with that pain. To tell her something like this. She didn't expected it at all and she feels cheated on. I am so sorry for what I have done. I feel ashamed, terrible, discussed, guilt, grief, sad and so bad about myself. Furthermore, I have told her because needed to come clean otherwise i couldn't live with myself anymore. She was in complete shock and today on Valentine's Day she told me she needed to go home and be alone for a while to think things through. I feel horrible, I am afraid that I have ruined the relationship and that she won't be able to forgive me and see it as just a problem I have been having that I developed since I was younger. I feel like I have lost my beautiful girl and I cant live with myself. Although she said she needs time I'm so afraid that she can't live with this. I showed her all my transactions of the payments of the campsite throughout the years, and it broke her heart seeing that, and it broke my heart seeing her react to it like that also. I just want to move on with her. I feel lost, hopeless and ashamed. She is everything for me and I hope she can see it has nothing to do with her or anything like that. I know one thing for sure. I'm quitting that shit for good because I can't live like this anymore. Can somebody give me some advice for how to deal with this or what to do. I'm already sure i won't ever do it again just by seeing what it did to the relationship. But I'm afraid, lost and hopeless right now. She is everything for me.</t>
  </si>
  <si>
    <t>I know there is a list with different resources but I’m not exactly sure how to utilize them. My boyfriend and I are struggling with addiction, specifically to cocaine and pornography, but alcohol is involved as well. I want to get help but not sure where to start. I’d rather an online program of some sort because some of the topics are personal, and we don't feel comfortable talking about them face to face with people. We are also pretty busy so we need a program that is flexible with our lifestyle.</t>
  </si>
  <si>
    <t>This is day three of being awake. I don't want more Adderall because my heart will explode, and I don't want the rush at this point, but the further it’s out of my system the more heartbroken and hopeless I become due to the addiction. I’ve taken a ridiculous amount, but that’s nothing new. But I don't go out anymore and have lost all of my charisma and the anxiety has made me agoraphobic to a degree. And I’m going to think that the cravings are gone tomorrow as usual, until they come back and make me a pathetic helpless addict again the day after. My friends all know (to an extent) but they don't attack me for it, instead they’re disappearing from my life slowly but surely. 24 m. Need a hug to say the least</t>
  </si>
  <si>
    <t>I’ve always been very good at hiding things, and my addiction is no different. I’m a great liar, and too proud of it. I’ve been hooked on pills for about a year. I’ve managed to avoid becoming physically dependent on anything because I switch up what I do very frequently, I basically have a rotation of 7 or 8 drugs that I enjoy. Of course, I have a favorite, OXY, but I tried to spread things out like I said to not build a tolerance or physical dependence on anything. I thought I ?outsmarted? Addiction. I couldn't possible become addicted, but I recently realized that addiction is a mental game, not a physical one. I have yet to actually face any hard consequences of my abuse, which is another reason I never considered myself ?addicted?. Furthermore, I am a college student with big plans for the future. Furthermore, I want to go to law school and work in health law. Too many people are getting fucked by the system (but that’s another post). I am doing well in school, 3.7 and making deans list every semester. Scored a 165 on my first practice LSAT. So I know law school is obtainable, but I would be doing even better in school if I quit all the pills. Currently, my biggest problem is that I am an athlete at my school. I have yet to be drug tested because they are random, but I would be absolutely fucked if I was tested. (Though maybe they would assume it’s an error if I tested positive for everything lol.) I don't even want to think about the consequences of that. For weed, most people just get a warning for the first positive test, but I have heard my school is super strict about anything else. I would likely be cut from the team, and that would be bad for many reasons. Aside from losing the little scholarship money I get (I play a pretty niche sport, so even at the top level we don't get much money), I would be losing all of my best friends. My team has become my family. I love them with all of my heart and would do anything for them. My head coach told me at practice yesterday that he noticed that I had lost weight, and it was seemingly muscle mass that I lost, and he knows I’ve been in the gym everyday so it didn't make sense to him. I think he was concerned might I have an ED. I finally came clean to him and told him everything. Furthermore, I told him about my shitty childhood full of abuse, both physical and mental, how my dad hates me for being gay, my suicide attempt, and my drug problems. It felt perfect to open up and tell someone something. Like I said, I’m good at hiding things, and because of trust issues, I hide most things from most people. His reaction was better than I ever could have imagined. He basically told me that he’s been in my position before and that he will do whatever he can to help me, and he doesn't want to get me in trouble, with school or my parents. We came up with a plan together to help me. Firstly we are going to meet at least once a week and talk, I have to keep him updated. I can call him anytime for any reason. If either of us think I need it at any point, he will arrange professional help. If I show up to practice, team meetings, games, or anything else drunk or high he will make me leave. And if I drink or use the day before or day of a game I will be riding the bench. And biggest of all if I lie to him about any of this, he will have to talk to the school. This may seem way too loose, like he should be making me stop everything all at once, but he knows because he’s been in my position that this is the best starting place, and this is how we will build trust in each other. I know that over time he will tighten up his ?rules? For me. I am so incredibly grateful to him. He treated me with nothing but acceptance, love and respect. He made sure to tell me not to feel guilty or ashamed, and that we will get me through this together. I don't think he’ll ever see this, but just in case: Coach K, thank you, I promise I will put the work in, this isn't how my story ends.</t>
  </si>
  <si>
    <t>I used to be an asshole for drugs. I orchestrated my entire life around who was fun to do lines with, pop pills and get wasted. I smoked Ritalin, dipped cigarettes in codeine, OD’d on Bezos and opioids, and made enough coca ethylene in my metabolism to stay drunk for two straight months. My drinks were always strong too. My drink of choice runs about 160 proof. I used to live for the drip in the throat and the feeling of bestial immortality from hitting a line of cocaine. I was introduced to treatment when I went off the rails and crashed my car, lost my job, my relationships, and my sanity all at the same damn time. I urge you if you’re struggling to read what I write here as proof that there is no nobility in drug use. It truly is a better life for me as a sober individual. I won't speak for others, but I am better at everything I used to only do high, I am able to function emotionally without the weight of guilt and the slow lonely death spiral of drugs and depression that comes with the territory. I feel better than ever and I want to keep going. I never imagined what straight edge was like and I never could, I hope whoever reads this does.</t>
  </si>
  <si>
    <t>In the sense of being more prone to addictions... I have been addicted to so many things in my life it's insane. I was a cutter in the past and struggle with it years later. Furthermore, I am pretty sure I'm borderline alcoholic at this point, I am addicted to YouTube and social media. Furthermore, I also used to take pills and I stopped those just because I had no more money to burn. For ref, I'm just 18 and managed to rack up more addictions and coping mechanisms others don't get in their lifetimes...</t>
  </si>
  <si>
    <t>I can't stand it, I procrastinate, I feel anxious, I never know what to say or do, and I've always got something niggling at the back of my head And I just love being intoxicated in any way to do anything I will always end up justifying it to myself either, I did 300mg MD with a mate yesterday because our 2cb had run out, that was the just if action for that time, then just a couple of hours ago I took 2 E pills just to justify finishing a school essay. I can't keep my shit together, and I feel like nothing I ever do is good enough, but I can never motivate myself when I'm sober. And when I'm high I can still do the work and not he sober. I feel trapped. Sorry I don't make much sense. I was feeling so empowered a few weeks ago when I got a gym membership and hadn't used anything in so long I hate my life so much I honestly just want to off myself so much. Its easily 20% of my thoughts/daydreams. They KS for reading my little rant</t>
  </si>
  <si>
    <t>I’m 35. I’ve probably smoked cigarettes for close to 20 years now. A few years ago I got a new car, and refused to smoke in it. Also decided to not smoke at work(I work in a restaurant. You know, where you really only get breaks if you smoke?). The next steps were the bar and home. Covid took care of one of those for long enough for me to not think about it. Then it was just home. 3 weeks ago my partner and I were at a local casino, and we stepped into the smoking area for maybe 15 minutes (he smokes regularly). We stayed the night in the hotel there, and when we got up and got dressed in the morning, my hoodie I was wearing the night before almost made me gag. I didn't notice it at the time but, that smell was overwhelming. I haven't had a cigarette since. For the record I do have an ? On!? Brand nicotine pouch in my mouth a few times a day. But, besides that, even with the partner and the roommate both being regular smokers?.the cravings basically don't exist. It’s crazy to me. Somebody motivate me to take a jog, or join a gym or something.</t>
  </si>
  <si>
    <t>After 8yrs of meth use I achieved over 3 yrs of sobriety, then over a we ago I used for 4 days. I don't have any cravings or nostalgia for using again, I don't feel like I’ve lost 3yrs nor do I believe that I’ve failed. I have an understanding of what led me back to that other world and I’m working on how to improve my recovery program and to create a better relapse prevention plan. I’m humbled by my relapse, it’s a good reminder that no matter how well things are going for me I’m still vulnerable and that I need to respect that vulnerability in myself cause it’s not ever going to go away.</t>
  </si>
  <si>
    <t>I tell myself that it's not like I'm addicted to something truly detrimental so why do I need to quit? I need to quit because my lives going nowhere, and it feels like it's been on hold since I started smoking. Furthermore, I have no money left as soon as I get some because it all goes on bud and I'm beyond tired of the cycle. I'm considering going back to inpatient detox because I did it once before, and it felt so good to be free. I went because of coexisting mental illness so its safer/easier for me to detox under supervision. My addictions' worker is looking into it for me since we had a chat about it last week. It feels so crazy to have such a dependency on weed and I'm getting to a point where I'm ready to say goodbye. I just hope it comes sooner rather than later.</t>
  </si>
  <si>
    <t>Just found (really found) box under bed. 8x Pivotal 2mg, 2x Xanax 2mg, 6x Ramal 200mg, 2x Oxycodone. Yesterday I get new Biretta. Hm, thinking about it like very dangerous combo. Is it only coincidence, or some sort of sign?</t>
  </si>
  <si>
    <t>I'm cutewcntly turning like a AFER with my eyes occasionally rolling back in my head, all to be stimulated to do my essay due for tomorrow. I'm peaking and distracted now so I just want to say I don't THI k I've ever met anyone on this sub who is judgmental or a prick in any way. Everyone is so kind and understanding, it really feels like a tight-knit community where everybody understands and will help each other.</t>
  </si>
  <si>
    <t>I hate my birthday. The last 2–3 years something really significant and awful has happened on my birthday. This would have been the first birthday I’ve had clean in a long time. I got into my head too much on Friday about my birthday and I decided to get some painkillers. I had 7 months, which was significant for me. Furthermore, I ended up going to work on Saturday after I popped way too many and started feeling funny. Furthermore, I got a 2-hour break (working a double) and decided to go home and take more. My body decided that was too much, and I felt like I was about to OD. So I call my friend at work (who is also in recovery) and tell her the situation. She ended up leaving work to drive me to the ER and I obviously didn't make it for the rest of the shift. Now fast-forward to today, I work in one hour and I'm beyond terrified to go. I’m super anxious because my friend told the managers what happened (they were aware of my recovery) and I'm just nervous if the word got out to the other workers or if I'm going to get treated different.</t>
  </si>
  <si>
    <t>I am 17, and I have an extremely unfortunate illness that I got whenever I was 4 years old, which was caused by the Sega Dreamcast day and night, looking up pornography, Violent Mario animations on YouTube, violent shooting games online, 4 Chan Hentai, on a Windows XP CRT monitor computer from 2008-2009, which, we obviously got rid of ages ago, but the sickening images and their voices still haven't left my mind ever since, causing me to turn extremely horny, violent, and see Japanese content constantly inside my head all the time whenever I look at people, animals, and even for referencing things such as people's conversations, books, etc. This has been destroying my life for ages now, and have been unable to find a cure for this illness, unable to see life for what it really is. Is anyone aware of people who have got this illness, such as the angry German kid on YouTube, and knows how they cured this illness, or know of a way that might help it? Any help you can tell me would mean more than anything to me!</t>
  </si>
  <si>
    <t>I've held this addiction privately on and off for 2.5 years. None knows I struggle with this. I'm ready to stop finally... I stopped dentinal laced heroin 2 months ago using my local Suboxone program, and they knew I was active in my meth addiction, but we made a deal that after dealing with the heroin they will help support me in getting off meth. And today is the beginning of my sobriety. Thanks for everyone here sharing their stories.</t>
  </si>
  <si>
    <t>I relapsed at the beginning of January; I had 8 MO of sobriety. I knew my life would get fucked up, but this fucked up was unimaginable. Furthermore, I had a severe lung infection last yr from a combination of smoking dope and aspirating due committing. They diagnosed it as aspiration pneumonia, but it was a very unclear diagnosis. It was so traumatizing, and my fear relapsing this time was it recurring again, it did exactly that. About two weeks ago I aspirated, and my lung infection, or, whatever it is, came back full force. I've been to the her 3 times already, and they don't know what's wrong with me, yet again. My O2 levels are extremely low. I can't get any sleep without waking up in the middle of the night and struggling to catch my breath. Constant coughing and wheezing. It's been a nightmare. I'm reliving it all over again. I'm trying to not smoke dope, but snorting it doesn't really do anything for me, and it feels like dope is the only thing that slightly subsides the pain of this. Furthermore, I'm back to being dope sick again, my tolerance is high, and I'm spending all of my money on this shit; I had 1k in savings, which is the most I've ever had saved up in my entire life, now I'm in the negatives. Only after 1 month of using. 1 month. I'm out of work due to this lung infection and also the fear of getting dope sick while at work. I've been at this job for 6 MO, and it was the only source of stability that I had. And I'm on the fringe of getting fired. I admitted to my family I had a relapse, I just wanted to be honest and tell on myself, that was a huge mistake. My family has been so proud of me, they finally had trust in me, they were happy for me, for the first time in years I felt like I had my family back. Now they have lost all trust in me and my recovery. We are barely on talking terms, and when we are, it's very awkward, and I'm constantly berated with questions and accusations. My relationship with my partner is slowly falling apart due to both of us using, and our relationship for 8 months of both having clean time was so strong, healthy, and communicative, and now it's in fucking shambles again. My mental and physical health is plummeting. Relapsing was so god-damn not worth it. It's crazy that after only a month of using my life is back to where it was 8 months ago. It's true, when you relapse you just end up back exactly where you were, if not worse. This shit is so evil. This drug is so fucking evil. For anyone contemplating relapsing, I really hope you find the strength inside yourself to not do it, to just stay clean and sober for today, for tonight, for the next hour, for the next second. You're worth so much more than this. You can overcome the cravings as hard as it is. it's not worth it. I wish I told myself this before I relapsed, I wish I replayed those fucking tapes. Remember how you felt right before you got sober and why you got sober. It's not fucking worth it for any drug or drink. You'll end up right back to the same place, there's no rock bottom, it can always get worse, and it will. It always does.</t>
  </si>
  <si>
    <t>I have done it again. I have relapsed. Furthermore, I recently came to the insight that it wasn't working the way I was using amphetamine once again. Furthermore, I had to become honest to myself and to my girlfriend that I live with, which is a very hard thing to admit, I think for every addict. Furthermore, I do not want to hurt the people I love and care for. This is the second time I have to do this here. And it breaks my heart. This cycle has repeated itself with my x as well. I am tired of this, and I'm tired of myself. But I'm trying not to be too harsh on myself; it's counterproductive.</t>
  </si>
  <si>
    <t>I can't believe I am finally writing this. It’s been a long time coming. Long overdue, to say the very least. The last thirty years with you has been one big roller coaster ride. We’ve been through many ups and downs in life. I could still vividly recall the first time we met. I was 15 years old and in high school. My friends and I chipped in and paid someone to buy you for us. We all drank at Pacific Avenue in Stockton that day. Back then, it was the cool thing to do. I wanted to be one of the cool guys that everyone wants to hang out with. That very first experience with you turned out to be the first of many. In all my milestones you were there ? High school graduation, first job, first paycheck, first enlistment, first car, first marriage, first child, first home? It was pretty cool that you were there during all those firsts in my life?. Man, you truly made a mark! You were there during the many times I failed: my first divorce, my first foreclosure, my first garnishment? My first grief. You were there by my side when I lost my first love. The most beautiful part of my existence: my mother. She was everything to me. When I lost her, I had also lost a huge part of myself. Apart from the pain of losing the love of my life, there’s the other kind of pain. Serving in the Army was no easy feat. I had to deal with a lot of stress and trauma. For 24 years, I coped with the physical and mental pain through self-medication. I had to put up a strong face even though I was slowly dying on the inside. I wanted to give up, but I could not stand the disappointment that it would cause my family. So I learned how to fake my feelings, my emotions. It was hard to pretend that I was happy, when I was really this angry, frustrated, lonely person carrying a lot of baggage. Through all my ups and downs, you were the only constant in my life. You never left my side. You were always there to hold my hand. And I misconstrued that for loyalty, for trust, for love. When all it was Control. Deception. Betrayal. I’m not very good with goodbyes. Goodbyes are always painful. But I have to accept that nothing lasts forever. It’s time to part ways, my old friend. Before I close this final chapter of our relationship, let me leave you with one of my favorite Bible quotes: For everything there is a season. A time for every activity under heaven. A time to be born and a time to die. A time to plant and a time to harvest. Ecclesiastes 3:1-8.</t>
  </si>
  <si>
    <t>I’m not able to post on the Subreddit dedicated to this, and nobody has posted in 136 days. I have kleptomania. Never diagnosed or anything, but I think I’m addicted to stealing. I’ve never stolen from anyone I know, never from a small business, never from anyone who would suffer from it. It’s only whenever I go to huge multi-billion dollar corporations. But it’s dangerous for myself. I’ve been doing this for years and I don't know how I’ve never been caught. I need to stop. Furthermore, I have a career. Furthermore, I have a child. Furthermore, I have a partner. And absolutely nobody knows. It feels good to get something for free, it feels like when you just got something on a perfect sale. Sometimes it’s personal goods like body wash or eyeliner. Sometimes it may be food. A lot of times, I only do it if I feel like it’s too expensive to justify buying it, but I really want or feel like I need it. For example, I might ?forget? To scan a package of chicken breasts, because all they had was the organic kind and I can't afford how pricey it is. It’s become so normal for me now that I feel like I’ve been ripped off if I make a big shopping trip and pay for all of this. I need to stop. I know eventually my luck will run out and I’ll get caught. Furthermore, I can't keep doing this. I’m addicted to it. Furthermore, I need to stop before it’s too late.</t>
  </si>
  <si>
    <t>there’s times when I look myself in the mirror and think yeah you got this. And other times I feel like I am going to die. I don't know why I downloaded this app, but I know one thing. I just finally felt safe to express how I feel. Specially seeing all the like-minded individuals that have experience in this world... I see my friends drop like flies living the life I live and I’m worried that I’m next... I struggle mostly with alcohol and downers. I’m trying to get off of this shit and really miss the person I used to be. Furthermore, I know that person is still there and isn't lost. But the motivation to still lacking so much.</t>
  </si>
  <si>
    <t>When I started recovering at first, I always relapsed every 4–5 days. First time I relapsed and didn't go back in a week! Hate myself big time for ruining the 5-year mark but I'm trying to find shit to be proud of.</t>
  </si>
  <si>
    <t>First I see lots of people here talking about lots of heavier and harder to quit substances.... don't want to offend or come across as a troll.... fuck it It's what I feel and think at the moment.... Heavy smoker from 15yrs to 34 yrs... once I quit for 2 years period, and it was no problem.... now... totally different story.... I made the choice to quit 3 days ago and.... (actually Thursday night I smoked last... and today is Sunday... so little more than 3 days right) IDK my logic and thinking is very bad right now..... I am quenching my teeth. Like I was using speed or something... don't like it. My coordination is altered, whack, get shakes puff (also makes my think the weed I smoked is not normal weed... not the same as back in the day at least) 2. Get agitated real easy... 0 to 100 Voice raising and aggressiveness... WTF I hate this but seem out of my control.... no patience.... really like the worst road rage videos you see, I feel like those people right now 3. Mood swings like Jekyll and Hyde.... in the morning I work out in sweat. I feel good, on top of the world... hours later. I feel like a weak unstable psychopath. 4 sweating oh my god sweating.... after a shower, dry myself off... 5 min... I am wet again (hand palms, armpits, lower back, my face.... and doesn't really stop Also body temperature... hot, cold the next and vice versa 5 and this is the one that could drive me back to the addiction.... BUT I CAN'T SLEEP... NO SLEEP... I LAY IN BED AND THE CLOCK GOES PAST 5 IN THE MORNING EVERY NIGHT... I KINDA FALL A SLEEP IN LITTLE BLOCKS WAKING UP EVERY 20 MIN TILL I GET OUT OF BED AT 9, 10 AM. Kinda feels like dying... no really... not being a puss. This is getting kinda weird.... 6. Overthinking, ruminating etc... hamster on a wheel and he ain't tired. Lots of anger in different forms... rage, resentment, frustration, irritation... moments of peace and" acceptance" .... half hour later negative patterns of thought, self criticizing etc..... I'm am so scared that this the real me.... a fucking maniac that run by anxiety, stress and aggression.... people who know me always think of me as levelheaded person, as smart and respectful.... I have people telling me I am a good person a stronger than other person. Respectful, mindful..... WTF right now... I feel like I could rip heads off torso's... I feel like am evil... a fricking monster..... this makes me want smoke again... not for the high... fuck the high... just to manage my inner demon... because I feel he is getting bigger than I could be..... puff wow while writing this I have water coming from my eyes.... broken mess I am WTF.... my self-esteem just left the room...... my life is overcoming obstacles and owning them like a trooper... but now... I feel my lowest self. What should I do..... IDK anymore.is this just the addiction calling me back? Is this me for real and everything positive, everything people see in me.... was not me but the weed???? Feel like I am trapped in a mindfuck loop...... and this.... this is what I fear most... that it has nothing to do with the weed..... it was just covering up my true self.... and how I really feel about all horrible stuff I've had happened to me in the last 5 yrs.... is this awaking to truth and reality?... this is true addiction talk.... but my mind keeps telling being sober... is not worth it when ... you can't sleep/ function and feel like a good person with understanding, compassion, empathy... patience..... if I am not fun and positive.... but feel like beast.... more animal than man..... can anyone relate or respectfully show me my truth... IDK walking on the walls right now..... is this all my weakness presenting itself.... should I just clench my teeth more and just wait this out.... I hate being this insecure/ helpless.....</t>
  </si>
  <si>
    <t>I've only recently realized I'm addicted to coke for real and since a few months already, and now I'm realizing no one knows about my addiction. I'm 20, French. Most of my friends don't do drugs and think I do coke sometimes during parties. I actually started doing it alone, to study, and now I just do it for no reason most of the time, alone. My boyfriend often does it with me and is not addicted, but he has no idea it's becoming serious for me. Of course my family has no idea and wouldn't be able to understand. Drugs are very taboo in my family, they don't even smoke cigarettes. Everyone sees me as a school nerd, very quiet and "innocent" woman which makes it easier to hide, but also makes it more difficult to open up to anyone about it because there will be shock, maybe judgment, and I'm not ready to face it. I don't know what I should do, so I needed to vent.</t>
  </si>
  <si>
    <t>I haven't been able to bring myself to tell anyone this not even my closest friends. Probably because it is so painful for me to admit even to myself. But I am at a breaking point, I can't hold it in any longer. My husband has been addicted to fentanyl for 9 months, that I know of. He began two months before I gave birth to my daughter and I found out just a few weeks postpartum. I had suspicions when I noticed the tiny pupils and always tired. Then we suddenly had no money ever, and he would leave the house and be gone all day. I discovered a stash of tinfoil needles and cotton swabs, and he finally admitted to it after gaslighting me for weeks making me feel crazy. The stress and depression and absolute heartbreak that has overcome me is stronger than anything I have ever experienced. I never imagined this could ever happen. He was the best partner and person I ever had the opportunity to love and build a life with. I am crushed and absolutely devastated, and I have known for 7 months now. I approached the situation with love and support, took care of him through two bouts of withdrawals, the first time while taking care of my newborn baby too. He has relapsed both times now and continues to lie directly to me about it, no matter how loving and understanding I try to be. I still find tinfoil and baggies in our laundry. I am falling apart witnessing his own self-destruction. He actually overdosed when I first became pregnant. Was driving my car and went unconscious behind the wheel. He was arrested and is still on probation from that occurrence. He told me it was laced in marijuana that he smoked, and I blindly believed him. At this point I am losing faith in him and I don't think I will ever be able to trust him again, I fear our relationship is beyond repair. I feel broken and crazy. I love him so deeply and just want this nightmare to end. Furthermore, I miss him so much, he is a ghost of the man he used to be. Furthermore, I know deep down he wants to get better. But the disease of addiction has it’s grip on his body mind and soul. I feel so lost and powerless. The anxiety and fear of him dying haunts me every day. When-he is asleep I find myself checking to see that he is still breathing. Please pray for us. I don't want to leave him and have my daughter grow up in a broken family like I did. But I am at the point where I think of what life could be like if I do leave. And I don't want her to be subjected to his addiction. Staying and witnessing is just too painful. Please pray for us.</t>
  </si>
  <si>
    <t>He’s been clean of all IV use for 3 years, clean of opiates for a year and a half, and clean from crack for THREE MONTHS!! Even before that he was only relapsing like once or twice a month, which was a HUGE change from 2020 when he was using $200 worth per day or more. As for me, I haven't had a drink or done any hard drugs for all of 2022 so far. My problems with substance abuse definitely are smaller than his? A 14-year habit/lifestyle for him versus me just really doing it in massive binges to Escape (TM) from severe trauma and somehow luckily not getting sucked in to daily use. But still I know it’s an unhealthy pattern for me and I wanted to change so that him and I can be happier and healthier together. :) I love you guys! Change is possible, your journey to sobriety may be messy and imperfect and marked with relapse but for a lot of people that’s just how it has to be done. Abruptly changing your life is terrifying to your brain and for a lot of people small changes over time work better. If you can't quit 100% today, do what my BF did and quit IV first. Then work on quitting your most dangerous habit, without worrying about any other ones. Take it a day at a time and treat yourself with honesty and kindness. You got this!</t>
  </si>
  <si>
    <t>I overdosed Jan 23 on heroin which was presumably fentanyl. No idea how long I was laying there before I received aid. I know I wasn't breathing, cold, foaming at the mouth etc. and stopped breathing after the first and second rounds of Marcan. The third one did the trick but I felt so odd afterward that I could barely walk. Like my body wasn't responding to my brain. Eventually it wore off, but I still needed a wheelchair and ambulance ride. Now I’m finding that I just feel different from before. Like someone else. I’ve forgot how to spell words that used to come naturally to me. I have trouble forming a sentence now. Furthermore, I keep hesitating and then just accepting the sentence as fucked and moving on. It’s hard to explain, but I don't feel all the way retarded or anything. Then today I looked at my phone and didn't recognize it. I looked twice and still didn't recognize it, stared blankly at my screen for a couple of minutes before realizing it was indeed my phone. I opened a message and went to reply, mind you I had just used this phone 5–10 minutes before - but didn't recognize the text style or anything. Now I have a headache. This has to be bad right? What could be wrong with me, or what should I be watching for? Any way to figure out for sure what’s wrong if anything important?</t>
  </si>
  <si>
    <t>Hello, I’ve posted before about trying to refrain from over drinking, and then more seriously getting cocaine with that drink. I’ve found whenever I speak to support groups about it, they tend to say ?the fact that you want to stop is great! Means you’re nearly there? Negating the fact that intention lies far away from action. How can I make my sober intentions carry through? How do you resist the itch when it comes? Sick of my life being ruled my alcohol and cocaine, but can't seem to shift it.</t>
  </si>
  <si>
    <t>I’ve been struggling with crack addiction since I was 18 years old and all throughout my addiction I’ve been working a high paying job 3k+ every two weeks but can never hold onto a dollar and have nothing to show for my hard work as it goes all to drugs. In the last year I’ve managed to dabble in and out with opioids and have continuously overdosed. Even as much as overdosing twice in one day and somehow some way miraculously somebody finds me or saves me just in time. This last overdose was different from all the rest as I didn't wake up until I was inside the emergency room and I have awoken screaming in pain and unable to breathe. With the constant revives I know I have a special purpose here, but why can't I find my rock bottom? I’ve done jail time, I’m a felon. I’ve lost it all except my trade but no matter what I can't submit myself to an inpatient rehab knowing I can be out working making good money for my age. It's so crazy to look at the chaos from an outside perspective but on the inside it’s like I don't even care. Nothing scares me. I went to a detox once for three days and left bc I couldn't handle staring at the ceiling in my bed all day. Will I just wake up one day like most people say? Will it come to a point of moderation? Is NA and rehab the only way to sobriety?</t>
  </si>
  <si>
    <t>I am 16 and facing a weed addiction. I try my hardest in school and to keep my girlfriend happy but from the constant stress of relationship problems, bad grades, and parents that often do not view me on a good perspective, I tend to sometimes not find anywhere else to come back to but smoking a dab pen throughout the day or doing bud. Furthermore, I currently had been caught smoking and got all of my stuff taken away from me, every single personal belonging besides my clothes I no longer have access to. My laptop, that I am using to posts this currently with, can only be used when I have schoolwork. So instead of just doing my work, I just want to help myself because even I realize I am becoming a major failure with the actions I do. I cannot endure the brain fog and other symptoms that come from a weed withdrawal and am just looking for some help or a word of advice to keep my life in track</t>
  </si>
  <si>
    <t>I (24f) since I was 16 years old have struggled with getting to sleep and staying asleep for longer than 2–3 hours. There are some days/weeks that are good, and I sleep well, and then I am back to this. At 16, I started self-medicating to help me sleep, and would take literally anything that had a sedative in it: anti-allergies, painkillers, cough syrups. I would never take more than the prescribed amount, but I would still take them regularly. I would stop in the middle when I had moments of panic about what I was doing and then I’d go back to it. When I went to university, I start taking clonazepam almost regularly and if I couldn't get that I would take emotional. It really ducked me up, and I had a breakdown at one point where I confessed to friends that I felt like an addict, and I abused prescription pills. I have worked really hard on stopping this and have mostly not succumbed except for short periods or where my mental state has been in a place where I need something to put me to sleep. At times, I don't even know if the medicine will help me sleep, I just want to take it and hope that it does. However, sometimes I’ll see these medicines around or develop random cravings to take them despite not experiencing any issues. I recently started taking levosulpiride again which a doctor had recommended to me sometime ago, but the prescription had ended. There’s no reason for me to have started it except that I have had a few bad nights despite having ample time to make up for the lost sleep, but I saw the pack and I couldn't help it and I noticed how all day today all I could think of was planning how to get more once I ran out. I don't think this is even about getting to sleep anymore. Is this an addiction?</t>
  </si>
  <si>
    <t>I lost my incredible boyfriend in January. He had been sober from fentanyl for 7 months, lived in sober living, attended several meetings every week, was on visitors, SSRIs, and saw a therapist every week. From my perspective, he was doing so well. He told me he wasn't having cravings anymore, that he was feeling perfect and happy. He went to visit some family in another state, and apparently he was having a really hard time. I say apparently because he didn't tell me, his family told me later on. He started using again and overdosed and passed away 2 days later. The day of, he had a seizure and was hospitalized, then taken home where he likely used again and passed away. I’m having such a hard time understanding why he continued to try to get high despite being on visitors. Maybe I am missing something about how it works? Maybe there is nothing to make sense of out this. I'm just grieving an amazing man and trying my best to understand him and his disease.</t>
  </si>
  <si>
    <t>This is longer than i?VE ever expected to make it, and I'm actually trying to get life together. But I can't stop thinking about it - the feeling of being completely out of control with no regard for yourself. I know it sounds terrible but it’s like a bad relationship. Once it’s over, you start to only remember the good. I need to remember all those mornings I spent strung out and depressed.</t>
  </si>
  <si>
    <t>I am not addicted to any particular substance, but I will take whatever I have to get a buzz. Benz, opioids, alcohol, weed. I can and have stopped to take any substance many times before but the crave for the buzz just never goes away.</t>
  </si>
  <si>
    <t>I posted a few days back about my whole Shit, but today I had the chance to be around my grandma and auntie. Tell me why the first thing my auntie says to me is "I thought I told you to get off them pills ray" and as soon as she said that I knew my mom told them that I OD'd and all I wanted to do was curl into a ball and forget the world. It just made me wish even more that I didn't wake-up from my overdose. Cause its one thing to have your mom know you're fucked up on pills but for my grandma and auntie to know... I don't even know. I just didn't want to be alive cause its fucking embarrassing. Furthermore, I wanted this to be my own thing to worry about. Not my whole family to know. I know damn well my alcoholic ass brother probably told my sisters by now and if they know I might as well fucking kill myself. I fucking hate my life. Furthermore, I wish I was fucking dead.</t>
  </si>
  <si>
    <t>I'm a pretty functional drug addict but a heavy user nonetheless: anything goes, heroin, synthetic opioids, cathodes, meth, MDMA, LSD, weed, synthetic voids, Bezos, coke, salvia, LSA, Kr atom, you name it... there's barely a day I'm not on something and this has been going on for maybe 15 years with relatively few (yet dramatic) incidents. But this is rapidly changing, I have been falling in love with a girl I recently met, and even though while things were really uncertain with her my stress caused my drug use to skyrocket, now that we have made some steps that make me think (knock on wood) this relationship could actually evolve to where I so desperately desire it to, that is, that she loves me back, I have all of a sudden lost most of my desire to get high because there is nothing that I desire more in the world than to be able to be with her, healthy and clean, to give to her all the good things I am capable of giving, cherish her with all of my unadulterated heart and thoughts, and fucking LIVE this life with her, till the end if God permits. I'm crying like a river writing these lines and no, I'm far from being a teenager experiencing his first love. I am cleaning my act up as fast as I can. It's not that I could not be honest with her, I haven't told her anything about it, but she's such a free spirit with an open mind that I would have no shame it's telling her my life's story in details. It's just that I don't want to be that person with her. I think I've finally realized that that gaping hole in my heart I was filling up with drugs was that absence of a significant other in my life. The non-physically addictive drugs are already stopped. I think I still need a couple of days, one week tops to get rid of Bezos and opiates because you know, avoiding dieing would be best, but never in my life have I been see motivated to quit. I'm ready to endure whatever withdrawal has in store for me. That pain, when I think of it as a way to be free to enjoy life with her means nothing at all to me. I'd do anything. Withdrawal, have at me, here I am and here I'll stand, proudly and relentlessly blow after blow until my step is firm and my hands stable. But that also scares me to death. What if things don't pan out as I hope they will? I've had post break-up depressions in the past that have led me to suicide attempts that nearly succeeded. Also, I can't help but wondering whether it's that better to become that attached to a person than to a drug. Drugs in my experience are more reliable than people. How will I cope? How will I survive in between "fixes" (seeing her, texting her, calling her...). And we all know relationships end one way or the other, with separation or death. So how much better is that really if she leaves me and I just kill myself? I'm not reducing her to a drug of course, she's a wonderful woman, the analogy is just made by my sick brain, but that is the way I seem to work psychologically.</t>
  </si>
  <si>
    <t>78 days free from alcohol, 81 days free from pills. My cravings are mostly gone, except random ones that popup just to pester me. My recent lab results show my liver is fairly badly damaged, though. I have to go for more testing over the next few weeks to see how far the damage goes, and what we'll have to do about it. It's a weird feeling, knowing that only after I stop all my drugs is when my body finally starts failing. And it's even weirder that my response to this distress is to want to use/drink again. I know that'll only make it worse, plus it'll ruin what good things have been going on in my life lately. But for years, getting my response to distress was to get wasted. My therapist is helping me learn new coping skills. They do help. But there's a certain pleasure in being so far gone that nothing matters. Until the crash, I guess. I'm not going back. I've made it this far, I'm not going to throw it all away. Furthermore, I just wanted to say it all somewhere. Furthermore, I haven't told anyone about my liver, yet. Furthermore, I'm waiting for more answers before I tell my friends and boyfriend. Furthermore, I don't want to worry them more than I have to. Maybe the treatment can be all quiet, even. We'll see.</t>
  </si>
  <si>
    <t>I’m 18 y/o male and i just kinda wanted to get it off my chest. I'm a heavy smoker and have been smoking for about 17 months now. My smoking habits have gotten to the point now where I smoke bud/wax every day. I don't go a day without smoking. If I'm off of work or not in school I usually smoke about every other hour or so when I'm just bored. Smoking doesn't give me a feeling any more it just relieves them. I buy a zip of tree every 5 days or so to give u an idea of how much I smoke and that’s with restraint because of how costly this hobby is. I’ve always been awake I suffer from an addictive personality. I am adopted, so my biological side of the family were all addicted and ended up pretty bad off to be honest. I’ve been honest with myself that I’ve had issues with weed for a while and I'm trying to cut back. But not i?VE shifted my attention to alcohol. I didn't really ever drink much while I was becoming a stoner. Had alcohol first at 16 then didn't have it again for a good year after that. But for the past few months i?VE been buying ALC more and more and I see myself starting to enjoy it more than weed. The smoking is getting kind of old now to be honest it’s lost all its flair and meaning. I'm worrying in the beck of my brain that I'm becoming an alcoholic. I'm really embarrassed about my drinking habits and to the excess I do it. it’s 7am RN and I'm drinking. I usually drink throughout the day when I have alcohol and drink it in consecutive days every week day if I have enough of it. The reason I don't see it as a huge debilitating issue is because I honestly function fine. I have a lot of mental health problems and some addictions issues but on the outside. You probably wouldn't be able to tell. Also why I think addicts are so misunderstood. But I really don't want to become a raging alcoholic and this become a problem when I live alone as an adult. I go to school and work a job so I'm not a bum or anything but I still feel like it’s not normal for me to drink this easily and as much as I am. The alcohol honestly helps with my mental health. It quiets my mind and makes everything more fun. Same with weed. My mind is finally at rest.</t>
  </si>
  <si>
    <t>My sister got me a whipped cream canister thing for Christmas. I use it normally for whipped cream and not whippets. Except one time, this week. I tried breathing it in, attempting to get that quick high. But I didn't feel it get high. There wasn't enough nitrogen or whatever it is, in the canister. And I didn't reload it to try again. So attempted to relapse and get high, but failed in doing so. So I’m I still ongoing sober. Or in your opinion, I start over. Day one. I might mark the day in my calendar as an attempt but not as a new start date. What do you think?</t>
  </si>
  <si>
    <t>So I’m kinda at a point where all I want is to not be sober. Life doesn't really suck for me now but the monotony of it is killing me. I’m 5 days without nicotine and it’s making me want to go back to ALC and weed but I’m sick of replacing one problem for another. The rationalization I make during withdrawals really annoy me. I tell myself go get a bottle because you're not smoking or since you're not drinking you should smoke. IDK it’s probably just a bad day but I’m just having an overwhelming amount of anxiety. I both want and don't want to be sober</t>
  </si>
  <si>
    <t>Maybe the truth is that I'm trying to row our boat upstream. Trying to row us away from the giant, heavy rock that’s landed in our vessel. The heavy rock is far too big for me to remove on my own. After all? I have to row the boat. My strength has diminished; rowing has become insignificant - tiny movements that get us nowhere close to stable ground. The weight of the rock is just too heavy for me to handle all alone? And without your desire to remove it, it’s too much for our boat to bare. With only one of us rowing, only one of us wanting to give us a lifeboat, reality has sunk in: it feels like we’re going down with the ship. This rock has sunken you, and in turn, sunken me and the ship we worked so hard to build together, in our little home, for over four years.</t>
  </si>
  <si>
    <t>To addicts like me, do you worry about what your family thinks about you like me?? Like I'm addicted to pills and alcohol. I think I'm done with pills now... at the same time I care about what my family thinks. I think alcohol is my worst detriment because I said things that was out of pocket. Furthermore, I can't take it back, but it ruined a lot of relationships for me. Furthermore, I know I'm an alcoholic, on top of being a fucking junkie. Imagine. Man. Why didn't any of my family ask about me when I was younger? Why didn't my family worry about me? Maybe then I wouldn't be like this. Or is that selfish thinking?? I just wish I didn't lose one of my best friends at 17. Maybe I would've been a better person. Maybe I wouldn't be so fucked up and feeling sorry for myself. Like honestly, it's been five years since my best friend passed away, should I still be such a fucked up person riding on my problems??? Please give me your honest opinion. Because I don't know anymore :/ I feel like crying brush</t>
  </si>
  <si>
    <t>I'm currently going through addiction, got through 2 weeks, and I'm struggling. I broke, does everyone develop addiction for a reason? Furthermore, I just need to talk to someone please. Furthermore, I'm losing the battle. Furthermore, I'm falling apart, I just need someone to talk to please.</t>
  </si>
  <si>
    <t>Recently (this week) my fiancé‚ left me due to lack of trust. I wasn't using at the time but I wasn't honest with her about how I used close to three months before. A week ago on a Thursday I had a seizure and woke up in her bathroom and told her I passed out and was yelling for her help. I told her that I was on drugs. IDK why I told her that I just did apparently on the way to the hospital. I don't remember the whole day because I had a seizure and forgot. She stayed with me throughout the CT scan and everything. When we got home the next morning. Seizure happened at 10 pm. Went to ER and was in ER until 6am. I could tell she was done with me. The most pain I have felt In my life. I love this woman. She’s made me feel normal for a while now. I was so ashamed because I felt like I overdosed. Turns out opiates weren't in my system. Or heroin. Etc I have been so conditioned to fucked up things I believed it was a normal thing to say. It must have been the drugs. I’ve only had one seizure before in my life 6 years prior and was sober then as well. But after ten years of autonomy usage I just figured I did drugs and passed out. The urine panel came back clean and I started questioning deeper things. Why did I jump to saying I did drug that must have been why I passed out? Why did I say anything about drugs if I hadn't used in months. Usually my go to is a perk/Roxy. About 3-4 at once. Well I haven't had them recently. She told me after finding out about a clean urine test if I took a hair test she’d begin to believe me. That’s when I was extremely honest and said well 3–4 months prior I did pills at my fathers house. My dad is an addict / alcoholic and has been since I was 16. (After the divorce he had he turned to substance abuse) I learned to normalize that behavior. The first time I saw anyone do a line it was him. I was 16 and came home for Thanksgiving that week. He snorted it and acted somewhat normal (for him at least) then I just thought it was okay. Well if pops does it and is fine I’ll be okay. Well that transformed into more quickly. I went back to VA from ms and began selling spice in school. (k2 when it came out) I got expelled that Feb and moved back to MS with my dad immediately to get a GED. I didn't do my first pill til that summer, and it made all the pain go away mentally and physically. I loved that shit. 100s of pills later and tens years And fast-forward to getting kicked out of my fiancé‚ house. She was shocked when I tested clean and told me if I do a hair test she’ll start to gain my trust again, and I jumped at the idea of it, but then I call her back and express I was scared because the pills from months before might show up. She expresses how it’s not the drugs so much as it’s the lying and trust. I respect her decision and now she was my angel, but I have to let her heal. Opiates played such a big role in my life that it sounded normal to say I overdosed even when I was sober. If you?re-reading this don't let pain control you. Fucked up things happen to the best people but don't let it run your life it ran mine. Pills can't take this pain away but I’m glad I’m at this point. I’m sober and staying sober. It’s not just going to a meeting it’s going and keep going. I love y?all, and I don't know y?all but don't let pain run it’s course on you find out how to get rid of it healthily. I’ve been using since 17 and I’m just now strong enough to admit I have a demon and I will defeat it.</t>
  </si>
  <si>
    <t>My 18-year-old son told me he doesn't love me for the first time ever today. He has been such a sweet kid, and we got along a lot and only started getting into arguments every time we go somewhere together this year. I've been suffering from a drug addiction by abusing prescription drugs that my doctor prescribes to me for my back pain since I got into an accident at work a few years ago. I've been abusing these drugs and getting drowsy, and I'm on the verge of a divorce because of this, but I can't help it. Furthermore, I have no job because of the accident at work and if I get divorced I will be 100% homeless. Furthermore, I took some pills today after I said I would stop, but I can't control myself and now my SON said for the first time ever that he doesn't love me, and it hurts me. Furthermore, I want to stop my addiction, but I can't, and I keep ruining everything around me. Furthermore, I want to fix everything and was my son in the wrong for telling me he doesn't love me after I've always been there for him?</t>
  </si>
  <si>
    <t>So I’ve been battling it out with Kr atom. However, at some point in December I turned a corner and decided I’m don't with my own bullshit (?real change happens when you?redone with your own bullshit?). So I called a school doing something I always wanted to do (software development) and started to get the ball rolling, I changed my work schedule to work well with taking classes and started studying. stopped smoking cigarettes and decided that I could not study for school if I was smoking weed, it’s hard to study stoned. So I stopped weed so I can always be ready to study and handle my business. Shortly after that I decided I want to feel normal. Like a human, so I’m currently quitting coffee. I realized that after I have coffee I tend to have to reach for atom to balance myself out? So I would get the ball rolling with coffee then I would HAVE to reach for these other substances to balance myself out? So why not stop ?the source?. I am feeling a lot better and as I mentioned before: I am weening off of atom (the thing that I have a dependence on). During the morning when I would feel my worse I would automatically reach for it. However, a few mornings ago I sat with feeling for a while, and it took about 20 minutes (of hell) but I turned a corner and the ?agony? I felt mellowed out. I didn't know that would happen. It’s been years since I allowed myself time without that. Currently, I’m tapering off, and I hope to be 100% off of everything so I can experience what it’s like to be a ?human?. I wish you all the best, you are more amazing than you know. PS. I started to process my pass traumas a few years ago and that was a huge part of me taking steps to cleaning my life up.</t>
  </si>
  <si>
    <t>Been abusing opiates on and off for a couple of years, and I'm 1 month clean right now. I feel great and have no immediate need to get high; although I know I'm going to. Like it's nice feeling healthy and clear-headed, but there's a reason I started doing these meds in the first place. I know the "right path" is therapy/medical treatment/dieting...etc. But I don't want to feel normal I want to feel high. I'll probably ride this out as long as I feel I need to, but I'm 100% getting high again and probably binging TBH when I got the health and money to spare. I know the consequences, but sober living has sucked since a child lol if it isn't meds I'm eating junk food like a madman or some other form of getting my dopamine. Should I feel bad about this and try to fix it or just accept my experience on this earth with my highs and lows?</t>
  </si>
  <si>
    <t>First anyone who reads this post, is an awesome person. Much appreciation to you. It's hard.to be honest with my feelings. Just now I've asked a beloved one to stay with me for a while. I've opened up and talked about my insecurities. But I don't feel relief. Just after I've said it felt like I shouldn't have said it at all. Making me feel like I'm a soft weak baby who can't stand on his two feet.</t>
  </si>
  <si>
    <t>I don't want to discuss in too much detail, but she is not herself anymore, hides her pill bottles, and her appointments with the doctor that is prescribing them... but before I confront her I want to understand the situation as a whole, options of treatment, and really just how to address it all together. My mother is stubborn, and has grown even more unstable recently. If I was to go into a local rehabilitation facility would they have someone there that could offer me knowledge or information? If not where can I go?</t>
  </si>
  <si>
    <t>I have a lava addiction. I used to be an alcoholic, but naltrexone absolutely took care of that. Furthermore, I will take 90 pills of lava in one day and still function on it. Nobody seems to know what this is and laugh at me. I don't know what to do.</t>
  </si>
  <si>
    <t>No idea how to get into a 30-day rehab, nowhere to live anything tips etc., would help, thank you 20y/o male</t>
  </si>
  <si>
    <t>So I (24/f) have been struggling with self-harm / addiction for the past 11 years, which includes cutting, poly-substance abuse, and eating disorders. I've been addicted to cigarettes, cannabis, cocaine, amphetamines, opiates/opioids, benzodiazepines, and alcohol. I think I use substances and use the ED's as another form of self-harm, and as a way to escape the crippling anxiety and severe depression. My father (who I no longer see or speak to) is an emotionally and physically abusive addict. I also have anger issues, which I attribute to him especially. The eating disorders are related to the substance abuse; I used stimulants to maintain a low weight and getting drunk was the only way I would eat. Then I started drinking so much that I binged my way back up to a healthy weight. I'm still in then normal BMI range, but not that far from being overweight. Now I drink to forget how much weight I've gained. I've attempted suicide, overdosed countless times, gone through horrible withdrawals, and seen the face of death multiple times. I even had a heart attack, at age 20. Still I suffer with palpitations, and struggle to breathe especially when lying down on my back. I've been to the doctors about this, but they say my vital signs, X-rays, and EKG's all come back fine. The substances I am currently using include oxycodone and morphine (5-10 MGS a few days of the week), the occasional cigarette, the occasional bowl of cannabis, Adderall (20mg every other day) and I drink alcohol every day, which I am physically dependent on (something like a 6-pack and bottle of wine). Some days I'll drink a little less, some days more. But I have to drink consistently the throughout the day to avoid withdrawal. It's incredibly painful. I recently decided to go back to college for CIS. While I am happy to be in school again, I struggle with math (basic algebra) and my first test is coming up on Tuesday. I fucked off studying last weekend, and now I'm extremely unprepared. I skipped one day of math and two days of art - my only two classes. Furthermore, I feel physically sick from the substance use and my anxiety is so bad, I've been having anxiety attacks every day. Right now I should be studying, but I am so anxious and depressed that I am physically paralyzed on the floor of my apartment. I miss my mama every day, but we don't always get along, and she lives in another town. I don't have a car, so I can't drive to see her. Furthermore, I just got in an argument with one of my best friends the other day - she apologized, but I still feel depressed about it. Furthermore, I live with my sister, and she is supportive of me - we got in a couple arguments recently as well, but talked it over and are ok now. Now my boyfriend started fighting with me because I didn't know if I want to go to this Blockchain event today, and he knows I'm extremely anxious about my math test. He paid for my school and said if I fail this semester I can just try again next semester. He is usually very supportive, but today he was upset a saying he doesn't understand why I can't just go to the event. I met someone who says he will help me with math tomorrow, and that is the only hope I have now. I want so badly to be free from addiction, for so many reasons. Furthermore, I want so badly to be comfortable in my own skin. To be happy and successful, to make my mama proud of me. I feel so lost right now. I've been to rehab a few times, never more than a week. The last one was nice, but they thought I was suicidal (which I wasn't - I only admitted that I had tried to kill myself before) and they kicked me out. Someone please help me, I feel like I'm going to die before I'm even 25. I'm sorry this is so long btw):</t>
  </si>
  <si>
    <t>She has seen me at the lowest parts of my addiction many times. We’ve been together 7 of the 12 years I’ve been addicted to heroin/opiates. As well as frequent binges of alcohol. Last month she had to Marcan me 3 times to get me back. She thought I was gone already, they had no idea how long I was out. I’ve been to the same detox facility twice as well as two different stays in residential treatment facilities. They were supposed to each be a month long. I left the first facility two weeks in, I had it in my mind I could do it on my own and that I wouldn't ever use again. I died that same month. Furthermore, I went back to a different place, and didn't even make it a week before I was kicked out due to a verbal dispute with another client. I’m back home now, and it has only been two weeks since I overdosed. She’s scared. But she also has it in her head for some reason that she’s the main root of my addiction. It’s the complete opposite though. She is the only driving force keeping me from going all out. She just caught me snorting her Suboxone after lying to her twice about not having touched it. I’m supposed to start the Naltrexone pill in 10 days and then hopefully get the Visitors injection soon after if all is well. I’m not sure what is wrong with me. Furthermore, I feel like I’m going crazy. It’s not just the anxiety and depression. It isn't just the suicidal thoughts and self-destructive behaviors. It’s not just the marital problems and stress of 3 kids. It’s not just addiction even. I don't even think it’s a mix - I just don't want to be sober. Period. I don't care what it is, I just want to stop feeling this pain mentally and physically. Of course, I prefer opiates though. I try to lie and hide it but in the end I’ll do it regardless if I get away with it or not. It’s not that I can't stop, I just don't want to stop. I’m not going to stop. I may wait awhile until I can sneak it into my schedule without my life imploding, but that’s the thing. I’ll always just be waiting. I’m not looking for a pity party, I know there are consequences of my actions. Furthermore, I just needed to rant, surely someone here has felt the same way at some point. Thanks for reading if you took the time lol</t>
  </si>
  <si>
    <t>Last night I took 8 bars, backed out in the bathroom at 3am and woke my stepmom and brother up, she thought I tried to kill myself. I’m 17, I want to be able to live my life, go to college, you know just be as ?normal? As one can be. It’s terrifying but hearing these other women who are supportive makes me want to do better. It’s scary but necessary now. I never thought it would get this bad. I don't want to ruin my life further.</t>
  </si>
  <si>
    <t>I recently wrote my brother an intervention letter due his addictions over the years. He had been on meth for years and now is on fentanyl. He was very responsive to the idea of getting treatment and expressed being ?sick of it?, regarding the grip that substances have on his life. Anybody have any advice or know of any good rehab/treatment facilities in Ohio? He seemed very open to any and all options in order to feel happy again without drugs, but felt lost and unsure of how to finally get clean. He has tried getting clean on his own, unsuccessfully, many times in the past.</t>
  </si>
  <si>
    <t>I’ve been struggling with an addiction to a certain kind of porn for a while now, and am I seeing a forensic psychiatrist because of the reasons that led to the addiction. I’m becoming more and more desperate as time goes by and I’ve been begging him for something to help me quit cause my willpower just isn't enough. He brought up naltrexone, but I couldn't make the decision to try right away, so we agreed that I’d think about it and let him know on our next appointment if I want to try it or not. I decided to give it a try, but he was no longer willing to prescribe it, saying there’s insufficient evidence of it being effective for such an addiction. I told him that I’m desperate enough to be completely ok with being experimented on, like I have nothing to lose cause my next option is suicide, but he still refused. So now I’m trying to gather every little bit of evidence supporting naltrexone to try and persuade him to let me try it. Does anyone know of any research articles or even better, have personal experience?</t>
  </si>
  <si>
    <t>IDK when it started, but ever since I was a kid I would love to steal. It started with small things like chapstick and shit but has evolved into bigger things like TVs and laptops and shit. The adrenaline I get from it and the planing for it was addictive. I’d say I’ve stolen around 200 items just last year, probably more. I’ve tried to stop before but the sensation I get in a store is too overwhelming. I’ve never been caught stealing, and I think that might be why never stopped as a kid. If anyone has any questions about how I pulled some of this stuff off or questions in general about it feel free to ask in the comments.</t>
  </si>
  <si>
    <t>I have been sober for the better part of 5 years now, and my DOC was both heroin and crack. Since I’ve been sober, if I watch a movie that has the actors playing out a scene that includes drug use, mainly the use of crack, I get sick to my stomach and just can't continue watching it. So I change the movie and after a few minutes I’m okay. I recently found out that someone close to me had brought crack to my home. I was completely disgusted, I started to sweat and shake. Furthermore, I had the worst case of anxiety I could every imagine, and I even threw up. Furthermore, I don't know if this is normal or if it will ever go away, but I am just trying to get some advice on what I can do to deal better with seeing these things in life, or honestly even talking about getting high because that too makes me sick. Furthermore, I just want to know if this is like an actual side effect of sobriety and if I can do something to help myself not have such a dramatic reaction to even the words. Furthermore, I sometimes feel like it’s extreme the way I react but it’s like I can't control my body to not be so on edge. It’s not that I even crave it, it’s the fact that I am so disgusted with the entire process of drug use and I really don't know how I ever even did it to begin with. I look at people who use crack like on a completely different level than I do with people who use heroin, and I can't understand why that is either. Please help me understand and give me some advice to cope with this anxiety and panicky situation I have every so often.</t>
  </si>
  <si>
    <t>I have been really struggling with an alcohol addiction for the past 5ish years. I am not ready to completely quit drinking yet so I have been trying so hard to come up with strategies that will help keep it under control. Furthermore, I have made a lot of progress in the past 2 years - I don't get drunk by myself nearly as much, I’m not getting drunk 4–6 times a week, and I am trying to be lot more aware of my actions. Furthermore, I started doing 2 ?sober? Months per year last year when I pick 1–3 days of the month to drink and that’s it. I am proud of myself for being able to do this whereas 3 years ago this would not have been a possibility for me. However, I find that after the month is done I go right back to making stupid decisions, blacking out every time I drink, and slipping right back into my bad habits. Does anyone have any suggestions of strategies that worked for them to maintain a healthy relationship with alcohol without quitting entirely?</t>
  </si>
  <si>
    <t>Hey guys. So I started of in high school sniffing thinners, then I move to weed. Then I tried crystal meth which is my drugs of choice. Started off with smoking then went on to injecting. I was 19 years old, I'm turning 32 this year. I haven't been able to put the meth down for more than 7 months. Why do I still think I'm not an addict? I still think I can control this drug. It must be the disease of addiction. Anyone's input are welcome.</t>
  </si>
  <si>
    <t>I've been clean from cocaine for about a year. No cravings because It Made so sick never going back. However, because different circumstances for the last 3 months I've developed major depression, parents sick, moved away from My family Lost of Jon etc. I'm with psychiatrist treatment, but meds does not help in any way, changed meds 3 times and nothing, Starting psychotherapy next week... I cry all day every day destroying My relationship with my husband...anyway the fact that I was an addict could affect the antidepressants?? No meds are working</t>
  </si>
  <si>
    <t>I have no desire to do anything. Dragging myself to exercise. I know what normal feels like before the addiction and this ain't it. Will my passion come back, and when will I start feeling better?</t>
  </si>
  <si>
    <t>My addiction is probably not very common, but it sure is problematic and ruining my life on a daily basis. It all started back in September when my friend showed me a musician he found funny. He shows me new songs he finds pretty often, and I usually don't like it but this time it was different. The musician in question blew my mind by his humor / the absolute banger that was the song / his unique accent And it all started from there. Then I discovered all his other songs and I absolutely LOVED all of them. (and I'm usually super difficult when it comes to liking music. As time went by, I kept falling further and further down the rabbit hole : listening to all the interviews I could find, reading about him, learning every little thing I could to the point it was basically stalking his personal life. I even started a fan YouTube account to archive all his interviews available online / performances/old content (the guy isn't THAT famous, basically an up and comer from where I live so he even found out about the account. I was ashamed). Then, after a few weeks, it got worse. I discovered that the guy streams a few times a week on twitch. Guess who has watched EVERY SINGLE STREAM since September ? Then I discovered he has a discord server where's his super active with his fan base. My addiction started to get way worse at this point since I could basically interact with him whenever I wanted. So yeah, that's my problem right there. Since September, I only want to listen to his music and nothing else. I watch all his streams even when they last more than 5 hours.I'm.always.there. All my spare time revolves around him to a certain point. I'm going to go see him in concert 3 times this spring. I hate myself for being that addicted. Furthermore, I have to distance myself from all of this. But at the same time. It gives me so much joy. What have I become ? It's pathetic. I promised myself to stop watching his streams from now on. Maybe watch some afterwards when he's offline ? I promised myself to almost never post on his discord anymore and to not meet him when I'll see him in concert this spring. For his music, I'll keep listening to it as it's not that much of a problem. I originally wanted to go visit his hometown this summer since it's an absolutely beautiful small town by the ocean. But maybe I shouldn't. Anyway. One day at a time. Crossing fingers that I can become just a regular casual fan, enjoying his music without getting so emotional attached. Also, this is a throwaway account since I sometimes post about him on Reddit, and you could easily find who it is, so.</t>
  </si>
  <si>
    <t>Heya, My boyfriend is an addict but is generally doing OK, and only using a couple of times a week (KET). However, anytime he has money come in he ends up on a bender. This week he's been a wreck, he's lost his phone, and I've not heard from him for days at a time. Two days in a row he's said he's going to come see me but then cancelled last minute, literally after he's said he's going to be over in 30 minutes, because he's high. I don't know how to not get mad. I've spent the entire week worrying about him and waiting for him, not making any other plans because I want to see him and then just end up alone and angry. I understand it's not ideal for me to get angry at something that he's not doing intentionally, but I have to go through this at least once a month and I just don't really know how to deal with it.</t>
  </si>
  <si>
    <t>Does anybody know an actual way to stop using weed? I’m 19 yo, I was in rehab twice, and honestly I’m so tired of AA, I can't stop thinking that AA just fucked me up and that I will never stop using weed unless I stay with them. It took me two years to find out it’s kinda like a cult. I’ve been smoking weed since I was 14, and I can really see how it has affected all aspects of my life. I’m definitely addicted, there’s no doubt about it. Furthermore, I relapsed in the first year of the pandemic after leaving AA, I thought that this time would be different, but it wasn't as you guessed. Furthermore, I always got told in AA that every relapse is worse, and it is. I’m in an isolated place, I stopped answering calls and messages from family, friends and even my GF which I lost, I’m not doing too well in school, and my relationship with my family is broken, I don't have any money because I spend it all on weed, and basically I lost all motivation to live, I stopped reading, drawing, doing HW, doing exercise, and I don't even go out anymore. My dad was a heavy smoker, and he quit without a 12-step program, but I can't. I just need some real life advice or something to rewire my brain. I’m in that point where I don't even know who I am, I’m kinda DE realized.</t>
  </si>
  <si>
    <t>I've just finished watching Dope sick on Disney+ and it hit really close to home for me. The Tackler family behaved in a way that makes me absolutely sick, and watching the series has inspired me to share my story. I suffered a knee injury in 2011, aged 16. I went to see my GP who and prescribed Co-Codamol 15/500 and referred me to a physiotherapist. Furthermore, I took the pills for a few weeks and went to my physio appointments to try to strengthen my knee back up. This went on for a while, but unfortunately my knee wasn't feeling any better, even after several months of therapy and several rounds of pain medication. Eventually I was referred to an orthopedic consultant, who agreed I needed an MRI to see what was going on. The results of the MRI showed that I had torn cartilage in my knee and had also partially torn one of the main ligaments. The consultant suggested the best option for me was to go on the waiting list for surgery, which was around 1-1.5 years long at the time. I was happy to wait, as it had already been a few years of doctors? Appointments, physiotherapy sessions and painkiller prescriptions ? And I thought the extra wait would be fine. During the wait for the surgery, the pain seemed to get worse. I had stopped seeing the physiotherapist, as the consultant now knew that no amount of strengthening would fully ease my pain. However, I found the pain to increase after stopping. I went back to my GP, who was then able to prescribe Co-Codamol 30/500, double the dose I had previously been on, because by that stage I was over 18 years old. Quickly I found myself becoming dependent on this medication. They helped my pain, but I can't lie - I also enjoyed the way they made me feel. I would finish the prescription within 2 weeks, rather than 4, and top myself up with over-the-counter Co-Codamol, until it was time to get another prescription from my GP. This became a bit of a cycle for me - prescription, OTC, prescription, OTC....and so on. I finally got the surgery in 2015 aged 20, yet the pain remained. I kept seeing my GP, who kept prescribing the medication and I kept taking it quite happily. Furthermore, I was extremely depressed during this time of my life. Furthermore, I had gained a lot of weight and I hated the way I looked. The only thing that made me feel good was the buzz I got when I took some type of codeine-based medication. Eventually I started buying Dihydrocodeine, a strong codeine-based painkiller, from online pharmacies. I would get into a cycle where I was taking codeine for several weeks and then taking a break for a week or two. In my mind, the fact that I was able to stop for short periods meant I wasn't addicted. I told myself that my ability to stop every so often meant that I didn't have a problem for a further 5 years until I completely lost control. In March 2020, I found myself catching covid at work. It hit me pretty hard, and I ended up with pneumonia, pleurisy, and countless other chest infections which kept coming back every time I thought I was beginning to recover. The pain across my back from all the inflammation in my chest was agonizing, and I took that opportunity to get more painkillers from my GP. They did help, but I had developed quite a high tolerance over the years and their effectiveness quickly diminished. I started going back to pharmacies, sometimes up to 4 in one day, buying more and more codeine-based products. I was constantly thinking about which pharmacies I hadn't used recently, which I had, and which ones I could use to avoid any suspicion. Furthermore, I would constantly lie about where I was going, just to get some pills. Furthermore, I would also use online pharmacies to buy the stronger prescription only medications that I craved. Furthermore, I made accounts with several of these sites, did the health assessments for them all, and happily paid for my prescription to be delivered to my door. This then opened the door for me to start looking for other medications online. After a month or two of lockdowns and isolation, I found that codeine was no longer enough for me, and I started looking into buying diazepam and other benzodiazepines online. This sent me into a complete downward spiral, as I was buying any pills I could get my hands on, from any sources available. This (most of the time) meant that I was receiving pills from India, which were more than likely completely fake. I was also drinking quite heavily during this time ? An extremely dangerous thing to do when you’ve been taking upwards of 30 pills a day. On one occasion, a friend had to come to my house and almost pull me out of the hot tub. I had taken a handful of pills (a mixture of codeine &amp; benzodiazepines) and then started drinking cocktails for the afternoon. We had been texting throughout, but when I suddenly stopped responding, she naturally became extremely concerned. She arrived to find me almost passed out in the hot tub by myself with a drink in my hand. That was probably one of my lowest points to date. But it wasn't enough to stop me. On another occasion, I remember waking up and finding 4 diazepam remaining in one of the sleeves I had received in the post on the previous day. There were 60 diazepam in total, and only 4 remained. I had taken 56 of them the night before (alongside a lot of alcohol) and had absolutely no recollection of doing so. To this day I still don't know if I did this on purpose and that terrifies me. I have overdosed on numerous occasions in the past, but never on purpose. Never for a reason. So to think that I was possibly in a place where I may have purposely overdosed to end my life is one of the scariest thoughts I have. By the Summer of 2020, I was just a shell of the person I used to be. My own mother barely recognized me, which is still a painful thought to this day. When I was eventually sat down in July for the final time and told my behavior needed to stop, I took action. Admitting I had a problem was one of the hardest things I had to do, but I’m so glad that I did. Up until that point, I had denied any allegations of substance abuse and completely ignored any help or advice that was given to me. This time was different. Things needed to change. I went back to work and did my best to resist any temptations to go back to my old ways. I stopped benzodiazepines almost immediately, then I worked on giving up the painkillers, then cut down on alcohol a few weeks later. Furthermore, I suppose I was lying to myself at the time about my alcohol consumption too, but I eventually got that under control (one battle at a time, am I right?). From March-July, I was in a very dark place. I can safely say that I absolutely hit rock bottom and then kept going. I don't know how much longer I would have survived if I didn't have the family and friends that I do. Everything I did during that time should have pushed them away, but they stuck with me though it all and I’m extremely grateful to them for essentially saving my life. As of today, I have been clean of Bezos for 581 days and codeine-based pain meds for 568 days. I do still drink alcohol, but I’m happy with my consumption these days. I had a lot of underlying mental health issues which accelerated my alcohol consumption back then, but these have now been acknowledged and addressed, and I can safely say that I now enjoy a drink in moderation in a social setting only. Furthermore, I don't wake up with shame and regret anymore ? Just a content feeling of a night well spent, and I think that’s something I can really be proud of.</t>
  </si>
  <si>
    <t>I’m 16 years old and I want to start smoking, but at the same time I don't. I know most are going to say it’s unhealthy, addicting, and not to do it. However, I can't get it out of my mind. Whenever, I pass one in a pack in the store with my mom, I imagine myself smoking one. The thought of cigarettes is like stuck in my head and drawing me in, even though I know I will die early from doing it if I ever did it. What should I do? I know it sounds weird.</t>
  </si>
  <si>
    <t>When I was younger the one thing I couldn't get over was the perception that I was limiting myself, that I was denying myself the freedom to choose in this one area. The freedom to use once in a while. Skip ahead 25 years of abuse, neglect, and watching all my dreams, and efforts, go down the tubes along with my relationships, and reputation. And accepting this one limitation has given me complete freedom to rebuild my life. It's restored most of my health my ability to think and reason and won me back the people I love. I'm even right on the verge of getting a job back in corporate America and being able to put my degree to use. My reception of the lost ability to choose was absurd. You can really save yourself some heartache by listening to those that have been down this road. Give yourself a chance Let Hope friendship and love back into your life. Let go of these demons.</t>
  </si>
  <si>
    <t>Hope everyone has been well, I wasn't sure where to post this, but considered others here would understand. So long story short I have been clean for some time yet struggle with many things, one of the big things is I often have been used to being in a zone (being high) to get things done. That being said I find my motivation and discipline have suffered a lot and need a lot of work. For those that have given themselves time to heal and overcome these challenges and more what steps or recommendation would you offer. I often barely move unless I feel it, and that can be in many forms whether it be caffeine, the wakeful energy from just waking up. I just am scattered and failing badly at everything, I still suffer from wanting to use but have resisted because I know it's possible to grow beyond a weakened mindset. Furthermore, I hope I make sense</t>
  </si>
  <si>
    <t>Nicotine dreams running on caffeine steam, free basing the brew right off the top of the mug, drowning in cigarette smoke, blurring up the mirror... tricking the habitual self into an acetylcholine-ic shock, interrupting the transmission of one's parasympathetic spots... littered all along the nervous system, contracting muscles, dilating blood vessels, increasing secretions, and fluctuating the hearts biological rhythm... Hijacking the natural reward captains, of one's ship... To legit to quit... Overcoming the sufferings of an unrealistic expectation... Assuming exceptions to prove the rules... Recognizing the process... Exercising this awareness... Challenging carelessness... Complex interactions of the mind are begging to be simplified... Solve for X... Or was it Y? Environmental hazards mixed in with genetics... Changing the variables Eliciting different results... Impulse controls over the judgment of one's whole... Completely recovering from the discovery of: what we are not... Excited to get on top, and see, who we might really be... Pre-contemplation leads to contemplation... No need for any further compensation... The ambivalent denial of that which seems to become impossible enters a realm of that which is probable when we acknowledge the humility of our own personal struggle... Taking action Making things happen. Establishing a sense of ambition... With something to achieve... ... Beyond belief... Supportive people, with open arms... Reduce harm, and Eliminate the internalized alarms... Setting boundaries... Following steps... From stone to stone... Knowing, that even when it seems like you are on your own, still, you are not alone... Navigating through anxiety... Rebuilding one's society... With better mental health provisions, providing greater mental wealth decisions... Deciding to invest in the developments of a deeper breath... But, the cognitive behavioral truth is that things will never be the same again... And so we must embrace the burdens of what we've been learning such that we may turn them into gold... The substance of our soul... Something to behold... "A Mindful therapeutic beauty that simply must unfold"</t>
  </si>
  <si>
    <t>I was a very happy kid until my son of b cousin introduced me to porn. For the past 8 years I spent a lot of time watching naked women having pixelated sex. And I become a less social guy. Now my health is at the worst, I wish i didn't fall for the trap a long time ago</t>
  </si>
  <si>
    <t>I broke into the medicine bag by cutting one of the zipper handles (there’s two and a lock holds them together). Idea why I did it, I immediately panicked and regretted it and didn't even open the bag. I tried glueing it back together but I couldn't so now I just have to wait until they notice and then they’ll freak out and yell at me and send me to rehab even though I don't need it. They go between either acting like I don't have a problem to saying if I take any drug at all I need to go to rehab immediately. I didn't even take anything but they’re not going to believe me or they’re just not going to care, all they see is a stupid fucking kid that’s causing problems.</t>
  </si>
  <si>
    <t>The impermanence of reality and the fleeting passage of time remaining forever intangible or absolute. Why would a life seeking material goods and other shit be the answer? It’s so obvious this is the real problem. Trying to hold on to anything that will change regardless of what one thinks, feels or believes. We are master deceivers and I can't play this bull shit game anymore. The bullshit game I’m talking about is this fucking insane narrative we live in. Capitalistic greed with an arrow of progress, exponentially pointing up. I’m an addict just like everyone. We’re all so narcissistically involved with ?ourselves? we’re blinded by the truth of reality. How can I not be slightly satisfied with me? I have everything and more. Probably what some people dream of, yet I’m unable to love myself. What the fuck does it take to legitimately love one's self.</t>
  </si>
  <si>
    <t>Hey I'm 18 years old, and I think that I am slowly but surely getting addicted to online gambling. It all started with my friends boasting about how they won $30 on live blackjack. I was intrigued and wanted to see if I could win too so I started putting in $10 sometimes. The problem started when I would keep winning more and more money. I never left a single session without getting my money back. My sessions went from $10 sometimes to $20 every weekend. Then about 3 weeks ago I lost my shit and decided to put $140 into live casino one night, once I lost that amount I had decided to put in another $80 because I wanted to win everything back. Then to my surprise I win $1600 and I told myself that I'd never gamble again, cause a win that big will never happen again. Of course a couple of weeks later I get back into it, and today I won another $100. I don't know what to do now, I really want to gamble because I haven't lost yet. It's just so easy to hop on some live casino when I'm bored. I think that I have to stop before I go down a road that I'll regret. What should I do to put a stop to this addiction?</t>
  </si>
  <si>
    <t>I have PTSD social anxiety depression and take medication. But for me, it still wasn't enough. I still wanted to kill myself now I take medication weed and other random pills from headaches and sleeping aid all at once just so I can sleep for once. And now I’m heavily addicted. I’m scared that IMA become even worse. Because every time I need a higher dosage. When I try to quit weed and pills and sleeping aid I feel terrible have panic attacks cry allot heart beat is weird and sometimes consider suicide as a better option. I’m very scared because I?my try to quit today and I’m scared of myself. Furthermore, I need tips on how to quit please If there is anyone please anything will help.</t>
  </si>
  <si>
    <t>I’m an addict two months clean. I personally haven't seen the show, but my fear is that they glamorize drug use by portraying it in a way that is entertaining for a teenage audience. Anybody seen the show? Any thoughts? Just thought I’d ask since most people I know seem to love the show and it sort bothers me. Like people think after watching the show that they understand addiction. Like, no man, you don't!</t>
  </si>
  <si>
    <t>I'm sorry to be dramatic, I am a self-professed alcoholic. I've also realized that any substance I come into contact with I love. Furthermore, I love MDMA, I love blow. Furthermore, I gave them up to move on with my life. Furthermore, I am for sure addicted to booze, but the bigger issue is snorting ADHD meds. Furthermore, I've been a professional female in healthcare on my meds for OCD for 3 years. 6 months ago I was diagnosed with ADHD. It makes a lot of sense. Ever since I was diagnosed I learned Concert could make me feel high. So I crushed and abused it for 3 months. I realized how much of a problem it could be. I decided to leave Concert behind, and now I'm crushing my Wellbutrin and snorting it 2 times a week. Can I ever be normal? Or is this forever ?</t>
  </si>
  <si>
    <t>Hey so yeah question is pretty clear, but I still wanna use this post as a vent. I'm not that deep in addiction that I would be using every day I don't need it and I don't want it because getting high day before work is not the best thing to do. Last Sunday I decided that I'll be clean till end of the month and I made this decision because I got drunk, and I was driving, and I didn't sleep for a day, and I was falling asleep on a highway and I almost ended up out of the road. I almost died just because I told myself that I'll be clean, but I didn't know that I can't drink either I thought I can handle it. But I didn't and because I was really drunk my only thoughts were that I really need to get high. I never felt like this, this was first time that I really 'needed' it. TBH I wasn't scared that I could die it's just not that big deal but at that moment I realized that my problem is bigger then I thought. After that I was clean and sober for 6 days, but then weekend came again, and we were having few drinks with coworkers. I always knew how to drink, and I never really got that drunk but that weekend I just wanted to get drunk ASF because the whole week without drugs I was just sleeping, and I couldn't find motivation to go ti the shower or clean my room. So I did the same thing except for the fact that I don't remember my way to the party where I went and after party I couldn't find my car and when I found it I had a flat tire. That was this Saturday and on Sunday I was like 'I'm really going to stay clean till end of the month.' But Monday was terrible I wanted to get high so much, but I just went to sleep. Tuesday was even worse my work is just pissing me off every day and I even texted my plug, but he didn't have time. Yesterday was another terrible day, so I just bought 2g of speed just so I can clean my room OK. I want to get clean but on the other hand I don't wanna. I probably have some mental health issues, but I don't have anything diagnosed, but I just can't find the motivation for anything. In my job I'm working normally but when I get home it's so hard for me to get up from bed and really do something. So almost every time I need to do something I just do some speed because it's easier. I just don't know what to do, or I know it, but I don't really want to do it. How do I stay clean and actually function in normal life? Do I need to stay clean for longer time and does it really get better? Because I don't believe in it any more I was clean for 16 days and I could have been fine, but I moved to another country alone, and I fell into depression and then started with drugs again. And one important question: Am I bad just because I don't want to stop yet? (I hope this makes sense I didn't sleep, I'm tripping ball RN and my English isn't best XD)</t>
  </si>
  <si>
    <t>I slipped with pills on the 5th and I’m almost 3 days sober now. It’s been hard, and honestly I did try and get more, but I didn't. I was pill free for 3 months so it’s kind of made me want to just give up trying to stay off them because it didn't get easier. But here I am 3 days sober, and hopefully it stays that way for at least a couple of weeks</t>
  </si>
  <si>
    <t>I lost my earbuds today. That's so dumb that it matters, but I think it was the straw that broke the camel's back. I've always used music as a coping mechanism. It's basically an addiction in its own right, and it's helped me stay off of coke better than anything else. I don't know how I can wake up tomorrow and not hear music. I am 4 months sober from cocaine to the day, but I want to use again so bad. Furthermore, I don't think anyone can talk me out of it. Furthermore, I keep thinking that if I use right now, I'll feel better in 10 minutes, but if I wait, It'll take so much longer. Furthermore, I know I'm going to relapse. Furthermore, I'm so sorry.</t>
  </si>
  <si>
    <t>It’s called ? The Science of Quitting? And mentions NOTHING about addiction, however the connections are so obvious for those with our affliction. I listened with a non-addict friend of mine who found it astounding for every other aspect of life. That’s why he wanted to share it. I however, made a deeper connection with my experience as an addict. If anyone is struggling to quit, or struggling to quit, this is for you. Please if you’re having a hard time tonight, give it a shot.</t>
  </si>
  <si>
    <t>Family therapy involves a therapist and family members to better solve family conflicts. Family therapy is a group of therapeutic treatments that aim to harness the family's strengths and resources to help them live a drug-free life. It also aims to lessen the impact of addiction on both the addict and his or her family.</t>
  </si>
  <si>
    <t>I’ve always been a really anxious person in social settings and recently i?VE been taking 1 mg of Xanax and have found that it helps. All of my anxieties in public vanished. I'm not anxious to talk to people when I'm on it and i?VE always kept to myself in fear of judgment, but now I'm excited to hold conversation and speak my mind. I?VE only barely turned 18 and get the fans from my mother since she gets them prescribed. My mother has a pretty fucked up addiction to these pills and i?VE always promised myself to never become addicted to this shit. Is there anyway I can take this medication safely, as a young teenager? Has taking a 1 mg an sometimes already put me at risk of being addicted? When I do take it is?s usually in the morning before going to school. In school, it’s much easier for me to focus on what I'm supposed to do because i don't have all of these unnecessary worries in my head. The effects aren't necessarily a high feeling, it just makes me feel normal?? Its like when I take it I realize ?this is how I should really feel? And I question why I had any of these anxieties at all. It seems to have helped me analyze my anxiety inducing thinking patterns which is perhaps beneficial. The negative though is the physical manifestations of my anxiety; the trembling, nervous sweats, shaky voice. I feel none of this on Xanax, and fail to understand why I cannot feel this way without a pill. Is it possible to take Xanax in moderation (at my age) without becoming addicted?? Tl;dr: Is it possible to take Xanax in moderation (at my age) without becoming addicted?? (age 18)</t>
  </si>
  <si>
    <t>Dang. I just found a note on my phone from 2019 that was written in case I accidentally overdosed and died. I wrote that I didn't want to die, I wasn't suicidal, but that addiction overpowered any desire to live a happy, normal, and carefree life. Furthermore, I wrote at the end that even if people are sad, I’ll be with my best friend in heaven. What a weird thing to come across, and spooky.</t>
  </si>
  <si>
    <t>Almost 30 years old and I can't wrap my head around why I break so damn easily. I remember living happy, sober days, and now I feel so miserable and low when I’m sober. I’m almost always looking to escape reality and the more I break, the more I see the life and relationships around me deteriorating. Furthermore, I never had any serious mental health problems as a child and now I’m depressed every second of every day and it’s all my fault. Furthermore, I did this to myself. Constantly looking for someone or something to blame and it’s me fucking myself over and over again just for temporary instant gratification. I feel helpless.</t>
  </si>
  <si>
    <t>When I try to quit on my own I never seem to make it past 3 days sober. That's the day I mentally feel the worst from the comedown and I feel so bad I do anything to make it go away, mostly relapsing. Not even asking for help now but I just need to vent out the frustration and anger at myself.</t>
  </si>
  <si>
    <t>Is it possible to be addicted without using often? I feel like I'm always longing to be fucked up, and I'm often fantasizing about the next time I can use hard drugs and then plan it all out in my head, but I don't use drugs very often (once every 1-2 months). I also don't particularly want a specific drug, any high will do. Furthermore, I do smoke weed 4–5 times a week tho. But that's not the type of feeling I am craving, it's really the 'hard drug high' I'm always thinking about. I find it hard to get things done and focus on other things because my mind is always drawn to the thoughts of drugs. I have read about polyaddicts, that would explain why I don't want a specific drug, but I don't know if you can call it an addiction because I use so rarely. What do you all think about this? If I am exaggerating just tell my because I kind of feel like this post doesn't belong here because the other posts here are about serious and a lot more obvious cases of addiction, but I don't ally know where else to post it.</t>
  </si>
  <si>
    <t>Then I came home. Relapsed on fentanyl, it doesn't feel good. Went to methadone clinic and I realize how damn moody I get. Look at my post history, I said I was going to get clean. However, I can't. I don't feel like being alive without Bezos or something else.</t>
  </si>
  <si>
    <t>Last night, i OD’d for the third time in the last two years. Though this is the first time my mom had to be the one to find me. There were paramedics and everything, I felt so ashamed and embarrassed and wished i didn't wake up. Even then, it didn't stop me from asking my mom for my pills back. I?d rather be high as fuck and in my own world than sober as fuck and worried about what everyone’s thinking. I hate it. I often think about getting sober but when the time comes to say ?no? I almost never do. I'm only 21 years old and I know I have so much to live for but everything just seems so pointless. The worst part is I'm convincing myself I'm not addicted like I tell myself I could just stop tomorrow if I wanted but that’s a big fat fucking lie. Would y?all say I'm an addict?</t>
  </si>
  <si>
    <t>Not asking for medical advice. I was just curious to anyone who may be more educated on this than I; Since gabapentin and alcohol both act on the same receptors, theoretically, if one were to quit both at the same time, would there be two entirely different sets of withdrawals because they are different substances? Or would it just be one massive set of withdrawals?</t>
  </si>
  <si>
    <t>I don't really know where I should post this or what I should do right now, but I'm sure that people here can point me in the right direction. I [M17] have been keeping a very close eye on the activities that my brother [M14] is participating in. Furthermore, I'm not sure of the exact timeline but for a few months he’s been using/abusing MDMA and I’m not sure for how long but he’s also using oxycodone. My parents are aware that he occasionally smokes weed, but they are unaware of the extent of this problem. Key indicators for me have been decreased time spent at home, lack of care for school work and drug paraphernalia. My father spent a lot of our childhood abusing opioids and I don't want this to happen to my brother. I know you can't change somebody but I’m not sure what to do currently. I’m posting here to ask who should I talk to, and what should I say? Furthermore, I could talk to my parents, doctor, therapist or possibly others.</t>
  </si>
  <si>
    <t>I’ve realized I am addicted to chocolate. I’m spending so much money on it and eat so much I forget to eat real food a lot of the time and eating so much every day I’ve tried to cut down, but it makes me crave it more, and I end up binging and feeling worse. Furthermore, I don't want it to turn it into an ED where I restrict them binge, and it turns into a bad cycle Does anyone have any tips on getting out of this craving</t>
  </si>
  <si>
    <t>I took a fat fucking shit, and it was the best feeling ever, and I relapsed on cigs I couldn't take the migraine and the body pain also am slightly proud of myself I set a therapy session up with my therapist that I haven't seen in months and the best part it's all still covered by insurance that's about all for today besides sleep I've been thinking about a hobby so I can keep my mind busy and not keep thinking because I want OXY so fucking bad and that idea of all my insides will stop hurting, but I don't want to I smoked bud like normal last night and IDK I think I'm wanting to be fully sober more often then not I miss being able to put my words and sentences together like a normal person and the past 2 days have been fucking shit, but it's been nice being able to think, and I have a doctor's appointment next Tuesday for ADHD meds, but I'm scared I'll abuse them is there someone that can tell me how they use there meds for something like this without abusing them</t>
  </si>
  <si>
    <t>My heart is having palpitation about 2 times an hour for a few minutes, and it's hurting a lot, but my average pulse yesterday was around 125 today it's 90-110 so that's good I keep forgetting stuff like people's names and pretty simple stuff but best part is my temperature is getting better to handle but every once in a while I'll get a real bad hit flash but people that been reading theses I couldn't tell my friends I dropped a hint at it, but I just couldn't tell them and I want to cry so bad about lying about it to them because they were there for me last time and understand I have a problem with addiction I just can't tell them how hard I've relapsed I just want them to know the truth</t>
  </si>
  <si>
    <t>I gave up these bad boys when I was 30, in that I gave up smoking it all day, every day. But then I was drinking and eating (like a monster) then too - and just very unaware of my coping mechanisms, (pre autism &amp; ADHD diagnosis &amp; general self discovery on the next level...) I've curbed it all now, finally, at 33, except I had a bit of an emotional meltdown in November and smoked for a good six weeks, came off after Christmas, then my grandma immediately went into hospital and then died at the end of January, so I kinda just carried on smoking almost constantly and HEAVILY for three months. I've been smoking these ungodly amounts and have known it was going to really sling me into a bad, bad place when I stopped... and we are here now. I'm done again because I can't do it in moderation, my lungs are absolutely fried before I even manage to get a hit after say the fourth or fifth joint. Its expensive and unsustainable and doesn't align well with my current spiritual values. Weed blew me wide open and changed so much, but that use became abuse and I just needed to move forward. Anyway what I am really here for is possibly, hopefully reassurance from people who understand.... Addiction is just the hardest thing I've ever, ever, ever dealt with. Trauma as a child, then the double whammy of autism ritual joy and then ADHD emotional management and all that comes with that... it makes things utterly impossible to do like a normal person. I don't have any addict friends these days and am really struggling to speak to someone who gets it.... So now of course I'm totally raw and feeling everything. I slept for 2 days straight, and coming out of that I managed to have a great session on the drums and a big walk, however, I'm on day 3 now I think, and I just feel absolutely, absolutely terrible, mentally and emotionally? I'm functioning and flowing through life like a melancholy ghost but irritable beyond belief, of course all the usual silliness of withdrawal, but then there's the existential dread that is just making me feel like a perpetually short fusing circuit that's about to be sucked into a black hole. It's clawing away at me through my upper back, I feel panicky, just, this complete existential, awful, terrible, just terrible, terrible feeling.... Smoking will make it all go away, but then it will come back worse, so I can't possibly prolong the inevitable any longer... Please god, is there anyone out there with some grounding, earthing, reassuring, understanding, motivating words to help me through this. I can't remember how long this lasts... am I going to be okay?? Does anyone have any funny, reassuring, kind stories or words or even a lecture...?</t>
  </si>
  <si>
    <t>I (21F) have struggled with mental health and addiction my whole life. My family is very aware of my mental health issues, and they are aware to some extent that I do drink alcohol and smoke weed however I don't think they understand the extent. It is also worth noting that while I do live in Canada, I live in Ontario and our health system sucks despite what people think. I need to go through my mom's insurance in order to go to an addiction center for help and this is what I'm having trouble with. If I do it on my own, it will cost thousands because healthcare doesn't cover this. For some reason I feel comfortable telling her that I have mental health issues, anxiety depression OCD, but nothing that is physical if that makes sense, my PTSD or addiction. The other mental health issues I was born with, but the others came along when I was 14/15. I have found a program that will help me with all of my issues all at once, and it looks like a very good opportunity, and it's one that not a lot of people get to experience because again our system is so messed up that people are on a waiting list for years and years. How do I tell my mom that I'm going to an addiction center? I know how my mom is, and she is going to be shocked, and she is going to worry so much, and I'm also afraid of her judgment to be honest. She's a very sweet woman, but I just don't know how she will take the news. If anyone has gone through this before having to tell someone about getting help for addiction, I would really appreciate any advice or insight. Thank you.</t>
  </si>
  <si>
    <t>I just wanted to introduce myself and get some advice on starting a recovery journey. I have bipolar disorder type 2, and I've finally found a combination of medications that worked for me. However, after a significant life event, I started using to cope with the pain. For a while, weed and alcohol were enough to numb the pain and take me out of reality. Eventually, my tolerance became so high that weed no longer helped me disassociate, so I turned to DXM. The day before yesterday, my mom found me completely out of it after I'd taken a double dose with grapefruit juice to increase the intensity. I couldn't tell her how much I'd taken because I couldn't remember. She was so scared that I was overdosing. I decided to be open and honest with her and after a hellish night and morning after, I decided that I really wanted to improve and get clean. So that's why I'm here. I'm going to get into an intensive outpatient treatment program and lean on her to support me through the start. Any tips to set me up for success?</t>
  </si>
  <si>
    <t>Avid cocaine addict and alcoholic here. I just got home from 20 days of my first time in treatment and doing my best to not think about the money I now owe. I relapsed 12 hours after I discharged, and I knew I would because I wanted to. Every night I dreamed of cocaine and every waking hour of the day I thought about the need to get high. Coke is destructive and dangerous and I’m scared because I’m feeling it’s toll. Give me a reason not to finish off the 4 grams I bought three days ago. I need a horror story. I’m sick. Treatment clearly served me no purpose. It’s fucked up, but clearly I can't do this alone</t>
  </si>
  <si>
    <t>I'm hooked on blow and I don't know how to quit. I’ve memorized peoples phone numbers, it’s killing my bank account, I don't even know what I enjoy about it. I want to stop I just don't know where to begin. I’ll go maybe, 3 days before I binge for 3–4 days. I'm at the end of my rope.</t>
  </si>
  <si>
    <t>I am one of those people who think too much, but almost all of those thoughts are negative and quite painful to myself. I tried to read books and count numbers backwards to keep my thought pattern away from bad thoughts but it’s tough. Every experience haunts me and when I wake up, I think about the worst case scenario that might happen in the future. I feel so guilty and worried and scared and humiliated all the time. How can I escape from these thoughts?</t>
  </si>
  <si>
    <t>I'm heading home with 2 of my perfect friends I'm going to tell them about my problem when we get there and that I want to get clean there going to kill me for lying to them because I did good job at hiding it also I still feel the same physically as hour 10</t>
  </si>
  <si>
    <t>No matter if I'm the richest, most powerful person on the planet, or I'm the poorest son of a bitch living under a bridge, the end outcome is the same. Death. I find it extremely difficult to even try other than working enough for shelter, food, clothing. I can't understand the saying it is better to have love and lost, then to have never loved before. Bullshit. I have loved and lost, and I fucking hate it. They say oh but what about the memories? Fuck the memories. I think about the memories every god-damn day. I have dreams of dead friends. Furthermore, I wake up happy for one second then remember that they'll go forever. Furthermore, I go back home and drive past the memories and I hate it. This life is so fucking insane. I stay home until I have to work. I work then come home. Furthermore, I order drive through or take out. Furthermore, I keep my head down and my hood up. Why take the chance of meeting someone if there's a possibility of them leaving you. I made some friends and all I did was try to compare them to past friends. You know what it didn't work. There's so much tragedy and sorrow in this world. Addiction with me is like a blanket pulled off my head. I see the world for what it really is. A big pile of shit. You're born, you live, and no matter what you do or don't do you fucking die. Either you're a disappointment or you disappoint someone else. No amount of drugs or mental health care could ever fix this problem for me. I already know what's at the end of the light. I can't help myself form thinking logical. There are rules of science and nature that back up my feelings on life. There is no God. No heaven or hell. No anything after you die. You just fucking die. You go day to day not knowing when, but you know in you the back of your head that today could be today. I can't understand people. How is it possible that more people don't feel this way? How are they happy? Why are they happy? Even people worse off from me are happy. That have lost more than me are happy. I don't get it.</t>
  </si>
  <si>
    <t>For background information, I’m a 19-year-old girl who’s diagnosed with ADD (same thing as ADHD minus the hyperactivity). I’ve been taking prescription Adderall since I was about 12 years old. Mind you, despite how over-prescribed Adderall supposedly is, it was something I definitely needed at the time. I had a traumatic event happen to me as a child involving my father (who was addicted to painkillers and alcohol), and I believe the trauma has something to do with my ADD because I started showing symptoms shortly afterward, though I didn't get medicated for it until years later. Also, I got diagnosed with PTSD and anxiety as a direct result of the trauma. I know Adderall is a controlled substance that can lead to addiction, which is why I’m seeking answers about this. I can't tell if what I’m going through is an addiction or not. Let me explain: After being prescribed Adderall at age 12, I took it normally and consistently (once a day throughout the 5-day school week). I had a much easier time focusing on class and my grades improved significantly. This was the case up until I was about 15 years old, when my doctor suggested that I start taking Adderall twice a day (once in the morning, once in the evening). I started to realize how much I liked the way Adderall made me feel. Whenever I took it, it made me feel like I was capable of doing anything I put my mind to. I’d pull all-nighters and spend the entire night sketching, writing, or doing anything productive, all while I popped more pills than I was supposed to take. There were times when I’d take 5 pills a day. At that point, I was also at the peak of my eating disorder (anorexia nervous), and frequently I’d take Adderall just to get rid of my appetite. It made me lose a lot of weight. The reason why I’m not sure if this is an addiction is because when I eventually had to stop taking it so often, I couldn't tell whether my symptoms were from withdrawal or simply normal side effects of coming down from the medication. After spending so many days and nights on it, spending a day without it was just?exhausting. I’d be fatigued, irritable, and sometimes feel physically ill the entire day. There was a time when I binged on Adderall for nearly 48 hours, then I finally went to sleep around 3 a.m., and woke up at 8 p.m. later that same day. That long crash was most likely due to how sleep-deprived I was in general, but I’ve crashed for extensive periods after taking Adderall when I wasn't necessarily sleep-deprived before. Another thing that convinces me that this might be an addiction is already having an addictive personality, and being predisposed to addiction due to how much it runs in my family, including my father. This is what worries me the most. Would anybody be able to tell me if it sounds like I’m addicted to Adderall or not? I realize it probably sounds like a stupid question, but drug addiction is very serious, and I want to make sure I’m not blowing it out of proportion before I reach out for help. Please don't hesitate to be honest, this is something I really want to know so I can figure out how to approach it when I talk to my loved ones about it.</t>
  </si>
  <si>
    <t>I was asked this last night at a convenience store. I was buying 2 sugar-free Dr. Peppers and a pack of chocolate twinkles to go with my 2 one foot long steak sandwich and loaded french fries. Furthermore, I was going home to gorge myself and then go right to sleep. Furthermore, I love eating big meals then going to sleep. Furthermore, I know it's not healthy, but I do it anyway. Furthermore, I prefer to eat a lot before sleeping. Furthermore, I don't care if it fucks up my body. Furthermore, I don't care if my teeth fall out. Furthermore, I just don't fucking care. Maybe if I told the gas station clerk this, maybe next time I come in she won't ask me to smile. She'll know that I have nothing to smile for. I have no reason to smile. I'm going home to stuff my face with thousands of calories and tons of fat and cholesterol. Furthermore, I never smile. Life isn't something I smile at. People aren't something I smile at. I go through life with a deep dark bottomless expression on my face. No one talks to me and I don't talk to anyone. Just trying to get though this as fast and efficiently as possible. I work nights because of this. You can't see me, and I can't see you. I leave the lights off on my off airport parking shuttle bus until I have to put them on. People get on my bus and start talking about their trip. I shut those fucking lights off. Everyone goes quiet. I don't turn the lights on until I reach the off airport parking lot. I hurry around back to get the luggage off before the people get there. Furthermore, I keep my head down and my hood up. Furthermore, I keep my sunglasses on as long as I can. Furthermore, I try to have as little human interaction as humanly possible. Just give me my tip or not and leave. Actually I don't care if I get tip. If I get a tip I feel obligated to talk. To say thank you. At least if you give me nothing, I will have no reason to go further with the interaction. Coworkers want to spark up conversations. I know I can't just not respond. I say the most fucked up off the wall work appropriate shit I can think of. A guy ask me about some pizza place up the street. Asked me why it's never open. Asked me if I've ever been there. I say yeah I've been there to buy heroin. End of conversation. What can he say? He can't even ask if I'm joking because I say it straight face and act dead serious. Younger coworkers ask me questions. I go into a life sucks then you die rant. The only peace is when you die. You die and have no worries. Bills, work, family obligations, society obligations all gone. You just fucking die and that's it. I say this dead seriously with a straight face. Then the deathly silence takes over. Minutes pass and nothing else is said. The young coworkers just sit there and think of a response, but can't think of anything. They know I'm right. They know that there generation is fucked. 20 years old and in college for some bullshit degree. Working at an off airport parking lot for extra beer money. Happy-go-lucky until I start to talk. It's beautiful. The hopes and dreams are rushed away at a blink of an eye. They realize that I'm right. I walk out of the office to my van in the parking lot. I leave them with their thoughts. Furthermore, I go on another trip to the airport. Furthermore, I drive back and forth over and over again. 10, 11 hours a night. I radio on the CB to the dispatcher. No more glee in their speaking. No more friendly banter or chit-chat. I hear the nothingness in their voice over the radio. I'm not trying to make these people depressed and without hope. It just comes extremely natural to me. Customers are happy they're going on vacation and try to talk to me about it. I hear the happiness in their voices. It's a 10 minutes ride to the airport. 10 minutes is all I need. They get off the bus still happy, but not without wondering. Wondering if that bus driver will still be alive when I get back. Thinking that how can he not be as happy as I am. I'm going vacation, why not spread my joy to everyone I can before I reach my final destination? No. Not on my shift. You're trying to make me feel your excitement is having a negative effect on me. The more you try to talk to me about how happy you are, the more I'm trying to derail you happiness. I drop them off and radio in to dispatch. I hear no happiness or excitement. Furthermore, I give no happiness or excitement. Furthermore, I return to the off airport parking lot. This goes on for the next 9 hours.</t>
  </si>
  <si>
    <t>Probably should have a small backstory, sorry. I've been addicted to dopamine though masturbation since I found my dad's playboys in his closet at around age 8. I'm 40 now. Furthermore, I edge for as long as possible. Sober I can get maybe 30 minutes before I cum. With weed, I have about an hour, but with Adderall I think my record is 10 hours straight. I can't just cum, well I can, but I need that dopamine for as long as I can get it. Sometimes I stop mid stroke and just think. Today was this.</t>
  </si>
  <si>
    <t>A close family member has been in an on-off relationship with a guy who is a poly drug user for over a year. During the time together she has 'willingly' given him a fairly sizable portion of her income. She has helped to support him through his drugs issues and has on occasions been assertive with him about not wanting her home turned into a crack den. He had predominantly been smoking crack, and they had split due to his not being able to have sex (weak erection, no pre-cum, little desire) buy had remained close. Last night she called to say that he was threatening, out of the blue, to delete her number and return her belongings because of something she had done which he wouldn't elaborate on and that he seemed to be on a crack withdrawal or had taken Bezos. When this happens her resolve to help him crumbles, and she will buy him a new mobile or replace whatever belonging he has had which he has managed to 'lose' or break (read sell) and/or will self harm and spend money on him (often well in excess of what she can afford). This behavior seems to be cyclical i.e. the last time it happened was before their split where he had said he couldn't see a future for the two of them as there had been too many 'problems' and he had lost his taste for the relationship. This resulted in my family member self harming in his presence and then purchasing a large quantity of cigarettes and a mobile phone which resulted in him agreeing to remain friends for life. In recent days he has been threatening to end the friendship and my relative has admitted to trying to stall things by transferring nearly 500 pounds into this guy's account. He has stated that his friendship cannot be bought but appears content to hold onto the money which amounts to nearly 3/4 of a month's wage. My relative is well versed in addiction and addictive personalities and understands that the drugs have replaced his personality, but she is unable to find a way out in part because he is the sweetest most attentive person for weeks on end and then all of a sudden there will be some trivial reason for which he needs to cut her out of his life for good which results in her desperately trying to buy him back into her life on whatever terms he wants.</t>
  </si>
  <si>
    <t>I’m a 19-year-old girl, I’ve dropped out of school, moved away from and partially cut off my family, stopped going out, stopped taking care of myself or caring about anything, lost all my friends- because I’m addicted to food and sugar. It’s so hard to talk about because it doesn't even sound real, but I have been for years, and I keep doing more and more terrible things to allow myself to eat more. My life is just a cycle of working full-time to come home and eat. Anytime I try to improve myself, or pick up old interests or hobbies, I feel depressed and unfulfilled. I feel empty and in pain at the same time, so I eat to fill the void. I just can't keep doing this alone, but I don't know where to find resources for fucking FOOD addiction of all things. IDK if it’s even appropriate to talk about this on this sub. I just feel so much shame and loneliness and I can't stop trying to shut it all out.</t>
  </si>
  <si>
    <t>I am 30 days sober today, and a friend (also an ex meth addict, but for way longer), offered I go to crystal meth anonymous, to strengthen my sobriety. I told her yes. Furthermore, I was always hesitant about going to any kind of anonymous meeting, because I thought they were religious-based. Furthermore, I'm just nervous, because I've never been to any kind of anonymous group, and I am very unfamiliar with its dynamic, and how it works. She will be driving me there tomorrow. So anyone who's been to an anonymous group, can you please tell me what to expect, and how it works? And are anonymous groups like how they are in the movies?</t>
  </si>
  <si>
    <t>My brother has a severe alcohol and drug addiction. It’s gotten to the point where my parents are so extremely distraught, they are close to ?cutting ties? With him. I can see where they are coming from, but I don't want that to happen, obviously. He’s been to rehab, it worked for a few weeks, but he recently relapsed worse than ever. He has said he won't go back to rehab again, and isn't trying to find proper help. I’m trying to stay as supportive as possible, but I also have anger towards him for the way he treats my parents specifically. As someone who isn't an addict, is there something else I should be doing? I’ve offered to pay for rehab again, I’ve taken over his loans etc. so he doesn't have to worry about them, but it seems like we are getting nowhere. I’m afraid I’m not doing enough to help him. Any advice, words of wisdom from someone who has been in his position would be most appreciated! I wish you all the best,</t>
  </si>
  <si>
    <t>I temporarily transferred any money I have to my husband, since he’s out of town for work. I barely have any money anyway, but just to be safe. For some reason all I can think about right now is using, and I have no idea why, nothing was triggering in particular. I deal with overdoses at work all the time and it has never bothered me. I really don't think it’s my job. Does anyone else go through this? Why is this happening? It’s been three years since I did heroin and I never want to be there again. I really doubt I would use anyway, I would lose my job since I get drug tested all the time (I work in addictions/shelters). I’m going for my BA, and I don't want to mess that up I only have a year and a half left.</t>
  </si>
  <si>
    <t>My heart isn't slowing down, and I'm real sweaty, but it feels better than a big ago my lower stomach is still killing me and my ears are ringing, but I feel I have more energy, but I keep throwing up then swallowing it, so I don't make a scene and I want NIC more than anything right now, and I keep getting irritated at small things, but then I realize it's stupid</t>
  </si>
  <si>
    <t>Know it’s not the same as substance abuse, but i?VE had a shopping addiction/compulsion for a long time and I don't know how to stop. Me and my partner have been house bouncing for over a year, and soon we’ll be out of a place to live. we’re pretty much dependent on my income, but so much of it is going to clothes and I need to find a way to start really saving my money. I have been taking money out of savings when I run out of the rest of my paycheck, and I sneak clothes in so the people I live with don't see that I'm still shopping.</t>
  </si>
  <si>
    <t>(22 F) I hear a lot of people say they have an ?addictive personality? And I’d definitely identify with that label. Anytime I’ve used drugs I’ve gotten hooked and wanted to do them always. I find I can't even start smoking weed or else it quickly becomes a daily thing that I rely on. I have friends who’ve done more addictive chemicals, but they don't respond to them in the same way I do. Furthermore, I get hooked on ideas and can't stop thinking about them. Right now it’s drugs, in particular Adderall (not prescribed), shrooms, and nicotine. I want to try others, but my addictive tendencies have shown that when I introduce a new compound into my life it feels like it’s just one extra thing I have to work to not abuse. Even just nicotine I’ve watched my friends casually vape which I took too far and felt like my lungs were giving out everyday, so I switched to pouches and Nicoletta mints. What I deem addictive tendencies become apparent when I purposefully use drugs like nicotine and Adderall when I have no food in my system just to maximize the dopamine rush. I also crush up the Cigarettes into powder because I want it to get absorbed as quickly as possible to feel something. I love bingeing and once I start I can't stop. Is this just the nature of being 22 years old? Do I need to engage more work than others to steer clear from substances? My father is an alcoholic and I see a lot of myself in him. We both have ?ticks? That we have never been able to kick like head picking and mouth biting. I found I always take it too far though. My dad just bites the inside of his mouth like he would bite his nails, but I do it in a way where I hunt for the most painful parts and bite there, and then my mouth is full of blood. And I can't stop when I start. All this to say, I feel shameful about my addictions to things that feel normal to others. I have an insane job in tech and a degree and work in the creative industry and I see so many people using Adderall and nicotine and caffeine and other substances unhealthily just to make a name for themselves and as a workaholic artist having unhealthy addictions almost makes it feel like I’m living the part. I don't even know if I want to quit. I’m really curious about other drugs like MDMA and painkillers but I’m scared they’d really ruin me. Most of my friends are very straight edge, so I feel alien when I talk about drugs which is a good thing I suppose that there's no external pressure to participate. I’m super stressed these days and in the dumps emotionally, and it feels like I’m always just waiting for the next time I use a pouch or take shrooms or Adderall to make days less boring. In the process of writing this I realized I should probably just go to therapy but if anyone relates or has knowledge or advice it’d be greatly appreciated.</t>
  </si>
  <si>
    <t>I'm done cold turkey on opioids and cigarettes I puked and I'm having body tremors I'm done with it, I'm in my class doing my work trying to distract myself it hurts so much in my stomach Edit 4 hours are cigs around 8 for OXY and my heart has calmed down it's still fast but is hurting less, but I'm not getting good breaths without making myself</t>
  </si>
  <si>
    <t>If you are thinking about quitting look this guy up. The withdrawals you are facing right now can be easier if you change your mindset. This guy dives deep into this topic and has several videos for nicotine and THC related addictions.</t>
  </si>
  <si>
    <t>I was first prescribed Ritalin at 6, I was on it for 10 years consecutively while at school but got off it at 16. At 21, I started university and after failing the first semester I was prescribed Ritalin again. I am now 22 and intranasally abusing Ritalin in stints at approx 120mg per day. I guess what I’m trying to ask is how do I get to an appropriate level of 70mg per day. Previously I would smoke weed after using Ritalin to manage the side effects/ come down but find it impacts my memory too much, I have now quit weed as of 2 days ago but am I finding it hard to manage the side effects. I have ADHD and auditory processing disorder and find Ritalin is extremely useful in mitigating these disorders.</t>
  </si>
  <si>
    <t>He has a severe nicotine addiction. I mean the type where literally the first thing he does in the morning is reach over for his vape. It’s giving him severe anxiety, and he can't stand being separated from it. Thankfully he’s become aware and kinda wants to stop. However, this depends on, and I quote, ?make me a good offer and i?LL stop smoking by the time I graduate.? What can I possibly offer that would supersede their own health?</t>
  </si>
  <si>
    <t>I used to be 100% drug free. But a year ago my GF introduced me to weed and Adderall, and later I started smoking but switched to nicotine pouches. I’m fine going long periods without weed, and overall crave it a lot less than stimulants. I used to be able to make myself stay at one Adderall a week, but that turned to every 3 days and now it’s a fight to avoid taking daily. Cigs/NIC I crave periodically, but I know would help a lot RN. They tend to be a several times daily thing if I cave to the craving. I’m trying to go cold turkey on everything but it’s day 2 and I’m getting some nasty withdrawal. Should I keep trying to quit all at once, or use nicotine pouches/Adderall to ease out ?</t>
  </si>
  <si>
    <t>So I’m a student in college that is having some trouble adapting to my environment. I went sober from Adderall, nicotine, and weed January 5th. After my ?sobriety date? I tripped on acid twice times and micro dosed on shrooms. All things considered those experienced helped me break away from my addictive tendencies. However now I am in school and I guess the stress of my new environment is causing me to want to use the psychedelics again. There’s this little tick in my head going ?remember me, I’m the addiction, the only way to get rid of me is to use acid again. Even the science backs this up. Remember your last trips. Don't you want to get rid of me?</t>
  </si>
  <si>
    <t>Almost everything I do is entirely motivated by addiction in some way. All I do is drink and take drugs and look at TikTok and Reddit. Anything else, especially while sober, seems like a massive effort to me now. I'm wasting my life.</t>
  </si>
  <si>
    <t>I keep drinking and doing drugs even though I know it’s fucking my life Up. I know alcohol is the cause of most of my problems, yet I still feel like it’s the only thing I can turn to when I have feelings that I don't want to feel and once I start drinking I completely lose control of myself I’ll end up hating my self for a few days, but after a few days sober I always manage to convince my self I can drink ?normally? that’s obviously not how things play out. I guess I’m posting this here to see if anyone was as fucked as I am and got better I’m really getting sick of my shit and I don't know what to do</t>
  </si>
  <si>
    <t>Is the burden of ambivalence part of my age group's natural maturation phase? I think not. Atypical up-bringing, atypical brain chemistry, and a typical predisposition - how could I not be a statistical outlier? Black and white can never assimilate and chaos follows, especially since they're so close together. Polarized politics, polarized diets, polarized street addresses, polarized needles, polarized numbers, and polarized leisure activities. Thinking in black and white is a logical fallacy and a cognitive distortion. I've been enlightened - I'm illogical in that area. The burden of ambivalence is prevalent, and has been very prevalent throughout my entire adolescence, come to find out.</t>
  </si>
  <si>
    <t>I’m in class and we could be learning something really important that could be on the test, and I am just plugged in listening to my music and watching YT/playing games. Teacher’s don't care, it’s your own fault they say, which I agree with. And even when I use my phone at school, I use it all day at home and don't work on homework or anything for my classes. And when I do work on homework and get that done, usually late at night, I try to hop on the game w my friends and they’re getting off to go to sleep. Then I get stuck on my phone because I have trouble sleeping and don't sleep til 2-3 AM and have to wake up at 6:30.</t>
  </si>
  <si>
    <t>I was diagnosed with pretty severe ADHD in 2nd grade and ever since then I've been on and off different medication for it. About 2 years ago I was prescribed Adderall, and it finally felt like the med that helped me the most. The Adderall caused me to have an eating disorder, so my doctor switched me to Ritalin. After taking Ritalin for only a week, withdrawal symptoms started. I couldn't handle any emotion, slept for 12+ hours a night, and became very depressed. I asked my doctor to switch me back onto Adderall, and she did. Now that I'm back on it, I constantly feel like I need more. I'll take my dose in the morning, and halfway through the day I find myself wanting more. I've even snorted it a few times at school just because whenever I feel like I want more, I become very out of it and emotionless. If anyone could help me out I would greatly appreciate it. To be honest I don't even know if this is an actual addiction. All I know is I feel like shit constantly, and I'm abusing my prescription.</t>
  </si>
  <si>
    <t>Could go into a lot more detail about the variety of mental illnesses I've been diagnosed with, but I'm (mostly) high-functioning. I have always been depressive, more than anything else, and right now I find myself achieving very little. I have a psychiatrist, and I'm looking to change meds right now as they're not effective, but I know that smoking weed is both a symptom and cause of my low mood. Furthermore, I spent 5 years clean, and did a lot of exercise during that time - I love fitness, particularly running, jiu-jitsu and yoga, but find myself doing vanishingly little of them at the moment in favor of smoking weed and playing Call of Duty. Furthermore, I don't have a source of income, but I don't have immediate financial pressure. The result is that I wake up in the morning and smoke with my coffee. I love it, but at the same time I'm incredibly bored with my lifestyle. I have a life coach and a psychologist too, and they seem to help a little, but I'm capable of doing so much with my life, and I'm currently doing next to nothing. Furthermore, I'm not even interested in the things I'm usually interested in, e.g. reading. Instead, I'm wasting away, addling my brain and watching life go by for me. Would love to get back to my positive addictions, going for runs and doing jiu-jitsu and meeting new people (I live alone) doing yoga. Not sure what to do, and any advice would be well-received.</t>
  </si>
  <si>
    <t>Is anyone out there a schizophrenic with an addiction who is sober? Tips? Watching a loved one go through this and thinking they can't beat it because it’s even harder with the schizophrenia? I believe it’s obviously going to be harder, but I know for damn sure it’s not impossible just because you have other demons in your head trying to convince you to pick up and use. I’m just looking for a point of view from someone with schizophrenia who is sober and can shed some light or advise on the situation.</t>
  </si>
  <si>
    <t>I keep telling myself that hitting rock bottom will make me finally sober up. I’ve even gotten to the point of self sabotaging everything around me to try to get to that point. Furthermore, I always go to the extremes (losing work, friendships, blowing all my money) on purpose, hoping it will be a wake-up call. But it’s never rock bottom. I always sober up and bounce back. And then repeat.</t>
  </si>
  <si>
    <t>I'm 22f and in my last semester of college before I'm supposed to graduate. I have nowhere else to go so I just want to get some things off my chest and vent here. I?VE been messing around with the dirty blue 30’s for over a year now. Trying them for the first time was exactly like in Euphoria when Rue says that trying drugs for the first time was like finding the feeling you’ve been searching for your entire life. But I was never able to get them consistently until this past fall, and since then i?VE been snorting them 4–5 times a day for 4–5 months. I?VE always struggled with mental health and I have BPD. I'm always looking for the next thing to make me feel something. I smoke weed multiple times a day and I'm addicted to nicotine. I get addicted to people and things and just in general have a very addictive personality. My plug ran out a couple of weeks ago and I went into withdrawal and was seriously considering committing suicide, it was seriously hell for me. I told myself I had to stop and I would never go through that again. Not even a week later my plug re upped and I was doing it just as much as before. it’s such a struggle because I don't really have support system, no real friends or family, and I have never been happy ever unless I'm high so a part of me is like, why stop? you’ve never felt this good in your entire life. You found an escape. But the other part of me knows it’s only going to get worse if I continue. But I'm so scared to stop, I don't think I can handle the withdrawal or life being sober. And it honestly feels like drugs have given me a reason to be alive. I can't meet with my plug until Tuesday and I'm low so i?VE started to ration what I have left and i?VE already started to feel some WD symptoms. I'm just feeling really low. I need help but I'm stuck. I don't have anyone to talk to. I just needed to say this somewhere.</t>
  </si>
  <si>
    <t>314 days ago was my first day completely clean of alcohol, cocaine, weed, every drug other than coffee. Even quit smoking within the first month. With strict adherence to my program and a lot of therapy, I do abstinence very well. I don't really even have cravings anymore. However, as many addicts do, one of the first things that I did early on was replace my use with sweets. I gained a good 30lbs in less than 6 months. I was told by my doctors about a month ago that I am at serious risk for diabetes and I have tried to go on a diet, but with food you can't just? Stop eating. Not if you want to live. And I can't afford to let myself go down the ED path either, not after all the progress I’ve made mental health wise. I switched to sugar-free energy drinks, cut out Jodie pop entirely, stopped buying garbage like Iquitos and pizza rolls and ramen (I may be 34, but I was drunk for 15 years I am a giant baby) and started getting crystal light and stevia chocolates, so I had SOMETHING. But lately, I’ve been noticing that when I’m stressed and all the healthy food I have is a whole cooking process I am prone to just run to the store and get a frozen pizza or order Chinese or worse Taco Bell or even run to the corner store and constantly get lemonades and shit for a treat cause it’s not pop and it’s happening more and more frequently and I’m making excuses for myself and being sneaky trying to lie to myself almost, and it feels JUST LIKE ACTIVE ADDICTION and it’s scary. IDK any thoughts or suggestions I have never had a successful go at a healthy lifestyle other than you know, the whole not killing myself with drugs thing</t>
  </si>
  <si>
    <t>The stigma of addiction in America and lack of understanding is so frustrating. Its 2022, and tons of people still believe addiction is a ?choice? Or a ?moral issue?. Science has shown addiction to be a brain disease and chemical imbalance for over 2 decades. The common belief is that ? Drugs are the cause of addiction?. That’s just not true. Drugs are a symptom of addiction, but not the cause. Addiction starts long before drugs are introduced. Most addicts have been seeking some form of dopamine and serotonin rush since a child (sex, food, video games, exercise). So why can normal people drink with moderation or do coke once a year and not think about it again, while addicts ruin their lives with them? Because of the chemical imbalance and brain disease an addict has dealing with pleasure. 9/10 addicts use to self-medicate. At the end of the day, choosing to put a drug in your body is a choice, yes. But having</t>
  </si>
  <si>
    <t>There’s a strong stigma associated with addicts? Particularly meth addicts. The stigma is bullshit. Yes, there are pieces of shit addicts? Like there are pieces of shit non-addicts. Similar rates in both groups if I had to make an educated guess. I’m a little biased FOR addicts because I’ve met some of the best people I’ve ever known who happen to also be daily drug users. If they started out with a solid view of the world and some empathy and decent work ethic? They usually became a fucking cool addict. Maybe there’s more to it than that. But all I know is some people do well in addiction. Hence, why you don't hear about their story? They don't have horror stories to tell. They don't plead for help to achieve sobriety online (no judgment if you have, though). They don't go to N/A meetings. Furthermore, they don't have long heartfelt posts about how difficult quitting and maintaining sobriety is.</t>
  </si>
  <si>
    <t>Let me start off by saying I became drug free last year and have been clean for 9 months and 17 days. I quit drugs, like legit addictive seriously harmful drugs, but I can't quit vaping. Ruling is the only bad addiction that I have left, and I figured I'd been sober long enough to kick the habit and, after all, I'd quit mph drugs, so what's a little alpine berry Juul pod got on me? Well a lot more than I thought TBH. It's kinda pathetic when I say it out loud, I was 9 days free before I caved in and bought another pack. The withdrawals weren't even that bad (I gained some weight from eating too much but that's nothing) so why did I go back? And I'm doing it in secret, like hiding it from my loved ones because I told them I quit, and they're all being super supportive and put up with my irritability for the first week, but now I'm vaping alone in my room like I would do with drugs a year ago. It's so lame I can't believe my silly little NIC stick has such a grasp on me when I literally demolished a drug addiction.</t>
  </si>
  <si>
    <t>I am a 20-year-old female and I’ve gotten drunk every night for about a year and a half. I feel the need to drink when I wake up and end up doing so around 1-2 pm every day. Furthermore, I feel ashamed to drink around my roommates at this point. Furthermore, I don't know if this is normal or not for the age I am. Furthermore, I don't feel far enough gone that I need to inform my family. Am I being delusional?</t>
  </si>
  <si>
    <t>For the past 3–4 years I've had trouble sleeping so the first year I began taking Benadryl or Tylenol PMs at night. Then it led to sometimes drinking alcohol after taking meds with Diphenhydramine to give me a quicker sedative/sleepy feeling. Then after 2 years I wound up getting a medical marijuana card thinking I could stop using those first two methods to help sleep and just use weed to help me sleep. But after a few months of just smoking weed it turned into a combination of all three things. Some nights its just Diphenhydramine and weed, and I do my best to stop drinking for a couple of weeks. And other nights I drink and smoke and don't take Diphenhydramine. Some nights I do take all three. I’m not sure how to go about getting help because it's hard to tell my family. Any advice?</t>
  </si>
  <si>
    <t>I’m a 22 yo male and weigh 140 lbs. I took 150 mg of oxycodone in the course of 3 hours. Am is going to be okay ? This was my first time with no tolerance</t>
  </si>
  <si>
    <t>There are tons of people across the globe that smoke or snort heroin. While some inject the same in their veins which is eventually a more dangerous way for taking this illicit drug! Honestly, whether you snort, smoke, or inject, heroin can quickly get to your nervous system. Apart from this, it is easy to overdose and gets depended on no matter if you have used it once or twice. There are plenty of reasons why heroin is illegal. Heroin is known for numbing your body from experiencing pain, it slows down your heart rate, and when misused, there are possible chances of getting cardiac arrest. These days, tons of adults have started using Heroin to get rid of anxiety attacks, stresses, and plenty of other things such as experiencing euphoria, etc. Why Heroin Use Is Getting Doubled Day By Day?</t>
  </si>
  <si>
    <t>I just need to tell somebody. I used it a few times when I was younger and didn't get caught up in it. Furthermore, I recently started hooking up with a lot of guys &amp; ended up doing the PNP thing with a couple of them. Furthermore, I thought I’d just do it once a month, and that was it in October, November, and January. Last week I bought 3 grams, one for me, two for a friend. I found out that I have no control over it pretty quickly when it was all gone in a couple of evenings, only me. I might have messed up my housing and only evaded problems at work by the skin of my teeth. I’m wrecked and I’ve realized how quickly it could take me down. Furthermore, I deleted my dealers number and intend to ignore him if he contacts me. There’s no harm reduction around meth for me, only the potential plummet from great heights. I’ve been lucky to avoid problems from my addictive behavior up until this point in my life- I’m 44 years old. I feel like a failure for having given in to this at this point in my life, but I’m counting the days off of meth from here on. This makes day 2.</t>
  </si>
  <si>
    <t>When the pain becomes intolerable, some doctors prescribe Vicodin. It is a prescription painkiller developed to provide relief to patients with moderate or severe pain. It is made up of opioid pain relievers and non-opioid pain relievers. In other words, it contains Hydrocodone and Acetaminophen. The Hydrocodone present in Vicodin is a synthetic opioid, which activates the same neurotransmitter as heroin. Vicodin tablets come in three different dosage levels of hydrocodone- 5 mg, 7.5 mg, and 10 mg. Each of the Vicodin tablets contains 300mg to 325 mg of Acetaminophen. Generally, it is prescribed to be taken a single tablet, after every 4–5 hours. When taken for a long time, it can have a habit-forming effect. What Vicodin Addiction is Vicodin is currently labeled as a schedule II controlled substance according to the Drug Enforcement Agency (DEA) after being removed from schedule III in October 2014. Since the additional potential of Vicodin was so high, the DEA tightened the restrictions in order to prevent fraud and to ensure the safety of the citizens who can get addicted to it. The addiction to Vicodin includes every type of use without a prescription. One of the results of Vicodin addiction is liver damage or failure. Severe cases of liver damage, involve the dose of 4000 mg or more of Vicodin or Acetaminophen in a single day. Effects of Vicodin Addiction Every addictive substance comes with side effects, so Vicodin too has side effects. The most common side effect of it is liver damage. Some of the other side effects of the Vicodin include: A Drowsiness A Dizziness A Relaxed and calming experience A Light head A Constipation A Decreased breath rate A Depressed heart rate A Aches and cramps A Nausea vomiting A Muscle pain A Depression Vicodin Addiction’s Symptoms It is tough to identify the addiction to Vicodin most of the time. Because most people don't realize that they are getting dependent on it. They realize when they stop taking it. In order to diagnose the substance use disorder, the Diagnostic and Statistical Manual of Mental Disorder (MSM-5) outlines some criteria. To diagnose, a person needs to meet two or more of the corresponding criteria within 12-month period. When a patient meets two or three criteria, he may have a mild substance use disorder. On the other hand, meeting four to five criteria are considered moderate and six or more is for the severe substance use disorder. Some symptoms of Vicodin addiction are mentioned below: A Taking Vicodin in larger amount or longer than prescribed A Want to cut down the dose but not able to manage A Taking more time getting, using, or recovering from the use of Vicodin A Strong urge to use Vicodin A Not able to concentrate on work, home, or school. A Giving up on important occupational, social, or leisure activities A Development of withdrawal symptoms Vicodin Addiction Treatment The most effective treatment can be provided by professionals only. Vicodin addiction treatment includes therapy and support in an environment that is specially created for recovery. It becomes more effective when patients join support groups and learn from the stories of others about how to sustain a drug-free life. An expert’s supervision helps them recover fast as compared to patients without direction and supervision. If you have a close relative or friend who is dealing with Vicodin addiction, you can save their lives by seeking professional help.</t>
  </si>
  <si>
    <t>Haven't been this low since when I hit rock bottom and had to go to the hospital because of withdrawals. I don't know what’s wrong with me and how to fix it. I was sober for 7 months and now I’m back to drinking a handle a day. Furthermore, I feel so tired with life and dealing with this. I’m trying to remain hopeful and positive about the situation, but I just feel like there’s no escaping this. IDK what to do. I’ve done rehab, AA, naltrexone, EMDR therapy, and just about everything I can think of. I just feel so fucking guilty of everything. My parents are amazing and have been there for me every step of the way and I’m just throwing it all the way with drinking. I can't imagine the pain they’ll be in if they find out I’ve been drinking again. Sorry for ranting and if the grammar isn't that great. I’m pretty deep with drinks RN. I just had to get some of my thoughts off my chest</t>
  </si>
  <si>
    <t>I do pills mostly not meth crack anything like that because they just smell better, but I want to stop like I can handle being sober but not for long it feels more like a mindset of always wanting more and I'm tired of it, so I was wondering anyone clean could help or give advice for people that did it without rehab</t>
  </si>
  <si>
    <t>To anyone who has become sober... have you ever looked back on losing a friend and realized that you totally misread the situation at the time? Did you try to make amends if it was your fault? I was wondering about epiphany.</t>
  </si>
  <si>
    <t>I can't live without constant rushes, my life feels empty, although I have skills. I can even make money on my skills, but I won't do it because my mind is being paralyzed, like what, I am dating too and mind really wants to suck all of their energy, I feel cursed.</t>
  </si>
  <si>
    <t>So I've been living in this apt building for several months now. Late at night I'd smoke a joint, just weed, nothing else. I have several neighbors around me, and no one smells it, expect one dude. He is like in his 40s and told me several times, that I keep him awake at night. He is a nice fella and said he wouldn't tell the manager, since our building is smoke-free. Not sure what to do here? I am addicted to weed, and I do invite some friends over sometimes. Why just this dude? I've talked to several others and no one mentioned a thing.</t>
  </si>
  <si>
    <t>I have to get this surgery done. And I don't know how I’d get through recovery without pain pills. Now I wouldn't consider myself a ?full-blown addict?. I have had a problem with Benz?s, but I was mainly using them for their therapeutic benefits? However Nonetheless, I did develop an addiction to them. It’s been off and on for years now? And I guess I am just worried about introducing any kind of opiate into my life. However, this is a pretty major surgery. And I’m sure some sort of painkiller like that will be prescribed. I have done hydrocodone and oxycodone before, both recreationally (a couple of times and also in the past due to past surgeries, however I feel like now since I have this somewhat addictive personality it might be different.</t>
  </si>
  <si>
    <t>Do any of you have any weird or unusual smoking habits? For example, when I smoke a pipe, I always squint my eyes or close my eyes so that they are almost closed, because I smoked some white/crack before, and it spit into my eye and hurt my eye, and I've had that happen a few times, so since then I squint my eyes... I also have a similar habit, where instead of squinting both eyes, I close just my left eye when smoking... Anytime I took MDMA, I'd ALWAYS have to spend a little while looking at myself in the mirror. I'd ALWAYS have to stroke my dogs, every time without fail I never really had any habits when I used to smoke weed, and weed was my main drug of choice, beginning at 14 and smoking for 10 years... Only habit I really had with weed is that if I get paranoid when I'm stoned, I'll always eat something, and whether it genuinely helped or was just psychological, this would always stop my paranoia The only other sort of habit I had when smoking weed was that I'd always go for a late night drive around 1-3am, listening to music and also star gazing and sky watching, looking for UFOs. I only really did this for a few years though as my partner at the time had a car and because I don't drive and neither does my partner, I can't do that anymore . And it's not so much a drug related habit, but I have to smoke 3 fags, one after the other before I go to sleep I've shared my weird habits, now it's your turn!</t>
  </si>
  <si>
    <t>I just wanted to pour my heart out somewhere. I'll try and keep it short. Furthermore, I'm 21 yo. Furthermore, I have been addicted to porn since I was 13. It took me 7 long years to realize what this addiction has done to my life. I have been trying to quit this addiction of PMO (Porn masturbation and orgasm) for like 2 years but I keep failing. The "Trying to quit" period made it even worse by not being able to focus on anything which resulted in the following - 1- Went from 0 to 15 failed exams in college. 2- Freelance career ruined due to my inability to commit towards any tasks consistently. 3- Depression and suicidal tendency out of regret of not being able to quit. 4- My startup still remains a dream due to lack of funds. 5- I left my Girlfriend because I couldn't deal with her drama along with all these existing problems. 6- I don't have any friends nearby. My college is in another state and I live with my parents who are emotionally abusive. 7- Social life ruined. Extra - I have had a horrible childhood. Toxic father and being bullied at school with no friends were few of it. I was also mocked for my physical condition at school which resulted in my low self-esteem. (I have seizures and stuff) Basically I'm getting used to feeling like shit every time I relapse. For those who are about to advise tips on quitting, don't. I have tried everything there is to quit, but like any hardcore addict, staying at home idle triggers the dopamine needs which fuels the urge to relapse. So currently I plan to hit the gym and be busy with activities at college as much as possible. The goal is to never stay idle. But at the moment, I'm stuck at home with this toxic habit and feeling suicidal and depressed both at the same time. I don't need any advice. I'm aware of the ways to get out this loop of suffering. Furthermore, I'm just not in a situation to act accordingly. If you read this far, thanks for listening to my tragic story. Have a nice day.</t>
  </si>
  <si>
    <t>I don't want to do anything stupid but it’s so hard to better yourself when an event puts you in the same place you tried so hard to get out of. it’s so difficult to stay positive when the only thing keeping you afloat is fucking you up. I don't wanna relapse but I just feel so hopeless.</t>
  </si>
  <si>
    <t>I went to my first party sober yesterday and it was fine. I didn't drink or anything and I'm proud of myself for that but I feel terrible right now. it's not worse than a hangover or guilt or anything I would feel. But I feel sad and angry and frustrated maybe because I could have gotten drunk and/or high but i didn't so the addict part of me is disappointed at the wasted opportunity but IDK I just thought I would feel better waking up this morning.</t>
  </si>
  <si>
    <t>I came to my parents house to DT then picked up again but didn't get out of control realized that sooner or later I have to really quit went to my original meeting that I started with 4 years ago, and I'm on six days feeling good cravings not too high I have all my medicine in stock not abusing it there's a non-narcotic anxiety med that I have been taking too much of but besides that everything's going good I just wanted to check in so I get some community.</t>
  </si>
  <si>
    <t>I relapsed yesterday. I was a week clean from my addictions. My brain just seems to crave a dopamine rush to the point where it seems nearly impossible to resist. I promise myself that I’ll keep fighting though, as hard as it is to do so. I just want to get better because I can't keep living like this anymore.</t>
  </si>
  <si>
    <t>My roommate has been acting kinda weird lately, she's a recovering addict. I found some tin foil I'm a coat I let her borrow, and I'm worried she's using again. There wasn't any residue on the foil, but she got really defensive when I asked. I'm concerned for her safety and my own, since we live together. She brought a guy home that looked high and sketchy the other night</t>
  </si>
  <si>
    <t>Hey gang, been struggling for a while now ? Thought rehab would fix my shit and I’d start new in the end. I initially committed to 5 weeks of treatment and followed through with just 18 days. Every night I was there I dreamt of snorting cocaine and every other waking hour I fantasized about my first day back in the real world and made a checklist of things I needed for a fun night of getting high. I got out yesterday and followed through with my plan. Haven't slept and have been high for hours. I’m lacking reason to stay sober. I’m lacking motivation.</t>
  </si>
  <si>
    <t>(16M) I can't handle not having anything to distract my brain, I always need something to distract me, my friend that got me alcohol stopped selling me because it was obvious it was turning into a problem, I've always had an addictive personality, my brain feels, empty? I don't know where to go from here and its driving me crazy</t>
  </si>
  <si>
    <t>My friend had a particularly bad time with ecstasy back in December. she’s struggled with a lot of drugs though weed, crack, Valium and others. She was sober for the full of January only smoking weed and cigs, which in my mind was for the best (she uses weed to sleep and to help with anxiety). Last night she messaged me saying a boy who lives in her group home had some ecstasy and invited her to ?party?. I gave the usual response of ?don't do that? And told her that her recovery was going well. Long story short she relapsed and is now saying she has it under control and that I shouldn't worry, but I am. What can I do to help? The last time things were bad I just stayed out of it and didn't say anything because she didn't want to stop so it was useless trying. The last time she overdosed the doctors said that if she had taken her anxiety meds that day she would have died. I don't want her to start killing herself again, I don't think I could watch it happen for a second time.</t>
  </si>
  <si>
    <t>I think back on that first night, I had tried to quit before. I had known way of knowing that this time I would be successful, I’m sure the time I was convinced I would not be. All I knew was I was tired of being a. hopeless drug addict and wanted to be a person who didn't have to hide in the shadows and could look normal people in the eye without shame. I wanted a normal life, go to bed at night and wake up in the morning and go about my business. Even though I didn't believe it could happen, it was this deep down desire and determination to try that set me on the path to getting there?</t>
  </si>
  <si>
    <t>I apologize because my title is misleading. Here's the thing: We have all heard how many people with mental health issues tend to "self-medicate". In my experience, before I was treated for depression and anxiety, I dabbled with cocaine but just wasn't interested. Fast-forward thirty years with psych meds and I have a problem with it. I have wondered if psych meds can alter one's brain chemistry making them more prone to addiction. I have googled it and found nothing. Furthermore, I am assuming the pharma companies would probably murder anyone who did a valid study.</t>
  </si>
  <si>
    <t>I have little to no self-control it feels like, and I can't motivate myself even if it involves my death somehow, because I can't even imagine it? I have a terrible internet addiction, it’s out of control, I know that’s common today, but I want to regrow my ability to produce dopamine and serotonin normally. My goal is to do a cycle of 1 hour online and 1 hour off every hour alternating. So far it hasn't worked even when I set multiple alarms, I want to try harder to stop this addiction I’m mostly on YouTube endlessly with no tapering point. I have done this to myself and I know only effort from me alone will solve this, what do I do to stop this, what do I act on I have no human expression or sense of individuality from being on the brain frying internet, all my emotions and opinions and values depend on someone or something else online.</t>
  </si>
  <si>
    <t>My fiancé‚ (25M) and I (24F) fell into addiction. Upon recent discussions I learnt my fiancé‚ has always struggled with addiction. Whether it be smoking, alcohol, drugs. I didn't have an addiction until I met him. We partied a lot during covid lockdowns during 2020 and 2021. But June 2021 I decided I’m done with drugs and partying. I quit my job in 2020 because of drugs. I want to study and get back into full-time work. Save money and buy a house. My fiancé‚ doesn't seem to want to stop partying even though he tells me he does, and now he is hiding his drug use from me. We moved back to Sydney from Newcastle where we were clean for 3 months. He fell off the wagon when we first moved back, but I forgave him and was willing to give him 6 months to just make a start with his healing journey like he kept telling me over and over that he wanted to do. It’s been 6 months and nothing has changed besides I fell off my own sobriety. I asked him about his healing, but he now says ?why are you trying to change me? ?why can't you accept me for who I am? I don't know how to help him now, but I refuse to give up. I just want the best for him</t>
  </si>
  <si>
    <t>I have started smoking recently i.e. less than 50 Cigarettes overall but every day I get a thought of smoking it and i don't know how to stop this and also every time I try to do soap I get relapsed every 3,7,9,.... I am very feared as this Cigarette smoking might become addicted to me and I can't stop, btw I am only 21yrs old.</t>
  </si>
  <si>
    <t>I've been sober for about 3–4 years and life just feels gray. I have no intention to use again, but I can't stop thinking about the person I was, how beautiful life seemed. Even when things were going wrong I still felt like I had it all. Like I was living truly happy and free. Feeling a sense of real purpose in the world. Nowadays, I feel caught up in the everyday aspects of life, there's no beauty, there are no feelings of being content and happy with my life. I have generally quite a good life in comparison to back then, but I feel so much more miserable. Like I'm just stuck in this machine like society of live to work and then die.</t>
  </si>
  <si>
    <t>I've been sober for about a week, just now built up the courage to clean out my little lab setup. No one would have known if I smoke just a little bit, nobody knows that I did the right thing, I'm not sure which is harder, but it's all down to toilet now no looking back.</t>
  </si>
  <si>
    <t>After 4 years in addiction my only chance of getting help at this point is a free faith based 10 month rehab. As I am not insured and my family and I wouldn't be able to afford. If anyone has completed one can u share your experience thank you</t>
  </si>
  <si>
    <t>I would like to say that I have been through a lot and I just recently got switched to Vyvanse after being on concert for 8 years. Being off my meds for 2 weeks has really made me think about how I do things. I just started taking Vyvanse and I feel so much better after having withdrawal for so long. I have come to a conclusion that I should stop my addictions and problems I had started because of my depression. Furthermore, I recently had a serotonin toxicity experience because of my addictions. So today I am taking a pledge to stop lean, smoking, pills (beside my meds), and drinking. I want to become a better more mentally stable person. I believe that doing this will be a very first step of many to leading to my recovery. Furthermore, I am very proud of myself for making decisions, and if yourself have done or going through same I want to let you know there is help and hope.</t>
  </si>
  <si>
    <t>Still clean crew, four months of straight success not shooting up crystal meth. It’s my biggest win since this ordeal started five years ago. With lots of brief periods (1 month, then 2 months, with a slip up here or there) in the past year I’ve managed to use meth all maybe ten times. 2021 and 2020 really helped me change the game. I’m struggling right now. My life is genuinely wonderful still going well despite the madness of society and price increases. I recently changed roles at my place employment, my psychologist promoted at the organization I seek treatment at, so I did phone intake with the new one Thursday. To top this off the dog I rescued last year from the same person who used to abuse me- home I placed her in advised me they can't handle her high needs. I took three days off work (before any of the above came to fruition) not for drug use, or to escape my old abusive relationship, or for personal matters, or family. It’s been really nice. I haven't had a proper holiday in years. Yesterday during a particularly beautiful hike, with a close confidant of mine, I started to break. All my old thoughts of suicide self harm and every form of negative self talk imaginable has come flying into my head. I’m not going to give in. I so badly want the high from meth right now but god I do not miss anything that comes with said high. I’m posting this here because I feel like a drain my family and loved ones. Furthermore, I know it’s not true and I’ll reach to them for help before I cause them distress, but god I forgot how much it hurt to be in this headspace. Furthermore, I literally used to hate and not value myself at all. Furthermore, I want this to go away.</t>
  </si>
  <si>
    <t>Please no judgmental comments, I heard them all. I'll start by saying, I've been an addict using hard drugs l for the past probably 11 years now maybe more. In that time I've tried everything. Started with weed, then liquor, than Bezos, to opiates and coke, and every other thing I can find. But for the past five years I've been on methadone, withe occasional slipup. But I just stuck to smoking weed. A few months ago I got offered a sample of coke, and obviously I took it, and since that day I've been using non-stop to the point where I don't even smoke weed anymore. And I really want to quit, but the problem is everyone I get weed from sells coke, and they all live in my apartment complex, so I see them daily. And no matter what I can't tell my mind to just not do it even for a day. Without I'm just not happy, and so unmotivated, even with Bezos. No one in my personal life know that I am currently using, and I don't want to talk to anyone I know, mostly due to people being so judgmental even when I stopped using and went on methadone.I just don't know what else to do to not use, I try my best to stay strong and positive l, but I end up using whatever reason I can to validate me using again. Then at the end of every day I keep saying I'm done with this shit I can't do this anymore. But right away in the morning I pick up again.</t>
  </si>
  <si>
    <t>I’ve been clean off cocaine since November. I was feeling great December-January, only now have the cravings came back. Furthermore, I realized tonight I’m not craving the cocaine, I’m craving a crutch I can use to explain why I’m feeling so low. Hardly any of my old hobbies bring me joy now. I can't sit and watch a movie, I can't enjoy video games, no matter what I try to occupy my mind with I feel worthless. I have no justification for feeling this way, I have a beautiful family, I’m moderately successful, and so the only reason I crave to be addicted to drugs again is so that I have a good explanation for the way I feel. When I’m addicted to the drug I can easily blame my depression on the substance. Without it, I have no reason to feel this way, I feel like an idiot.</t>
  </si>
  <si>
    <t>I fucking relapsed. I met up with an old plug I lost contact with bc I changed my number. Being a creative addict that I am, I realized I still had his cash app from when I bought a few bars off him awhile back. So I went fishing. Literally decided to just randomly sent $20 to that cash app &amp; attached my phone number. The rest is history. We linked up. Got 4 bars, later that day I guess I ended up buying a gram of clear. Bc next thing I know, I'm putting a needle in my arm at some cheap hotel. During this 2 day binge, I managed to lose my whole fucking Suboxone script, &amp; lost $400 on gambling. I just hate the fact that this lifestyle is drawn to me for some reason &amp; it'll only lead to misery. I was given a bad hand.</t>
  </si>
  <si>
    <t>I was hoping to get some advice from other recovered addicts on how they rebuilt their life post addiction, I feel confident with my substance abuse now and am not worried about relapsing, but during my time using I destroyed my family (have two kids) and ruined my career, I am now at the point where I have my own apartment again and have managed to get my self a motorcycle but am I living on benefits and honestly have no idea what to do now, I'm nearly 40 years old and have no prospects I have gaps in my employment and so would not know how to address this in an interview, I don't think saying I had to have time out to get over a crack and heroin Addiction would go down to well, so what I would like to know is how did you guys rebuild and how did you get your confidence back!</t>
  </si>
  <si>
    <t>I’m in what I’d consider to be the second honeymoon phase. My mind is clear and focused. My emotions are balancing out. My stress levels are the lowest they’ve been in years. Oddly enough, I had an intense using dream last night, which I guess is my mind’s way of saying ?not so fast? As the curtain of addiction continues to lift. It’s been 15 years of this shit, man. I’ve made countless attempts at sobriety, ranging from a couple of hours to 14 months, and I’ve never wanted so badly to make substance use part of my past. I got clean this time because I was once again losing my grip on reality. Furthermore, I was hearing voices. Furthermore, I was broke. Furthermore, I was bottoming out. My days as a functioning addict were over. Something I’ve been thinking about a lot lately is the idea of psychological addiction. I’ve never had much in the way of physical withdrawals. Opiates were never my cup of tea. My most recent cycle was daily marijuana use followed by two to three day Adderall binges. Wax on, wax off. But any addictive substance, even something as comparatively harmless of marijuana, produces physical changes in neurotransmission. The brain makes a maladaptive adjustment to substance use, etching it into daily life. I fell into this cycle originally because I completely misunderstood that concept. Addiction is not what I thought it was. It is so much worse. It takes over the mind. Furthermore, it robs you of the essential you, and you’re the last one to know it. There’s nothing I want more than to pass this knowledge onto the younger generation, people like myself who have no idea that they’re getting themselves into something truly terrible, but at the same time I consider it to be a fool’s errand. Would I have listened when the drugs were a novel and truly exhilarating experience? I don't think so. The first time I consciously tried to get clean was over ten years ago. During this repeated cycle of recovery and relapse, I’ve lost so many friends. My best friend didn't invite me to his wedding. There was never a falling out. People simply distanced themselves from me. I’m a liability. I’ve missed out on so much. Some days I feel nothing but regret. Other days I make peace by reminding myself I’m a more humble, more caring, and more understanding person because of the havoc addiction has inflicted on my life. I intimately understand failure. I know what it’s like to be objectively in the wrong. I’ve done some truly awful things that keep me up nights. My sober mind struggles to reconcile my actions in active addiction, and if I’m not careful that alone will make me relapse. There are so many triggers, so many trauma points, that sometimes I just want to scream. Or drive 100 mph into a brick wall, ending this struggle for my sanity altogether. Or get high. This week I feel great. A week ago I was at my wit’s end. That’s just how it goes. Yesterday I visited my dad’s farm. Here in Ohio we’ve taken so much snow in the past couple days that I haven't been able to work. I drive for UberEats, but I have a RWD vehicle. It handles well in the snow, but it’s prone to getting stuck when we get dumped on. Boredom is my worst enemy. I was so restless that I made the half hour journey to see my pops and the animals. Really I just wanted to play with the new puppy. We scurried around in the snow. The pup, me, and the adult dog of the same breed. My heart was filled with so much love and joy. I wasn't concerned about my reap. I wasn't in a rush to get home to my bong. Furthermore, I wasn't frantic because I’d spent all my disposable income and then some ($400+/month on weed alone). Furthermore, I was truly at the moment, staying for dinner and chatting with my dad and his wife into the late night. Furthermore, I thought about how free I felt, how substances no longer run my life, and it’s enough to bring grown man to tears. Addiction is a nightmare. I don't think you understand that until you break the cycle. Like what the fuck was I doing? That’s not life. This is. My girlfriend and I sent messages back and forth when I got home. I slipped off to sleep with ease. Yet it was a night of using dreams. A day of recovery punctuated by the invisible hand trying to yank back into that lifestyle, the sickening fond memories of highs long gone, a reminder that I will live with this hideous affliction the rest of my life. Someone tell my 16-year-old self that the drugs aren't worth it. I’m 31, and I’m just now beginning to live.</t>
  </si>
  <si>
    <t>I used to snort a lot of 3-FPM I would be up all day and night for about 3 days and eventually take clonazepam and whisky to come down and crash out. Then after a long sleep would need 3fpm again to get me going. It was a loop that I didn't want to stop. The only reason it did stop is that I got sectioned. Even then I saw it as a temporary setback and looked forward to doing it again. My sinuses are still fucked :-(Only as time passes I start to see that I was in a bad place and that I'm better off and a better person without it.</t>
  </si>
  <si>
    <t>I'm struggling with the whole concept of "recovery" and the nature of addiction and mental illness. I'm addicted to weed and relationships (codependency). I would be addicted to worse things if I let myself be exposed to them, but I know myself well enough to not put myself in those situations. My question is, if you have this kind of "addictive personality" (i.e. mental illness, OCD in my case).....what does recovery even look like??? I find it impossible to conceptualize a future where I don't have an unhealthy underlying NEED for something. Whether its weed, a relationship, sugar, sex, attention, etc. If I gave up all of this to be healthier and focus on myself.....id probably develop one of my hobbies to an addictive, unhealthy degree, like my partially-recovered alcoholic dad has done with running/working out. To be clear, I am currently medicated for OCD and it definitely helps, but I find it hard to believe any combination of therapy and drugs will ever solve my addictive tendencies. Is there hope? Is there a point in recovery where you wake up and realize "Hey, I don't feel an unhealthy desire for anything/anyone. Guess I am 100% recovered"???</t>
  </si>
  <si>
    <t>I am prescribed ten medications for the treatment of schizophrenia, bipolar, ADHD, Willis Economy disease, and panic disorder. On top of this I take between ten and twenty grams of Kr atom next to a few drinks on a nightly basis. At what point do I need to worry about my liver? Recent tests said my liver enzymes were fine, but I’m just wondering how long I can put 12 substances in my body without damage occurring. I’m on Lauda, Vyvanse, Adderall, Klonopin, Genotropin, Ropinirole, gabapentin, levothyroxine, testosterone gel, propranolol, plus alcohol and Kr atom. Without stressing the addiction aspect of all these medications, at what point do people begin to worry about their liver? Is this unsustainable, or can I mostly go about my day-to-day life without worrying about it so long as I get regular blood testing? What causes some people to have heavy hits taken to the liver while others like myself are on boatloads of medication without a noticeable difference? Does this come down to genetics?</t>
  </si>
  <si>
    <t>No one will probably care, but I have to talk to someone. It’s been a month since I last even took a Percent and life has been amazing, and getting better by the day. Kr atom had a big part in it. The first I’ve felt proud of myself in a long time. I have to process the shame/guilt of my past decisions and money wasted but I’m working on it every day. I started going to the gym and started to learn 3D software to create a side business. A month ago I was smoking weed all day and nodding off of Percy. Kr atom saved me during withdrawals and now I’m tapering Kr atom down to 3g-4g a day. If you?re-reading this and struggling, just know it gets better. Because I didn't believe it would.</t>
  </si>
  <si>
    <t>3 months off Bezos today, took me going to jail and be forced off them to stop but I’m glad it happened and do regret a thing, really has saved my life. Every day is still a struggle, still suffer with mental health, but I can now see positive in my future, for anyone who is struggling please carry on, it will get better time is also your best friend as well as enemy</t>
  </si>
  <si>
    <t>I consume about 3 or 4x the amount of recommended sugar intake daily. I haven't gained weight, but I'm speeding towards diabetes. Furthermore, I crave it. It's legitimately like a drug craving, apparently. So, as with any withdrawal, you feel like shit. It's been 3 days now. The cravings have lessened but ohh my God, the headaches have come on, and they're pounding. I'm downing Aspirin and Tylenol like...candy. Minimal help. So...is there ANYTHING I can do to alleviate these headaches? Vitamins, food, drinks, actions.anything?</t>
  </si>
  <si>
    <t>Soon? I’m struggling with a really tricky addiction. I’ve seen a lot of professionals, doctors, therapists, etc. but no one seems to be able to help me. The longest I’ve been clean since I ended up in this madness has been one month and at this point, it doesn't make any sense to even try any more because I’ll eventually relapse anyway. All the professionals I’m seeing are so very kind and encouraging, but I feel like I’m constantly letting them down and wasting their time when I really should just end it all. I wish I had someone to talk to, who has gone through the same and really knows what is like. I don't think I’m really looking for any advice here, just venting because I feel so alone and lost.</t>
  </si>
  <si>
    <t>Almost 8 months sober, ruined from a panic attack. A few months ago I ordered 100 pills, because, well, I don't know. I shouldn't have even let them entire my possession. Push came to shove. I felt alone, suffocating, I couldn't breathe. I don't know why I resorted to digging the pills out the taking them. Furthermore, I should have had more self-control, I don't understand. 50 or so pills. 30mg each. Before I was sober, I'd take 1000mg 3–4 times a week. But this was almost 500 more after 8 months of being sober. It hit hard. My whole life has come down on me. I've officially lost whatever I had left. All because of a stupid relapse. But most importantly, I lost the love of my life, the very once who convinced me to stop. I'm scared.</t>
  </si>
  <si>
    <t>So little background, I’m a 24-year-old 5th year medical student in a different country from my home country and I haven't been back home in 5 years so that should tell you about how my relationship is with my family, my parents are separated, and you could tell they hate each other every time they are together so I didn't have the best childhood, my dad worked for an oil company and got a lot of money but retired 8 years ago, the money is still there a bit and he’s a politician, and he is a very frugal man, so this would put things into perspective. On October 2021 I was sent $5000 which is equivalent to 2 million in my country currency for my feeding for a year and my house rent and bills, and my dad had a conference in Russia in February 2022 and thought I could use the money to secure him some accommodation too. My history of gambling-I?VE been gambling since 2014 but it’s kinda been on and off but since 2021 due to lockdown I got too invested because I came across one gambling page on Twitter which lead to 15 others, that’s when I started gambling with what little funds I had and managing the losses, then came October when I got the $5000, I started of slowly but dug my self into a big hole left with $1600 on January, I decided to make a big gamble which I won which turn the $1600 back to $4500, any sensible person would have run right? But no I kept gambling on soccer and basketball games, I couldn't go a day without betting and having online classes means I was stuck that home spending 12 hours a day on stats and betting websites, Little by little I lost everything again, I tried another big bet but it didn't work this time till I was left with nothing in my account, Then I sold my iPhone to a friend and thought maybe if I’m more careful this time I won't lose it, but I also lost everything. I feel like I wanted to fuck my life, I still don't understand how all this happened, I lost everything in 5 months, now I have nothing, no money, no hope, I opened up to my roommates today about my situation and how I’m suicidal, and they were understanding, agreed to cover me for this month I don't know where to start from because I’m a medical student and literally have classes every day and I don't have a job, I’m ready to face the consequences, I have to tell my parents, my relationship with my dad is strained already after I failed 2nd year of medical school in my country which cost a lot of money, so this would probably destroy it, he has already paid all my school fees so he probably would disown me, this would break my mom’s fragile heart, the woman loves me, one of the reason why I haven't taken my life, my siblings would be disappointed and never look at me the same way, I ruined everything, I’ve been thinking of lying about losing the money to crypto which is less disgraceful than gambling because I’m African and gambling is frowned upon, but I don't want to lie, I want the truth out to be done with it Do I regret it? Yes, I can't sleep or be awake without thinking about it, the worst part is I had really long dreads, but I cut it last week out of frustration, felt like a punishment for me, I needed but still isn't enough</t>
  </si>
  <si>
    <t>In about a week I'll be 4 years sober, and I'm sick of it. I started drinking to stop feel angry and depressed about everything. I got sober because just couldn't stop drinking, and it started effecting other people than myself. But now I feel the spiral starting to suck me in. Friends and family tell me all the time how proud they are of me. But for what? For taking away the one thing I could always turn to that would turn off my brain, for being able to turn my self-hatred into everything-hatred, or having to refuse a drink from everyone just trying to be nice and then having explain to them why I am refusing their offer then seeing the guilt build in their eyes. I just don't see the point anymore. The world is going to shit. I'm lonely as fuck. I don't see anything get better. What is the point anymore. I'm probably not going to relapse in the next week or so. I'm way too stubborn to do that. Just needed to get this off my chest. But if any of you have any advice (except for "go to a meeting"), then shoot.</t>
  </si>
  <si>
    <t>Why I stop I do not know. Why I stop It's not forever. Why I stop knowing I will start again. I hate it when I start. I hate it when I go. The on and off will never end. 1 day 2 days 5 days 10. Back to zero my life begins. Seeing the light then running away. Why do I stop because I will always start? Making plans then throwing them away. It hurts my being, but that's our way. Again and again I stop and go. The only consonant in my life. Why I stop I do not know. The excitement of stopping. The misery of going. It's the cycle of us. Why I stop I do not know. Waking up feeling everything. Waking up feeling nothing. Why I stop I do not know. One day may be different. Every day is the same. Sometimes I ask why I stop if I will always go. Falling down, getting up over and over. I will try again, but I always know. At the end of it all. I can say I tried, but you know like I. I will always go. So I ask why we stop, if go is all we know.</t>
  </si>
  <si>
    <t>This is going to sound odd and i?VE never heard of anybody with this same addiction. I can't go a day or two without taking a scoop or two of creatine. I feel weak without it, and it can literally completely demotivate me, and paralyze me from things like getting out of bed or being active. it's hurting my bank account, it's hurting my body most likely, but I can't stop. I work out every single day with creatine to almost like fill a fucking void or something. It just makes me feel like I’m accomplishing something and I cant do it without creatine. I don't know what to do.</t>
  </si>
  <si>
    <t>A little over 100 days clean and still feel off, but improving every day. How long did it take you?</t>
  </si>
  <si>
    <t>I’m so tired of relapsing. I’ll snort anything honestly. Just to get a rush or something. I miss alcohol the most. I’ve been clean for 25 days, and before that I was clean for a month, and before that I was clean for over a year. I’m very open about my drug usage to others too. Furthermore, I want my friends to know what’s going on in case there’s an emergency. IDK. I’m just tired of cravings and relapsing. How do I stop?</t>
  </si>
  <si>
    <t>Normally I don't eat a lot every day. Like a cup of coffee + toast + cigs for breakfast/lunch. But when I do eat I can't hold it down. I smoke a lot of weed, drink, daily Kr atom, and occasionally do opiates if I have them. I’m also a raging cigarette addict. Furthermore, I smoke like two packs a day. Are these things causing me to get sick? Or do I have some other issue not related to smoking or drug use? I’ve dropped like 20 pounds in two months as well.</t>
  </si>
  <si>
    <t>I was sober for a year and 3 months, my drug of choice was meth. I kept having dreams about it, for weeks on end after being sober for that long. So I relapsed and stayed up for 5 days, smoked a gram a day. Didn't sleep. I am now ?coming down ? I keep seeing stuff that’s not there. Furthermore, I went to go smoke a bowl of weed and somehow a half hour lasted by when it felt like 10 mins max. This is why I hate meth. It’s so hard to overcome no matter how long you are sober for. I just want to give it up for good, but that seems impossible even when everything is going good around me.</t>
  </si>
  <si>
    <t>I’ve been sober from alcohol for over two years, and thank sweet Jesus, as I cannot just have 1, and alcohol causes havoc in my life. I’ve also had struggles taking more Ritalin and Bezos than prescribed, and recently convinced myself, and my doctor that I need both for my severe ADHD. This isn't the first time I’d get a script, take it as prescribed for a week, then sneak in a few extra add to give myself energy and super focus and take a few extra Bezos if I really need a solid nap. 2 weeks into my script I’m out of my 30-day supply and the shame and guilt is bubbling inside and I’m feeling really down. Yes, it’s not booze, and I haven't spiraled or lost control of myself, but the fact that I’ve done this probably 10 times in 3 years does concern me. What really stung was talking to a person and having that feeling that ?they know I'm abusing drugs, And I feel completely riddled with shame and don't make the greatest eye contact bc I’m ashamed of myself(I felt this all the time when I drank;but it was prob way more obvious I was drinking.) I’m somewhat grateful that these scripts aren't easy to access, as I clearly don't trust myself using them as prescribed. Anyway I hope anyone struggling knows they’re not alone and to keep up the good fight! Love, light, and peace to everyone</t>
  </si>
  <si>
    <t>Whether it be one of the greatest times you ever had or it be one of your darkest that you were able to look to the light through. Whether good or bad, basically, what was the best thing your addiction did for you?</t>
  </si>
  <si>
    <t>Since November started, I've been ate edibles every day until today "February 04" Its kind of hilarious how I started. A girlfriend I had broken up with me... That fact affected me a lot, I couldn't even sleep because of her :(, Every day was so painful and my head was full of suicide thoughts... Then, after tons of meditation I undertook a trip to the CDMX (I m from Mexico) just to clear my mind. But on my trip, I found a Smoke shop named "Snorlax Store" and let me tell you they have the most powerful canna brownies and cooked I've ever taste. [Just to empathize how strong they are, I've made my numbers and each one have something more than 1/2 arms of THC] Since that day I became an addict. I ate 2 canna brownies for day. Now I want to quit consuming, because of work. But now I can't handle my mind when i m not high. Do you remember my ex GF? Well, we both study on the same school, and we had just turned back to school this Tuesday. Its so hard seeing her on the same room, I really want to fight for her, but cannabis is making me hard to. When I'm not high I get on bad mood and when i m high i m too intense DEEP I want to quit consuming, but I can't. Whenever I recover my mind flashes me with bad thoughts :(</t>
  </si>
  <si>
    <t>I (28) have been in a relationship with my partner (34) for about three years. When I met her, I was in a terrible state of mind, and I was coping with weed (once a day before bed) and beer, also in the evening. After a few months of this constant cycle, I realized that my head is a jelly every night, and that I don't want or like living that way. I stopped using both, and haven't even had a day of regret or some kind of craving. But my partner is another story. I feel like she "has" to smoke weed every night, usually two joints. I tried talking to her about this, but she is convicted that she has got no problem, since she is smoking just after work to get sleepy. Sometimes when we go out, she likes doing speed, and when I confront her about it, she says that it's just for fun and that I am being too serious about life. She has been doing this for many years(a lot of weed and occasionally the other stuff).</t>
  </si>
  <si>
    <t>Honestly I feel so stupid. I?VE been clean for over a year off pills. Last night I went insane, tore apart my house looking for something to use. I couldn't sleep. I haven't slept in days which I know is hurting my mental status and maybe that's why I did it. I didn't find anything. But I can't stop thinking about it. The urges are so strong, I feel like I'm suffocating, I feel like I can't breathe. I was addicted to fans, snorting OXY any time I could get my hands on it and a few other things for 2 years. Nobody knew but my boyfriend and a close friend. I just keep thinking about doing it again.</t>
  </si>
  <si>
    <t>Hey! I'm 21 M, and have struggled ever since I started my first ever job with an addiction of purchasing porn from Reddit, OnlyFans, etc. Luckily I don't have any major bills in my life to pay, but I still would like to at least save a bit of the money I take in (it usually goes right to porn mainly, and then other hobbies of mine like vinyl collecting, video games, etc.) I don't mind splurging money on thinks like video games and vinyl, as I enjoy having a hobby I can spend money on (which is vinyl mainly) but porn really serves me no purpose...why spend money on something I can just get for free online? I mean it's gotten to the point where at least 3 times a week I'll spend $90 max on porn. I don't get it</t>
  </si>
  <si>
    <t>I was thinking about New Year's resolutions and how I wanted to quit smoking cigarettes because I know they?redoing harm to my body. I sat there thinking that thought while smoking a cigarette and my whole body just felt like how it does when I don't have a cigarette for a couple of days and that made me kinda scared. Does anyone else ever feel like that? Like most days if I can't drink or smoke weed, I rely on cigarettes to fill the need.</t>
  </si>
  <si>
    <t>I had a lot of substance abuse disorders and an eating disorder for about ten years. I literally went from that to men for like five years. Then I was married for 15 and I’d say the addiction was fighting if anything. Now it’s my phone and this low level sad obsession with wanting a relationship. If I’m in one I’m anxious. If not I’m longing. But I’m rarely just okay. Sadly the relationships that I felt super comfortable in came with a partner that wasn't. It’s like if I feel like they like me enough they don't feel like I like them enough. Where do you find that happy medium and sweet spot? How do you find joy in just yourself and the moment? I’ve had these fleeting times when I truly felt free only to fall back on one thing or the other. I’d love to be fully engaged and focused on my life instead of always feeling pulled by these compulsions.</t>
  </si>
  <si>
    <t>My name is John. I'm 14. I have caring parents, funny brother, cute cat, above average grades, almost completed future plan, a lot of money and many other amazing things that some may dream of. And a bad secret. I masturbate multiple times a day. I've used many addiction curing apps, porn blockers, and other online tools. Furthermore, I'm still doing it. Furthermore, I need help. Please.</t>
  </si>
  <si>
    <t>First, absolutely respect to all of you that had gone thought this issue. Everyone told me not to do it, that I would get dragged in the mess, I didn't listen. Now I'm here facing an addiction to nicotine, weed and hash, poppers and occasionally MDMA. I (22M) tried to help this girl (27F) as much as I could and in the end yes, maybe I helped her as she's clean now, but I'm so much fucked up. I don't look like a crackhead, but I don't care as I feel I'm totally one now. Just needed to vent.</t>
  </si>
  <si>
    <t>I'm going down the hole. I need help. Every day after work I go to the bar, do a bunch of cocaine, drink and smoke half a pack, go home, do more coke, masturbate to the weirdest porn, smoke weed and go to sleep. Repeat. How do I break this cycle?</t>
  </si>
  <si>
    <t>I hate how many people start talking about "those are bad, you're too young to be doing those" "you should quit those now while you can, you have so much time" yeah I'm 17 so what, that's none of your concern. I don't feel like quitting, and you're talking my ear off about how I should quit doesn't help the shit I'm already going through. Furthermore, I know the path I'm going on, I'll eventually end up a heroin addict probably homeless if I keep going like this, then fentanyl, then death. Furthermore, I don't care right now, I'm suicidal and drugs make me happy, even if only for a couple of hours.</t>
  </si>
  <si>
    <t>For the past 6 months, I have gradually become more and more reliant on Afric and other oxymetazoline HCl nasal sprays in order to breath through my nose. I have a deviated septum and seasonal allergies so I can barely breathe through my nose to begin with. Unfortunately, the rebound congestion affect has hit me so hard to the point where the steroid wears off in an hour or so and I need to use it 10 times daily in order to breath. Coming off cold turkey is out of the options, because I am reliant on this nasal spray crack. Breathing through my mouth makes eating, sleeping, and working out almost impossible, and my voice becomes nasal-sounding. I also experience insomnia and other mental affects that I cannot express while taking it excessively, that may or may not be an effect of the Oxymetazoline. Any recommendations or tips?</t>
  </si>
  <si>
    <t>I've accepted I have a serious addiction problem mixed with bad impulses and a need to self sabotage, amongst a lifetime of issues never discussed. I'm highly functioning and a great family man, but the time has come for me to speak with a professional as I feel my issues are getting worse. What type of doctor specifically should I seek out? When I'm on Cigna's mental health options there are a thousand people with varying specialties, and I'm not sure who to choose. A licensed therapist? Psychologist? Psychiatrist? I have no idea where to go</t>
  </si>
  <si>
    <t>I am curious about your addiction. What is your vice? When you realized you had a problem. Any books you recommended. Any specific therapy work for you. Also, if you took any medication to help with your vice. Length of time you have been sober. I’ll go first. Addiction: Oxycodone/cocaine Friend offered me a snoot of OXY one night never had a pain pill in my life. Instantly addicted. 2 years sober from OXY relapsed and had a snoot of coke at a strip club instantly addicted. 6 months in realized I was using every day. Withdrawing if I stopped. Books; ? Rational recovery (alternative to AA)?, ?Buddha’s Brain:The Practical Neuroscience of happiness, love &amp; wisdom. Therapy; weekly counseling sessions. Tried to tell her I couldn't afford it. She told me If you could afford my drugs, I could afford her. Lol she was right. AA: 30 in 30 weekly for a year. Not for everyone but learned a lot. Later worked with a trauma specialist to get to the root of anxiety. EMDR specialist awkward AF but worked well. Ketamine for depression - Under supervision of a DR. Initially took anti-depression SSRI and anxiety meds. Switched to amino acids like 5HTP, GABA, L-Thea nine. Sober :7 years.</t>
  </si>
  <si>
    <t>In my experience, there are several different stages of addiction. The first being the complete belief that you are in control, having a good time and that It's something that you want to do. Then comes the consequences, the occasional moment of clarity when you realize that you started the day with one intention, but ended up with something completely different. I.e. going out for one drink, waking up after a blackout 2 days later. For many, the consequences happen very quickly, for some, it takes years to develop into a problem. There is quite a lot of denial at this stage. NOBODY wants to be labelled 'addict' and furthermore, nobody like the idea that they have no power of their problem, that their willpower is basically zero and some instinctual pleasure seeking part of the brain is overriding any rational thought whatsoever.</t>
  </si>
  <si>
    <t>So, this is mainly a bitch because I feel so deflated. On Saturday I broke 2.5 years sobriety. I have comorbid bipolar, and I turned into my full monstrous drunk manic self. Since Saturday all I've want to do is drink again to switch of the guilt, to feel a minute of peace. But I also never want to drink again because I never want to hurt my friends in that way ever again. So, I made an action plan. I reach out to a local charity for drug, alcohol abuse and offending behaviors as well as my mental health practitioner. Today the charity told me they can't take me on because they don't consider a blip active addiction. That they can't offer me a support worker because I'm not enough of an addict. They offered me online support group support meetings as an alternative.</t>
  </si>
  <si>
    <t>As far as I read a bad habit is formed as a response and is triggered by external factors. Like people who smoke during their break or when they are stressed. So the habit is created when they are in a specific situation and so quitting cold Turkey is hard because you still have that habit. So I thought if you would randomize your destructive behavior without a fixed time or a specific external event triggering it and then tapering down would that help with the fight against addiction?</t>
  </si>
  <si>
    <t>Hey!! I'm 21f and have a long history of addiction, and am finally once and for all ready to get sober. Unfortunately this means that i?LL have to actually deal with all the shit that’s underneath (personality disorders, ADHD, trauma, etc. I'm looking for a long term inpatient rehab center that also treats other diagnoses in depth. I was looking for any recommendations, price is not an issue and I am willing to travel anywhere in the world.</t>
  </si>
  <si>
    <t>Alright so I work in social work/services. My family is really supportive, and I was/am extremely lucky. They didn't push me to get clean when I wasn't ready, they drove hours to my city to take me to detox when I was, and didn't hate me when I relapsed. I don't know where I would be if I didn't have a family like this, and I see it way too often. Let alone my husband, that absolute saint of a man. He did not have to stay. Even though I can relate to the pitfalls of addiction, I understand heroin withdrawals and everything that comes with using, I can't deny I had an easier time with support. I want to help these people the best I can, but recently I feel like I’m the person I hated when I was getting clean. Not because they weren't good at their job, I absolutely hated when it seemed like people on the other side had better chances then me because of their situations. Not their fault at all, I was pissed off and scared as hell.</t>
  </si>
  <si>
    <t>he’s going down a dangerous slope and anything I say to him is falling on deaf ears. he’s overdosing on Xanax and seizing out, coming to school high off his ass, and every single time I talk to him he’s on something. Pills, LSD, shrooms, weed, literally anything. he’s told me he’s planning to do harder drugs and nothing I say is getting through to him. it’s so painful. I know you can't help someone who doesn't want to be helped but god I'm so scared for him is there FUCKING ANYTHING I can do??</t>
  </si>
  <si>
    <t>IV meth addict here, I think people who gamble are gullible imbeciles and I don't understand why these people enjoy throwing hundreds and thousands of dollars away into a dumpster until they have no money at all and keep doing it over and over again. Now I think drug addicts actually have good reasons. For one, you're spending money on something that makes you high and feel good. I have gambled so I can say that there is no high or feel good with gambling. First time I did it put $2 in and walked out with $17, and I did have the high and good feeling because I had just got $15 for free pretty much. Second time I gambled I put in $14 and walked out with no payout, so 14 dollars broker then when I walked in. This led me to the logical conclusion that gambling does not give out free money and is stupid and for stupid gullible people. I'm writing this post because my best friend of 12 years is a drug addict and gambling addict, and he puts all this money into a dumpster and never has money for meth and kinda just expects me to constantly share with him and then when I run out of meth he of course doesn't have any for me which kinda is just a big "fuck you" right in my face. Well he got paid, and I hadn't yet and was broke, and I asked how much he wanted to get, and he said he only wanted to spend $100. Anyway we do that, split it up, and I give him $50 a few days later when I get paid. Now by that time the half we each had was gone, and I was buying my usual quarter (around $400) to last me 2 weeks until next payday while my friend is already broke, no drugs, and gambled $800, walking away with nothing. I tell him I am not smoking, sharing, fronting, nothing I'm fucking DONE. I'm going to be selfish, and I'm not going to feel bad about it. This seems so logical to me that any person with a fucking brain would stop gambling. Now my good friend who I love very much is not a stupid gullible retard, and he's actually very logical and has common sense. Except for when it comes to gambling.</t>
  </si>
  <si>
    <t>My 30-year-old son is severely addicted to meth. He also has schizoaffective disorder and ADHD. Before meth, he was a very bright student, college bound, and drug free. For the last decade, he’s been in and out of rehab programs, in long term psychiatric homes, and on the streets. He is now on the streets, using, and comes home every three days to shower, change clothes, and eat before doing it all over again. He calls me at work for rides, has showed up to my job multiple times, and pretty much depends on me despite having free resources downtown for homeless addicts. I'm constantly stressed and feel like I can't live my life. Am I enabling him? If so, how can I create boundaries that are stern but also let him know I love and care for him.</t>
  </si>
  <si>
    <t>My overweight sister and my terrible friends abandoned me during my addiction. I'm 4 months clean and now they're acting funny. They're trying to act like they were there the whole time. How can my sister feel sympathy towards her loser boyfriend who smokes pot all day but feel nothing towards her brother that has a disease? Ow well when I'm thriving with a beautiful wife in the suburbs, my sister won't be allowed around me since she wasn't there at my lowest?</t>
  </si>
  <si>
    <t>I wrote on here about a month ago explaining how i?VE decided to start drinking again in moderation and how I firmly believe I can do despite what everybody has said. For context, I'm going to paste that story, but you skip over it or skim through it if you choose, there will be a clear indication as to where I resume this story. (Previous Reddit post about a month ago) Male, 21 years old and come from a family with addiction issues. Started drinking in high school at parties and on weekends sometimes, never became a daily issue at the time. It was when I started smoking weed around graduation that I realized I have addiction issues because I smoked pretty much everyday since then (3 years ago now) and have tried to quick pretty much everyday since and failed. Put the weed down cause of anxiety in Dec 2020 and picked up drinking. Boy oh boy was I in for a ride of a lifetime. What followed was Jail, misery, hopelessness, complete severance of relationships, regret, financial problems, etc. Keep in mind I'm not diagnosed depression or pretty much anything. Before alcohol the first 20 years of my life were just fine and completely normal. I come from a VERY close family of 7 people, (2 married parents of 30 years and 4 siblings of whom I'm very close with) Which goes to show just how incredibly powerful this drug is and what it can do to even somebody who is well situated. Was always self-aware of everything I did and what I was doing to myself, just couldn't stop. I went from drinking 2-3 Tall cans of beer daily in December 2020 to drinking 1 liter of vodka daily by the time May 2021 came. I pretty much dealt with what a typical alcoholic would have dealt with in the span of their 40-year battle per se, but crammed into the span of 5 months. It was ridiculous. Went to rehab June 1st 2021, haven't drank since. That is? Until 5 days ago. I am fed up with these labels I give myself and believing that I cannot sip on alcohol for the rest of my life. I’m a person who is hyper-aware of addiction and how it works as I study it all the time and live it, so I have come to the conclusion that if I am in a good place in my life and feel stable, I can drink. And to put it simply, so far, so good? I’m that person who is talking to my friend at the bar and while he’s telling me something, I'm just thinking about how he hasn't sipped on his drink for the past 10 minutes. Wondering how? Why? Because I would have had my first 3 beers finished in 5 minutes to get the convos started. I am FASCINATED by people who leave the bar with their drinks half full, it doesn't compute in my brain. Relatable eh? Therefore, i?VE taken this knowledge, and I am now applying it to my lifestyle. I drank one beer on January 10th, decided to leave a little bit in the glass as I walked out. Drank another beer January 12th, left a little bit in the glass again. Drank 2 beers tonight, stopped myself before going further. I know I am putting myself at risk for what happened last time, all I'm trying to say is that I guess for a person that has brain abnormalities (addiction predisposition), it is taking A LOT of will power to do this, but so far I feel like I can do this. I’m not saying that all of a sudden I don't have those addict tendencies like before, it took absolutely EVERYTHING inside of me to leave those last sips in and walk away, and to not go to the liquor store and get more, because fuck I really wanted to. So I guess for us ?addicts? If you want to drink again, obviously you can BUT it WILL come at a price. And that price for us ?alcoholics? Is a very, very strong will power and mindset to control it. Some of us just may not be able to afford it. Not intended to encourage drinking again, just my thoughts and experiences so far (Story resumes here) Everything I said in that story I firmly believed. All it took was about a week and what I found is that I quickly started to care less about my principals and routines and started picking up 1 more beer than I planned to per night and so on. It’s absolutely astonishing, but I get it now. If you cannot drink in moderation, I genuinely now believe you never will. I have a disease, similar to somebody who deals with diabetes and requires insulin to survive. What I require is total sobriety, and it pains me but at this point all I want is to be sober. I’ve spent countless nights begging god, the universe, whatever you believe in to heal me of this and let me sober and not buy a substance the next day, but I end up doing it because, well, addiction. It’s a fucking pain in my ass. As it is for all of you beautiful people who are here to help and support. I didn't really think much about typing all this but I'm really drunk right now (Two 750ml bottles of vodka in to be exact) and I thought i?d just wing it because it’s getting me out of my head and all I'm looking for is ideas, responses, love, just something. I know I need to quit now and i?VE planned to set my first day tomorrow for the rest of my life. It’s just fucking god-damn hard when you’re only 21 and have the illusion that you have the rest of your 20’s to party, have fun, get fucked up, have sex, pursue maximum dopamine release etc. I guess my main message here is for somebody who is an alcoholic, or as doctors put it, alcohol use disorder, we just can't fucking drink. Just can't. Unless you’re prepared to end up in Jail, lose your family, all relationships, become depressed and anxious etc. I love you alcohol, but I hate you.</t>
  </si>
  <si>
    <t>On and off the last ten years. I’m now 30. If it’s not coke then it’s not balloons or taking sleeping pills. I have a lot to be thankful for in life but I’m ruining everything. I believe I am an addict but then also I can really take or leave booze. Furthermore, I can have a perfect night out like six times but then on the odd occasion I will want to get cocaine. That leads to me binging for days. I’m so lost. I like drinking sometimes, but I do realize I have addict tendencies. Furthermore, I am ruining everything</t>
  </si>
  <si>
    <t>I'm just 20 years old, but my gambling addiction started about 5 years ago with CSGO gambling (you can look it up if you don't know about it) 1 day around 2019 I invested all of my money which was around 1000 euro into crypto because I am a strong believer in it. I always said to myself that I will never touch that money. Well, for a long time I could keep my gambling addiction at a low cost. Every month I lost around 150 euro which was acceptable. BUT my problem was bigger than I thought, I wanted to play more often, I chased losses, and so on.</t>
  </si>
  <si>
    <t>I've only been sober (from alcohol) for three weeks, so I know I have a long way to go. I've been taking Totipalmate which has really helped with the crippling cravings that have kept me relapsing before. Today though, I had a brain fart and wasn't sure if I remembered to take it this morning, so I decided to be cautious and not take it for fear of doubling up a dose. Obviously I didn't, because now I can't think of anything other than having a drink! I'll be fine, I'm sure, but I'm wondering how much longer do I have to be sober until these kinds of cravings subside and I won't need the medication? I hate just sitting here wanting to do something...anything...but not being able to because my one thought is to go grab something alcoholic from the store.</t>
  </si>
  <si>
    <t>I’m completely addicted to my phone, I spend several hours a day on it. I want to get back to different things, but I just feel like I need to be on my phone, I don't even do anything interesting on it. Please help</t>
  </si>
  <si>
    <t>Was an alcoholic for 2 years, then I started using weed/hash and it "helped me" to stop drinking. Got too used to hash to the point I "need it" to relax, eat or sleep. It's been now a bit longer than 3 years. I can go a couple of days without but that's about it. I know there isn't much that helps the withdrawal to disappear, but any tips would be appreciated!</t>
  </si>
  <si>
    <t>My oldest brother, 40, and another older brother, 38, are both lifelong addicts, starting somewhere shortly after high school. My oldest got into heroin and opiates and has always lived with my mom, recently transitioning into meth on and off a few years ago. The other one was straight into uppers and never got the same leniency with my mom. The 40-year-old is entirely dependent on my mom financially, hasn't held down a job and hasn't even tried to be employed in 4 or 5 years. The 38-year-old is in prison. It's frustrating me because my mom can barely make rent, I find myself lending her money to just make ends meet, and she refuses to acknowledge that it all stems from extra expenses for the 40yo as well as money on the 38 yo's books. She earns more than I do but has horrible money management and constantly lives paycheck to paycheck. The 40yo has always been welcome at her house and contributed little to nothing. What's worse, he is constantly venting to me about how toxic our mom is and how much she holds him back. He has a drug fueled religious fervor that has led him to write biblical passages on the wall and draw biblical scenes in Sharpe when he is high all around their apartment. He has become angry and threatened violence if she even suggests that there are areas in which he could improve and constantly says the drugs aren't an issue. It's hard for me to argue because his life choices have never led to any of the consequences that would normally accompany a lifelong drug habit. The 38 yo has never had the same leniency. He has lived on the streets and committed crimes to support his habit. Things the 40yo has never had to worry about. Since I was about 8, all we have ever talked about as a family is one of these two brothers and I (29) am I feeling more and more exhausted with it. My mom will invite me over to their appt (with sheets pinned over the windows and Sharpe writing everywhere) and acts like if we all eat dinner and watch TV we can collectively pretend like everything is normal. Or if she comes over to my house or my other brethren (non-addict) house she thinks it's unfair that we aren't comfortable with the 40 yo there. It just feels delusional. The 40 yo always says I'm the only person he can talk to and trust and I try to play a supportive role/ gently nudge him the right way. But at a certain point the pattern has to stop. The conversation always turns to how toxic Mom is in his eyes, which obviously makes me try to encourage him to get a job and move out, but he blows it off and acts like she's the one who needs to change and be more encouraging of his bizarre, constantly changing life goals. His stance stems from the idea that "families need to support each other all the time, regardless of their problems" but doesn't see the hypocrisy and the fact that he has never supported anyone, even himself. We have tried interventions with all 3, including trying to convince my mom to stop enabling. But she can't bear to do it and is convinced that the 40yo isn't strong enough to survive any tough love. In her mind, he will starve or overdose the moment she stops enabling so she just keeps doing what she's doing. Her intentions, although misguided, are always about helping them. She would starve and live in the cold, and almost has, if it meant they were warm and fed. I'm feeling trapped. Like I can't move forward with my own life. I want to get married and have kids soon, but I'm scared that their lives will be tainted as well. I want to move out of town, but my GF has a good career here and if I leave I think my mom will be swallowed up entirely by the 40yo. Furthermore, I don't know where to go from here. Furthermore, I understand that addiction is a disease. Furthermore, I don't think anyone involved is a bad person. But my entire life to date has revolved around this one single issue, and I'm not even the one who has any ability to change it.</t>
  </si>
  <si>
    <t>I'm 18 now, and it all started 4 months ago, since then I've gone out with 21 escorts. On average, 4 times a month. I started with that when my uncle kind of influenced me to hang with a girl after I revealed to him that I was 18 and had absolutely never been in a relationship with anyone. I've always moved houses a lot, and it makes it impossible for me to bond with anyone, bonds strong enough to be romantically engaged with someone I mean, I move basically every 1 year, and always to places far away from each other. Furthermore, I started working with my uncle and earning my salary, which is pretty high for someone my age, more than half go with prostitutes and the ones I hang out with are usually upscale girls, I don't like brothels and nightclubs, so I always meet them outside, I can't stand a week without it. And the worst of all is that I don't even come, since I have delayed ejaculation. And worst of all (at least for me) was that I realized that I've NEVER kissed anyone and I don't have the slightest idea how to do it. This whole situation is fucking my head.</t>
  </si>
  <si>
    <t>I’m actually failing?first time I ever lost hope despite all I’ve been through. I have always found a way before, but not this time. This is what failure tastes like. I wish to be an innocent child never introduced to this shitty track of life. I’m finishing my last semester of school and the self-sabotage is ever-present. Furthermore, I hate this. Furthermore, I hate having so many jobs. Furthermore, I hate my decisions. Excuse my drama. I’m extremely coked out and luckily drunk enough I may find sleep tonight.today?at 10am when I should be achieving something. Cheers to beer 20. I just want to change my ways and so often I’ve failed at finding how</t>
  </si>
  <si>
    <t>I’ve quit weed, I’ve quit Bezos/pills, I’ve quit alcohol. But my final one and perhaps hardest because it’s such a light easy addictive drug is nicotine. This is my first day at this exact moment I’m going to plunge into quitting this finally. I know that most people will say this is so wrong of me and literally just my addiction talking, but is it okay to just take one last cigarette? As like my final goodbye? Or is this a bad idea. This is definitely a bad idea, but I really want this proper goodbye. Is this just my addiction talking?</t>
  </si>
  <si>
    <t>Wake up. Feel like absolute fucking dog shit. Take DXM pills. Contemplate death and feel the bugs crawling under my skin while my heart beats out of my chest while I wait for it to kick in. DXM kicks in. feel absolutely amazing and on top of the world for like 6 hours while I work, eat, go about my daily activities. Forget to take more because I feel so amazing and start to feel like absolute fucking dog shit again and also realize I don't remember most of the day. Contemplate death while the bugs crawl under my skin and my heart beats out of my chest as I wait for it to kick in. lie down and suffer. It kicks in. feel amazing and get more shit done or trip too hard because I took too much and dissociate for a few hours. Go to sleep and either wake up feeling amazing or like absolute fucking dog shit. If I feel amazing then I get shit done and dance until I feel absolutely horrible again and I take more. If I feel like dog shit I take more and wait till it kicks in. either way, the cycle continues. Day after day. IDK why I'm posting this I just need to tell someone. I'm feeling like dog shit RN and I just needed to get it off my chest</t>
  </si>
  <si>
    <t>I’ve tried it 3 times last year with friends and I never felt like I wanted more. Are some peoples? Brains genetically predisposed to addiction to certain substances while others aren't? I’ve also felt the same way about alcohol. Or it might be that I’ve been taking Adderall to treat my ADHD for years? The high of meth didn't feel different from how I feel on Adderall. Only difference was that it was way more intense. Maybe that’s why?</t>
  </si>
  <si>
    <t>I'm 17 with addictions. I’ve recently recognized that I have an addictive personality. Furthermore, I immediately become hooked on any substance or activity that provides dopamine. Furthermore, I begin violently craving them to the point that it is the only thing I can think about and when I’ll do it next. Here’s a brief list of past and/or current addictions (from least to worst destructive). Feel free to skip around, summary at the end. Food It’s the only consistent addiction in my life. I’ve been doing it since I was about 11. I’m not obese or anything, but I wish I had control over what goes into my body, and I wouldn't mind losing some weight. I’ve eaten 4000 calories in a sitting to fill that void, usually followed by a day of strict restriction. Furthermore, I think that I regain control by over eating. People I become absolutely obsessed with people I’m attracted to, which is normal, but I feel that I am on an extreme end of the spectrum. Within the first week of meeting the person they usually consume my every thought. Hence, my strict no dating policy for myself. shoplifting This one was short-lived. I did it for the first time in August and the last time in December. I think and hope it was the last time. Something about the rush of adrenaline during and after made it unbearable to resist. And getting away with it, well I was nothing less than a god at the moment. I realized it was a problem when I did it when I was with my mom, dad and sisters. I stole a small magnet. After leaving the store, while still high on the adrenaline, I showed off my token. My mother pulled me aside and rightfully so reprimanded me. I didn't care at the moment but in hindsight it was devastating. Reckless driving This is one that I try not to do because I know that it could end up with others injured or worse. The funny thing about addiction is that at the moment you do not care about anyone else, the ?high? Is the only important thing. I’ve never been this type of person, I’ve always-well I still am, I am tender, kind and thoughtful. But my personality is pushed to the side when I have a chance to receive the high I need. This is devastating to me because I do not wish to harm anyone. Self harm I'm not sure what this one is about. I’m not sure if I subconsciously think that I deserve the pain, or do I like the control, or maybe it's the blood. I’m not sure. This one was very short-lived as well but severe while it lasted. For about a month I would cut every day, sometimes multiple times a day. It was my release when I had overeaten, when I was overwhelmed or when I hated myself. I had a panic attack when I flew across the country because I knew that there would be no way for me to cut while I was there. That day was my first day of just over two months clean. I’ve since come home and have had minor urges but have been able to resist. Alcohol Ive only drank a few times for good reason. The hang over is no fun. I still do get the craving for it despite the pain it will cause the next day. It shoots me into a world besides my own where I am able to be worry free and that’s amazing, but unhealthy. It feels as though I am a toddler again, before I went through everything I went through. My rock bottom was probably drinking stolen vodka out of a coke bottle in my room alone at midnight. This was when I realized that I had spun out of control. I don't think I have ever become addicted to alcohol, but I definitely have the potential to become given my history. Weed This one is a combination of the effect from self harm and alcohol. It provides a release but I’m not truly addicted. Weed provides me with a release not an escape. It shushes my racing mind for just enough time for my body to catch up. I would not find my use of weed concerning if it were recreational, but it's not, it’s a release and a coping mechanism. That makes it unhealthy. Adderall I would like to make it clear that this is by prescription. I have ADHD and take it daily, sort. The thing is that I have become obsessed with the effect it provides. I’m able to function like a ?normal? Person for the time being and that is something that I have always craved. The voice in my head that has never stopped has finally stopped, and god It's like a breath of fresh air. The vibrating in my body slows and I can think. Today I had to skip my Adderall for medical reasons and all day I groaned to myself about how badly I needed it. I actually cried in class. Adderall has been my lord and savior but I’m addicted. Asian This is also a prescription. It is from 2018 though. I suffered from crippling anxiety and this was prescribed to get my through the school day. The thing is that I’m not supposed to be taking it anymore. But once an while I take it for the euphoria. I’ve only done this a couple of times but Asian is nothing to play with. I’ve found myself craving it when nothing else is an option. Summary: I’m not sure why I’m posting this. I know its really long, so if you didn't read, I’m slightly addicted to a bunch of things. I think that each addiction developed as a coping mechanism from the previous, but I’m not sure. Furthermore, I know I need to get to the root of my pain and in turn, why I do this. Furthermore, I have a lot to figure out. Furthermore, I have a feeling that there are several mental illnesses that need a diagnosis. And I probably need some intense therapy to work though the horrendous childhood of mine. In the meantime it is terrifying growing up and watching myself throw everything away. I hope that this helped someone.</t>
  </si>
  <si>
    <t>As much I want to be done and over with using, I’m not. No matter how many reasons I have to stop or how much others want me to, I don't w an n t to stop yet. I like being high and drunk. I like not having to think or feel. Furthermore, I don't want to use my DOC, but I don't want to stop using other stuff. Furthermore, I can't tell anyone because I’d just be disappointing them and making everything harder for myself. Right now I’m just trying to find a new plug and get money. And honestly once I do, I will be content with it.</t>
  </si>
  <si>
    <t>I used to be both a sex addict and a Marijuana addict, but marijuana was my main drug of choice, and I was so addicted to it. I ended up smoking more than a gram a day of wax, to the point where I would start hallucinating. Furthermore, I was spending over $75 a day. Being a person with disabilities this was my way of coping with things. I feel like a brand-new person by getting rid of my drug of choice forever. It ruined me, and I am better for leaving it. I used to use sex as a coping mechanism too, slept with way too many people all the time and for me to go this long without it is also so incredible. I may not be fully straight edge as I have recently started just socially drinking, but I will not keep anything in my life that I will abuse. Furthermore, I love the new me! Even though she is still so, so exhausted</t>
  </si>
  <si>
    <t>I smoked pretty much every day for 2 years and finally quit because it was deteriorating my life and I realized the negative impact it had on my mental health. These withdrawals are just kicking my ass right now, particularly having no appetite. Just looking for some insight from people who have gone through it.</t>
  </si>
  <si>
    <t>When an addict uses the same drive and obsession with drugs towards something more productive like education, are they more gifted and more likely to succeed than a regular socially accepted person?</t>
  </si>
  <si>
    <t>I’m 3 weeks sober from taking stimulants after taking Vyvanse/Adderall for the past 2 years. Today has been really hard and since I stopped taking them there are 1–2 days a week when I’m like God this would be so much easier to do if I had it. I’ve been feeling lethargic, unmotivated and it’s just been tough in that sense. Just venting and trying to stick it out to see if I feel better but hard to see it right now.</t>
  </si>
  <si>
    <t>Detoxing from Coke and Meth I can barely eat and am I shaking non-stop. Any tips much appreciated.</t>
  </si>
  <si>
    <t>I am an addict. I've been smoking marijuana for about 10 years. Furthermore, I just can't seem to get over it. Half of my life and people in only think about me associated with the drug. I'm really sick and tired of being known as a stoner but I also use the drug to help with stomach pains and aches. I just can't seem to stick with it. That longest I've gone without it, I think is like a month or two. I just can't seem to stick with it. I feel like I need a sponsor to help me forget weed and thing about life.</t>
  </si>
  <si>
    <t>Finally realized I was severely addicted to gaming when I didn't sleep for 3 days playing games then slept for 2 days then repeated</t>
  </si>
  <si>
    <t>I don't want to ruin our connection but I’m afraid he will run if he figures out I struggle with addiction. Do I lie and keep it secret? Edit: I hear what everyone is saying. But look, we haven't even gone on an official first date. I just like the guy and am I enjoying that for the moment. I won't lie about it, but at the same time I’m not going to share that part of me until I feel safe and comfortable enough to do so.</t>
  </si>
  <si>
    <t>She'll take care of her lazy boyfriend after working all day but showed no sympathy for me when I overdosed on meth. Thought I was less than human. I'm going to get this degree in dental hygiene and live a beautiful life with a caring woman. When my sister sees I'm doing well, she'll try to come in my life and act life she was there the whole time. She wasn't there for me when I was at my worst, so why should I let her around when I'm at my best?</t>
  </si>
  <si>
    <t>I’m addicted to vaping. I need help stopping I’m 20 and don't want this in my life anymore. Please give advice. I’m desperate to stop.</t>
  </si>
  <si>
    <t>For the past few years I've been very addicted to messenger and texting in general. Despite being overwhelmed by every message that was sent to me, and every information I received I had to write back. It was the duty I had to fulfill. Finally, I have one month without school so I decided it will also be one month without messenger. And I feel great, I'm more productive, I am finally able to have a moment of silence in my life, a moment for myself. I allow myself to write back only on my PC, so I am not online every single moment in my life. It really works for me, everything is far better. The thing is, I need access to my messenger account when I go back to school. I'm engaged in many school activities and I need to stay updated all the time while in the building. I'm concerned going back to school will send me on another texting addiction spiral, I don't want that. On the other hand I don't want to resign and sacrifice my school duties either. I have a few weeks to figure something out, and I wonder do you have any tips that could possibly help me? I know it's nothing as serious as other addictions on this group. Despite I could really use a little help. I would be really grateful.</t>
  </si>
  <si>
    <t>I’ve been a moderate ketamine addict for 3 years, doses ranging from 200-600mg per day on and off for 3 years. I cut out the K for 6 weeks straight and then used twice before going fully T total for 7 weeks, no drink or drugs at all, then at Christmas I had a few beers (no issues with alcohol) and also used Ketamine again daily for 2 weeks. Then I stopped again, I’m now 4 weeks since last using, but I feel nothing, I am numb emotionally, I don't get excited, I’m not optimistic about my future, I feel like I am just present and at the moment, doing and the thought of fun things gives me no joy, I believe this is called Anhedonic? How long until I feel again?</t>
  </si>
  <si>
    <t>My family has been going through a hell lot of financial problems. My dad lost his job due to the pandemic and my brothers' situation was the cherry on top to the shitty situation we were already in. He was hospitalized a couple of months ago and was eventually diagnosed with type 1 diabetes, and so most of our expenses go to his meds, healthy foods for him, etc. He's in his mid-thirties and still can't do his own paperwork or make his own lunch. My mom needs to stay up late portioning and making his meals for the day, which is upsetting ASF. He's always high, never takes care of himself, and pretty-much makes my mom baby him in a way. There was a point in time where I thought he was suicidal because he wouldn't care at all about his health even after he got out of the hospital. All he does is sit in his room, smoke marijuana-- which he's literally NOT SUPPOSED TO DO-- and play video games. No worries, and not a care in the world. And yes he does have a job, but he spends most of his money on marijuana, I'm guessing. The rest goes to his meds. I genuinely don't know what to do. I'm still in high-school (15F), and the academic stress paired with my home situation just makes me want to give up at times. Every solution in my mind seems to come to a dead end that just always ends up with my brother not caring again. I'm tired, my moms tired, and IDK if my dads tired but there's no way he isn't. I want to help my brother, but it seems as though he doesn't want to help himself. TL;DR - My brothers a marijuana addict with type 1 diabetes and no care for his health whatsoever. How can I help him? Are there any Canadian drug addiction programs that he can go to? Words of encouragement and support would work too-- if I'm being completely honest.</t>
  </si>
  <si>
    <t>I know this is sounds silly, but I have an addiction to social media. I have tried deleting the apps, blocking it on the chrome app, setting timers, blocking it on my computer. Furthermore, I go back and forth between restricting and binging. Recently I took a month off and it didn't really work. So I tried a new approach where I don't restrict it in the first place to try and remove the novelty. I’m having an immense amount of shame at how long I’m spending on it (7 hours a day.) But it is getting less. I don't want to go back to the cycle of deleting and redownloading. I want a long term solution. Has anyone gone through the same thing! Please I need ideas!!</t>
  </si>
  <si>
    <t>A few months ago I decided to buy a dab pen and start smoking carts. I was sort hooked on smoking but not carts. Since I bought my first one, I keep buying every time one runs out and get high every day just alone in my house while the rest of the family is out at work/school. When the pen broke, I went immediately to the USB wire method. I have a job and am I going to a community college trying to start my life out right. But finding like I am now is causing terrible anxiety and depression, and having an ADHD mind it only makes the cravings so much more intense and difficult to deal with since I’ve never struggled with addiction to anything. I had a normal and enjoyable social life through high school, but as of now I just isolate a lot more and think I’m being a burden by sitting around getting high ASF when I could be doing more</t>
  </si>
  <si>
    <t>I started doing pain pills socially back in high school on the weekends drunk with friends. It was a huge plus when I would bring a girl home ;). Fast-forward 10 years and I couldn't hold a job more than 2 weeks. I stole from family and friends to support my habit. (Was doing 2-3 open 40s and a few perk 30s a day) it was really expensive. I burnt so many bridges and lost valued relationships. 2 years later and I now have my CDLs and been employed at the same job nearly 2 years. I still have plenty of money left on the next payday. I've paid back most of what I've ever stolen in cash value. But, it's hard knowing that family still keeps an eye on me at family gatherings. I still hear then whisper about me. I have my own home, 2 cars, 2 kids and been supporting my family on just my income but when I hear and see them do that it destroys me. Any advice on what I can do to either make them see that's not me anymore or a way to look past what they're saying?</t>
  </si>
  <si>
    <t>My names Conor and I’m 19, 20 in a few weeks. I’ve had a friend who’s been my best friend for 7/8 years. He’s had a very tough life, his family is broken with an alcoholic father and mother who also can't work. He’s been out of school since he was 16 is because of mental health issues, issues I’ve tried my very best to help him with throughout the years. He’s had a tough time with addiction ranging from MDMA, Lyrics, cigarettes, weed and sleeping tablets which he took excessively. He’s managed to get by pills however now he uses alcohol daily and weed regularly. All of his friends have wanted nothing but the best for him, giving him clothes, buying him things and trying to motivate him to getting back to sports which he used to excel in, like really excel. And nobody ever asked for anything in return or expected it. He has stated his inability to apologize and very rarely thanks people. He’s also stated in the past how he wants to ?go off the map? And make new friends etc. basically insulting all of us for anything we have done for him. He can be violent, and has done criminal things such as robbing when he was on drugs. (Trying to impress a bad crowd). He shows no ambition, never lasted in a job and somehow none of this has ever been his fault, he also refuses to get a new job. No bank account, no passport, no nothing. No respect for anyone when he’s drinking and is loud and everyone avoids saying it to him because we know how he’ll react. Recently his brother asked him to be quiet because I’m assuming he was being loud, and he started pushing him and punched him in the eye and pushed his ma'am. I just want to leave him because I think he’s a lost cause and I’ve down everything I can for him and don't believe he’ll ever change. What should I do??</t>
  </si>
  <si>
    <t>I'm (29M) a recovering addict from alcohol and Klonopin (6 years sober) and weed (7 years sober). I haven't been without a woman at some form of relationship, between casual or serious, since I was 22. Furthermore, I just got out of my last relationship and find myself immediately thinking about something new. Furthermore, I'm realizing that I don't really care about anything. Furthermore, I'm starting a business, but that's really only been for the purpose of making more money, so I could attract higher quality women. Furthermore, I'm relatively handsome and tall and well-endowed, so I've been able to lean on that to attract and keep women even though I've been almost broke and surviving off the minimum wage I can to live and date women. Furthermore, I don't really know how to deal with this. People that I explain this to that even now I'm a recovering addict tell me it's just human nature. I also feel like if I had a really supportive woman by my side and a healthy relationship, I could then be happy and be able to pursue other goals. My sex drive is incredibly overwhelming. When I'm walking around, and I see a sexy woman, I almost have to leave the store, for instance, and sometimes rush to leave, and I'm usually panting and shouting super loud to myself when I get to my car something like "OMFG, she was so hot!" I recently beat a food addiction, like really beat it. Now, I don't even think about food and sometimes don't even finish my meals which is a huge change from before. I've never worked a program, but I read a lot of self-help books, including about emotional intelligence. I know how to work on my addictions, but I just don't know how to approach this to determine what is problematic and what is not - what is addiction and what isn't. Furthermore, I guess I'm trying to figure out what is human nature like people say and what is the addiction. Is it normal to base one's life around meeting the person of your dreams? Like I couldn't care less about accomplishing anything in life (I'm somewhat of a nihilist, believing that nothing really matters) except for having a super sexy woman by my side. Then, I'd probably work on other things if it was secure and only because I was satisfied.</t>
  </si>
  <si>
    <t>I have been sober since April 2015. My drug of choice was oxycodone. It hasn't crossed my mind for years. A couple of weeks ago my so was injured pretty badly. They prescribed her 5mg OXY every 4 hours, I open her pill bottle and deliver her meds as she wasn't able. Every time I was shaking internally reminiscing about the past all the nostalgia coursing through my body. Of course, I wouldn't take her meds as she is crying in the next room? That isn't me anymore. 2 long weeks of this. I kept my sobriety. Tonight she has 3.5 pills left sitting in the closet. She isn't taking them anymore. That stupid orange bottle is like the eye of Mordor calling me. I know addiction is life long. So tonight I’ll take a deep breathe and remember how good the last 7 years have been, how I haven't had to lie to doctors, deal with gang members or steal from medicine cabinets. I’ll take a really deep breathe and remember how since I have stopped abusing, I got married, bought a house and kept perfect jobs. I’ll take another really deep breathe and wake my wife and explain that I’m struggling, and we need to get rid of them. Someone once told me I would wake up one day and the sky would be bluer. This was and is true. I just didn't think that sometimes the sky would feel heavy and dark. Still? every day has been worth it.</t>
  </si>
  <si>
    <t>I’m in my 20s for any FYI needed, and I’ve been an ice user for 3 years now and IV ice user for a year now, however I’ve been given the chance to try something new out, Suboxone, I’ve never done opioids before though, not even really fans or downers. IDK what to expect I was even told it can be a similar combo mix feeling of ice and coke, that’s my fave combo high yo lol Snort it or let sit under tongue? How long does it take to kick in ? I’m already taking only the crumbs of one pill, I don't have to worry about any ODs or anything ?</t>
  </si>
  <si>
    <t>First off apologies to the local fish because y'all motherfuckers about to be Rollin steady tweaking!!!! I meant to give up meth last week. But I was an idiot and accepted some from a "friend" (yeah right, what fucking friend would introduce poison back in your life?). I relapsed on it yesterday and today. But as I was high as fuck, tweaking, reading this sub and everyone else's story it made me realize..... I truly do not need this shit. This shit is poison. So I went, got the baggy and dumped that sum bitch down the drain. It was about 2 grams worth so not a shit ton but a sizable amount I bought to last for a while. Nope! I'm prepared to suck it up the next few days. Thankfully I had a few days sober in between relapses but this time I'm through with it. Thru with everything related to drugs except weed because, well, everyone's got to have a thing (please didn't come here to debate the merits of weed, it's my choice, and I will keep it that way) anyway wanted to thank y'all for persuading me to do what is fundamentally the correct and healthy decision. I truly do not need this shit in my life. I'm honestly impressed that while in a state of intoxication off the crystal I had the good sense and willpower to realize what I was doing to myself and say "fuck this nonsense". Honestly I've never had these thoughts on crystal, so I look at this relapse in a positive light. It is positive because even in the midst of a relapse spiralling downwards fast, something clicked, and even in the throes of it, I was able to not only realize what I'm doing to myself, but take action on it!</t>
  </si>
  <si>
    <t>Been 2 years and 5 months sober and I'm thinking everyday ab relapsing on the hard stuff I used to do. Now I only smoke weed, drink and cigarettes but they’re being self-destructive mechanisms lately that make me want to always add something stronger, I'm so scared</t>
  </si>
  <si>
    <t>Withstanding a variety of hardships throughout the past few months (as have many, during these tough times &lt;3), I have struggled with addiction (cocaine, ketamine, alcohol) loneliness, depression, and self-doubt. I'm the eldest of three (22,20,17) &amp; I have reasons to believe I am an alcoholic (which is a very ambiguous construct). Whereby, I drink and then take an abundance of drugs as a result. I work 2 jobs in 2 different time zones (Asia, Africa) and receive a fairly healthy remuneration pack to support my siblings. My honored ?bread winning? Support, to my siblings, is a result of my father's current circumstance. He is currently on trial with a maximum sentence of 15 yrs, and I am extremely concerned that if things don't work out the way they should (as he was wrongly convicted) shit may really hit the fan. And I will dig myself deeper down the rabbit hole.</t>
  </si>
  <si>
    <t>I'm addicted to nitrous oxide. Not the whip it’s neither. I have my own tank and I can't stop doing it. I waste about 100 a day on it even more I’ve been cutting down and haven't done it in days. But when I don't have it I really feel like shit like I need it like it takes my anxiety away. How do you guys cope with this / how should I cope with this it is very hard, and the withdrawals feel like shit</t>
  </si>
  <si>
    <t>39-Year-old sister is dating loser that smokes weed and plays video games all day while she works for the last 24 years. Always stressed and has to take Asian to sleep. Advice? My sister is the sole breadwinner of her household. She works all day and then brings her boyfriend his plate. She's literally living in servitude of this guy, and she's always stressed. I keep trying to tell her that this isn't the right way to live, but she never admits there's a problem when any woman would want change. What she's doing isn't normal. How can I convince her that a change is necessary for her well-being? I think Bezos are messing with her head and if she was with a good guy, she wouldn't have to take them.</t>
  </si>
  <si>
    <t>I (23f) have been an addict since I was 14. Started with Bezos I was prescribed and codeine my mom had lying around. After 4 family and friend deaths, and a car accident that left me with brain damage and severe PTSD, I began abusing fentanyl and heroin. That was about two years ago now. In August, I checked myself into rehab because my dealer robbed me and, honestly, I couldn't find another dealer and couldn't stand the withdrawals. I told them I got tired of living as an addict, but it was a lie. My family had NO idea I was an addict. Seriously. When my mom found out I was in rehab, she asked if it was Adderall or something. I was there for 8 weeks, and they had me on Suboxone. At the time of my discharge, I wanted to relapse right then. I didn't feel any better, despite doing everything they told me to do and trying my hardest. Meditation, praying (despite not believing in a higher power), nightly reviews, my fourth step. I did fuck prayer circles and everything. I really tried to find God. So I essentially was white knuckling it for three months. Taking my Suboxone, going to my appointments. I wasn't able to find a meeting that I liked, the only one within walking distance was all people 55+. They told me that I should find one with people my age. I started getting suicidal. Last week, I got offered some fentanyl on Facebook, and now I'm using again. I feel guilty, but I can't go through the pain of being sober anymore. Last night my mom hugged me and told me she's proud of me. I know I'm back right where I started, and I should care more but mostly, I feel relief. Guilt, shame, but mostly relief.</t>
  </si>
  <si>
    <t>I am a horribly addicted to the hyperstimulation my phone, computer and music bring me. I could literally mindlessly browse through Google, Wikipedia and Reddit for the entire day, as well as listen to music from morning till night, because it gives me an addictive energy boost. Furthermore, I have thus horrible problems with concentration and likely ADHD, because I cannot help but roam around my room for hours, thinking about fantasies that bring me that boost. Furthermore, I have great difficulties just sitting down and focusing. Whenever I try to stop, it honestly frightens me to find out just how free I am, how many things I could be doing and how much time I actually have. It only makes me less motivated to do anything and eager to return to my Matrix.</t>
  </si>
  <si>
    <t>I posted earlier today about how my fiancé‚ took too many of his Klonopin and wanted to give a little update. His mom was able to come by today and help me. She took him to the hospital for me since I had our 2-year-old at home. I haven't heard too much, but he is doing a lot better after getting some fluids and being monitored. He’s basically been resting when he can, not feeling well though, of course. He’s still kinda out of it and I really haven't been able to speak to him but his mom and a nurse have been keeping me posted. I’m really hoping he will continue treatment. I’m very nervous and worried that he is going to be so angry with me since he kept telling me that taking him to the hospital would be the worst thing I could do. So we will see how that goes? I’m just glad he’s in a safe, monitored environment right now where I know he will be taken care of. Being in love with someone who struggles with addiction is so hard and so tiring but he hasn't given up on me when I was down due to my mental health issues, so I don't want to give up on him. I know he will get better, and I know that addiction isn't all black and white. Thank you to every single person that helped me and reached out to me earlier on my first post, I seriously cannot thank you all enough. You all have helped me in your own unique way and for that, I’m grateful</t>
  </si>
  <si>
    <t>I relapsed on Adderall, and I know it’s a stupid thing to be hooked on but it’s my thing. I love it. It’s makes me feel too good. I didn't do it for a little bit because I started dating this girl, she’s amazing and I'm really happy with her, so i didn't do it. But now, I'm sitting here feeling shitty. I hate it.</t>
  </si>
  <si>
    <t>I have found what seems to be cocaine in my house. Living with my parents, I know it is not one of them who is doing it so it narrows down the other. I found some baggies and a straw cut in half. I don't know where to go from here. Furthermore, I am pretty sure their significant other does not know, and I am the only one. Should I gently confront them about it? I just am stuck and really don't know what to do. Your advice would be appreciated.</t>
  </si>
  <si>
    <t>Just recently found out my boyfriend is an addict and I don't know what to do or how to act . He barely speaks to me anymore . Barely see each other anymore . won't accept help. Is behind on rent. I'm dying inside watching him from afar. He surrounds himself with horrible people, I cry every night . Will it ever get better . Am I stupid for wanting to stick around</t>
  </si>
  <si>
    <t>This is very embarking for me to admit, but I got a porn addiction and I really need help, I feel guilty and disgusted by my own actions! I am only 17 and its already effected my life and my thoughts. I know looking for help online is dumb because I'm a scary cat to admit IRL, I can't talk to anybody about it IRL because I'm afraid of what people think of me, can't control what I think and feel, I seriously need help...! It's effecting my studies as well... I might as well delete this account because I bare with the guilt I feel inside me, I'm trying my best atm... I should respect girls and not look at me in that way... I am a terrible person, and I'm sorry for that, thanks for reading, I'm such an idiot typing all this.</t>
  </si>
  <si>
    <t>I’m very worried about my friend. Let’s call her Sarah. She has always smoked and has a lot of other addictive tendencies as ways of coping with a stressful life. In the last year she has discovered the combination of cocaine and alcohol. I’ve always hated it but I’ve never commented as I don't know how to approach it without pushing her further away. Lately the cocaine has landed her in situations that have made me feel quite disrespected. Sarah won't consider she may have an addiction, and she calls it a ?habit?. As far as I know she only does it when drunk, but she had a night where she nearly killed herself from doing too much. She swore to never do it again, but then last week she got offered it in a club and ?couldn't say no when it was in front of me?. She also admitted at the time she felt like she needed it. I’m not sure if it’s classed as addiction because she doesn't do it when sober? I just don't know what to do</t>
  </si>
  <si>
    <t>I am in the hospital currently due to an infection of my spinal cord. While being flown to a secondary hospital I was given a dosage of fentanyl to help with the pain. I have struggled with addiction before to a narcotic and have been clean for close to a year but at the moment the fentanyl kicked in it was the best feeling i?VE ever felt. It felt as though I was being hugged by god, me being an extremely ill person this moment where I felt no pain no sadness nothing but warmth and peace is a feeling IDK how to avoid seeking for. I have tried watching and listening to things talking about the dangers of it, but my brain can't stop thinking of it and how to get my hands on some. My brain is planning something I know will destroy me and I don't know how to save myself. I am just a child and fear what my life may turn into if I cannot deny this urge</t>
  </si>
  <si>
    <t>I don't have anything that you want. Just love. But I’ll be never worth more to you than drugs on a tin toil. And when you ask me for help, Because you want to get well? I do my best to help you. Because I love you. And I hate seeing you struggle. But the cruel irony is that it doesn't make you well again. It only makes you sicker. And the more I help you get well the more I help you die. And when I tell you that I just want to love you. You blame me for reasons why we can't love each other. But what you really mean is that you can't love me? Because as long as you worship the foil you’ll never be able to give that love to another. As much as you may want to. As much as you may love me your love for getting high is greater. And when you say that the reason why we wouldn't work is because of me. You are just afraid of hurting me. And you’re projecting. Because you know being with me means getting sober.</t>
  </si>
  <si>
    <t>I’ve been watching porn since 2011, and recently I think it caught up with me in ways I couldn't even imagine. I no longer get normally aroused or ?horny? Anymore, instead I always just have this very sick, compulsive urge to masturbate in order to feel better. But no genuine joy associated with it. It is no longer pleasurable at all, it just feels like a weird thing I have to do. Naturally this has made me even more depressed and suicidal. Have not really been able to find anyone with the same problem. I feel so gross and weird 24/7, as if my regular pleasure and sexuality has been replaced with these extremely strong, sickening urges. Contemplating suicide. I’m clueless.</t>
  </si>
  <si>
    <t>Okay so this is just my personal opinion, and so I'll just say it, I think the ivermectin horse paste nonsense is dangerous and bullshit. My moms a nurse, my best friends a nurse, and my other close friend is a PhD scientist, and they all seem to agree that its bad, so I trust them on it. But then, why do I understand that ridiculous nonsense is bad for the body, but somehow methamphetamine is different. It's really not. I cannot think of a single medical professional who would ever suggest a patient use meth the way I, and I'm sure most of you reading this would use or have used it in the past. Addiction isn't a disease caused by a lack of intelligence or education or anything, its different from that. Look I am definitely not a scientist or a medical professional. But I think I may be onto something here folks!</t>
  </si>
  <si>
    <t>I have an acquaintance who has recently started mixing word order in a sentence, or adding words that don't fit. I know most recreational drugs, less about pharma though. And I'm a bit worried. So, dear addict hive mind, tell me everything you know.</t>
  </si>
  <si>
    <t>My fiancé‚ took too many Klonopin throughout the day yesterday &amp; last night he was so high that he was trying to leave our house at 3 am. His speech is badly impaired, it’s slowly getting better but still speaking in slurs. He’s stumbling everywhere, he just took a shower and fucking fell, TWICE. He was aggressive towards me last night bc I was trying to get him to lay down on the couch, and he got so angry with me that I wouldn't let him open the door bc he thought his dad was at our house, at 4am! Furthermore, he also pissed all over himself last night, he’s talking about random shit that makes no sense. I’m too scared to call 911 bc I know with his temper right now, he will just fight the professionals. He’s attempting to get ready for work right now and I’m trying my hardest to keep him home bc I don't want him to get into a fucking accident. IDK what the fuck to do. (This is not the first time this has happened). Please, any advice, anything?</t>
  </si>
  <si>
    <t>About two months ago I went down the gambling rabbit hole real fast. I always like playing football bets sometimes. But in October 2021 online gambling was legalized here in The Netherlands. To be clear I never visited a real casino before. But online casino's made it easy for me to gamble from the comfort of my man cave chair. I always preferred blackjack in free online games. So that's what I settled on. I started small (30 euros). Had a pretty decent start and then thought: 'if I can turn 30 euros into 90 euros, then I can turn 100 into 300'. Well folks, it turns out I was fucking wrong. In total, I wasted 1500 to 2000 euro's in 3 weeks or so. At a certain point it completely took over my mind. Especially when shit in personal life or work life got rough I got the craving to gamble. It was my way to deflect feeling shit. Turns out it was also my way to feel even shittier. My mind was constantly occupied with the number 21. I even gambled at work when the day was slow. My mood was completely bound to winning or losing. My god if I look back now I realize how awful it was. I also recall feeling completely hazed. At one point I thought: 'enough is enough' and found out I can self-exclude through our national gambling commission. This really killed it for me. Literally no more ways (except sketchy illegal shit) for me to gamble. Today I had a shit day at work and boy did I long for a pair of queens. But that's not the way to face a tough day. Work through it and don't avoid stuff. Really check if you can ban yourself from casino's / online casino's. It's a big step, but going cold turkey is the way. Find something else you enjoy, learn to play an instrument, get into exercising, go join a drama group. Anything really, but don't be a dopamine zombie like I was.</t>
  </si>
  <si>
    <t>I’ve had a life destroying addiction to sex / porn / sexting for the last 9 years 15-24. It’s been basically destroyed my life and thrown everything off balance. I don't know how to stay sober. I’ve been going to 12-step meetings for 3 years, worked up to step 10 at least 3 times, lots of therapy, different drugs, books. Basically I’m out of ideas as to how to stay sober and this is my final chance. This is the only time I’m getting an opportunity like this and to be honest I don't think I have another relapse in me because the last one has left me in a 2-month spiral where I skipped college this semester and just bombed a lot of relationships I’ve done bad things, emotionally manipulated women for sex, emotionally abused loved ones for my addiction, said things I didn't mean when I was mentally in bad spots.</t>
  </si>
  <si>
    <t>I've had a pretty consistent cocaine habit for the last few years. Lost relationships because of it, hurt my parents, etc. I drained a bank account from $15,000 down to now $200. I told me parents about my issue in early October. Furthermore, I was so set on trying to clean my act up. It's been so hard and I feel so fucking weak. My dad died in December, and I've been downhill since then. I feel so angry, so alone and so overwhelmed. Life has been so shitty these last few months it's too much for me to type. It's 3:45am, I went hard all weekend. My heart hurts, and I'm coming down from the last bag. I called out of work again. I keep fucking up, and I'm so tired of it. Furthermore, I don't want to be this person anymore. Furthermore, I have to take care of my mom and the house like my dad asked me to, and I can't do that if I keep up the self-destruction.</t>
  </si>
  <si>
    <t>One relapse after almost 90 days I met my partner in the midst of wanting to end my ketamine addiction... I lied a few times in the beginning and did it behind her back when I was with her, and she always found out. She had dated people who lied in the past and almost didn't stick around, but I shaped up and got clean in October. Come last week with the help of other drugs I relapsed while she was asleep, and she woke up randomly and saw me high. She left me the next day. I’ve been able to be clean since then, but the shame is crushing me. Started going to meetings again and it’s helping. I’m very sad because our relationship was doing amazing up until I was powerless. Hoping to stay strong.</t>
  </si>
  <si>
    <t>Can someone help me out and give me reflective/discussion type of questions to ask someone who is dealing with a family member who is addicted to narcotics?</t>
  </si>
  <si>
    <t>I'm one morning off watching gore. Trying to never watch gore again. I've been watching it since I was 9. Please help me.</t>
  </si>
  <si>
    <t>My therapist was telling me about Naltrexone helping people meth addicts (I don't know if it's just meth users or if it's any substance) fight cravings or not have any period? Just wanted to know if anyone has used it to help with meth cravings in particular Or just any insight would be great.</t>
  </si>
  <si>
    <t>Okay this feels kind of silly, but I moved from a small redneck Minnesota town to Minneapolis to get clean from mostly Alcohol. I just celebrated 10 months clean yesterday, and I went to the little local hipster co-op marketplace whatever it is today to grab a frozen pizza and a couple energy drinks and other non-alcoholic drinks. I’ve been trying to branch out to thinks I couldn't get in redneckville, and I assumed that anything at a non liquor store in Minnesota where you can only sell liquor at a dedicated liquor store would not have alcohol in it and if it did, I would at least be asked for ID. Furthermore, I grabbed some random can of raspberry kombucha which is something I know very little about other than that it’s something hippies are always raving about and that it was next to juice. I’m sitting at my sober house meeting and crack it open and take a sip and the still very familiar taste of alcohol touches my lips and I immediately start searching the can to find it has ?trace amounts of alcohol? Furthermore, I run to the sink and pour it down the drain after only a small sip, but I did sip, however accidentally, something with alcohol in it and I’m not sure how to qualify it. My house manager didn't think it was a big deal, but I’m still freaked out by the whole ordeal. Does this reset my clock?</t>
  </si>
  <si>
    <t>30 and 100 days clean from meth. Going back to school for dental hygiene in the fall. I live on my own in the house my mom gave from her inheritance. My family has always been poor and dysfunctional, always screaming, yelling, and destroying the house on Christmas. I want to live a prosperous life with a beautiful woman. I'm so used to the lifestyle, but I'm working hard to change it. Advice?</t>
  </si>
  <si>
    <t>I'm Mari aim 73 days sober, and I think I'm going to relapse. I really wanted to write out the reason why, so that it's on record somewhere in the depths of the internet. It all started when my friend introduced me to blow, and I have BPD- so if you're my favorite person at the time, we in it together. My friend is bipolar so he flew off the rails way before I did, got proper treatment and all, super proud of him. But I was just getting started. It kinda culminated when my friends' boyfriend (a drug dealer) kinda integrated our friend group over summer 2021. I've got crazy FOMO, as the pandemic started I was 18, I never went clubbing or partying like crazy... I felt so behind, both socially and academically. Furthermore, I just wanted to catch up so bad. And my friends' boyfriend (let's call him Enoch) would sell me snow to my heart's content. Soon he'd start giving me shit for free... Fast-forward a few months, Enoch and his girl open up the relationship, and Enoch starts seeing Seven (I know it's a guy's name but trust me SEV's a chick). Seven and I meet when Enoch offers to smoke me out, at this point I'm living on my own downtown, and it turns out me and SEV go to the same school. We hit it off super well, but Enoch makes it a point to mention to me and SEV he won't give me drugs anymore. I'll find out later that Enoch will say anything to look good, but will rarely actually act on it. I and SEV start dating-like there's any way this will end well- considering Enoch was also dating her and Enoch was my best friend at the time. It was about to get hello messy. Mid-October 2021 I relapse, Enoch gives me a Shotton of snow for free. Seven is bewildered, giving me ultimatums. At this point I was justifying my addiction in any way I could, so I got away with it somehow. Eventually Seven broke up with Enoch and then me (she had the courtesy to meet Enoch over lunch, but I got broken up w over text), I tell Enoch about it. It is a Monday night, I'm drunk off my ass. Enoch had just spent a few days in the psych ward, heads over to my place without telling me a thing. Of course, we fucked. The motherfucker had feelings for me this whole time, and upon hearing me vulnerable and drunk, he jumps at the opportunity to "comfort me". Although Enoch and his girlfriend were open, they had agreed I was off limits, and that this was officially cheating. Enoch agrees to tell his girlfriend the truth as I head to class. I'm panicking, I puke on my way to class, I leave class early because I'm so out of it and Enoch WAS STILL IN MY APARTMENT. I tell him I need some space- and he says he's going to go for a drive. And sure he does: he goes missing for three days. This is when I find out about the psych ward, about his mom starting chemo (yes he stole his mom's car as she was starting chemo, I can't make this shit up). Everyone thought he was dead. Enoch had a history with suicidal ideation. His mom texts me, and I find out he's missing, and I think "oh my god he's dead because of me, I'll have to go to a funeral and pretend I don't know why he killed himself". And I realized what I had to do... I tell his girlfriend the truth. The cops found him a few days later, and all he had to say was "I didn't start it" to his GF to give her all the info she needed. Obviously I lost two of my closest friends. They're still together though. Oh, and after I got clean, I managed to stay friends with Seven, but I kept getting the ice- knowing she was still friends w Enoch. Now it was my turn to give her the ultimatum, him or me. She chose him. Now I've survived the worst of it. Now after all this how can I even consider relapsing?? Well, I dropped out after all that, because my head wasn't working so well, and I had to move back into my parents house. It's two years later since March 2020, but I'm reliving the same day over and over again, and I've got but more of this Tartarean expanse waiting for me for the next year. Perhaps if I relapse I'll prove to myself that the damage Enoch did was irreparable. Unforgivable. As if by relapsing, I'll be taking my revenge on those who hurt me. I have things going for me but, I'm so scared of living.</t>
  </si>
  <si>
    <t>I feel dead inside because of my moms drug addiction. I’m fifteen and live with my grandparents since my parents were junkies. My dads clean now but my mom is still out of my life and addicted. She wants to get to know me, but my grandma won't allow it. Also, I found my moms YouTube channel where she plays video games I anonymously cheer her on. But listening to how she talks and acts is so disgusting, and it makes me sick because I know she’s out of it her mind. All I want is for her to go clean. I have a baby sister who’s now in foster care because my mom couldn't even do it for her. I feel so helpless and everyone is telling me to give up on her, but I don't want to. I’m tempted to start drinking because it’ll help cover up this endless sorrow. I’m so lost.</t>
  </si>
  <si>
    <t>Does the gray hopeless feeling go away? 100 days clean for ice and nothing seems interesting. When does this feeling go away so that I can get my desire to enjoy life again? Getting plenty of healthy rest, exercise, and good food but feeling empty. Does it get better and how great can life be?</t>
  </si>
  <si>
    <t>Context: I'm 26 years old. On paper, I'm successful and run a really cool company that presumably would make me good money and live a good life. Since 18 I've been a raging gambling addict. I was cursed by winning a ton of money early, like six figures over a sustained period of time, and thinking I was a professional. I wanted my life to be either professional sports betting or analytics based on my sports betting prowess. Furthermore, I chose my major at a top university based off of it and even made presentations to large classes at request of professors in college about how good I was at gambling. By the end of college not only had I lost hundreds of thousands of dollars and was destitute broke, but I was also a bookie who was betting against his own book and was under threat by people with heavy mob ties for owing tens of thousands of dollars. I played hardball with them, risked the wellbeing of people I cared by calling bluffs on threats, and eventually they left me alone because the nature of the business I started in 2017 made it too risky for them to go after me. In those years, I lost hundreds and hundreds of thousands of dollars gambling. I was an early investor in cryptocurrency, and bet with crypto almost exclusively. Not that this matters, but those losses in present value are easily $10 million of Bitcoin, maybe more. I got to almost three years of clean time from 2018-2021 before I relapsed after the GameStop craze here on Reddit sucked me in. Thought I'd just make a quick couple day trade, ride the wave and get out. My bank account was up to $70,000 of hard-earned money, by far the best it had ever been, it had been so long since I had gambled that I was sure it was a thing of the past, and I "had a few grand to play around with". One trade of GameStop, and before I knew it I had lost 50 or 60 grand in a month (I realized my ME losses pretty quick, wasn't joining that cult, lost 20-30 grand more sports betting) and was back to square one. Depression over this pathetic relapse led me to start smoking weed and taking drugs again. I have a serious allergy to weed called Cannabinoid Hyperemesis Syndrome where weed can literally kill you. After a three-month bender of weed and many other drugs, toiling in the depression of losing all my money, I checked myself into rehab and got sober July 10th 2021. Fast-forward to this past weekend. I've had a little gambling lapses the past month, like losing a few hundred here and there. Basically been consciously throwing out long shots sometimes to try and get lucky and make a few grand to pad my bank account. I'm living with my parents, after living in a beautiful NYC apartment from 2019-2021. I've been here since August. Furthermore, I'm finally getting into a situation where I've been looking at some (albeit shitty) apartments in Brooklyn. Furthermore, I think I got triggered by this and on Friday I deposited $500 into a bitcoin spots book. Furthermore, I turned $500 into $5000 in about 15 bets over a 2-day period. Furthermore, I withdrew a grand every time I won, telling myself this was the gambling god's last gift to me, and that I'd keep going heavy until the hot streak ended. Once I lost a bet, I promised myself, I'd have this newfound money that I'd withdrawn into my bank account, and call it a career. I forgot that you never stop until you're not up anymore. 24 hours ago I was up $5,700. For the situation I've been in the past year, that is life-changing money. I had withdrawn $3,500 of that into my bank account. I put $2,200 on the Australian Open Championship last night, and lost in brutal fashion in a six-hour match that kept me up until 9 AM Eastern Time. Furthermore, I managed to hold my word for about 20 minutes. Next thing I knew I put $500 back into the site for one last Howrah. Next thing I know it's another grand because that bet lost. Next thing I know it's another $1,500. And now here we are, 24 hours later, and my bank account is almost zero. I am so ashamed of myself because I feel like I have already learned enough of these lessons to be wise beyond my years. And it makes me almost mourn for myself like I have something broken in my brain that will never be fixed. I'm doing ok in my sobriety from drugs (living in a small house with my parents who know about my issues helps), but I am just so incredibly depressed and angry at myself. I just bought myself months more of the shame of living with my parents, not being able to get out into a place of my own. Though many look at me as successful and even inspirational because I hide my flaws from all but my close friends and family, and am somewhat of a public figure, I look at myself right now and see the biggest fucking loser I know.</t>
  </si>
  <si>
    <t>Peer influence, irrational thinking, and a need for adventure are the features of teenagers. You can prevent your teen from underage drinking and alcohol addiction.</t>
  </si>
  <si>
    <t>I don't know if this is allowed. But I am a recovering addict and I created a Subreddit to share my story. If you guys are interested in reading and or joining my drug/alcohol recovery page please let me know! I want to build a community and have people help each other.</t>
  </si>
  <si>
    <t>Hello everyone I just want to know what we force us to be addicted for the first time If we can have an answer to this We can find the solution I try to quit smocking weed for 14 days after 4 years Perhaps I can answer to the question</t>
  </si>
  <si>
    <t>Hopefully someone who went through something similar can provide some perspective. A lot of times, you'll see people talking about "I just want to experience the joy and happiness I had before I started using" or "go back to before I relapsed, when I was so happy and joyful." I do not relate to that at all. For me, really the only true, absolutely amazing happiness I have ever experienced was through substances. Everything else, family memories, times with friends, doesn't even come close to comparing. I've been "in recovery" with a relapse here and there for 2 years. Currently living in a halfway house and moving out in a few months to my parents so I can save money for an apartment. After that, my plan is to just work, come home and smoke weed, and rinse and repeat. The things I enjoy besides doing drugs are video games, pagan spirituality, and playing/writing heavy metal music, all things that the Christian halfway house I'm in frowns upon, as well as my parents. This makes it very awkward for me to go and seek out people who share the same interests, as the House manager and my parents will want to know what I'm up to and dissuade me from it. So, I try to stay in my room as much as possible and not interact with anyone. If I can get by without saying one word to another person IRL in a day, I consider it a victory. I have no idea whether I'm an introvert or extrovert, but I genuinely cannot stand being around people in recovery at all anymore, repeating the same shit over and over and over and over and over and over and over and over again-- the quotes from the rooms, pithy non-denominational Christian sayings, talking about how blessed they are to be given the opportunity to be in a halfway house. I used to have very high aspirations, but I've come to realize they're all nonsense. It took everything in my power to meditate, read spiritual literature, and engage in intellectually stimulating conversation every day for 3 months, and it still didn't even come close to providing the relief and happiness that a bowl of weed does. I've tried therapy; planning on dipping my toes back in, but my anxiety and need for the therapist to like me prevent me from unloading my true anger, misanthropy, and frustration, so I end up just self-analyzing in the room with them for an hour and getting a worksheet that I rarely complete. Honestly, I just want someone to be able to look me in the eye after hearing every single one of my disgusting, hateful thoughts and seeing the worst of me and say, "I love you and like being around you." Even more than that, I desperately want to be able to believe them. This post has turned into more of a rambling vent post, so my apologies for that. Hopefully someone sees it and can relate and give me some guidance. How do you even begin to desire a sober life when the only happiness you've known is drugs and alcohol?</t>
  </si>
  <si>
    <t>I am 18 and I have BED. I binge and then restrict, and I don't really know how to stop myself. Furthermore, I have had good and bad periods, but I have never managed to make peace with food. Furthermore, I am going through a bad period, and it has lasted for a month. Furthermore, I cannot stop binging, and everything is pretty much falling apart. Furthermore, I can't study, I have no friends, and my family is pretty much abandoning me, calling me crazy and not trying to help. Furthermore, I really don't know what to do anymore. Furthermore, I have had bed for three or four years now. Furthermore, I am afraid I’ll get so fat that people will start insulting me, or they just won't be my friends.</t>
  </si>
  <si>
    <t>So to start this off like many others here I have an extremely addictive personality. I literally can get mentally/physically addicted to any substance that gets me out of my own head. Especially if it’s legal, easy to hide, or over the counter (benzene). It’s miserable. In the last 2 years I’ve beaten a horrific Travertine addiction. I quit cold turkey the day my daughter was born. (She’s 8 months old now) I started running every single day, eating healthy, and living a very discipline life. I was happy for about 7 months. But now I stumbled upon Benzene... I have been doing this shit for a month now, and I can feel the claws sinking in. I have a family to take care of... two kids and a wife... Furthermore, I work an extremely high pressure job that takes everything out of me very often. Furthermore, I guess my question is why am I like this? Why do I constantly feel this need to be high or out of my head? Is it the childhood trauma? IDK. I’m lost. Any advice is appreciated.</t>
  </si>
  <si>
    <t>There's no such thing as a good drug or a bad drug. There's this chemical that's neither good nor bad, it just exists, we either created it or it exists in nature, and then it's the relationship that humans have with the substance that is the issue.</t>
  </si>
  <si>
    <t>I have to say my thing is having to stand outside of Walgreens to ask strangers to buy syringes for your ?diabetes? Because you ?lost your prescription, and don't have your ID?. In truth, you passed out at a bus stop in a bad neighborhood last night and someone took your bag and your wallet with your ID was in your bag. But luckily you had dope and a few bucks you panhandled in your pocket and that’s enough to get through the morning.</t>
  </si>
  <si>
    <t>I feel like if I can overcome an addiction than I have the ability to overcome anything, such as getting the degree I want and meeting a beautiful woman. If I can overcome this addiction, I should be strong enough to reach my goals. Is addiction tougher to overcome than normal person things and has it made you stronger?</t>
  </si>
  <si>
    <t>I’m 24 years old (my birthday is tomorrow) and have been attempting recovery for almost 6 years now. I’ve posted a video about how I did this, and will continue to post videos of my experience.</t>
  </si>
  <si>
    <t>IDK if this is going to be allowed in this Subreddit, but I just don't know what to do. I’ve been dating this guy for a few months, and he had been sober for 3 years, he relapsed earlier this week, and I just don't know how to support him. We had plans the day he relapsed and I didn't hear from him for 48 hours after multiple phone calls and texts and attempts to get hold of him, so I went to his place to have his landlord check on him, and he knocked on his door and he wasn't answering. I went to my lecture after being worried sick for almost 3 days, and he texts me telling me he relapsed, and acted like it was no big deal. I tried to offer my support and to make him some food, make him a bath, do some face masks and ?self-care?, wasn't trying to pressure him into anything he didn't want to do, I offered my support and he’s been acting different towards me. He keeps telling me he doesn't want to hang out, he keeps ignoring my texts but will be active on social media, stuff like that. I don't know how else to support him, especially if he won't let me. He doesn't have any family around, location wise and he’s not close to them at all, he only has a couple friends, if that. He’s doing his normal thing, and he said he still wants to be with me and that he cares about me but he’s blatantly ignoring me. I try not to do anything around him like drinking (all I do is rarely drink and smoke weed) but he hates weed, but it’s out of respect I try not to do that when I’m around him. What else can I do?</t>
  </si>
  <si>
    <t>I can't find many honest reviews out there. Looking for information from personal experiences please! Where and how was it. The more detailed the better. Not sure if I can ask about a specific treatment center</t>
  </si>
  <si>
    <t>I’m addicted to alcohol and heroin, I’ve been free from both for 85/87 days but I’ve been using weed and thinking about getting pills. I don't like using drugs or drinking every day, I don't like how it ruins everything and I don't like being sick, and I don't like being broke, but I don't fully w an n t to stop yet. Furthermore, I don't want to stop taking stuff, even if it’s not alcohol or my DOC I want to take other stuff and I don't want to stop yet. Furthermore, I like being high, despite the consequences I like it. Furthermore, I don't know if I’ll ever get to a point when I’m officially DONE with this</t>
  </si>
  <si>
    <t>Guys, I had my personal biggest win this morning and so excited to share. I have been battling my addiction for years, some good and bad weeks like all people. This week has been tough, but I've gotten through, however, this morning I woke up with the strongest of urges I had in months. I was so dam close to relapsing but at the last moment, I thought fuck this and took my ass off into town and now sitting having an early morning coffee writing this post. I now plan to buy a few things for myself and my partner using money which would've been spent on acting out. It may seem like a small win in the grand scheme, but this win feels callosal for me. Anyway, that's my post, I hope it least inspires a few people today who are struggling. The feeling of winning a battle is so much better than the feeling of acting out.</t>
  </si>
  <si>
    <t>Me F(25) &amp;; M (27) It’s been 1 year of our relationship, 2 months of marriage now, but he had heroin camp; cocaine problems for 7 years, he told me that he was clean for 2 years. When we lived together he was drinking every day since noon and hiding the alcohol in water bottles, sometimes his breath was smelling like burn chemicals, I asked him multiple times what did he smoke, etc. He never told me the truth, he also did some Xanax too, and he was drinking his opioid treatment for the heroin addiction too (Methadone 180). I was begging him every day to stay sober, I also found red dots in both arms at the same spots, so I was pretty sure he was injected himself again (he denied it like 100 times) until I told him that I wanted to go back to my country because the situation was making me very unstable and depressed. His mom convinced him to go to a detox center for 5 days. But when he was inside the clinic I was alone in the apartment, I had a mental breakdown I called my family and told them what was going on, and they told me that I was going to suffer a lot in that relationship and that it was going to be hell and that it wasn't going to be good for me at all to stayed in that relationship. So I took an airplane back to my country? I was only in the US for HIM and I thought that we were going to have a happy marriage ?? ? I want to go back with him, he’s promising me that he’s going to change, but I don't believe him ?? Also, him and his mother are trying to put me down because I took antidepressants in the past and they’re telling me that I’m very unstable :(I feel like I should be with him because I’m fucked up too, and don't do any drugs or alcohol tho?</t>
  </si>
  <si>
    <t>Porn Addiction. I have become addicted to buying from OnlyFans creators. I realized I had spent a lot of money, so I deleted my OnlyFans account and my fan house account. On Instagram though I saw one of the girls I was subbed to post, and I instantly want to resub and buy, but I know it's a waste of money and I hardly look at the pictures after I'm done. There's just something thrilling that I don't understand about buying nudes or lewd pics from these women. I think I've been using OnlyFans as a crutch to deal with stress from work, and it has now been 2 days since I deleted those accounts and I want to relapse so bad. Any advice on what to do? I need help being talked out of buying again, part of me wants to justify it by saying I am supporting women who use OnlyFans to make a living and things like that, but this isn't good for me and I know it</t>
  </si>
  <si>
    <t>Me and my girlfriend of 5 years broke up a few months ago because things were getting super unhealthy with both of us using drugs and such. When we broke up I decided to get clean and have been doing a lot better, but she called me about 3 weeks ago and told me she overdosed. She and her friend decided to get fentanyl one night and as soon as she did it she nodded out and stopped breathing. Her friend gave her Marcan and an ambulance was called. Luckily she’s okay. When she called me she really needed somebody to be there for her and to help her through detoxing and everything, so I’ve been there for her everyday since. But last week I found the same box 30s that made her overdose hidden under the sink, along with a rolled up piece of paper to snort it with. Every time she goes to the bathroom I hear her crushing it. She’s always extremely nauseous and itchy, and she’s nodding out in bed. I’m worried fucking sick. I asked her the other day if she was hiding drugs in the bathroom, and she got extremely defensive and mad. I’m not here to judge her, and I’m definitely not judging her either way because I understand what that shits like, I’m just so concerned about her health and safety to the point of feeling like I need to check her breathing and heart rate every few min when she’s sleeping. I’m having nightmares of her dying for Christ’s sake. Furthermore, I just want her to be okay. How should I go about telling her that I know she’s doing these drugs? I don't want her to think I’m upset with her, or that she needs to hide anything from me.</t>
  </si>
  <si>
    <t>I know it's a bit long, but I want to, as briefly as I can, share my story and experiences with you all, as well as being glad I got through these things, so that I can now celebrate and be proud of my small achievements. Just for a quick backstory... I had a pretty rubbish upbringing, divorced parents, a toxic relationship with my father and stepmother, bullied at school, no friends, diagnosed with various mental illnesses at 12 years old and in and out of mental health services/social services till I was 18... In 2014, just after my 18th birthday, I entered a 4-year-long relationship with a man who physically, sexually and emotionally abused me for the whole time, we had a child together, who I lost custody of and haven't seen since they were 2 years old. I left the relationship at 2018 when I was just turning 23, I moved in with my mum, and even though we had quite a toxic relationship while I was growing up, I think not seeing me or speaking to me for four years during my abusive relationship, worrying about how I was being treated and not knowing whether I would end up dead, completely changed her and changed how she was towards me, and it also changed how I was towards her, as my mum and I have always mirrored each other and brought out the best and worst of each other and during those four years, we both changed and grew a lot as people ... But a year or so down the line, mine and my mum's relationship broke down which resulted in me becoming homeless. Not only was I suffering badly with my mental health, (PTSD, DID/personality disorder, psychosis and depression) but I had also just quit my job and had no money, I wasn't speaking to my dad so couldn't stay with him and I became homeless during the beginning of the pandemic, so not only was I at risk of catching covid, but I couldn't go and stay with my Nan, who was probably the one person that would have had me live with her rather than being on the streets. I ended up, thankfully, being put into temporary accommodation and also had the pleasure of meeting my fiancé‚, who I have been with for nearly two years now, but on the downside, my addiction got a lot worse and a lot heavier and my mental health was at its very worst, especially as I had no therapy or counselling for the previous domestic abuse, and I was still dealing with the pain and trauma of all of this alone. Then December 2020, at 2am, I was physically assaulted in my local high street, and never recovered mentally from this My addiction had improved so much before this had happened, I was on Español (which is like subtext) and had cut down my use massively, but after this incident, I fell straight back down that dark hole of allowing myself to be cuddled and cared for by drugs and just numbing the thoughts and the pain that came to me every day. Since then, I haven't left the house really... Out of the 365 days in the year, I had probably spent about 50 of those, properly outside the house and that's it, I have to go to my pharmacy every day and go to mental health appointments every two weeks, but that's as much as I can cope with. I spent most days in bed, watching TV or flicking through social media because I cannot physically get out of bed, I just have a complete block, my brain won't allow me to do anything else, I'll stand up and prep myself, "right, screw this, I'm going for a walk" and instantly my body will respond with, "soft, I'm feeling absolutely exhausted, I can barely keep my eyes open, my legs hurt, I need to lay down and sleep". I completely let myself go. Furthermore, I will go days without washing or brushing my teeth, I won't cook for myself or eat proper meals, instead I'll spend my day eating a few packets of chips/chips, a microwave hot-dog, crackers with butter/soft cheese, yogurts, chocolate, brownies etc., I won't tidy up my flat or wash the dishes, I barely do any laundry (which I don't really need to do anyway because I'll either wear the same tracksuit bottoms and jumper all week or just wear my PJs), I'll ignore all my phone calls, ignore my partner, not show any affection and be completely selfish. Occasionally, I'll have 2 or 3 days when I'm full of energy and motivation and self-love, I'll take a shower and a shave, wash my hair, brush my teeth, pamper myself by wearing a face mask, doing my nails, I'll put on nice clothes, go to the pharmacy, do some shopping, take a walk, cook some nice food, be affectionate and attentive to my partner, give my flat a spring-clean, do all my laundry, and then bam! After those couple of days, I'm back to being stuck in bed. I ended up getting put onto regular medication, anti psychotics, anti depressants and sleeping pills, which allowed me to get control of my addiction again, as I no longer needed to numb my feelings and emotions, as the medication was balancing everything, as my drug use has always mostly been an attempt to self-medicate, I no longer needed to give myself my own treatment, as I was now getting stuff that was doing a good enough job, but then later on in the year, the doctor decided to take me off of everything, saying my mental health was drug induced and completely disregarding the multiple diagnosis' that I have, the 4 years of domestic abuse that I'd been through, disregarding the fact that I've had multiple mental issues since I was pretty much born and have had these issues long before I started doing drugs and disregarding that I was using drugs to self-medicate BECAUSE I wasn't getting any treatment for my mental health in the first place. So because of the Doctors wonderful and helpful choice, again, I have gone back to allowing illicit drugs to numb my pain and help me ignore my problems rather than actually facing and/or dealing with anything. So... At the beginning of this year, I decided that if I'm not going to go out, I need to make being inside, fun, productive, positive and happy, so I figured I would firstly: 1. Practice self-love and self-care by keeping up with my hygiene more often, I wouldn't push myself and force myself to shower every day, for example, but perhaps take a shower every other day, or every couple of days. 2. I would then take pride in my appearance and also dye my hair and keep up with maintaining the color, as usually I will dye my hair and then leave it to fade and let the roots come through and not touch it again for another six months, but now I've decided to always keep my hair looking pretty and presentable, touching up my roots and color constantly or changing the color regularly rather than letting it fade. 3. On some days I will dress myself in nice clothes, even if I am only just going to the pharmacy or just going food shopping, I will put on a proper outfit rather than wearing sweats all week 4. I also plan to pay more attention to my partner and if I'm feeling withdrawn and don't want to be affectionate because I'm feeling bad, I will tell him this rather than just ignoring him and I will also work on communicating better and be more open about how I'm feeling 5. But most importantly, I decided to take up 3 hobbies which I plan to dedicate myself to, get good at and hopefully, turn my hobby into a business. I've started knitting, crochet, and model making/sculpting with clay. I've knitted and used clay before, I have a basic knowledge of each, but stopped doing these things after s few years and decided I'm going to give them a go again and not give up this time, but I am learning how to crochet for the first time ever. Furthermore, I struggle to dedicate myself to hobbies because I have a low attention span and get bored with things quickly and also give up as soon as the product or result of what I do isn't "good enough", I have a perfectionist mindset and expect to be a professional at something, the first time I try it and give up if it's not at a perfect standard first time, but I can say, with pride, that I have stuck to these things and motivating myself to practice and practice and keep getting good. Furthermore, I have a goal in my mind and this time I'm determined to reach it. Being stuck in the flat for the last two years has made me feel like a failure and a waste of space, I'm not contributing anything to the world or society, I'm not socializing with anyone and I started to feel like my existence was pointless as I'm not doing any good for anyone and just being selfish and living in my own world, isolating myself from everyone. Because of this, it sparked my idea to start documenting my journey with my mental health and addiction and allow people to follow me on my path. Spending a lot of time alone has also made me think about how everything online is so edited and how everything is portrayed in a way that people's lives are perfect and happy and people's appearances are also portrayed the same, so when people like me go online, we feel depressed, envious, insecure, because our lives are often sad and depressing, we go through a lot of trauma, most of the time we don't look our best or don't dress our best, and we feel like failures because our lives aren't the same as the ones we see online, this thought has made me want to show people the honest reality of my life. I had the intention to show people that life isn't always perfect and that we can always look sexy and beautiful, that it's completely normal to stay in bed all week and not shower for a couple of days. (I know I discussed the potential of doing something like this with some of you, but I am fully embracing and dedicating myself to the idea now, thanks to all the positive responses I got from everyone, so thanks to you all for that) Doing this, like my hobbies, is another way for me to escape and live a fulfilling life and doing this will make me feel like I have purpose again, and that I'm not just a waste of life and energy because it will give me the opportunity to positively affect people's lives and potentially help, support and guide people as well as helping others to feel like they're not alone and that there are people in the world that understand how they feel and experience the same things as them. As well as all of these positive ideas that I have thought of, which will hopefully improve my life and my mental health, I have finally been seen by a psychologist and starting trauma therapy in the next month... This will be the first time since experiencing domestic abuse that I will be addressing the trauma and pain caused by that situation, which will hopefully help me to move on and potentially, will be the key to getting me out of my bed permanently and help lead me back out into the world again and give me the tools to care for and look after myself. Even though I'm restricted because of my mental health and these last 8 years of my life have been traumatic and painful, things are slowly and steadily moving in a good and positive direction and I want to share this and celebrate this with you today .</t>
  </si>
  <si>
    <t>I get up at 5 in the morning, and basically work through for as much of the day as I can. I get frustrated when I have to go out and do social things, because I'd rather be being productive. Furthermore, I can see that this will become unhealthy fast. Is there anyone who's had a similar experience?</t>
  </si>
  <si>
    <t>I just feel like I’m alone, and left out. I even feel like my husbands feelings for me are changing. He says they’re not but I can sense it. Over the last 3 weeks people have been constantly drinking around me and I’m over it. I'm sick of the rambling bullshit when people are getting drunk. I'm sick of people arguing, I’m sick of my mum saying nasty shit without realizing. Why’s it's so much fucking effort to not drink? Maybe it’s me everyone is sick of and they’re acting a certain way around me because I’m a kill joy. I just wish I knew how to slow down and not always be on the go.</t>
  </si>
  <si>
    <t>So I don't know how I ended up on this sub. I think someone mentioned it in a comment, and I was passing by. I was curious. So, I masturbate, maybe 3, 4 times a week. There are some phases in my life where I can masturbate once a day even. Sometimes I do watch porn, sometimes I don't. What I was wondering was... When do you realize masturbating was actually a problem? I always thought about masturbation as something completely natural and even necessary. I never question myself my own habit of masturbating. Furthermore, I sexualize some things from time to time, yes. But besides that (it can be annoying sometimes) it never messed up with my life.</t>
  </si>
  <si>
    <t>Do you ever feel like when you engage in other addictive substances then your main addiction cravings gets worse? Sometimes when I'm trying to kick my main addiction I feel like when I engage in other addictive substances it makes my main addiction cravings worst. Do you ever feel this way?</t>
  </si>
  <si>
    <t>Since addiction in its most simple form is chemical receptors in the brain demanding stimulation, in theory couldn't the cure for addiction just be in finding a way to obliterate the specific drug receptors? The means in which technology could do this is beyond me, however in the simplest of forms, fundamentally speaking. Could this work?</t>
  </si>
  <si>
    <t>Will my brain heal and will life be better than it was before the addiction? Can life be as incredible as I want it to be? Almost 100 days clean, eating right and working out, but still feeling unmotivated and anxious at random times. Will my brain heal, and will I be much better than ever? Can life be really incredible?</t>
  </si>
  <si>
    <t>I don't know if this is considered an addiction, but I'll really appreciate it if you help me out here. So I have a terrible habit of biting my finger skin (I know it sounds disgusting, and I'm disgusted myself). This has been a habit for a few years now, and I just can't seem to stop this disgusting habit. I don't know what to do. Please don't make fun of me. I know It's disgusting which is why I'm trying to stop this habit. I tend to do it a lot more when I'm tensed or stressed out as well. Just wanted to point that out.</t>
  </si>
  <si>
    <t>Had a near death overdose recently and IDK just wanted to share this it was in my notes from the day after You know how it is when you wake up With a bunch of shit to make up How you owe some pay so you stay up Try to make it but the game don't play brush So you hustle couple bucks finesse fiends with minds gone like plane trips But it ain't your ticket out you made just half you owe Should have never been involved But all your fears dissolve when it hit Finally it kicked in You waited Sean stars and driving cars Pass by you look starved but feel so alive Cause It’s your drive It takes you on a wild ride Another twenty Down the hatch Even though you owe them for the batch You don't care Because the world is yours Temporary domination it’s like renting out the world momentary bliss as you are no longer concerned of lifetime passes by</t>
  </si>
  <si>
    <t>Trying to quit vaping. I don't know anyone who’s recovered from a vaping addiction, and even if I did, I’d be too ashamed to tell anyone I started vaping in the first place, let alone become addicted to it. For those of you that have overcome a vaping addiction, how was the recovery process? From what I understand, getting over a vaping addiction is easier than a smoking addiction, I’ve heard the craving to puff is significantly less after the first week, if you'll still feel the craving at all? I’m worried that even after the initial cravings stop, I’ll still want to vape because since I’ve started vaping regularly throughout the day, it no longer has the same ?zonked? Affect as when I first started. After the initial cravings subside, I’m worried I’ll want to puff again anyway to see if that ?zonked? Feeling will come back after I’ve given my body time to get the nicotine out of my system. What if I’m just trapped in this cycle of ?addicted, get clean, puff again to feel zonked, get addicted again? Cycle for the rest of my life? A part of me just wonders if it’s just the addiction talking though, maybe I won't even care to be zonked after I get clean? Do any of you have any pointers, tips, or advice from your own experience?</t>
  </si>
  <si>
    <t>I’m 75 days clean and still going strong, today my sponsor sacked me, he expects me to call him every day at 5 and send a gratitude list every morning to him alongside meditation. That’s not how I roll I struggle with my sleep and am busy with my Dayworker doing 1-1s and group work 2 days and working two other days alongside 3 days gym program, I feel like he’s acting like my girlfriend getting shitty because I haunt called on time or done my gratitude list if I’m running late for work etc., he’s also commented on me not doing any ca meetings for the last few weeks but he’s seem me doing a smart meeting every week and I do Zoom calls, he thinks I’m not taking my recovery seriously but I’m all honesty I take it seriously I’m just fed up with having to call day in day out whilst I’m trying to get on with my life and have a balance of recovery and living the best I can, plus the ca meetings art what I want to be doing they feel like a cult they waste time chatting to bollocks 12 traditions etc. and all just sit following about how it used to be, I need tools to get through life, to be taught how to live properly not just believe some higher power bollocks is going to sort all my problems out without me putting in the work to solve the real stresses, I don't want to give up sobriety, but I have some horrendous days the sponsor doesn't help with or ca makes worse, I know there’s sponsors who just get your 12 steps done and then give you leeway to live(calls once a week or month etc.), I’d rather do one can meeting every few weeks and continue with the rest of them how I am now.</t>
  </si>
  <si>
    <t>Any advice on rehab services for those particularly resistant to anything "new age" or things that might seem too "liberal"? The title of my question is inherently problematic, probably, but it's the truth I'm dealing with. My dad, 62, is a very proud, admit-no-feelings, self-proclaimed "traditional" man. He's never dealt with any problems in life - he's always just gone with the approach of "let's not turn XYZ into a big deal," hates all things California, loves Fox News, thinks everyone's out to cancel Christianity.... I realize I've probably also just made him sound beyond saving, but believe it or not when you peel him away from Fox News, he really can actually be a kind-hearted, decent individual. He can in some ways admit he's not perfect, just not at the level that requires him to drastically change his status quo in life. He has an immense amount of pride and can't stand not looking like he has everything together when it comes to the big stuff in life. Furthermore, he can be very generous, and I do believe he loves his children, not just from a self-serving angle. He's flawed but he's not evil. Anyway.... he's drastically thrown himself into alcoholism since his father passed 3 years ago. He didn't drink a drop the entire time I was growing up, but I think now that he's relatively done raising his children, and the undealt with grief of his own dad passing.... he's gone down a very dark hole. He's passing out drunk IN PUBLIC, getting kicked out of bars.... it's so bad. He's going to kill himself soon if he keeps going down this road. I realize rehab only works if people are willing to put in the work and want to change and that it's going to be a tough sell to get him to accept help. But I'm considering arranging an intervention, and I'd love some advice on rehab suggestions perhaps specifically geared towards those who find "modern mental health" too "Wooloo." Again, I hear this sounding dumb, but it's where I'm at. He is catholic. Maybe there is a catholic rehab that isn't all shame based brainwashing? Ugh. I'm just wondering if anyone has found a rehab that maybe is a little less intimidating for conservative folks, without it being a twisted Christian hellscape.</t>
  </si>
  <si>
    <t>Identity Transitions Survey Have you experienced an identity transition, moving from one identity to another, becoming at least in some respect a different person than the one who existed before? Becoming a parent, getting a divorce, retiring, moving to a new country, gender transitioning, becoming a veteran, battling addiction, and many other life experiences can change our sense of self and affect many aspects of our everyday life. If you have experienced an identity transition, please consider participating in this survey. This research will help to better understand the domains of one's life impacted by identity transitions and explore how to help people to better navigate these experiences. The survey will take between 10–15 minutes to complete, and you can either fill it out anonymously or supply an email address for the chance to win one of five $50 gift cards and/or participate in future research for compensation. You must be 18 years old to participate.</t>
  </si>
  <si>
    <t>Making Youth Support workshops Hey, so I'm a 21-year-old recovering addict. I'm looking to set up addiction workshop/ meetings for youth that's more centered about mental health and wellness. Since the place I'm setting it up at supports youth along with a lot of LGBT people, we want it to be more inclusive by steering more away from the more traditional low-key religious aspects of addiction meetings to the more mental health and community support sides. I'd be working with an AUD therapist, and I have my own personal experience growing up as an addict, but I wanted to get others thoughts and maybe some links to literature. Thank you</t>
  </si>
  <si>
    <t>Is 29 years still young enough to fix things and get what I want out of life? Been clean for 94 days from meth. Think the best days of my life are over, but want to go back to school for dental hygiene in the fall. I want a stable career and a beautiful and caring woman in the future. I want to live a different life than my dysfunctional family. Advice?</t>
  </si>
  <si>
    <t>I don't know what I want from live. So, you understand that from the topic title. I am trapped somewhere of nowhere, I don't know what I want from life, I don't know my true potential, my true skill set, gifts (if I have any), and maybe that’s because of my addictions. I have two bad addictions, and there is no doubt it, that has a negative impact on my life. The first addiction is porn, and I am addicted to that, at least 10 years, it messes up my brain, my memory, imagination, clear sense, energy and drive, I realized that when I stayed longer without masturbation and without porn, I felt better, and I understood that addictions is simply an attempt to escape from reality and from responsibilities, I also addicted to gamble, that’s how I am losing money, that’s ruin my life no less than porn. Such addictions simply push you to a lower level of consciousness, and how you try to control them a little bit, fight them, overcome them, it leads you to depression, because you have seen how your life has been miserable all those years. I am young, just 20 yrs old guy, and I just hope, that my brain will recover completely from that harm from porn and gambling, and good things will come for me naturally.</t>
  </si>
  <si>
    <t>Child services. I overdosed last March, obviously child protective services were called. I finished IOP in June, i didn't loose custody. Is it normal for the case to still be open? She comes every month, I’ve done everything that she wants me to do. Just curious how long these cases usually stay open for. I haven't been drug tested since June, I haven't used since March, I would like them to find me a new therapist, but I feel weird asking. The only thing new that’s happened is that I’m pregnant. Can they keep the case open just because I’m pregnant? She’s a nice lady but I’ve been told since I was little that child services are not there to help you, she hardly talks to my kids and only talks to me when she comes.</t>
  </si>
  <si>
    <t>I’ve been trying to get clean for a while, and I’ll have a bad day (or convince myself that I’ve had a bad day), then say to myself ?ok one last time, then I’m done for good.? I’m never actually done for good though, a day or two passes then it’s ?ok one last time, then I’m done for good? Again. Have any of you been able to break that cycle? Any help is appreciated,</t>
  </si>
  <si>
    <t>Has anyone been addicted to people / others needs - so that I would be liked / loved (also another way to avoid thinking my stuff) - Now - i don't have a good sense who I like as I have limited sense of self. .... One weird thing that I came to realize and am now working through - I was addicted to people. Focusing on others needs and their wants, and just going over and above for others so that I could feel cared for and loved (although I appreciate that now). I had zero boundaries and would make so much effort for others. I also would get annoyed that others didn't reciprocate but i didn't share that for fear of rejection. Furthermore, I recall doing this as a teen in dating but also doing it as an adult in friendships also - I make it easy for people to be friends with me as I am always messaging and wanting to hand. However, i just don't have a sense of whom I am and why I am friends with a lot of people, I just had to escape myself (did that with addictions also).</t>
  </si>
  <si>
    <t>Like I'm hungry and will never have food again. That is how I behave in terms of my addiction. I smoke like chain-smoking chimpanzee. It's like a second nature. Like I'll never be satisfied or full. It's like I'm starving and can't get full. I drink after work daily, again like I can't fill up, I down 4 beers in the first 30 minutes. All day I count the minutes until it's time to drink. I count the minutes until my next smoke. Its impulse control. It's this sense of needing more no matter how much I've had. And the inability to have the discipline to slow down. I literally just had a cigarette and I already want another. How do you get yourself to a place where your mind and body isn't screaming for more? Or have some sort of sense being satisfied.</t>
  </si>
  <si>
    <t>I’m addict, but, that doesn't define me! My name is Kimberly, and I am an addict. Addiction does not have to rule you and your life. When I hit My rock bottom, I did not think that it had set in for the first year, that all the bad shit I had done to me wasn't my fault. I am not one of the most popular people in my group who could stay clean a week here and a week there. This was when I had to split from the rest of them; I was done, and TBH with you and not leave anything out. I had been forced to use, which is a shitty thing that others can have no conscious of what they are about to do. I got rid of the piece of scum that held my youngest son hostage for the eight days he and his friends were shooting me up and making me so highly sick. The last day I would ever have to deal with anyone like that was 07/05/2013. I now have a Traumatic Brain Injury, and I've had a stroke. I was forced for eight months.</t>
  </si>
  <si>
    <t>Advice on dealing with friends when you suffer from addiction? I’ve been struggling with sobriety for a few months now. It’s seemingly getting worse for me and my friends have taken notice. My close friends just tell me I need to seek help, and my other friends suspect something is wrong but don't know me well enough to comment. I feel embarrassed, and aren't sure what to do to?</t>
  </si>
  <si>
    <t>Did I just undo the all of my hard work by caving to a smoke? I’ve been nicotine free for 3 weeks. I overcame the worst withdrawals and now have been struggling with panic attacks. The smallest inconvenience makes it seem like the world is ending. It was a rough day at work. I found myself at the vape store right after my shift. I bought a vape. Furthermore, I took a puff. It was the first time I’ve gotten buzzed from nicotine in years. Immediately after I regretted it, went back in and gave the vape back to them. I didn't ask for a refund or anything, I just didn't want it around because I know I wouldn't be able to control myself. I’m terrified I’m going to have to go through the initial withdrawals again. Did I mess it all up?</t>
  </si>
  <si>
    <t>Overcome an addiction with another I was taking a shower and, for some reason, I thought how common is this, can it be with a lesser evil, or something actually good I remember that my grandfather who was a smoker when diagnosed with cancer completely abandoned cigarettes and beer all at once, didn't throw them out and, by just the force of will stopped even seeing it literally all day, the doctors said that if he doesn't, he'd prob live like 1/4 of what he could or even less But then he basically becomes addicted to some yogurt candy, or sometimes other candies Atm I'm basically addicted to almost all things related to technology, if I stop is I prob would get something else to do (drawing, gardening, working out, just actually going out, reading things outside internet IDK whatever it may be)</t>
  </si>
  <si>
    <t>I was a meth head for ten years. About three years ago I got sober. I have a roommate who has been hanging out with our new neighbors... These neighbors have turned the next door house into a trap house, the current tenant is a convicted sex offender who has a steady rotation of different house guest. My roommate chooses to hang out over there. I was walking home in twenty degree weather and as I was approaching my home I noticed the newest rotation of the neighbors guest pacing in the front lawn. He asked me when my roommate would be home and then asked me if I liked to get high. I said no and walked in my home. I know it's meth because I found burnt foil in my roommates room.</t>
  </si>
  <si>
    <t>A story of How I started and How I am recovering. I just sat down and wrote after a month of being clean and released from the hospital. Thought someone else could enjoy it as well. My Girlfriend Named Cocaine Was Like All My Other Boyfriends. KJ 2022 I was hurt, angered and had the urge to never let anyone see what I had gone through. Or if they ever did know, they would have to see that I did not care. This leads me to a black hole spilling with late nights, monotone thoughts and the urge to find peacefulness elsewhere. All I had done to find this love I craved so much was just another repeat of all those before. This is how I sum up why everything went so wrong. I go through these 4 experiences of mine to show what I believe is all so intertwined. So if you have the time I think reading my thoughts could be worth it if you too are struggling with drugs abuse, or what we call daddy issues.</t>
  </si>
  <si>
    <t>I’m not sure where I could post this but? I’ve been with my boyfriend for about a year and I never saw a problem with my weed consumption. Furthermore, I was about a year clean when we first met but after a couple of months I become very depressed. Furthermore, I had a lot going on at home and at school. Furthermore, I was just exhausted and drained all the time. Furthermore, I decided to start smoking again just to get high. The first couple of times I started using it again was just for fun. But then it got to the point where I started using it when I was having a bad day or just needed to get rid of some stress. I never saw it as a problem because I didn't do this on a daily basis and used it as a way to get ?help?. I would only do it every once in a while. For example, I would smoke every weekend or every other week. It did help me a lot. It made me feel calm and euphoric. And I loved that feeling. Every time I would get high I would call my boyfriend, and we would just talk and fall asleep together, and I liked that. Unfortunately, one of the times I smoked I had a terrible trip which caused me to hyperventilate for a long time(i don't know how long I don't remember much from this night). But I do remember being scared that I was going to die (even tho you can't OD on weed). When this happened I was OTP with my boyfriend. He was scared and worried about me. Basically, I left him traumatized. I didn't know this because he didn't really tell me. So I kept smoking despite that. My boyfriend had opened up about how he felt about me smoking and expressed to me that he didn't like it and that I should probably stop. I told him I would stop so I did. I was clean for maybe 3 months or so. But round October 2021 I got in a big argument with my dad, and he ended up hitting me and kicking me out. And within the same week of this happening, I had found out that my boyfriend had been lying and hiding things from me. Basically, he made a secret TikTok account just so he can look at girls, he had many porn accounts, and was basically addicted to porn. This made me upset because during our whole relationship he told me he didn't watch porn and that he would never follow girls or look at them like that because he ?respected? Me. He also knew how I felt about this. I relapsed because of these two things. But I didn't tell him. He promised to me that he would be better and stop lying and hiding things from me. So I promised him I would stop smoking. I was fine until mid-December when I found out that he was still doing the same behavior. He also told me that he masturbated to girls from his school, his own cousin, possibly gore(???), and much more disturbing things. This really fucked with me. I would always think about the things he did to me and said to me. He lied to me twice about it, both times promising he would be better. I couldn't get the girls out of my head. I would constantly compare myself to them and when he would compliment me I didn't believe him because clearly I wasn't his type. This would be all I think about 24/7. I would lose my appetite, not eat, and feel sick about this. I was disappointed and infuriated about this. So I said fuck it. I need to smoke. So I relapsed. I relapsed the beginning of this month and wow. I feel like sometimes weed/drugs aren't as bad as people make it seem. Furthermore, I felt calm, my mind was blank, I felt peace. For the first time in months. I felt amazing. It really helped me. It made me forget about everything he did. I didn't tell him about this time either. I felt amazing. When I woke up the next day I really felt like a whole new person. I woke up feeling content with who I was, and I felt happy with myself. I was able to forget about the girls and all which really helped. Unfortunately, just a couple of days ago I had confessed to him and told him about the day I relapsed, and he was very upset with me. He thinks I have a problem or an addiction because every time I would get upset the first thing that would come to mind is ? I need to smoke? Or ? I wish I was high?. He also thought this was a problem because I kept doing it and lying to him and manipulating him (I didn't realize I did). At first, I refused to believe this because I didn't do it every day. And I did it because I needed help and I felt like I had no one. He and I had an argument yesterday because of this. I told him it was his fault I relapsed. He didn't let me explain to him on how I had been feeling and the main reason I relapsed. He lied to me and basically cheated on me. He’s in active recovery about this. But he gave me an ultimatum. Him or drugs. I honestly didn't know which one I wanted to choose. So he said if I wasn't willing to try and get better he would leave me. So my question is do I have a problem? If so how can I do better. I don't have access to a therapist because of money problems but I’m willing to try my best with what I got. I just don't want to break up with him even tho after what he did I did see a lot of growth in him when he actually started to be better. Anyway though, what can I do.</t>
  </si>
  <si>
    <t>What will help me pass my urine test for benzodiazepines. Baking soda and vinegar can help? I take Klonopin 2mg daily for a month. I'm not able to use quick fix because someone is watching me doing it. Adding few drops vising or bleach can help? Pls help me it's important.</t>
  </si>
  <si>
    <t>Man my emotions are skyrocketed in whichever direction they choose. Being 19 is a part of it but my ADHD and anxiety and depression play a big role too. But despite being in active addiction, today I was sober at work and felt great. I was being locative and funny and talkative with everyone, which is how I normally am out drugs. I felt confident and motivated and balanced. Just out of nowhere. This type of day is extremely rare for me and most days are spent in misery and depression, lethargy, constant relapses, numbing myself, being selfish, etc. But fuck man... fuck. You think I would want to keep this going and just free myself from drugs and show up sober in a clear head the next day like myself even better. But that's not the case tonight, even when I have to wake up early tomorrow and want to be able to be my normal energetic goofball of energy I am lol. I seem to be able to recover from addiction so quickly probably due to young age, but the boredom gets suitor nagging to me, I quickly revert to my old ways every time. I know this sounds immature, but somehow this boredom becomes a void for me and after work I have nothing to fill it besides drugs and pleasurable stimulating and usually unhealthy activities. Seems if I have money and a way I will always keep going back to this junk. I don't understand. Don't even know why I'm posting this. Just randomly wanted to share my thoughts because I am lost. Even when I have my good days I keep myself down in a low state lower than I thought low could get.</t>
  </si>
  <si>
    <t>After I get from work I spent the day on my PC playing games, watching movies, TV shows, anime and so on, and stay on my PC till late at night and do the same cycle every day. I am not a kid anymore I have more responsibilities, and I am ignoring them by using my computer. I think that what you enjoy is not a Bliss but a curse. But I don't know how to change myself my gaming/ entertainment life is very important to me.</t>
  </si>
  <si>
    <t>Weed addiction is real. From around grade 9 to grade 11 in high school I was very addicted to marijuana. Every day when I would come home from school I would smoke in order to forget the shitty life I was living. I wasn't smoking in groups of people like normal high school potheads, but instead I would do it by my self for the main purpose of forgetting about my horrible social life. The main reason I would do this is because of my horrible anxiety I had while in school. I just got so paranoid being around other people in certain situations and instead of thinking about how I could fix myself I would instead get high. It got so rough that instead I was only happy when high off of marijuana. When high I just felt a sense of enjoyment, a feeling that I would not get while sober. Something that I want kids in that may see this post is to live high school like nobody is watching you or judging you, don't get so wound up anxiety that you have no social life because of it. Also, I suggest to not smoke marijuana by yourself because it can easily and quickly become a coping method for depression.</t>
  </si>
  <si>
    <t>Addicted to someone who no longer loves me. First off, I apologize if this isn't the appropriate sub for this. I'm absolutely addicted to a person who has little to no feelings for me and I don't know how to put an end to it. When I say addicted, I mean that I check their activity status dozens of times a day to see what they are playing, or listening to, or if they've followed anyone new, etc. I reread our old sappy conversations trying to feel happy, but it's bittersweet. I can't do hardly anything without it reminding me of them in some way or another, whether it's a good memory or a bad one. We used to be together - we've known each other for about 3 years, been together for ~2. We were both overly attached and possessive of the other and decided it would be better to break up, but remain a bit more than friends (cuddling and the like). Furthermore, we stopped being together over 6 months ago. Things were going very well but in the last two months they have gotten distant. We stopped seeing each other for the past two months because they come from a big household of unvaccinated individuals and I didn't want to risk carrying covid to my dad, who I live with. We used to tell each other "I love you" often and that doesn't happen anymore. They say they have been majorly depressed and want to be isolated from everyone, so I've been trying my best to not message them or otherwise bug them. But I can't shake this fear that they don't want me anymore, when I ask if they want what we have they just say "I don't know". I don't know how to stop myself from obsessing over this person. I think what makes it all the more painful is that they told me it was really cute that I cared so much that I would check their profile so often and was so needy for them. Furthermore, I highly doubt they still feel that way. Furthermore, I can't stand the thought of them falling for someone else. On top of it all, my life has gone to shit recently, and I need their support now more than ever. I know that sounds selfish, but I really don't know what else to do. Talking to friends just isn't the same.</t>
  </si>
  <si>
    <t>I'm creating an addiction I don't know if this is something that usually gets posted in here. But I think I'm making a new addiction. This addiction is gambling. I have noticed that I spend way too much money on CS go cases and other stuff, thinking this is going to be the on and I get nothing my friends are pressuring me to buy cases to boost up my hopes sometimes and while I'm hipped up I don't think what I'm doing, so I spend way too much money on the game. I have spent $50 on the game in 2 weeks, and I'm not happy about it, I hope this will stop because I'm not earning that much money now.</t>
  </si>
  <si>
    <t>I spent half of last year high and drunk of my ass. I just need some help or advice, I'm having cravings again I'll admit it I had a death wish, but mine is never granted, from Jansen doing smoking meth, weed and drinking beer or whatever acholic BEV I could get my hands on, I'm not proud of it because those were the beginning of what I feel like is the end. Furthermore, I don't regret smoking weed as I still smoke it till this day, and it helps, recently as of January I started socially drinking, and I didn't really think anything of it because I thought I'd kicked all that out of my life, "there's no way I would rebound" I thought, now I realize that more than likely was the catalyst for my life spiralling out of control once again. BASICALLY: I'm getting those cravings again and even worse I'm starting to want meth again, I feel so out of it that I just don't know what's going on. I quit cold turkey, no support or anything in September 2021.</t>
  </si>
  <si>
    <t>25 days sober but really struggling today I'm feeling bored and restless tonight which is making me want to take pain pills and chill out. Doesn't feel like a big deal right now either, but I know I've been doing really well. Anyone got any advice to combat the bored restlessness? Have tried gaming &amp; reading &amp; watching shows with my partner, but the feeling is still their l.</t>
  </si>
  <si>
    <t>Blackout rants that ruin friendships? I got blacked out and texted some really gross over the line stuff to a friend- and now we’re not talking. Can't really apologize because they asked for space. This just really sucks and has caused me not to drink the past three days-might actually be the thing that makes me quit drinking permanently. Just wondering if anyone else has been through anything similar</t>
  </si>
  <si>
    <t>Addictive behavior bad habits I feel like I might have a pornographic addiction. To the point where I feel I need to watch it and look at it and having intrusive thoughts throughout day sometimes. I haven't watched it for a while now however I noticed I sexualize everything down to people on TV people in video games, and unfortunately I feel like I might get pulled into it again and I’m scared because I have a partner, and they really don't like this behavior and will leave me if I relapse. I’m scared, and I want to stop and ignore urges and just relax. Has anyone dealt with this? Please help?</t>
  </si>
  <si>
    <t>I met this gorgeous man online, and we started hanging out a few times a week in the beginning to about 3-4x a week. He started saying how much he missed me so much and how perfect I was, how he doesn't deserve me. This is like week 2-3. We end up hooking about a month in. Now he’s always at my place since he’s ?looking for a place?, I was okay with it since I enjoyed his company. Then week 3-4. He asked me for $120 and a long explanation on why. I figured he has taken me out a bunch already (weeks 1-2) so I sent it. He said he’ll return the money tomorrow before work. He never did. I end up going on vacation for a week. We text a bit, but before I left he wrote multiple messages about how amazing I am (we don't really know each other that well, so I was kinda like whatever, but responded flirty.) After I get back. He comes over we hang out, chill, have sex. He barely sleeps throughout the night. Was getting up multiple times throughout the night to go to the bathroom. I never heard him pee just the toilet flush (but maybe I just couldn't hear it.) One night he got up about 15 times. Seriously. I was like how do you have any liquid in your body? (Side note. I have no clue about drugs.) A few days later he sends me another text about needing $40. My dumbass sends it to him. No question. Another week later he asks for another $40. This time I get pissed and go off on him. He never paid me from before and I’m so confused because he has a job (well that’s what he said.) We end up hanging the next week. Long story short, I start feeling weird about all this and I look up his record online. Found out he has a felony and drug charges amongst other things (10 rows of stuff) - aggregated possession of drugs - treatment pending. Before we stopped talking he gave me a story about his mom being rushed to the hospital and needing emergency surgery. That’s why he stood me up. Later I found out she was fine on vacation in Mexico. I haven't seen him since last week, and he randomly stopped talking to me (thank god) but I’m so confused. I didn't even get to ask him about anything. He got what he could out of me and now I’m like, wow. He got me. The sex was great that’s the only good thing about it. I guess I’m just looking for insight or if anyone has dealt with something like this.</t>
  </si>
  <si>
    <t>Wow. 25 days clean today. I spent the last almost 5 years slowly beginning to lose my grasp on the progressive disease of addiction. I've been given an incredible gift, another chance to live life on life's terms. Furthermore, I got so, so close to rock bottom. Somehow I had just enough self-awareness to look at how much further I had to fall and recognize that this is the time to stop. I grew up LDS (Mormon), and I pushed away really hard. Organized religion is not for me, nor was any higher power for most of my life. I've wanted to stop for a long time, I've known that I had a problem. I tried NA and I had these roadblocks that I could identify, but couldn't get past. Furthermore, I got a sponsor, I really tried, but I couldn't stay clean for more than a week. Surrender was so difficult for me; I couldn't figure out how to accept there was a benevolent higher power. I gave up, I decided I could just be a better addict. It got worse, naturally. I overdosed, should've died. I got lucky. My mom had a hunch for some reason, cops came over to my apartment for a welfare check. I was still just barely coherent enough to let them in. I had almost an ounce of meth in separate bags, fentanyl, a scale, Bezos, a bunch of THC carts. Furthermore, I wasn't selling, but it sure as hell looked like it. They didn't charge me because I was cooperative, took me to the ER. Ended up in the BHU, they assumed it was an attempted suicide. I don't think I'll ever forget the moment it finally all clicked for me. I was getting ready to start trying to manipulate the therapist there so I could get out ASAP and go back to what I was doing. But for some reason I decided to take a step back and just look at my life. I had been miserable for so long. This is one of 4 overdoses, 3 of which happened in the last year. I'm gonna fucking die. Do I really want to die? That's where I'm headed, I can only get lucky so many times. I had a scholarship to school, a girlfriend of 5 years, a nice apartment, a pretty good job. Lost it all. And I just finally surrendered. I still don't believe in God, but I can now flip the switch in my brain that denies the existence of a higher power. NA just started working for me. I spent the next week cleaning out my apartment, packing a single suitcase with clothes and I moved to another state. I'm going into a rehab facility in 10 days. Furthermore, I finally figured it out, and I'm so grateful to everyone that got me here. Furthermore, I wouldn't change a single fucking thing that happened. Furthermore, I get to draw on those experiences for the rest of my life. My parents, my girlfriend that enabled me, my using friends, hell my dealers; Thanks for the ride. It's time for a personality change.</t>
  </si>
  <si>
    <t>Hey so this will be my first post on here and I'll be about a situation that I shouldn't be in, but I am in because I was forced into it. So a couple of weeks ago I got a snap for a girl I'll call Olivia. Olivia tells me that she's a horrible friend for doing it but she's released on hydros but makes sure I know she won't do it again, so I'm like ok that's not like terrible I won't tell anyone about it. A week later she tells me she's been doing them for a week straight. This freaks me out of course and makes me really nervous and anxious so after 30 minutes I finally convinced her to tell her boyfriend well call him Mark. But she didn't tell mark the truth she only told him that she was thinking about doing them. This makes mark very upset that she lied to him but not upset enough to not make the 2-hour drive to see her this weekend. Btw mark is one of my roommates. So Mark breaks down after a night of us drinking and doesn't know what to do so my drunk ass gives him am I amazing talk about it and what he should say and do coming forward. While he's drunk he tells me he's going to arrange a meeting with her dad while he is back, so I'm like bam problem solved her parents will know about it. Next day I'm like did you tell her dad? Mark is like nah her dad is going to be in Boone 2 hours away, and I don't want to tell him over the phone. So I'm like drive to Boone and tell him cause the sooner, the better. And he's like nah. So my other roommate john is back in Charlotte right now, and I'm like you want john to tell her dad he says no, I'm like ill.be back in fort mill in a week I'll tell him he says no. While all this is going on she is making posts about doing hydros and shit and its freaking me the fuck out like she is going to die. So I told him tonight that I'm going to tell her parents in two weeks if he doesn't tell them and then freaks out on me calls me an asshole says fuck you and is just livid at the thought of me telling her parents without his permission, but I know for a fact he will not tell her parents anything about the drugs and alcohol abuse as well because he is too focused on not thinking about it to have a good plan on how to deal with her drug problem. So I think if nothing happens, and it's only us that know she is either going to die or commit suicide and I couldn't live with myself knowing that it was preventable. So people of Reddit should I finally get it over with and tell her parents or just remain neutral about to whole thing and not do anything at all.</t>
  </si>
  <si>
    <t>I don't want to stop I hate this life My usage went up I was good coasting on 1 but now i have take 5 bars wit him drinking vodka again. Its Xanax or whatever downer my functionality is dwindling I don't want to stop I'm just losing time I miss I have NI memory sorry this a rant there is no point tomb this life This was easy and now I'm confused always lost i don't know anything must by I feel great It's hard to type out of all mph thoughts but I hate this like I was assaulted overcddugsusewho does it because I'm sad and now I'm stuck</t>
  </si>
  <si>
    <t>Relapse caused heavy psychosis A little bit of background on me: I was addicted to stimulants since I was 15, and binged a lot. I quit a year ago and had been sober since. I have schizoaffective disorder, which is like bipolar and schizophrenia mixed. It causes a lot of psychosis. I also have PTSD from sexual assaults. I decided to smoke a little bit of weed thinking it would be harmless about two months ago. Then without me noticing that I was falling back into my old habits, I smoked every night so I could feel better. I got back home after visiting my parents and smoked some weed with my partner. It triggered a five-hour-long episode of psychosis and PTSD flashbacks. It was excruciatingly terrifying. My entire body was shaking, and I could hear millions of voices threatening me. I’m fine now, and I haven't smoked weed since. I’m just really upset at myself and guilty for relapsing. It was so hard for me to quit stimulants, and now I have to go through the whole process again. I’m really upset with myself. Also, I knew the dangers of smoking weed with my diagnosis, but I recklessly did it anyway. I’m ashamed. I don't know what to do.</t>
  </si>
  <si>
    <t>Thoughts are just rolling off the tip of my fingers here, but please stick with me. Addiction started at 15 born fast-forward 15 years. I have many resources in addiction, at 17 methadone I was put on methadone, and benzodiazepines I stayed clean for five years and was a normal guy, to some degree. 2015 my addiction came back full-blown I started using again with things to cut threw the meat treatment since then things haven't been the same. I quit the union and decided to go back to being a full-time addict. Multiple rehab attempts and failed detoxes things are finally starting to stick my periods of sobriety are now getting longer while uses become shorter. But in today's society everyone just looks down on these types of things. For the longest time I had a hard time trusting men, so I only focused on women. I have managed to build relationships with men who I can confide in, but I still feel like I'm missing something it's like my inner child is kicking me down. I have been told to voice what I'm feeling even if I repeat the same things x amount of times a day to the same person. Anyone else have this type of experience in early recovery? 30 days and I slip 60 something days I slip 4 months I slip 6 months I slip. Just writing this out I can see the process.</t>
  </si>
  <si>
    <t>I first want to say if you are in recovery, I am wishing you all the best. Whatever stage you are in, keep going. I have never had a first-hand experience with substance use disorder or addiction. I have watched many loved ones suffer with this illness, and it has hurt me greatly. To make a long story short and give as little detail as possible, for therapy for the sake of my healing I had to write a letter to the addict in my life who is currently in the first few months of recovery. It feels selfish to even write this letter because I want their recovery to come first but at the same time, I’m hoping that it helps me and my loved one. I know people with addiction are most likely aware of how they hurt the ones who love them but while addicts suffer, their friends and family also suffer immensely. Maybe more than people realize. I’m feeling really nervous about this letter because I don't want to say anything that is insensitive or makes it sound like I am putting myself first. I want to get across all the ways that I have been hurt but also make it clear that I know that it is not this person’s fault. While they have hurt me so badly, I will still be here for every step of their recovery. I’m wondering if anyone will be kind enough to be willing to basically proofread this for me and make sure I am being courteous and aware of their suffering while also making my points clear. I could send it in a PM and edit out names or personal info. Furthermore, I don't want to say anything that will be harmful to their recovery. Furthermore, I will warn you first, the letter is long and depressing but writing it has helped a bit and I think them reading it would help me even more.</t>
  </si>
  <si>
    <t>I recently moved back to my home state of Virginia from living in the DFW area of Texas for a little over 2 years. I forged a friendship with a girl I came to love, just when it seemed like a relationship was in sight for us, I was forced to move back. It's been a little over a month of being home now and by her own admission her drug use has gotten worse. She has struggled with this the whole time I've know her, about a year and a half, and she has had her ups and downs. What can I do as a friend, especially from a distance to help her. I love her as a friend and more and I don't want to lose her or her friendship.</t>
  </si>
  <si>
    <t>90 days and cravings are the strongest, yet I've basically been fighting shitty mental health (suicidal thoughts and extreme anxiety) for the last 3 months. I'm so proud of myself for not giving in to drugs when I've felt the lowest I have ever, but something about 90 days has bought about extreme cravings. My brains starting to convince itself that because I'm coming off my prescription drugs (and I get extreme WD anxiety), I should just do it quickly and take a few Valiums to get it over with. I'm pretty sure that's a mix of the drug addict in me and my extreme impatient, but it sucks. I've also got covid and I think that's a trigger due to wanting to pop some Bezos and chill in bed all day. Guess I'm just venting. I'm staying clean because I can't deal with the "what if" - as in, "what if I pushed through and my mental health started to better itself, what if"</t>
  </si>
  <si>
    <t>A Song I Made About My Fathers Addiction I grew up not knowing that my dad was the only one in his family to make it out of "the hood". He held that from me for a long time. He worked hard, and it always felt like I always had what I wanted. Growing up he was there for me, and I thought nothing could get in the way between us. Sadly when I was in 9th grade he got addicted to Meth and my whole life changed. Anyway. I made a song about some of the struggles I've had since then. Feel free to check it out! If it touches anyone positively that would mean the world to me. I know I got a lot of practice to do, but it was a nice outlet for me.</t>
  </si>
  <si>
    <t>Who knows of semisynthetic opioids or downers such as benzodiazepines or anything really that does not show up on drug test, I know that it says online that clonazepam does not show up on test and tramadol burepunerine and a few others don't aswell as in ketamine it’s tested for, but I would ally appreciate an opioid if any of you know.</t>
  </si>
  <si>
    <t>In 4 days, January 31st will be my one year that I will be clean from All opioids, Percy, Oxus, H. Sent and Current. I used a lot, every day. It started off I’m sure like many others. Went for a surgery when I was about 20, then after I just stayed addicted to the good feeling. 2 years ago when I was using a ball to an ounce of fentanyl and car fentanyl every day. That’s all I would do, all day, just sit there, and smoke it, I was never one for injecting drugs, but I just sat there for days. Weeks, months, smoking, smoking right until I fell asleep, wake up, smoke some more. I decided to get clean. Hardest thing in my life, still on methadone currently, without it. I don't even want to imagine. The methadone is at a good dose, I don't feel sleepy, and I don't crave opioids like I used to. What my problem is now. Is that I’ve completely forgotten how to enjoy life.</t>
  </si>
  <si>
    <t>Relapsed after 5 months and feel horrible. I got too stoned after 2 little hits. Felt like I was tripping. Now I’m sober again but feel traumatized. PTSD and anxiety is increased. DDR increased again. So disappointed in myself.</t>
  </si>
  <si>
    <t>This is my first post into this group however I've been lurking about for some time and taking a lot of good advice from other posts. I thought creating this post could help me with my recovery. A little about me... 35-year-old male relativity successful in regard to work running my own business, married last September and a one-year-old daughter which I'm very proud and happy about, on the face of it my life is great but I have a problem and my problem is cocaine. I was first introduced to coke as a 17-year-old and have taken it ever since not huge amounts but continuous use over that period. I have noticed in particular over the past 2/3 years things are starting to become out of control (or even more out of control). Previously a Friday into Saturday would be my norm 1-3g depending on what I had planned. Now it can be Fri/sat/sun and midweek even during work. I seem to find any excuse to use i.e. footballs on let's get a bag.... tested positive for Covid lets get a bag (no joke very shameful). I have an association with alcohol and coke which I can't deny, right now to me, they are one and the same if I drink I snort simple as that which means for the foreseeable future no alcohol. Furthermore, I am a little confused as to what my problem is... is both only the coke or is it alcohol? Furthermore, I have an understanding of being addicted to Alcohol as both my parents are recovering alcoholic's both been in recovery for over 28 years. Furthermore, I suppose in a way I'm ashamed that history is/has repeated itself and It's something I was determined not to allow happening. Due to this I haven't spoken to my parents on this subject as it feels completely shameful and I have let them down........ does anyone have any advice having this discussion with loved ones/parents? I have considered CA/NA but for some reason haven't found the confidence to get to a meeting either in person or online. I suppose it makes everything 'real' and that scares me, to be honest I feel ashamed to have to admit to family and friends I have an addiction... hard to put into words if that makes sense. Furthermore, I am currently 19 days without using cocaine and about 10 of alcohol which I'm delighted with, have spoken with my wife and have her support, going to the gym 4/5 times a week all of which is really helping me and keeping me focused, long term I'm hoping I can maintain this, although I have an uneasy feeling about cravings and working through them.... esp out with friends whist drunk as coke is freely available and in abundance. Again any useful help or advice on this or anything else would be greatly received and much fabricated.</t>
  </si>
  <si>
    <t>Rage after sobriety I poisoned myself for 12 years as a trash can addict and now that I'm 28 I feel rage that I did this to myself and as a result I'll never fail myself again. That being said I have literally blown through doors, and it's causing problems at home. Has anyone else experienced this?</t>
  </si>
  <si>
    <t>Craving drugs I've never even taken? I've been smoking daily for years but other than that I haven't taken anything too serious, but recently I've been craving something stronger such as Bezos or ovoids, I'm not going to take them even though I'm offered them a good bit. Just wondering why am I?</t>
  </si>
  <si>
    <t>An interesting title I've been taking fake Oxus for the past 4 months or so. I'm up to a 4-5 a day habit. I want to quit, but I can't by myself. Furthermore, I'm terrified of the withdrawals. Furthermore, I called in inpatient medical detox facility, and they told me it'll cost 12k for their program. Furthermore, I don't have insurance and got denied when I applied for their financing option because I don't have much credit history. All day today I've thought about just checking out for good. I could eat a handful then snort enough to make me go to sleep and then just not wake up. As opposed to continuing this habit that's ruining every aspect of my life. IDK what to do. I'm an idiot for letting things get this far.</t>
  </si>
  <si>
    <t>Constantly fighting with my mom makes me want to relapse. She puts me in a bad mood and then the stress of live combine and bring me down. Last time I relapse was right after a fight with her. And I didn't do anything to deserve it, just talking to her was my mistake. There is nothing I can do to stop fighting because she is always prepared for it even though I am not doing anything. I cannot be nice with someone that is always trying to put me in a bad mood. I hate how this breaks me and because I am a good son I cannot just ignore her. Furthermore, I just needed to vent this.</t>
  </si>
  <si>
    <t>Addicted to nicotine I know I might sound like a broken record, but this has been going on for years now, and I don't know how to stop. Don't know what steps to take or nothing. I don't even get the slightest trip of it but still it’s impossible to stop</t>
  </si>
  <si>
    <t>After being an addict for 12 years I'm finally getting clean. At age 28 I feel something I haven't felt in a long time. Rage, but an ambitious rage. Like how could I do this to myself for so long. Unfortunately the people around me think I'm angry at them etc., but I'm more driven than ever before. Like a translated anger that makes me want to break through a brick wall. As a way to make sure I never fail myself again. How can I express to my family what this feels like?</t>
  </si>
  <si>
    <t>What a brutal and psychologically destructive addiction this has been. 4 years of daily use, apparent spiritual awakenings, demons and angels, speaking to the universe etc. and I end back here - 10x worse than I was a year ago. I'm on the verge of, if not already fully schizophrenic and my life is crumbling around me on a daily basis. I've tried meetings, counselling, private therapy and can't afford rehab as I run my own company and also subcontract as a sales director for another huge company. Furthermore, I have all the potential to be stupidly rich beyond my wildest dreams, but this addiction keeps holding me back at every single point and my employers as well as friends and family are beginning to notice.</t>
  </si>
  <si>
    <t>I just wanted to post that I’m proud of myself. Before you ask: yes this is a throwaway, I might use it just for these types of Subreddits. I’ve done what I thought impossible: I made it a week ?Cali? Sober I guess you’d call it, just smoking. Only last week I was fully in the grips of it. Every day was spent looking for ways to get money to get my nightly fix. And now I'm one week off it! I feel more motivated, more relaxed, and my self-esteem is growing. I’m just proud.</t>
  </si>
  <si>
    <t>So, my dad has been an addict for over 30 years, and in the last 4 years he became sober and started living a somewhat healthy life. But last night he called me, telling me he has relapsed and is trying to get better. How do you treat someone with addiction, when you don't want to be a part of it? He has hurt me so much throughout my life, I have seen the things no kid should ever experience or see, I’ve been let down, abused, forgotten. Now that I’m older, I can just feel that I can't take it again. I'm broken down, but I don't want to make him hurt more, by telling him that. What do you do or say?</t>
  </si>
  <si>
    <t>I have a crazy idea. Will power is something I struggle with a lot, and I'm just wondering, has anyone tried physically restraining themselves for a couple of weeks? I mean like full shackled to a wall or something, until i don't want to use anymore. I would need someone to put up with and take care of me, and somehow get out of school for this amount of time, but if it would work I would do it. Of course this is just a sort of daydream, i don't know anybody who would be willing to participate in something like this that's both crazy and also a lot of work for them, but what I'm asking is do you guys think this would work?</t>
  </si>
  <si>
    <t>He's been an addict on and off for many years. He is not my biological brother, but was raised with me as such, essentially. As a teenager, he moved in with my alcoholic mother and I during a period he was struggling with his use. My mom left me with lots of PTSD always worrying about her Owing, and my brother did too (frequently nodding out in the bathroom to the point of being unresponsive, but not overdosed). My mom passed earlier this year, and I've been on a long and difficult journey to work through my trauma from life since. My brother showed up unannounced three days ago at 2 am, homeless and needing a safe place. I took him in and have helped him get the basics (showered, fed, clean clothes). Its day three, and I was able to get him to go help my grandmother for money, and only now sitting alone do I feel the decompression and stress coming off. I felt like I was disassociated and in a trance while he was here; I trade stocks and crypto, and I was making terrible choices and not using my proper trading tools I know I have, lost 30% in the three days from not managing my risk appropriately. A small example, but I feel that I'm so occupied by trying to keep calm and use my DBT skills to avoid having a PTSD episode that I cannot function in the ways I need to do be both productive and content. I suffer from chronic depression among other issues, and building/taking part in a "life worth living" is essential to keep the worst of my symptoms at bay. Productivity is a large part of this for me. I love my brother so much, however, we both have had hard lives and I'm still doing my best to get my stuff sorted out, alone, at 22. I have no family support outside my grandmother, and she is not well off and helps with things like extra food and basic supplies if I can't manage due to bills. Furthermore, I missed a shift at work the next morning because I didn't know what kind of mindset he was in, and many people who know addicts also know addiction can drive people to make morally unaligned choices; with a history of stealing, I couldn't risk having what little I have taken from me by him, let alone knowing the negative emotional impact it would have also had on him to betray me (he's a very caring person). Furthermore, I barely slept the past few days, always monitoring his breathing when he's nodding off on my couch. It's just too much for me at this moment to have him staying with me, although he made it clear he wasn't trying to move in, and that he just needed a place to stay for a moment (happy to house him, hate to know my family is struggling). I know I have to have the conversation with him addressing why he can't live here (out of respect for him, he's my family and deserves that understanding IMO), but I feel like I need to have a conversation that lets him know that 1) I love him 2) I want to see him get help (all senses; not just addiction) 3) I want to see him do well 4) I'm too young and going through too much of my own stuff to have the stress of seeing him daily in this condition, while he also needs my emotional and logical support figuring out how to navigate his situation.</t>
  </si>
  <si>
    <t>Got sent to rehab for DXM, Bezos, opiate pills, weed and alcohol abuse and I feel so empty, being high, specially dissociated on DXM I was so calm, I knew I was fucked up, but I looked at everything from a different angle, now that I’m sober I’ve got to look at everything through a clear mind that lets me observe how much of a shit person I actually am and how shit everything is, I’m just 16 and fucking lost, honestly don't use DXM to escape your problems, it just makes you more incapable of dealing with things.</t>
  </si>
  <si>
    <t>I have spent most of my life looking at people on social media, and being disappointed with myself and feeling like a failure because my life has never been interesting and happy like those that I see. I always felt insecure because of people's attractive photos, always felt disappointed because I'm not good at anything and don't have hobbies or can't do my own makeup. Always envious of people with lots of friends and family, envious of those who have big homes, go on holidays etc., and I was always envious at those who seemed to have happy, perfect lives with happy partners, happy families and friends and there lives seemed so positive and perfect. Then as I matured and got older, I realized people only post the best parts online, some people even post complete lies, they present their lives as being one way, when they're the complete opposite and I realized that the internet was just full of lies and smoke and mirrors.</t>
  </si>
  <si>
    <t>I am offering a 0.5 bitcoin reward in exchange for any information regarding the whereabouts of my dopamine.</t>
  </si>
  <si>
    <t>I'm having strong urge to use meth again. It's only been since Monday when I stopped using again. I'm feeling depressed, no energy. A part of me just wants to tell the boss I'm leaving work and going to do some training on the computer at home so I can go use. Ugh I hate this feeling!</t>
  </si>
  <si>
    <t>For about the last two years me and a buddy who met in NA were hanging out. He was sober, and I was abusing Bezos and some other things. I went to rehab early last month and got clean from Bezos and meth pressed Adderall as well as other research chemicals. My friend and I would trip on occasion and that’s all he would do in terms of drugs. Just a few weeks ago he told me he started to drink again, and I was concerned because he’s told me before how bad his Drinking was, and he loved crack and coke. I thought he wouldn't do it every day but every night now he sneaks drinking from his wife in his basement (they’re going through a divorce) and now he goes out to eat by himself constantly only at restaurants with bars. He’s going to visit his cousin who does coke a lot and go work across the country for months. I think it’s all a bad idea and I’ve expressed concern but what else really can I do?</t>
  </si>
  <si>
    <t>I'm an idiot. I don't like feeling sober. So I take 90 milligrams of Ritalin a day. Some to get me to work, and then it starts wearing off and I don't want to relax. Just some more then, and we'll just meditate. That's productivity baby! I'm gig zen right now, I think the rapid heartbeat and tension headache is part of my ascension. Now I can be panicky and restless laying on the floor instead of doing anything else. Overthink everything, maybe make notes on how it all went wrong, and a cool graph showing how I'm going to fuck up more in the future. Breathing exercises - because I'm a mindful man, and everything should be an exercise. Progress is never sitting still and canceling your nighttime dreams.</t>
  </si>
  <si>
    <t>Hello. I am 31 years old, and went through a pretty bad meth and crack addiction for about 3 years. I lost a lot in my addiction, such as a good job and my apartment. Furthermore, I'm currently living in a halfway house and have a job again. Furthermore, I have a little over 90 days clean now. It's still a struggle. I would say my life is definitely more stable and structured. I'm eating and sleeping regularly. My life is far from amazing though, and my problems are not going to magically disappear because I'm clean. A part of me still misses the "rush" of the drugs (and the sex lol). I also found the chaos of active addiction kind of exciting. Am I the only one feeling this way? I've experienced many beautiful moments being in recovery, but there is that part of me that still wants to use. I also have a rebellious side to me, so conforming to American societal standards of being a "responsible" adult is difficult for me. Furthermore, I don't know.... Sorry for the long post. Thanks for any thoughts on this.</t>
  </si>
  <si>
    <t>I was put on a waiting list for inpatient rehab. It will cost me nothing. I'm supposed to go on February 21st. But... I just started a new job on January 7th. I am not sure how to handle this situation and not even sure my spouse will support my desire to go. Any tips or advice? My drug of choice has been Meth for the past 22 months.</t>
  </si>
  <si>
    <t>I’ve realized I’m addicted to the change in mindset, not the drugs. Being completely sober seems like a foreign concept to me. If it isn't one thing it’s another. I have schizophrenia and recently quit weed but am still on 3mg Klonopin a day (prescribed), Vyvanse, Adderall, and gabapentin. I’ve gotten to the point where I don't even notice the mindset change when taking all these drugs though. Any tips for someone who is an addict in the sense that there is no doc, as long as there is a change in mindset? Anybody else like this? I feel like a garbage can for drugs and could use the support</t>
  </si>
  <si>
    <t>Can you post something positive here for someone who needs it or even for yourself? Maybe you can come back to this page a reread it when you need it? Also, others can chime in to offer support. If there's another spot for this, please advise.</t>
  </si>
  <si>
    <t>I decided to daily log my attempt at going cold turkey off nicotine. I plan to be sharing this every day and adding to the daily log to have people hold me accountable. Day 1 of quitting nicotine: I feel the most insane cravings I ever have. My body has been brought into a constant state of hyperactivity and awareness, however I compete actions at maybe 75% the accuracy I wish too. I have gone threw 10 pieces of gum (and counting) and have developed a shake in my hands that's absolutely brutal. I've been told I look exhausted by several coworkers however I feel grossly awake, as if my eyes are crawling out of my head. Furthermore, I form sentences but not insightful responses that I wish too with people. Furthermore, I have touched my face 100+ times, but consistently feel unsatisfied. Going to the gym to attempt to obliterate my body and get some good rest to suffer again tomorrow. Although that's somber ASF I'm actually quiet enthusiastic about quitting and going strong!</t>
  </si>
  <si>
    <t>Tried to submit it to the /r IAEA but it maybe better fits in here I’m a 20-year-old poly addict that is struggling with life. Ask me anything! So as the title states; I’m a 20-year-old male who’s currently addicted to Benzodiazepines, Opiates and probably also alcohol if I want to be honest with myself. I have been able to keep up a consistent lifestyle (work and SHT. Living on my own currently) so far. But since my ex-girlfriend left me it’s all going downhill. I’m about to lose my job, I’m an addict and the worst thing is that nobody close to me knows about my struggles. It’s not only the addiction but I suffer from heavy depression/anxiety and extreme loneliness since I moved out of my parents house during Covid and didn't got to know any new people, expect maybe my colleagues but they mostly in their 40s to 50s. I’m taking Bezos every day, taking opiates if I can afford them and drink almost daily. My life been circling downwards since that breakup.</t>
  </si>
  <si>
    <t>I can't believe what I've just Done I just popped 4 codeine 30mg and idea why I ran out of weed to smoke and help me sleep, and I had this codeine box in my room which I was going to sell to someone, but they cancelled So I obviously just go and pop 4 By the time their downed I've already got this super guilty feeling I'm just so ashamed of myself. I'm literally fucking 16, and I'm doing opioids on a Tuesday I want to die I STG Edit: I couldn't feel anything so took another 2 then realized that's 180mg Like that's a significant increase is it not? Furthermore, I'm so ashamed and I'm so sorry</t>
  </si>
  <si>
    <t>I am a selfish and fucked up person Quite precisely. I have pressures from all angles internal and external. Furthermore, I feel smothered by a toxic smog which temporarily hides these pressures but also chokes me in the process. Furthermore, I drag others down like crabs in a bucket. Furthermore, I fail to live up to others' expectations of me and my own expectations of myself. But I'm going to carry on.</t>
  </si>
  <si>
    <t>I've been playing video games fairly regularly since I was probably about 15. I am now 38, and far from being over it I still find that if I have "free" time that I spend it playing games. I try to structure my day so that I get a few jobs out the way and get to the Gym or out for exercise, but at the end of the day I realize I'm actually structuring that day around time playing games. It doesn't get in the way of work particularly, but I am at a stage in my life where I am getting over the midway point and I really don't want to look back on my life and think I spent it hunched over a computer moving pixels around for some kind of hypnotic boredom suppressant. This is essentially how I spent my university years. Looking back at it, I can't help but think I totally wasted that period when I could have been out making friends and meeting girls I was just sat on my own. I guess the reason I'm posting here is I can't decide whether procrastination is the real addiction I have, or whether it's games. Certainly games seem to be the thing I turn to the second I am alone with free time, but if I left them out of my life would it be any better? Or would I just turn to another equally pointless hobby? Has anyone here experienced this and moved on? Or is it something I shouldn't worry about?</t>
  </si>
  <si>
    <t>So. It’s my time to stop. Well. 6 months ago it was my time and I’ve been stopping every 3 days since? I’m a multiple substance user. I wouldn't have necessarily said ?addict? Until the last month? And who wants to use that nasty word until their ready to look their demons in the eye? I’ve always had problems with overconsumption but would be able to go a month or so without anything. And then I got pressured to start using other stuff recreationally and now use that and Booze as coping mechanisms. Did I forget to say that I have GAD and high functioning anxiety? Oh, and left a relationship with a 23-year closet addict and narcissist.</t>
  </si>
  <si>
    <t>Question for anyone in long-term recovery from extreme opiate addiction Pretty far along in my recovery, but still feel as though someone took a paint brush over my life and left a big gray wash across everything. Have felt this way for a while. Do you ever get back to feeling normal? Like how you were before you were an addict</t>
  </si>
  <si>
    <t>I’m afraid I might be getting addicted to painkillers My parents are both doctors and since I know what pain is my parents stuffed me with painkillers (specially ibuprofen, paracetamol and prone). I’m a grown guy now but every time I feel I’m minimally sick or depressed I take those pills and I just can't stop taking them. They just make me feel numb and pain free for a while, but I know that if I keep taking them like this I might have health problems. I’d already overdosed twice on accident, I don't want to go through that again.</t>
  </si>
  <si>
    <t>I hope everybody is doing ok with everything that is happening lately. Today I wanted to do a post about courage and how much it is needed when you embark on your journey to defeat addiction. Courage is this special ability that you have within yourself to fight for something that you value above everything else in this world. Courage is what you see in the movies you watch, the books you read or the video games you play when the hero defeats the villain at the end. Every aspect of your life is designed for you to find your true path. Every good or sad events that ever occurred in your life and the way you dealt with these situations should tell you a little bit more about yourself and what you stand for.</t>
  </si>
  <si>
    <t>I am online almost all the time. Can't even take a bath without my phone and just lay in the bath for an hour or two. The only times I am not on my phone or computer is sleep and school, but I still take a look at my phone at times when the teacher isn't near. Time passes by so fast and I haven't done one thing. School ended 6h ago, and I can't believe it is already 8pm again. I don't do much except eat and cook but always have videos on or music.</t>
  </si>
  <si>
    <t>I'm 18 years old, have a comfortable job as an apprentice chef. But I struggle, I have nicotine all throughout the day because it is stressful, I have started smoking weed almost daily too. I had a major thing in my life happen around February 2020 and was addicted to OXY (100-160mg) a day, until I got my job, now I just use about (60-80) when I get home, I don't see a way out especially when I’m so young and already don't want to be here/am I suffering from addiction, anyone have any suggestions on how I can stop?</t>
  </si>
  <si>
    <t>I’m looking for accountability partner to help me quit smoking hookah, watching porn, and masturbation. I’ve been clean for a long time, but relapsed little by little overtime, and I’m stuck with the trifecta of addictions I have.</t>
  </si>
  <si>
    <t>I am in no ways pretending I have anything together in any part of my life by any means, but through some other posts I've found 2 common themes are loneliness and lack of support/believing you can overcome. That being said I hope people feeling lost or just looking for a friend can feel welcome in this thread, and we can get a good support group thread going, any and all addictions are welcome if you don't want to say anything nice or supportive please just don't say anything, we are all going through enough without online jabbing. That being said, anyone feel free to message and feel safe saying whatever you need here</t>
  </si>
  <si>
    <t>I hate that feeling of wanting to relapse My addiction is self harm and I swear each day is so fucking hard, i don't even want to stay clean anymore, and I feel shitty because my friend who struggles with the same addiction as me is 6 or 7 months clean which though I am so proud of them for, I can't help but feel jealous and wish that it was me, I hate the fact that the longest I can go is 3 months and most of the time i don't even make it to that</t>
  </si>
  <si>
    <t>If you?re-new in recovery, welcome. I’m so glad you’re here. I consider myself in early recovery too to be perfectly honest. Furthermore, I say that not to discourage you, but to remind you this is a lifelong journey, and with a clean a sober healthy lifestyle, there’s no reason we can't all live a long time. If you’re in the ?I’m not sure how to quit, it’s so hard. I keep going back? Stage, just know this is not to shame you in any way or discourage you, but to let you know what my experience is, and hopefully it helps someone else. When I was 18 years old an odd friendship I had in high school with someone that saw me as that weird dude that hangs out with Christian rock band kids and someone I saw as someone with parents that weren't strict like mine turned into an adult friendship and I was quickly introduced to my worst best friend for the next 15 years alcohol. My disease got worse over the years, turned into a cocaine habit followed by a binge on various psychedelics, one of which (psilocybin) had the accidental effect of temporarily shutting off my addictive desire for alcohol and coke and everything else for that matter. I experienced a strange sense of peace for the first time in my adult life for a short time, but I didn't do anything to look at the underlying issues, I didn't stop going to the same bars, or hanging out with the same people, and I did not change my life in any way except not drinking. So, obviously when the mushroom effects wore off, I immediately gave in to my first craving and was back where I was alcoholic wise within a week as if I had never put it down. I got fired from my job, kicked out of my apartment again and found myself homeless for the 2nd time in 2 years.I went on like this for a couple of months before realizing that after tasting sober life, I wanted it for real this time. I called an inpatient facility in a completely different city, I left my drinking friends behind for good, and most importantly, I was willing to do whatever it took to get and stay clean from all addictive substances. No matter what that meant, no matter how hard it was, no matter how much I had to change my life Or what amount of work I needed to put into it or how vulnerable or uncomfortable aspects of recovery made me, I knew I had to dive in 100% willing and ready to work. Because that’s what it takes. There is no silver bullet. No one thing that will keep you sober. It’s a dedication and a drive to doing everything in your power to stay clean and make a better life than you had when you were getting high/drunk. That’s all.</t>
  </si>
  <si>
    <t>I feel like it’s gotten to be too big of a problem, and could really use some advice on how to kick it for good. I’ve always had trouble with long term relationships, maybe a problem with committing? Or maybe it’s being so impatient, being that anytime I needed to feel good, or a pleasurable release I turned to porn and was gratified instantly? I feel like pornography has played a drastic part of why I feel depressed when everything is really normal, or okay in my life. Is it because I’ve flooded my brain with feel good chemicals, and now I can't get that naturally from the positive experiences in my life? It’s such a bad problem that I have let get out of control, and would appreciate any advice on how to kill the urges to watch or partake in activities that involve pornography.</t>
  </si>
  <si>
    <t>Is this an addiction? So during a low point in my life I picked up sleeping pills. It started with 4 a day going into 17-20 and barley being able to stand. They destroyed my mental and physical state. I used it every night to forget the pain but after a while when I couldn't buy more for financial reasons I just stopped since I couldn't buy anymore. I just stopped, but it’s like every time I get a job no matter if it’s been months since my last one I somehow pick up that nasty habit. Furthermore, I can go months without it but if I pass by it in any store it makes me stop and think about buying some. It’s so bad that I had to switch to the liquid stuff because my body physical recoils and because nauseous at just the thought of those tiny blue pills. I think it’s addiction, but I can easily put it down and just stop?. Even tho I end up getting some more months later. As you guessed I’ve started it again. And I already plan on buying more. What is this?</t>
  </si>
  <si>
    <t>I'm now 18, I was addicted mostly to DXM and weed, but I'm a poly addict. Today is my 18th birthday and I couldn't bear a sober birthday, so I went to the store and bought alcohol, and now I'm drunk in School... I kinda hate myself for relapsing, but it feels so good... 18 is the legal drinking age in my country, so I'm scared of becoming an alcoholic because I don't have the access to other drugs at the moment...</t>
  </si>
  <si>
    <t>Am I the only one who lose so much weight from opiate I lost like 5 kilos and I’m a skinny person naturally I was 60kg now I’m 56kg? I’m 171-172 cm but I hate my body my face is pale and I’m so skinny I look like shit</t>
  </si>
  <si>
    <t>I have health plan of San Joaquin insurance, but they say they don't cover rehab, is there really no way to get in even if it’s life-threatening? Because I for surely don't have thousands of dollars</t>
  </si>
  <si>
    <t>Wife hit me with Marcan 3 times before I would come to. I woke up to 10 police/EMT/etc helping me search for my dope. Ambulance ride to the her, and they watched me for a few hours. I just got out of rehab 3 weeks ago. She’s trying to make me go back, and they said since I only used once insurance won't pay. I may have to go to a different place and lie about my usage. DCS will most likely be involved because there were kids (asleep) in the house. No idea what to do or why I’m even posting, but I hate life right now even though I’m thankful to be alive. Don't know how long I was out, but wife said I was purple and foaming at the mouth. Plus covered in blood from falling. That was my first time in rehab and I thought I was going to be fine. I felt good. That was also my first overdose where I received Marcan and a trip to the hospital</t>
  </si>
  <si>
    <t>I have been talking Ritalin even though I was diagnosed nonacid. It does help study, but i want to stop...</t>
  </si>
  <si>
    <t>I celebrated 7 years clean and sober yesterday.</t>
  </si>
  <si>
    <t>I?VE been sober n went cold turkey from fentanyl for 17 days n I am not going to take subs so please do not say anything about those but I was taking about 25 pressed fake per 30s so I know it can be a while but I'm just trying to get some insight, does anyone know how long this insomnia lasts i?VE maybe slept 4 hours throughout these long days can anyone recommend anything non-addictive I'm trying to stay sober and off the Juice WRLD drugs i?VE tried weed, melatonin, atom and a few other things but have stopped because they do not work?. I just want some sleep so I can start feeling better.</t>
  </si>
  <si>
    <t>Addicts should be treated the same as anyone else who is diagnosed with a disease. I was, quite frankly, astounded by how many people still view addiction as a choice. Today I tried posting this video in response And had my post removed again. This video is by far the best explanation of how addiction occurs in the brain and the neurobiology behind it. It definitely proves addiction is a disease.</t>
  </si>
  <si>
    <t>Can someone tell me how long they were taking Adderall before they realized they were addicted to it?</t>
  </si>
  <si>
    <t>Hey everyone I thought I'd come here for some advice I'm a young person and just being honest I'm 14 and have a very bad addiction to pornography its ruining my life I hate it so much It's not even good to. Anymore but I still go back to it I've tried to quit so many times but just can't stop its gotten to the point to where I had intercourse with a girl and i wasn't even able to. I felt terrible since then. I've said multiple times ?today is the day I quit? But it never happens. Does anyone have some advice to help me out?</t>
  </si>
  <si>
    <t>I am currently very addicted to marijuana, I consume it from the time I wake up until I pass out at night. Most days I spend in a kind of haze, sitting and not eating more than a meal or two. I have been using cannabis heavily for the last 5 years and have consumed all day every day for the last two. My question is, how do I stop? Can I stop cold turkey without any serious risk to my health? If so my plan is to attempt cold turkey cessation, but I wanted to see if that is the most effective strategy or if I risked serious risk by doing so. Any advice for how to cope mentally with the lifestyle change would be useful also. Please help me I want my life to be better and this is the first step</t>
  </si>
  <si>
    <t>I don't know where the best Subreddit to ask this question is, but I figured this is the best place to start. If you guys could help me in any way, I’d appreciate it so much. Here’s some context. For many years my brother has struggled on and off with addiction. Whether that be pills, weed, cocaine and basically every drug there is. Some I have never heard of. For the past 4 months he cleaned up his act, got clean, went to work again and the gym. He moved in with me to get away from our toxic father who we no longer speak to. He was doing very well but with covid and more lockdowns coming back he relapsed very recently. I lightly tried to confront him about it as it’s quite obvious when he’s using. He eventually tearfully admitted to me, he relapsed, and we had a heart-to-heart conversation about it. When he uses he won't talk to me as much, avoid me even. He disappears for long periods and irregular times of the day/night. And with a lot of the drugs he takes-especially cocaine, he can get very aggressive. It scares me. I thought after our conversation about his relapse things may start to look up. They’ve only gotten worse. He’s gone back to self-isolation, disappearing, and tonight he was set off by a very small thing and screamed at me. It hurts me so much to see him like this. When he’s on drugs, he becomes someone I don't recognize, and now I feel afraid to come talk to him about anything with how aggressive he can get. So I’m asking you guys. What else can I do? Should I keep trying to talk to him? Should I give him space right now? I know he can only really get clean by himself, but I need to know I am doing everything in my power to help him. I’m sorry for the long essay. I’m losing my mind with the thought of losing him, he’s the most important person in the world to me. Thank you for your time.</t>
  </si>
  <si>
    <t>IMHO: I’m finding lately on Reddit that there are a lot of people in the ? If a solution to a problem isn't flawless then it SUCKS? Camp. I have to say for these meetings, it’s all about your attitude. If you go in with an open mind or if you sit there and pick it all apart with your cynicism, that determines whether it’s harmful or helpful to you. Yeah, I can poke holes in the ?powerlessness? Crap (nobody would be in those rooms if we were all powerless FFS), and the undeniable cult vibes? In early recovery, I treated meetings the way I did church as a kid: ? Okay I’m not buying all of this, but I like some of these people and I’m not going to spoil it for them.? Go for the stories (whether they’re true or not ? Who cares?), stay for the people, the connection, the memories, and take away from them the only lesson that matters. The Golden Rule.</t>
  </si>
  <si>
    <t>Can you die from withdrawals? Is it a good idea to go cold turkey? Withdrawals are the worst. Went cold turkey for like two days and felt like shit.</t>
  </si>
  <si>
    <t>I got high when on call with my GF and IDK what to do to help I got really, really high while calling my girlfriend last night and I said a lot of terrible stuff that I didn't mean at all, and I don't know how to fix this or help and I don't know what to do I’m so scared</t>
  </si>
  <si>
    <t>Addictive thoughts How do I get help for addictive thoughts without an addiction? I’ve been addicted to self harm and I’ve been addicted to eating but I’ve never done drugs. I grew up with an addict family, the drugs took my dad from me when I was 18. I’m almost 22 now and for about a year, I’ve been having intrusive thoughts telling me to try coke or molly or Adderall. I’ve never had thoughts to try the drugs my mom or dad have been addicted to. Furthermore, I don't really know what to do about it. I’ve never acted on it, I think only because no one has offered. I’ve asked a friend to find some add a few times, but he either hasn't had any luck or he just won't. Furthermore, I don't really have anyone to talk to about it, the times I’ve tried it’s ?just don't do it? But every fiber in my body is telling me to</t>
  </si>
  <si>
    <t>What to do? Everyone on Reddit hates me. They call me a stoner or 'Bhang' as in Hindi/Indian language. I just comment anything at any random post, and they start calling me names. What to do now? Please help me. I'm sober</t>
  </si>
  <si>
    <t>I don't know how to react to my BF hiding his substance abuse. I am 36f, BF is 41m. We have been together 2.5yrs. We live together with his two kids who he has half-time. When we met my BF was recently out of a long term relationship, and I knew he was struggling with depression. We took it slow. He was upfront about substance abuse issues he had in his past. My understanding was his use of hard drugs (cocaine, Bezos, opioids) was in the past. I knew he drank alcohol heavily, but over our first year or so together he moderated his drinking, phasing out liquor and sticking to a few beers a night. It seemed like he was working on himself and making positive changes. We moved in together around the 1yr mark. Since we moved in together I have occasionally noticed some odd behavior. Nothing extreme, but constricted pupils, lethargy, difficulty maintaining an erection. And I mostly chalked them up to stress since my BF has a full-time job, takes care of his kids etc. But the last six months I have become increasingly suspicious. My BF had some financial issues (nothing catastrophic, but smallish amounts of money missing, short on rent that sort of thing), I noticed the constricted pupils more frequently... I grew up around addiction and I just had that feeling something was off. I know people struggling with addiction can be high functioning, and it got harder for me to ignore the things I was seeing. So I snooped through an old cell phone (I know, I'm embarrassed). I found out he was using heavily when we first met and had been struggling since to slow and stop his use. But also saw that he had been in regular contact with his dealer up until the present. I have since looked over our shared cell phone bill and see they regularly communicate despite my BF saying they are no longer friends. This weekend I noticed the signs I associate with potential use, saw he has been texting his dealer, and asked my BF if there was anything, anything at all, going on with him. Anything I didn't know about. I did not get specific, and he denied anything was going on. This morning I looked in his pants pocket and found a Maggie with a hollowed out pen and some white residue. I love my BF. He is a kind, gentle person. He takes care with my feelings. I truly thought we were honest with each other. I can't get my mind around the fact that he hid this from me. He knows I grew up around drugs and addiction, and lost a parent to an overdose. The most generous interpretation I have is he didn't want to scare me off. I also know his use stems from his traumatic childhood (he experienced physical, sexual, and emotional abuse). And he might have been too deeply ashamed to tell me. But all that being said I still don't know what to do. My BF is high functioning, and if I didn't grow up around drugs I may not have noticed. I do feel intense guilt for snooping, but also don't regret it. I felt like I was projecting my own trauma with substance abuse onto him, but it's clear now I'm not. Furthermore, I know we need to talk about it...but what is the best way to start that conversation? What boundaries should I be prepared to draw? Should I consider leaving? This seems to be the common advice, but it would be so hard for me. I believe he is a wonderful person who struggles to cope. Should I ask that he get treatment? My fear is things will spiral for him. He has some level of control now, but we that always be the case? And I just don't know if I can get past the dishonesty. That is what hurts the most. I worry I will always feel like is lying to me. Sorry if this isn't the best forum for this, but I've seen a really negative attitude towards people with addiction in relationship Subreddits. I hope anyone here will have a more empathetic view.</t>
  </si>
  <si>
    <t>I can't go one day without taking opioids, I'm finding taking them helps me throughout the day, I literally can't function without it. If I don't have them I'm literally fucked, I'll just get in terrible humor. I can't even tell my girlfriend what is going on I don't want all the chemo advice from friends who are hypocrites either</t>
  </si>
  <si>
    <t>I’m starting a new life soon and cutting off contact with everyone. It’s a long story but I’ve battled addiction and depression for way to long. So, if anyone reading this is interested in being my internet friend please message me</t>
  </si>
  <si>
    <t>So I'm 19 years old, and since turning 18 I Pretty such don't go a day although gambling at least a little money, but the majority of the time my whole weeks paycheck will be gone in 2 days after getting it, the rest of the week is just pure regret and then the cycle continues once I'm paid again, I also understand the fact that I work in a pub and a big part of my job involves going into the gambling room which is a big trigger for me to play after work, leaving my job is out of the question because it's something I really enjoy doing and feel I'm pretty good at, but does anyone have any suggestions to help? Reading online for gambling help feels very copy and paste on every site and I want to know what's helped others with the same issue.</t>
  </si>
  <si>
    <t>I used to post in here a lot a year ago during my first week of recovery. I shared a lot about myself that no one in my person life knew. Furthermore, I used the group as a "journal". The people who I talked to helped me and I couldn't thank them enough for their kindness and empathy for a total stranger on the internet. I was sober for 5 months. The first month was hell. Getting sober with mental health problems makes it worse (at least in my opinion). I got on medication. I started caring about myself. I was proud of myself. Furthermore, I was happy for the first time in years. Furthermore, I saw a future for myself. Furthermore, I actually felt like a person. Furthermore, I even became vegan lol I fucked it up. Furthermore, I figured I would be fine just using the one time. FIRST MISTAKE. Now 6 months later it's been back to my daily use. I need it again to feel normal. Back to self-hatred, suicidal ideation and all the other fun BS. I stopped talking to my NA counselor. I feel as if I wasted his time. Furthermore, I feel helpless. Furthermore, I feel alone. Furthermore, I feel like I ruined the only chance I had on getting sober. If I relapsed once what's to say it won't happen again. Am I going to be in this never-ending cycle until I die? I know everyone says "relapse is a part of recovery". I get it. Furthermore, I want to believe that. Furthermore, I really want to stop. Furthermore, I always have plans to quit and then the day comes when I'm out, and I need it again. Furthermore, I want to quit. Furthermore, I honestly do. Furthermore, I feel like it's harder this time. Furthermore, I just need some kind people ok the internet to tell me I can do it I guess lol. This group helped me one time. I'm hoping it can for a second time.</t>
  </si>
  <si>
    <t>Best option for me for treatment? I’ve been struggling with mental illness and addiction since I was in middle school and I’m really trying to get better, but I don't have health insurance. I've been sober this time around for about a month and I’m really struggling. I’m pretty sure I have BPD and I’m desperately trying to get better. I have had almost three years sober and then 8 months again last year. Went through all the steps in AA and was very active but still was struggling. Since last year I have not been able to stay sober and I’m finally accepting the fact I have a mental illness I have to address. I’m wondering if anyone knows of any long term treatment centers that are free or even low cost in the United States. Most places in my city are terrible and put you on meds and scoot you off. I can't keep living like this. I really need help</t>
  </si>
  <si>
    <t>Just venting chill Thinking about getting handcuffs and tying myself to my houses. Seems kind of pointless cause as soon as I’m free I’m probably going to use. Suicide keeps lingering in the back of my head. For a while I thought tubing my exhaust from my car into my window. But I’ve almost died so many times on fentanyl and never felt anything. Smoking a ton will do the trick?. Yup I know there’s nothing this post will solve . This is no magic answer or program?. Really just trying to get this off my chest. Because no one cares about a tweakerbesides family and after so much drama I don't think they want to hear my complaining?. I guess I’m just weak ? Or IDK but life just seems hard and people really just care about themselves?</t>
  </si>
  <si>
    <t>I just left my husband He had an addiction to Cocaine and Heroin for 7 years, I met him about a year ago, we got married 2 months ago. When I met him he told me he was clean for 2 years, but he started drinking one bottle per day of alcohol, and also he was using Xanax and injecting himself. He went to a clinic to get clean for a few days, but I felt like I needed to go back to my country because I was already alone and dealing with that was destroying me. Am I a bad person? Is this going to make him realize that he needs to be sober, and he will change for me? I don't want to get a divorce, I love him, but I’m expecting him to change with this time separated? And also because I didn't knew what to do, so I went back to my country.</t>
  </si>
  <si>
    <t>So I was thinking about going into detox I called all the places in my city and the only answer I got is we are full the waiting list is minimum 2 months? So me my addiction is not that bad 4–5 months of sniffing 3-4 opiate per day (I think it’s not that bad of an addiction since some people is couple of years of taking drugs every day) I’m not judging anyone tho. So back to what I wanted to say so 2 months of waiting??? What if someone’s situation is suitor bad, and they may overdose and die while they are waiting to go into detox? I feel like people who are not addicted sometimes treat us like dog shit as if we are not humans, and we got addicted by choice. I personally got addicted and knew what opiate was because of hospital I was 17-18 I broke my finger bad I went into surgery, and they gave me morphine pills for like a whole month and that’s when I started looking for pills etc. before that I didn't knew this shit existed know I hate myself for being addicted. But I feel like If there were actually more help/opportunities and alternative for addicted people a lot of us would win the battle but since we basically don't have shit to help us with what we are going through it’s suitor hard to stop even private detox you have to wait for months it doesn't make any sense. Sorry if sometimes my text doesn't make sense, or I made some errors here and there English is my third language. I hope y?all having a great night/day and don't give up you got this.</t>
  </si>
  <si>
    <t>Went to a 10-month program after a few years of active addiction. I’m my use I was hyper-focused on my diet and training. I was shredded before I came to treatment. Now I’ve gained 20 lbs this past 3 months and I can't even see my abs. Early on I gave into eating urges and ate a bunch of junk calories It’s really getting to me not being able to control and track what I eat anymore. I kept training and I want to lose the belly but don't think it’s currently possible for me. This week I tried to get my diet back on track and went too hard, was low energy and now I’m binge-eating candy and feeling bad about it. I’m just trying to cope with it and keep telling myself I can get back to it when I’m out of here. It’s been weighing on me a lot and was just posting this to get some advice or thoughts from you all.</t>
  </si>
  <si>
    <t>I’ve posted here a couple of times, sporadically. I think I’ll use this sub as a type of journal moving forward. Anyway? My addiction has gone too far. I am a cocaine addict. I maintain a salaried position that I enjoy and a great friend group. Furthermore, I am concerned that my addiction is going to take away both of those parts of my life in addition to what it has already taken. This past weekend one of my best friends hosted a birthday dinner that I was completely MIA for. I told him last minute I couldn't go and wasn't ok. The truth is I wasn't ok? But was also on a cocaine bender and couldn't show face. I’m concerned I may have lost one of my best friends over this. I just don't know what to do to erase this part of my life. It’s scary and I feel like a failure every time I tell myself I’m going to quit and don't. I know that sheer willpower isn't enough; and I know that I need to ?replace? My addiction. But I don't know how or with what.</t>
  </si>
  <si>
    <t>My hobby revolves around collecting things I enjoy around pop culture. Today when I decided to see how much it's costed me I can't help but feel ashamed of how out of hand its gotten. I recorded most of the things I purchased over the year and as my list kept getting longer and the price of this thing kept jumping and adding up, the sinking feeling in stomach kept getting worse and worse. I told a friend about this and they kind of laughed it off but was shocked, and I couldn't help but feel worse. Furthermore, I'm not sure if this is actually considered an addiction or not, but I felt like I needed to get this out there to help myself get it under control. Furthermore, I already canceled a bunch of things I ordered and deleted my apps that would purchase stuff from. A part of me feels like I failed by letting this get out of hand in the first place.</t>
  </si>
  <si>
    <t>Literally like half the reason I started using is because of my lower back pain, right knee, and foot pain. I’ve been clean for a little over a year and it’s getting harder to deal with this every day pain. I’m afraid to say much to my doctor because I don't want him thinking I’m trying to get pain pills. That’s not what I’m trying to do. I just want to find something to help make each day more bearable. Any advice on what to do?</t>
  </si>
  <si>
    <t>I have been smoking for the better of 6 years now, but I am about to graduate college and need to quit so I can pass a drug test for work (I know this doesn't require completely quitting), but I also feel like I would be a better person overall if I am able to stop my use. I smoke every day, twice, or three times a day. Furthermore, I realize I need to overcome the oral fixation of smoking first so I have loaded up on edibles to combat that. Then I plan on decreasing my edible take each day until I feel comfortable going a whole day without any THC intake, and then I'll take it from there. If you have quit weed before I would love any tips or tricks that help you get past the urge! Thank you for your time, hope you all win your little battles!</t>
  </si>
  <si>
    <t>Hi, I (21F) start smoking at 16 and since 2 years I got on another level where I get high when I wake up until I fall asleep. I buy for 70? A week so 1g a day; and I'm not proud of that at all. The thing is weed help me a lot of dealing with high anxiety; but I can feel that my physical health don't stop getting worse. So for now before I can buy a sort of vape but for weed (can't remember the name), I want to smoke only on the weekend. But I don't feel capable, it's been so long since I went sober for more than one day, I'm afraid of so many things and I know that it will be only a struggle for one week (I used to stop smoking frequently, so I know my experiences on getting sober), but what if I don't care like always and continue ? I just wanted to let it all out, thanks for reading, tell me what you think</t>
  </si>
  <si>
    <t>He hasn't used regularly in years and has now hit the one-year mark since his last "slip up." He has lost so many of the friends he was in treatment with either to overdose or suicide - I think 6 in the last year. Two of the best friends he'd made in treatment died on the same day last year--even though they'd never met--February 4th, 2021. It makes me so fucking sad for my partner, the families of the victims, and everyone affected by this epidemic. I fucking hate it. All that said, I'd really like to make sure we're occupied on Feb 4th. Does anyone have ideas about how we can give back? Volunteering opportunities to help to struggle/recovering addicts, people experiencing homelessness, or troubled teens? Or any other ideas for what to do on that day?</t>
  </si>
  <si>
    <t>I’m 21-year-old male and I’m polytox and I have ADD. In the past I used a lot of dogs like lifetime weed opiates. Now I’m in a recovery clinic full-time. I feel a lot better now, I’m still using Evans from my doctor. I still chase the feeling of getting high, with cigarettes, porn and meeting with hookers. Furthermore, I can't really talk about that with anyone. When I had sex I feel good that day but the day after I feel low, and I want more. I always think about these things all the time and I worry because I don't want to get into a new addiction. It's hard for me to just chill out and enjoy what's now. I never feel complete. Anyone struggle with this?</t>
  </si>
  <si>
    <t>I and another person put our poems about addiction on this Subreddit and we both took it down bc all we got was hate from others and dumb comments about using Capital letters too much. I thought this was supposed to be a group that supports each other and lifts one another up and tells another person how brave they are for spilling their heart and soul on here only to get hated on and judged. Some of the reasons I started using to begin with. WHERE IS THE LOVE? WHERE IS THE SUPPORT? WHERE IS THE SENSE OF COMMUNITY? It’s sad. It hurts. And it makes me lose my faith in humanity. I'm SORRY IF MY CAPITAL LETTERS PISS ANYONE OFF TOO BTW. I KNOW IT CAN BRING OUT THE WORST IN PEOPLE! I would never want to hurt someone else who is hurting. Or judge someone who feels judged already. Can we LOVE each other? I think we can.</t>
  </si>
  <si>
    <t>Hey everyone, first post here Title kinda says it all. I've wrestled with alcoholism since I was 16, (now 28) and have within the last 5 years become helplessly addicted to cocaine. It's ruining my relationships, noticeably damaging my physical health, it has cost me several jobs, and it is destroying me financially. I don't really know how to proceed. It just seemed like a good idea to admit it to the internet. If anyone has any insight I'd very much appreciate it.</t>
  </si>
  <si>
    <t>To my person: I’m M (29) and I was addicted to multiple substances 5 years ago. At that point I only smoked weed. Now I’m 6 month sober. I have a decent job where the boss gave me the opportunity to take over the company(it’s a little electric company he wants to retire bc of health issues). I have a very loving GF who helped me out of the Abyss of drug use. Furthermore, I had to leave my ?friends? Behind me bc every one of them are drug addicts. Now that I’m sober I also know that I never had friends in my life (it all started when I was 14). I was fine with just having my GF around me the past 5 years. But since New Year’s Eve I started to think about how it would be to have a best friend or even a friend around me that is close, sharing thoughts or problems with or having a good time going out. I just don't know how ?normal?people become friends?? As a drug addict it was pretty easy? ?oh you take the same Drug? Let’s hang out together?</t>
  </si>
  <si>
    <t>I’d say the peak of my addiction was in the summer, but as of lately (December to Jan) I’ve been high as much as I could/drunk. But today I almost made it a week which is big to me. Next time I’ll try a full week + couple days :)</t>
  </si>
  <si>
    <t>I'd been using cocaine every day for 1 year. If i wasn't doing it I'd be thinking about it and how to get it asap, and it was destroying me in a lot of spheres. Physically, psychologically, spiritually. I wish I could say I'm over it but the sample size of being without it isn't too big. However, if my words can help someone get 1 week off whatever the fuck their hooked on I'll be worth the post. I'm going to enumerate some points. You have to commit to not using (I know the voice in the back is real but you have to get the intention out loud if you have to and be incisive about the decision You might have to hit rock bottom in order to get to the point you really decide to change. IT MIGHT BUT IT DOESN'T HAVE TO. Write it down. All the feelings and things this substance does to you. All the pros and cons. You will see there are no pros. How It's just fucking up your life in exchange for nothing. 15 minutes of euphoria that you can get doing anything pleasurable which takes me to number 4. Change your habits. Triggers can get you falling right back into it, so change habits and know why you are doing so. Go for a run, drink a lot of water, take a shower, read a book, go to work, start a project. Occupy your mind. The first days are the most difficult. It gets easier, the bad withdrawals get softer. Remember why you are changing your life. Because YOY love yourself man! You don't deserve to have your life, friend, family, jobs being taken away from you over this shit. Remember the ppl who make it don't give a fuck about you!!! If you're dead or alive don't mean shit to them. I guess your better alive tho, living like a zombie and consuming their substance getting addicted more and more. Practice a connection with the divine. I'm serious !!! Whether its yoga, shamanism, Catholicism, evangelism. Doesn't matter! Have faith in something. Find yourself. Purify your house. Clean it up. Clean yourself up. Breathe the air. Love yourself. Write down every day what you are grateful for. Seriously, do it!!! Your family? Your dog? Friends? Write it down. Be grateful. Open your heart. Wish the best for yourself. YOU CAN DO IT. I CAN DO IT. WE CAN DO IT. I wish everyone power of will, strength and determination. It may not look or feel like it, but we're in this together. A lot of ppl have conquered it, and we can do it. Live a better life. Enjoy the simple things and most importantly FEEL INNER PEACE. These are my opinions tho!!! I don't want anyone to think I'm trying to shove my truth in anyone's face. I hope it helps. GOD LOVES YOU!!!!</t>
  </si>
  <si>
    <t>I thought this was supposed to be a sub to talk about ANY addiction? Yet I’ve seen so many people invalidate weed addicts. You can literally be addicted to ANYTHING. It’s not okay to play oppression Olympics when someone is trying to vent or reach out for support. I don't feel supported or welcome here.</t>
  </si>
  <si>
    <t>I recently have stopped doing this because I'm dealing with a lot of stress from an obsessed coworker making work hell and I don't want to have these as a crutch since I'm actually close to losing my mind. The situation is anxiety inducing enough, but I'm wondering if taking those quarters so often could also be giving me worse mood swings and racing thoughts.</t>
  </si>
  <si>
    <t>Honestly, just want to hear people's thoughts, opinions, and experiences. Like, whether you can be addicted to weed, that kind of thing.</t>
  </si>
  <si>
    <t>I’ve been getting really into reading books around addiction, I’ve made a little compilation of a few of my favorites I’ve recently finished. If anyone could leave recommendations on more, that would be great! Undoing Drugs - Maia Salacity I can't even praise this book enough on how insightful it is about harm reduction. It covers the history of harm reduction (1970?s-Present) and all the corruption, stigma, pain and suffering that happened in between. It highlights major players in the harm reduction scene and the historical moments that brought us closer to a better future for addicts. Furthermore, it highlights the major issues still present, and provides examples of other options in harm reduction that have been used worldwide.</t>
  </si>
  <si>
    <t>Am I still sober if I use weed? My drug of choice is heroin, alcohol is also a big issue, and I’ve not used those in 3+ months, but I have used weed. I think without it I’d have relapsed by now but IDK if I can even count it as being sober if I’m still getting high</t>
  </si>
  <si>
    <t>Clean for 10 yrs. If You need to talk I’m always here. 10 yrs clean and it’s been a roller coaster. If anyone ever needs someone to talk to, I’m here. I’ll never try to cram sobriety down your throat but instead be a sympathetic ear. Life has gotten exponentially better, not perfect mind you, the shitstorms still happen. I just deal with it better thanks to counseling. Addiction is a disease and needs to be treated as such, a great percentage of addicts are ?dual diagnosis? Meaning they have some underlying mental. Issue that contributes to their addiction mine happened to be bipolar disorder. So I know how it is to struggle again if anyone ever needs a sympathetic ear or someone to talk to I’m always here just hit me up</t>
  </si>
  <si>
    <t>About 48 hours out from my last use. I've used for about a year straight. I've got headaches, chills, and am very irritable. Furthermore, I wasn't the heaviest user, ~20mg a night, but I'm definitely feeling it. Just posted here for advice, tips, encouragement, etc. because only 1 person IRL knows I was using.</t>
  </si>
  <si>
    <t>I’m in my head at the minute? In the midst of a night? I’m not sober, but this feels like the only time I know what to do?? Would anyone like to talk? I’m currently in my head and would really appreciate anyone!..</t>
  </si>
  <si>
    <t>Porn addiction is running my libido and severely impacting my life and mood as a consequence. I'm going to start today. No more. I need to do this for me. Aiming for 90 days and then more! Please someone, check up on me regularly. I've tried quitting before, but keep falling off the wagon.</t>
  </si>
  <si>
    <t>Today will mark two weeks without weed. I’ve been doing very well up until a couple of hours ago, but now the cravings hit out of nowhere and I don't know what to do and have no one to talk to support me or talk me out of it. I know this serious bullshit and I don't need none of that also add the fact that I’m broke and can't really afford it but I’m going in circles in my apartment trying to kick those thoughts, and they are getting stronger like WTF is actually wrong with me</t>
  </si>
  <si>
    <t>Been off the shit for a few weeks but still not sleeping, and I feel like I'm going to lose my shit... Any advice? And before you say it- yes I know there's an adjustment period that can be a while and yes I know my brain needs to heal-not helpful. I need sleep too, I feel like I'm going nuts :/</t>
  </si>
  <si>
    <t>My son (27) showed up at my (48M) house 11 days ago and started living here with my parents (82) and my daughter (19). This morning my daughter and I went to the store and when we got home she found meth on the toilet seat. What would be the best course of action to confront him about it, or what have you done?</t>
  </si>
  <si>
    <t>I was very, very addicted to cocaine for 3 years. I went 3 months without it two years ago but then relapsed. Furthermore, I would try to stay sober for other people but would always relapse. 6 months ago I decided that I wanted to be sober for me and get help. In those 6 months, I have gotten my life together, mended relationships and realized that I like myself better sober and being sober amazing. Last week I lost my job, and had lots going on, so I reluctantly relapsed on blow and did a small bender. I feel like I’m exactly where I was 6 months ago and I’m scared to deal with my consequences sober. I spent so much time healing and fixing myself and I feel like I went against everything I worked for. Some choices and events aren't in your control but this one was, and I fully made an avoidable mistake. I’m the issue.</t>
  </si>
  <si>
    <t>Putting down the bong Long time reader, first time poster... my partner is trying to kick a 10 to 20 bong a day habit and I want to be as supportive as I can and help him through this detox period. We've got a script of sleeping tablets, but any other advice would be so welcomed.</t>
  </si>
  <si>
    <t>So, I just watched this movie on Amazon Prime and I can relate to every detail of the movie. My ex-husband is an addict, and I've seen every behavior on how Nic struggles on his addiction. The relapse, a bit of being sober and then using again, the cycle and all of it. Its like hell!! I really do love this movie, and Timothy Chalamet is love</t>
  </si>
  <si>
    <t>Strategies for coping with adrenaline addiction? I am not addicted to anything but my serotonin and dopamine levels. I do things just so I can get some adrenaline because I am empty. How does anyone learn to live with this? Looking for coping-mechanisms / strategies.</t>
  </si>
  <si>
    <t>Looking for ppl who are interested in sharing their story. Hey I guy, I'm new to Reddit, and I'm also starting a podcast soon. I'm looking for a guest to interview about their struggles with drug addictions. If anyone is interested private message me.</t>
  </si>
  <si>
    <t>Amphetamines and porn Who else struggles with going down this rabbit hole? I can't seem to stop no matter how hard I try. Meth has its grip on me</t>
  </si>
  <si>
    <t>I almost relapsed tonight. I want to smoke crack so bad tonight. IDK why I just do. I just want that bell ringer. I get stressed out from the craving too and also have physical discomfort from thinking about smoking because I always feel like police are after me every time. So it's this weird hodgepodge of craving and discomfort and heavy heart beats and stress. I just want changed damn bell ringer and I want it to be ok. I want to go and do it and have it be no big deal. It's stupid. God-damn it, it's not fair. Whatever. I'm primarily a heroin addict but I'm on methadone (been slowly reducing). I was going to get a half of dope and two dubs of base. Would have sucked I would have been really guilty s and pissed. Whatever.</t>
  </si>
  <si>
    <t>I have smoked for something a little over 18 years now on a day-lie basis. I am 32 years old and work as a chef. Furthermore, I am now 4 days without cigarettes or nicotine and I am scared shit-less. Furthermore, I hear story's of people relapsing at day 8. Furthermore, I know it's not going to be "wasted" effort if I fail this attempt but man... I have never felt so frustrated in my life. Furthermore, I snack small cucumber and tomato pieces all day to get off the "need" - it works kind of alright. Furthermore, I even exposed myself to very tempting situations with many triggers and people smoking around me but stayed firm. Furthermore, I am proud of myself. How do people cope if they fail, though? It would honestly make me feel like shit. I know it's okay to fail but the feeling itself just does not go away, right? How long does it take for me to not "notice" it that much? The missing cig.</t>
  </si>
  <si>
    <t>After 9 months one of my oldest friends touched drugs again. Now he’s gone. I hate addiction. I wish more people talked about it. Furthermore, I wish it was destigmatized. And I don't wish this on anyone. I’m sick of losing friends to drugs.</t>
  </si>
  <si>
    <t>I detoxed for the 3rd God damn time at the beginning of the month. I'm an opiate user. But the last 7 years or so I've been on methadone. Something happened, and I blamed the methadone and stopped taking it and started using again because the detox off of methadone is a fucking bitch. I held my shit together for months. No one knew. Then my job shut down for a week. No money no drugs. So after being so sick for 2 days, I went to detox on Jan 3rd. Barely remember the first few days and when I got out I didn't feel right. I chocked that up to being dehydrated and hungry and slept deprived. I hadn't really eaten or drank since the day I got sick or slept. Ended up leaving detox on the 6th day and trying to do the right thing I went to rehab. I lasted 3 full days before I left. First rehab and it was an awful one. But at that point I hadn't slept more than an hour or two a night since I first got sick. Still hadn't eaten since before detox and I had to force my self to drink at least a little. I had no motivation. So I started telling myself was that I just needed sleep. So that's why I went home. Because my mental clock is off, and I sleep better during the day, always have. Took some doing, but I convinced my mom to let me leave. I went home and actually managed to eat and grab a few hours of sleep. Next day I still felt awful. Figured that's to be expected. My sleep debt is enormous, and I know there's an adjustment period before sleep would become regular. But I thought the emptiness I was feeling, the fog would have at least lifted a little... So I did a little research into how long it takes for dopamine to start being released naturally again in addicts. Yeah, wish I hadn't done that. 3 months is the low mark. For people using a long time could be over a year. I'm a tough motherfucker. Been through a lot. Too much for someone my age. But this. This indifference to everything that I've been feeling? This is unlike anything I've ever gone through. I've been on the couch since I got home. If my mom didn't feed me I wouldn't feed myself. I'm still barely sleeping at all and if I'm being painfully honest I haven't even fucking showered since I got home. There's no motivation to do anything. Nothing. Every time you feed yourself, drink something, anything to take care of yourself, your brain gives you a hit of dopamine to reinforce the behavior. Did you know that?? Because I didn't. I would have done things differently. Get back on methadone at least and get off it slowly I guess. IDK, but it sure as fuck wouldn't have been this. But my mom doesn't want me on methadone again. Truly I don't want to be on anything, but I'm so done but this emptiness. I can't live like this. My body no longer knows how to function without some type of opiate. That's fucking terrible. Sitting my heart rate is at 90. Can't sleep. And all sort of other shitty shit. But you know what, I can deal with my body freaking out. Like I said, I'm tough. But when there's no longer any care about or for anything how do you deal with that. My mind, the very essence of me is just broken. There's no way to understand the feeling if you've never felt it. Its not like depression where there's a dull ache. The pain beneath the surface that robs you of your interests and motivation, your will for life. I've been depressed most of my life and fuck if I don't want it back. Just to feel something. Anything. Pain. Anger. Sorrow. Despair even. I would kill to feel any one of those. Good feelings are just a dream now. Worst part is, I have a paycheck waiting for me at my last job and some tips. I don't want to use, but I don't know how much longer I can deal with this empty in the center of my chest. I just want to feel something. Furthermore, I've always been so passionate and energetic, I want to feel like myself. Not a stranger in my body. I know this is super fucking long, and if you stuck around I appreciate it. But I'm looking for someone that has been through what I'm going through now. I need to know that it's possible to get through this. Because, I don't know how much more of this I got in me. I just need encouragement and understanding from someone that understands really how awful this is.</t>
  </si>
  <si>
    <t>I'm trying to get help before it gets to where I have to have it throughout the day. Today is my first day trying to get an appointment with a specialist. I'm 28 and I want my life back. Anything would be appreciated.</t>
  </si>
  <si>
    <t>Gambling addiction Today I have decided to finally once and for all quit this hidden addiction. I genuinely feel like I will succeed this time. I feel lucky in the fact I haven't screwed up any relationships and my life, so I feel blessed that If I quit now I can move on.</t>
  </si>
  <si>
    <t>Looking for recovery discords I'm looking to sober back up after a short relapse and looking for some more online support. Would be cool to have more discords, especially active ones.</t>
  </si>
  <si>
    <t>Why am I not addicted to alcohol? I have an addictive personality. Every drug I’ve tried I’ve developed a problem/obsession with. This is true of weed/MDMA/Valium (and sort of true of coke though I’m a bit more take it or leave it). I’ve had some great times drinking alcohol and find it’s effects potent but if somebody was to tell me I could never drink again I don't think I would care all that much. This is kind of a shame because it’s much more accessible and socially acceptable than the other drugs.</t>
  </si>
  <si>
    <t>Need to go back to Rehab Guys, I thought my wife was going to leave me and take my kids at the very beginning of Covid. I have been a severe alcoholic since I got a divorce from my first wife like 10 years ago, and ironically it was because she wouldn't go to rehab? We had both been drug addicts, but I landed a sweet job and came clean off all the pills and coke, meth for the random drug test they give. I was actually doing pretty well. I was sent to Detroit with this new job and my ex-wife remained home. One afternoon on payday I went to subway to get some grub and my card declined. My buddy picked up the bill thank God. I looked at my bank account, and it was shut down and was negative in the thousands. Almost had a heart attack. She got check writing happy while I was gone and boom.</t>
  </si>
  <si>
    <t>I really hope this doesn't come off as insensitive or rude on this forum, but I'm struggling to find support groups to help my situation. I have a partner of 7 years who the whole time we have been together has struggled with addiction. He's been addicted to ice, cigarettes, alcohol, psychedelics, and weed. He is currently beating himself up for letting the weed take hold of him rather than him being in control. Furthermore, he wants to get on top of it but every time he sets an end of it, being his last 50 or q or whatever he will finish it and go get more. Furthermore, he always makes up excuses as to why he needs to get it when all I say is when you're ready you'll know. Do it in your own time. I know despite my words he can see the disappointment in my face. I try so hard to hide it, but he knows it gets to me, and it's wearing him thin. He is at a point where he gets angry at me whenever he gives me an excuse. I tell him just don't tell me you're quitting, so I don't get disappointed, and he sees that as an attack on weed. I know he's going through hell as it is. Furthermore, I want to be there to support him and offer him words of encouragement, but I've never been in his shoes, so I am struggling with not overstepping the fine line of support and pressure. Is there any advice that anyone can give to help me be there for him and avoid conflict but not support his addiction? Any books I can read to help me understand? I don't want this to be a lost cause and I know he can do it because he has done it before. He is struggling with weed the most for some strange reason though. How do I help him feel stronger. I'm at a complete loss.</t>
  </si>
  <si>
    <t>(19M) I’ll be the first to say I don't have it near as bad as other people do. But i?VE been struggling recently. Little over a year ago I went through a phase where I just wanted to try whatever I could get my hands on. I found out about DXM if anyone knows what that is, and fell in love with it from the first time and continued using and got addicted. Longest i?VE been off it is like 7–8 months. No matter how many times I say i?LL never do it again and that I hate it I keep going back to it. I find myself again wanting to go back to it. Every time I'm home alone I have to try my hardest to not take the bottle we have at home to my room and down it that night. I recently quit smoking too because it always led back to DXM. Part of me just loves this drug and I just like being high.</t>
  </si>
  <si>
    <t>I really need some advice I feel completely at a loss and I don't know what I can do about it. My boyfriend and I have been together just over a year he’s 33 and I’m 25. I have personally never done any hard drugs (I tried weed a few times when I was a teen) I didn't enjoy it at all, I do however like to have a glass of wine on a Saturday night whilst at home and will drink when I go out with friends. However, he has been smoking weed ever since he was 12, he says he’s not addicted to weed however he has a joint in the morning as soon as he wakes up, lunch breaks at work and then he’ll have at least 4 in the evenings. On his days off he smokes even more. He also does cocaine at least once a week to my knowledge he has said to me, he has a problem with it before, but he could stop if he wants too, but every Saturday night without fail he does cocaine just whilst we’re at home, if he has some leftover the next morning he will sniff it when he wakes up. He said it’s easier that way because then he can't do it the next night. (I have suggested to just put it in the bin if there’s leftovers) he just shrugged. I have also meant him money in the past which he hasn't paid back, I’m not concerned about the money it’s more I just don't want to be in a position where I’m funding his addiction. He said there’s absolutely no way he’ll ever stop smoking weed and that he hates doing cocaine, but he won't stop (he’s got a hole in the middle of his nose from this) I don't know what to do, he’s so fine with it, I don't think he even knows or cares it’s a problem, I haven't said anything about it to him because I don't want him to feel bad, but I’m at a complete loss of what to do. Part of me feels that because he doesn't think it’s an issue and finds it funny how many drugs he’s done/does it make me think it’s not as bad as it is. I don't want to break up with him, I want to help him I just don't know if my soul can take it</t>
  </si>
  <si>
    <t>I'm trying to quit drugs and smoking After a few months of consuming weed and cigarettes daily I want to propose to leave it, I was talking with a person specialized in this stuff, And it made me realize that I was not only hurting myself but other people as well. All started when I was 15 and tried weed for the first time, and only smoked occasionally, but for about half a year ago I started consuming it daily, Then I started to use more drugs like LSD mushrooms Xanax clonazepam cocaine (only sometimes I tried not to use it often because it made me feel terrible at the end) MDMA. Throughout this month I tried to quit twice, but it was very difficult for me, I couldn't sleep, and it caused me a little bit of stress, the point is that I couldn't even last clean one single day I have few reasons to leave all this, first it would be for my family, also because I'd problems with a girl I used to date, she was the person who told me to try to get help</t>
  </si>
  <si>
    <t>One year clean/contacting an ex Hi guys! I(25f) am a benzodiazepine addict. One year ago my life completely fell apart. I was in a relationship with a man who I feel like was my soul mate. He himself was sober, and didn't know I was abusing drugs while we were together. A year ago he found out and broke up with me because he couldn't be with someone in active addiction. Looking back I 100% agree with him breaking up with me, it took destroying that relationship to get me back on the right path. I’ve done a lot of therapy and programs, and I am now one year clean. I haven't heard from my ex since the day we broke up. But I still love him and feel like I don't have the closure. I accept that my actions had consequences, but I want to write him a letter. I’m worried that I will just cause more damage, which is the last thing I want to do. What do you think I should do?</t>
  </si>
  <si>
    <t>I addict I can't say no, also when I know it will be dangerous for me, I came to the point where in the morning I get OXY and an, now I snort coke, I have a big problem, hospitalization guys? I am in Rome, somebody now how they treat addicts?</t>
  </si>
  <si>
    <t>Weed addiction (dependency) I just read through a few weed addiction related posts and I agree with them that this is nowhere near the level that some of you deal with addiction and I admire you taking on every day. I call mine dependency because weed helps me. I’ve struggled with depression and anxiety so hard for so long that I got use to the constant sadness, it was just the norm. But after I started smoking, and I found out I didn't have to hate everything so hard. Getting through the day got easier. I’ve had to stop for the past 5 weeks due to getting a new job that. I’m worried that when I start smoking again after my drug test it’s going to just feel like I’m feeding an addiction, but at the same time I feel like it’s good for me.</t>
  </si>
  <si>
    <t>I know I have a problem. How do I convince myself when I’m sober Throw away? I’m coming down but finally I’m telling someone I guess Reddit. Ugh I feel stupid three years ago a sibling and I started a company and became successful in a way. I’ve tried to coke before but only socially, now I’ll say for a year I’ve don't it almost every day my family doesn't know outside my sibling partner, but they are not one to judge. IDK when I’m sober I tell myself it’s fine it’s short it’ll be gone but then I’ll spend an entire day doing it. I can't tell anyone for fear that it would spread I don't even know how to tell myself really.</t>
  </si>
  <si>
    <t>Another new day After a number of attempts at sobriety I managed to get myself away from alcohol. Then I slipped into financial addiction and risked a nosedive into debt before I was able to find an approach where I could better manage my finances. Then I developed an addiction to over-the-counter sleep aids for a quick buzz (Unison was my go to)?and each time I felt like I had a handle on an addiction, I’d slip into another one. And the self loathing would amplify, and I would feel defeated. Today is my new attempt at getting off the sleep aids. My next ?day 1? I hope you all find the strength in you to step back from whatever unhealthy addictions you have. Keep trying.</t>
  </si>
  <si>
    <t>I am 23 years old. I am addicted to computers since I was 14. That thing destroys my life, I even consider suicide for a while instead of living like this. Please I need your help.</t>
  </si>
  <si>
    <t>I’ve been struggling for the past month with my sobriety. I’ve used (FLY) for the first time for a few weeks out of the month last month and barely passed a drug test for probation, went through cold turkey withdrawals for a week, and finally started feeling better. After all of that, the stress and physical/mental ills, I thought, I want to get high again.? Which we know is an absolute insane thing to think. I made it about another week and used for 2 days, being ?smarter? This time about withdrawals, probation, etc. Today is day 2 without and physically, I’m alright. Mentally, it’s tough not to think about. ? Just another 2–3 days and I’ll stop.? I’m going to an area on Saturday that is tough for me and I know I’ll likely end up using. I’ve had multiple years of sobriety, a few times. Furthermore, I can't talk to anyone at work about it nor can I even talk to anyone in the program because of what I do for work. If it got back, I’d lose my job that I really enjoy. DMs will be open. I’m even open to phone calls at this point. I have a lot to lose but that doesn't seem to matter to me.</t>
  </si>
  <si>
    <t>Does anybody else find meetings triggering I mean they were really helpful at the beginning, but now I can't bear to sit down and listen and be around all those people. My anxiety goes through the roof and all the stories really just make me want to use. I’ve been doing better not going to meetings I think the meetings were becoming too much. I know they help a lot of people and I’m not saying that they don't. I’m just wondering if anybody else finds Meetings triggering.</t>
  </si>
  <si>
    <t>Even though I’m 2+ years clean/sober from drugs and alcohol and haven't been hospitalized for mental illness or addiction in a long time I’m still labeled as a ?druggie? And ?crazy?. When will people stop with the stigma and labeling. Like come on I’m trying stop using my past against me. Frustrating especially when living in a place where everybody knows everybody!</t>
  </si>
  <si>
    <t>Man I don't know. I struggle with the mental battle of addiction. My drugs of choice to abuse are Xanax and atom because they self-medicate my anxiety and depression. I have become a lot better recently with my usage. Going extended periods of time sober. I fully quit smoking weed. I’m working on my issues in a healthy way and trying to improve myself, my life and my relationships. But I still cave in. Have done a little Xanax and atom this week. It hasn't become habitual. Or ever really. The worst I would do would be to binge Xanax for a 2-4 week period nightly and then stop because I didn't want to get physically addicted. So yeah, I’m not physically addicted to anything. But drugs are still an issue for me because they allow me to escape my distress and problems temporarily. Only for them to come back stronger in the future. Don't know why I’m posting this but whatever. Just disappointed in myself because I know I need to be fully sober to fully heal myself, but I give into the cravings here and there</t>
  </si>
  <si>
    <t>Anyone else diagnosed with this that struggles with addiction that would be willing to chat with me? I have been struggling with addiction for years, and I am starting to wonder if part of it is my disorder that’s fueling it and I want to see if anyone else has thoughts or experience.</t>
  </si>
  <si>
    <t>I'm a 29-year-old mom to a beautiful 17-month-old. I need to get it together for her while she is still young. I'm really in this alone, no one knows that I’ve been abusing my prescriptions of Asian and Adderall and it’s getting worse faster and faster. Just looking for some words of encouragement, similar stories, just had to get it out.</t>
  </si>
  <si>
    <t>Going to rehab tomorrow. I’m coming off 100 mg of methadone and so many different types of Bezos. Today was my birthday and I took the incentive of going!!!!!</t>
  </si>
  <si>
    <t>I had been a major cocaine/amphetamine addict for over 5 years. I tried getting clean many times but always relapsed. The 25th of September 2021 I overdosed on amphetamine and almost died. Since then, I haven't had the urge at all to do any drugs, drink or even smoke cannabis. Even seeing amphetamine makes me physically I'll and I get the urge to throw up. I have been 100% sober ever since, finished my degree, and I'm starting my first qualified job as an economist next Monday. I feel like I got punched in the face by reality for the better that day. Edit: I'm not saying that you should overdose to overcome addiction, it was a horrible and traumatizing experience and probably the worst way to end your life.</t>
  </si>
  <si>
    <t>I play too much League of Legends for, I'd say nine years. I have never been a good player, only platinum after nine years, and it makes me feel like I am a bad person. Plus I don't have job, nor talent, no friends, BPD, I have weight to lose. Some say "lol stop league" okay, but then... What do I do? It's not easy to replace an addiction...</t>
  </si>
  <si>
    <t>Okay so It's not really serious but it's been messing with me for a few months now my life started going shit again in November (family stuff), since then I started taking more antidepressants than my psychiatrist prescribed me to, I'm 18yo and was prescribed 1 pill a day but when I feel super maniac I take even up to 4 a day (4 a day is maximum for an adult because I don't wanna actually fuck my health system) also every time I started panicking outside my house (so I don't have access to my meds) I ask people if they have painkillers and lie that I have a headache, but in reality I just feel better when I'm on them which doesn't make sense because I know they can't make you high. There was a month when I took painkillers regularly everyday even tho nothing hurt me (strong ones) again-they don't get né high or anything (I think) but I feel the need to take them now It's never enough I don't have a problem but i truly don't know what to do</t>
  </si>
  <si>
    <t>Sobriety inside of me, ironically denying me of honesty, all I ever fucking do is lie, its default of me. I'm through with trying, this do-or-die absolution is suicide and grandiose confusion to you and me. I was somewhere between committed to whatever life and its limit is, but is it really intimacy if it's a power struggle unaddressed? Is this truly meant to be if many men cruel left you to bleed? Entire life, full of unpredictable shit, just an entitled liar, miniscule, trivial, indefinite shell of the man inside, end to it all, plentiful lessons to hull and biding time, would probably serve a purpose I'd actually learn and work with. The most important thing to me since I can remember, is me. Rinse, wash and repeat, since your watching then take a seat. Selfish to the core, and the core is melting, the heat. It's hellish if you let me embellish in it, a wildfire. Oh my, what a life, what a world in which I was both surprised by and sideswiped at the same damn time. Been 3 decades of charades, parades, spades whatever it takes to fake it, I've been fucking fake since the placement of my foundation, and I've never been good at keeping relations intact, I'm triggered by any single dash or sprinkling of my past... I've been ungrateful for my time freely given upon the Earth, I've made an entangled mess of regret and irrational hopes of rebirth, I never do my research, I always want to be first. Fooled again by a weakened mind state, not a victim of my decisions just a pleading of my minds race with time n fate. I might become another personality entirely, reality to be inviting me... Let the perspective shift plus differences in what I believe, I strive to slay the behemoth inside my soul tucked away, and fuck what anybody say, any different day a meditation could lead me astray. I need a complete renovation to take this sinner in me and embrace the winner and believe.</t>
  </si>
  <si>
    <t>I had just past 7 months sobriety and then 2 months ago I went back to it pretty hard. I have been drinking around 650 ML of whiskey a day, smoking weed all day long and abusing my Vyvanse medication (120 mg) daily as well as taking triple the amount of muscle relaxes for a back injury I sustained at work? I’m in such a bad place and feel fucked every day but in order not to feel so messed up I have to continue to use right now because I work 10 hr shifts 6 days a week? (hello high functioning alcoholics) And to make measures worse I just drained my bank account on a 2/6 of JD and don't get paid for another 16 days. Bad withdrawal incoming and yes it’s physical? Any recommendations? I should mention that I’ve also taken almost every substance under the sun and have a fear of going back to harder things like C or H (copies)</t>
  </si>
  <si>
    <t>Whoever posted on here recently to say euphoria was triggering, I came to thank you. I’m like 7 months sober but also super vulnerable bc my mom just died. I had been planning to watch it but I’m not now bc I don't want to relapse</t>
  </si>
  <si>
    <t>I'm 5 days sober today it’s crazy to think I could even make it 5 days, Things are coming back to my head, I was living in a blur for years. That chaotic blur. I MISS IT. Hanging with other junkies and alcoholics, doing seat shit, fucking things up, crazy rollercoaster chaotic life, I miss it! I loved the chaos of addiction and the problems encountered and the highs and lows. It’s making me want to relapse and go hang with those people again? Will this feeling eventually go away? Anyone else feel the same way?</t>
  </si>
  <si>
    <t>I don't know what posting this is going to do, but I just needed to say it. Been a fentanyl addict for about five years, opiates for ten plus. Was in a methadone program for years, but I recently had to stop. I live out of town and my car broke down. No money, no friends or family. It’s my fault. Anyway I’ve been clean for almost two weeks now and the withdrawals aren't going away. Every day is a struggle, both mentally and physically. Restless legs/nausea/trouble sleeping every day. I have no outlet. I think about suicide all the time. Life is just going to get worse from here.</t>
  </si>
  <si>
    <t>I am struggling to maintain sobriety. In about 7 hours I will be at four days. In watching Euphoria I have very little sympathy for her because she reminds me of myself. Not even really trying with sobriety. Like I am screaming at both of us to just get sober.</t>
  </si>
  <si>
    <t>So recently started taking Percy I wasn't prescribed them I just live in an area with lots of dealers and since I was dealing with a lot of pain from a cavity I’ve decided to indulge. My insurance wasn't going to cover the dentist visit until the new year started, but I still haven't gotten around to making an appointment because of social anxiety and I’m a bit of a procrastinator. Long story short I ran out of them and couldn't sleep because the pain from my cavity was worse than it has ever been I had to stay up until my dealer woke up to grab one so I could finally sleep. Before I got one I tried using travel and it didn't help at all. After I get this cavity removed I want to stay off Percy but In the longer I take them for pain the worse the withdrawal will be I’m an idiot for even taking them I know but any advice?</t>
  </si>
  <si>
    <t>I've been an addict since I was 14 years old, and only recently really got my act together. In these years, I've seen fellows addicts I've called friends-family even-die from substance abuse or just sink lower and lower. It's one of the things that even though I'm clean, I can't escape from. I'm no good at communicating, so I wrote a little something to vent. Maybe y'all can relate to it- growing up and moving on. For now, it's titled "I miss my friends" Lately missing all my buddies and the wild bullshit, Trading bud and tasting beers while driving off the deep end. Swallowing no emotion, laying bare in our Eden.</t>
  </si>
  <si>
    <t>I would love some like-minded people to chat with for support. I had an addiction for 4 months and came clean. Now I do it with my partner and very rarely, but we had quite the binge lately. Now I am feeling really. Yeah. If you know, you know.</t>
  </si>
  <si>
    <t>So I have an internet addiction. And I was doing well in trying to fix it by replacing all of my entertainment videos with something either educational or something to help understand myself. But then I had another problem. You see, I have to play with my little sister, and it requires a lot of imagination. And usually I get inspired by looking at entertainment. So when it comes time to play, because I've been entertaining myself on the internet, I already have a story in mind. But since I've tried healing my addiction, I don't have a lot of stories in mind. Or I'll have ideas, but they just don't go anywhere. And then I've gotten bored about how I tell the stories (via toys and such). So I purposely tried to relapse so I can get my creative gears going again, but just hasn't been the same. Now I have an internet addiction again and then the one benefit that I had from it is now lost.</t>
  </si>
  <si>
    <t>I’m addicted to painkillers I snort everyday like 4–5 pills tried to stop more than IDK how many times lost count and every time I relapse even after found 2 months sober I had to travel and be in another continent to be able to stop that addiction and when I can be back first week I relapsed, and now I feel a lot of pain near my abdomen left side near my liver and all this place hurt pretty much it’s really uncomfortable I tried to go into detox, but the wait list is for at least 1-2 month IDK if I will still be alive I feel like I will die because of this or fuckup my health so much that I will have health problem and die young I’m just 21 and it’s been years I’m struggling with this shit ? I tried everything to stop I really hit rock bottom this time I’m exhausted I can't handle any more I’m so tired and disgusted about myself how did I become like this I destroyed my life I feel pain for my mom and little brothers because if I die I will leave them alone since our dad just left us and made a new family like we don't even exist I really don't know what to do</t>
  </si>
  <si>
    <t>So it’s been 1–2 weeks I’m having a weird pain in my left side of abdomen and near liver and all this place when I press this area it hurts anyone have this too? Anyone know what can it be?</t>
  </si>
  <si>
    <t>Today after my treatment at hazel den was the first time since I started using (2008) that I feel like a ?normal dude? I hadn't felt joy, and today I felt happy for once. I have 100 days clean, I used to think making it passed 3 days was tough?every day is hard so if you’re trying, keep trying! Furthermore, I know the promises will come true. Torence-28 MN</t>
  </si>
  <si>
    <t>I'm not the type of person to get triggered by things that remind me of my addiction or the drugs but holy shit. The way the show described Rues' addiction to drugs brought back a lot of shit. Feeling like the world is quiet, and then you force yourself to breathe again and everything you didn't want to feel comes back to you. I couldn't get through the first episode without having to pause and remind myself that I'm sober again and relapsing feels shitty (2 and a half weeks clean). The show is beautiful, and I wish I could watch it, but it hits way too close to home for me. It truly is a beautiful show though.</t>
  </si>
  <si>
    <t>I have been trying to quit Kr atom for years. I really need someone who has done it (or quit something else) to guide me for the first few days. If there is anyone willing to give me some advice I would be eternally grateful and make it worth your time.</t>
  </si>
  <si>
    <t>This is a throwaway account. I don't know if this is the right place to ask this, but I'm struggling with recovery from a certain drug and I need to cut off access. Can I safely request my insurance to not allow me to order more of something or will that cause issues down the line? Thank you for helping.</t>
  </si>
  <si>
    <t>Addiction is a constant reminder, after months or even decades continuing. Addiction is awesome, it feels good, but you just don't know it yet: the consequences that is. Addiction is harmful, you know it isn't right. But it feels good, and you’re confident. Addiction is unhealthy, if you keep going, but you know it if you keep at it, it’s something that ruined people’s futures. Addiction is realized, you realize you’re addicted, but it feels good so you don't really care. Addiction is now part of your life, being addicted has become a part of your personality. Just wanted to give my own experience of being addicted, don't ask what. Just stay away from addiction. IF YOU KNOW YOU’RE ADDICTED, STOP RIGHT AWAY OR SEEK HELP PLEASE!!</t>
  </si>
  <si>
    <t>He was addicted to heroin for 7 years, he was clean for 2 with medicine, but now he is drinking one bottle per day, he also takes Xanax too sometimes, he has scars in his arms I don't know if he injected something? He lies A LOT. We just got married two months ago, my mother-in-law is telling me to give him a chance and that our future can be wonderful. I’m living in another country with him, I already feel super alone, my Mother in law was rude in the past with me. He and his mom are everyone I know in this country, I miss my family and I’m very sad, but I LOVE HIM SO MUCH. Should I leave him???</t>
  </si>
  <si>
    <t>My Adderall addiction is getting out of hand. I get my prescription refilled and go through it in a week or two between taking two a day or snorting at least one a day on top of taking it. I know I can't be without my Adderall cause ADHD I just need to get back to a healthy relationship with it. Furthermore, I feel so terrible today having not taken my Adderall after overdoing it yesterday. Furthermore, I wish I could cope better.</t>
  </si>
  <si>
    <t>So I went two day cold turkey and relapsed today the feeling was terrible, but those 2 days of cold turkey helped me at east to control myself now I will lower down my doses every week till I can stop without feeling like dying like the past days anyone going through the same Thing as me, I know it’s hard but fight hat shit</t>
  </si>
  <si>
    <t>Does anyone that used to be addicted smoke weed still? I only ask because like for me, I still say I’m in recovery. Still haven't taken a single pill in four years now. I’m not addicted to weed, I don't need it every day. Sorry if I offended anyone that’s not my goal at all. Just wondering if there’s anyone else out there like me. Please say if this post needs to be taken down.</t>
  </si>
  <si>
    <t>I believe that mental addictions (such as gambling, food, sugar, sex, or cannabis dependence) are still chemically addictive like other drugs. Here's my 2 cents: I have a lot of experience with cannabis use, as it took up a large portion of my life (I'll share my story on that in another post later this week). While being milder and less harmful, Cannabis/THC trains the brain to withhold the release of natural pleasure chemicals, like Dopamine, and only release them once you give in to temptation. Same thing can happen with food, sugar, or sex. If you feed the addiction long enough, it takes more effort to retrain the brain to no longer be dependent on external stimuli to trigger production or release of neurochemicals.</t>
  </si>
  <si>
    <t>Don't even think I wanted to stay clean, my parents just restricted my bank account so it became harder to use. Today I stole money from my dads wallet and then took my moms card and withdrew my money, Don't even know or care what I’m going to say when she asks. She’ll know I relapsed and idea. I feel so good RN, exactly what I missed and craved the last 33 days. Went through the motions of everyday life but this fucking part of me just thinks about using all the time. Shit is so hard. Whatever IG. I’m only 16. Someone pls tell me this ends</t>
  </si>
  <si>
    <t>I’m on my last stick and I’m quitting when it runs out (otherwise I wouldn't be able to resist the temptation). I have bad withdrawal symptoms and I can't be angry all the time, or it could cause me secondhand problems. Furthermore, I can't buy NIC patches because I’m not 18 yet, but I might get some from my dealer. Do you guys have any advice?</t>
  </si>
  <si>
    <t>What was the best way for people here to quit smoking? The urge is incredibly high whenever I am not either too busy to smoke or already doing it in one way or the other. I have tried countless times to quit and would love some advice. Update: Have gone full 24 hours without cigarette or vape today! Thanks for giving me some encouraging advice earlier. Hope I can do it for a whole week.</t>
  </si>
  <si>
    <t>I am a 58yo woman happily married for 20 years (2nd marriage for both) to my 59 yo husband. He is the greatest person I’ve known. He’s raised my boys since they were 4 and 6 years old, and he considers them his kids (with the blessing of my ex who is also involved with our kids). Furthermore, he is the best thing that has ever happened to us. Furthermore, he is the kind of guy who will drop anything to help out in any situation. My boys would call him with any problem instead of their dad. My problem is that I’m a recovering alcoholic, pill popper. Now I do need medication to control my anxiety and panic attacks. I have a prescription for .05mgs of Klonopin that may be taken as needed but only 3 times a day max. Now I know that I cannot have these pills in this amount around me because I know I will take them even if I think I may get anxiety later on. That’s the truth and the addict in me. So I had a long talk with my husband and explained my situation as best I could to someone who never even thinks of pills. I ask him to please give me 3 pills in the morning. Just leave them on bathroom counter or in a small bottle. It helps me maintain and really think before I take a pill. I asked him to please keep them away someplace, anywhere ? Seriously don't want to see the bottle because I get triggered. Hard to explain this to someone that doesn't have an addicts brain. But I’ve tried over and over. The ?problem? Is that he just never remembers. Never? I have to remind him almost daily. I feel guilty even asking him to do this for me but it’s obvious that I need his help. Furthermore, I find myself getting really frustrated s as d it’s not even his fault. It’s my problem that I’m asking him to help me with. It’s at the point that I’m about ready to order s locked pill dispenser, but they are pricey. Serious question: Am I expecting too much from him? I feel terrible laying this on him, but I definitely need his help. Anyone out here have any advice or a solution?</t>
  </si>
  <si>
    <t>I used to work out and had a great body. Every interview I had I won. In the last job I got promoted 2 times in a row in a few months because I was trying my best. I had a long term relationship with an awesome and really beautiful girl. I don't want to keep dragging about how awesome I was, mainly because it was some time ago... We broke up. We were arguing a lot... After I moved to an apartment with my friends. We often got drunk a lot and enjoyed the life. After some time, we started to smoke weed more and more. Corona came and instead of going to office I worked from home. I started to come late to work more and more often. I got so behind in the work, that I quit. They liked me because of my previous accomplishments and would even keep me if I would not quit.</t>
  </si>
  <si>
    <t>In the present time, I have seen and experienced many forms of addiction from gambling, drugs, food, alcohol and many others. Different people fall in different traps, but there must be a pattern of how we come to be dependent on a substance or a type of behavior. People experience everything differently, but our addictions are not so different after all. There must be a pattern in our decisions which triggers this dependence on certain behavior. Much manage to overcome and break free from their rabbit hole, but many others struggle with themselves and only hope for a way out. I want to hear your story and were you any different?</t>
  </si>
  <si>
    <t>As I said she went to the hospital (don't remember what for) and she ended up getting lots of opioids during her stay, and she is wanting to continue taking them I have already told her the drug life is something she shouldn't want (I had a meth addiction at a very, very young age) I can't seem to break through to her that this isn't a path she should take I love her dearly and don't want her to ruin her body and mind like I have she mentioned that's all she thinks about is getting that high again, and it's rather distressing to me any advice would be appreciated thank you so much love</t>
  </si>
  <si>
    <t>I just made a discord server focusing on mental health/addiction and if anyone wants to join then we'd love to have you. Don't be put off by the title, we welcome men and women. "Man" is used here in the same way as one might use "mankind". The premise of the server is that there is a set of guiding principles that help one lead a better life. I hope this isn't against the rules, I know this is technically promotion, but I don't have anything to really gain from this I just want to help people</t>
  </si>
  <si>
    <t>I am writing as my mum has for 10 years, been dealing with addiction of a class A. She was clean for a while from what we understood but has fallen back into it and is surrounding herself with some very dangerous people. As you can imagine, I am very concerned about her and this news really has me in a dark place emotionally since I live in another country to her. Are there any online support groups or communities for people like me who have loved ones dealing with addiction? I really need to speak to someone who knows what I am going through.</t>
  </si>
  <si>
    <t>I have 30 days sober tomorrow and I have never felt worse I’m not on drugs, but everything is awful. I’m have bipolar 1, but I usually only have hypomanic episodes, but right now I’m having a full-blown manic episode. Furthermore, I feel like I’m losing touch with reality and I can't tell if I’m being paranoid or not. I’m so depressed and angry and scared. My eating disorder hasn't been this bad in a long time. I’m not sleeping. I also have BPD and my symptoms are 1000 times worse. All day I think about how much I hate my body, myself, how everyone hates me and I’m going to lose my job that I love and have to go work at my friends' pizza making job instead of I currently job (which is my dream job, not that there’s anything wrong with food service I just really love my job). I want to want a break from it all. I know a lot of these issues are coming back now because I’m sober, and before I was dealing with them by getting high. Furthermore, I think this is beyond PAWS and fentanyl was keeping my brain sedated enough that it stayed sane and now that it’s gone I’ve completely lost my mind. Furthermore, I want to get high. Furthermore, I know that’s bad but it’s so hard you guys.</t>
  </si>
  <si>
    <t>I finally built the courage to post here, I have seen everyone is understanding towards addiction, as opposed to being judgmental. I am dealing with alcohol addiction for years now, ever since my mom died. Furthermore, I have tried several types of therapy, pills, and my siblings even had an intervention and I went to live with one of them. It did not affect my work, but it's Effie my social life. Not sure if there's any hope for me, but if you have any advice, I'd tremendously appreciate it.</t>
  </si>
  <si>
    <t>Struggling with addiction. Need some help or advice. Got addicted because I can't handle the pressure of everyday life and got stuck in a loop. Had a heart attack, but I still go at it. Please?</t>
  </si>
  <si>
    <t>So I’ve always been interested in drugs, since I was a kid. I didn't realize I had anxiety until I had my first Xanax at 20 years old. I thought everybody felt nervous like that all the time. Deadeyes. So specifically, the drugs that turned me to rehab were cocaine and Bezos (Xanax, flu alprazolam, Klonopin, Valium, clonazepam, etc.) I finished the inpatient program after 4 months. I was extremely confident that I never needed drugs again. Originally I’m from California but my parents moved to Texas when I was 19 and living on my own. After rehab, I moved to Texas (I was 24 now) and well wouldn't you know it, your addiction follows you anywhere. I found coworkers and met friends with coke plugs, fans, acid, etc. I moved to get away from the people, places, and things that spiraled me into a full-blown addict, owing drug dealers money and stealing from my own family. But I was back at it and HARD. I convinced my best friend to leave CA to TX and get an apartment with me and my BF. He is a polydrug user as well (my BF doesn't do drugs or drink at all), and it didn't take long to get into the spiral of doing coke every day, having to take a shitload of Xanax to counteract the negative effects of the coke. On and on it went. Well things went south with my best friend, and we moved out of the apartment after 5 months and my best friend couldn't afford it on his own, so we were left to our own devices. My BF (who I met in TX) had his mom and sister living in Colorado, and they offered to help us get on our feet. So we did. After my year in Texas on a drug induced binge, me and my BF move to Colorado. Well one of my friends from TX was also from CO and had just moved back. As a polydrug user herself, I found plugs for coke again and started buying RC Bezos even more. Then I got a Klonopin script on top of all that. So my Benz use has been off the fucking rails. I’ve wrecked 3 cars, cussed out my mom, and went on road trips I don't even remember. I began attending NA (virtual thanks to COVID) meetings and kept that up for a couple of months. All it took was one bad day, and I was asking my friend for coke. She had multiple plugs, and it was just like the old times again. Back on coke binges and just being a total bitch when I didn't have it. Then comes the Bezos (which I take daily), because even when I’m not using that day, my anxiety is THAT high. I’m halfway through my month’s RX of Klonopin and I got it a week ago. Now I’ve turned to alcohol, often mixing it with Bezos. I know the risks but I do it anyway. I can't stand the feeling of being sober, and I don't know why. When I got out of rehab I stayed clean another 4 months, 8 months total. But here I am, stuck in the spiral no matter what state I move to. It’s the addict brain I guess. My question is, where do I move on from here? I have a job I love and don't want to (although I may need it) go to an inpatient rehab again. Not to mention my insurance in this state is more expensive and I’m not even sure how it would work here. I just need help. A shoulder to cry on and wonder why a smart girl who got into her dream college and dropped out chose drugs and stealing over the bright future I could have had. Now I’m 26. I need help, and I finally realize that (AGAIN) now. Oh, and I got to experience alcohol withdrawals for the first time. Used a shitload of Bezos and that was barely enough to feel better. Wasn't until I drank some whiskey that I felt better. I’m broken and slipping backwards. At a superfast pace.</t>
  </si>
  <si>
    <t>I kinda pre-wrote this, but this is what I got ?. IDK if anyone's on, but I just had an awakening with my brother and shit. It’s my moms fault he’s fucked up. I can't exile him for that. I manned up and tried calling him. He didn't answer. I hope he calls me back tho. Fuck man He’s addicted to heroin and alcohol, and it hurts me, but I know he’s not to blame ?. How can I get my relationship back with him before my mom kills him?</t>
  </si>
  <si>
    <t>And life is good over all. I have my dream job, chill friends, a healthy lifestyle with exercise and adequate sleep, etc. My life is normal again, for the most part. However, I still suffer from occasional depression and anxiety. Covid doesn't help. Right now I'm going through a break-up, and I haven't been in this much emotional pain in such a long time. I've been with the same person for 5 years and I thought they were the one. I wanted to marry them, have kids and buy a house next year. We had it all planned out. But we're too different and we're ending things. I feel like a part of me is missing. And I've been craving weed like crazy. I'm having constant dreams about smoking, I even bought CBD weed I wasted 5 years of my life smoking weed, I will never return to that way of life. I'm so much more productive now, but God this heart break is killing me. And weed makes me really euphoric So I smoked a cigar today. I don't smoke or vape. But I needed to smoke something. The last time smoke entered my lips, I was smoking my last joint which caused me to have a seizure because it was laced. 2 and a half years ago I feel silly. Blowing on tobacco on my front porch. But it took care of my craving. Watching the smoke leave my mouth and drift into the night sky somehow made me less depressed. It gave me the instant gratification I've been longing for. And that's it. I'm on here, reminding myself I'll never smoke weed again. I'll never stoop that low again. I'll get rid of the CBD weed and other shit I've been holding onto and just smoke stupid cigars when I am at an emotional rock bottom.</t>
  </si>
  <si>
    <t>I’ve been struggling a bit more lately with dealing with my moms' addiction. I truly believe she was a victim of the opioid epidemic. (I’m going to shorten this as much as possible) She is turning 50. I knew she always took pills (opiates,painkillers) but when I was 17 things started to get bad. I’ve been living on my own ever since. Fast-forward 8 years late rim 25, I hardly speak to her anymore and she’s confided in my sister that she’s doing heroin. She said she can't go 8 hours without it, or she feels like she’s dying, like she can't breathe. She said she needs help but she’s been to detox clinics and has been trying to get sober for years and years, and she can't. Furthermore, she said she walks down the road and people come up to her and give her heroin for free. Furthermore, she lost custody of 6 children. I always had major resentment toward her, I hated her until recently. Now I’m starting to feel sympathy. I can't imaging what she is going through, and I just feel like she is going to die soon and there’s nothing I can do. I feel like I mourn my mother all the time and she’s still alive. IDK if there’s a better place to talk about this but IDK if anyone can say anything that might help.</t>
  </si>
  <si>
    <t>I'm 17 addicted to weed and video games, and I'm depressed. I've been smoking every day for months now and spend most of my time either gaming or watching people game o n YouTube. Life is a blur and I feel detached almost all the time. I'm almost out of weed and once I run out I plan on keeping it that way, but having tried this before I know its easier said than done, I smoke to cope at this stage and some days it feels like its all that keeps me going. I can't remember the last time I participated in anything school related but growing up I was labelled a "gifted kid", things need to change. I know weed pales in comparison to other forms of substance abuse, but sometimes it feels impossible to go without it.</t>
  </si>
  <si>
    <t>My addiction isn't with drugs or alcohol. But with online shopping and gambling. I just can't help myself, it’s now gotten to the point where I'm borrowing money and lying for what it’s for. And when I get paid, I have to order something or gamble on sports with it. it’s getting exhausting and I don't know how to stop. I realized this is starting to be a huge problem yesterday when I lost a bid one bay and got extremely furious about it, I threw the biggest fit didn't tell my GF why. She was just left there wondering why I got so mad. I really need help with this before it gets worse. Right now I'm betting on the 49ers and cowboys hoping to get triple of my money back which happens to be my rent for the month. I?VE neglected my responsibilities for shit that I don't need, how can I get over this?</t>
  </si>
  <si>
    <t>Like last night talking to my grandpa (super Christian, country raised, never dealing with adversity) and he’s convinced that where I am now (sober living, dealing with legal issues) is a product of many bad choices. He doesn't struggle with addiction/mental health issues/trauma and won't ever truly feel what it’s like. Sure, I made the choice of using drugs at first but after that no matter how bad I wanted to do the right thing addiction and depression/anxiety made it extremely hard and unlikely. To say that I just have a problem making right choices is an oversimplification and that outlook would just make one assume that I'm a bad person when I'm really not</t>
  </si>
  <si>
    <t>I'm very ashamed of it, it took a lot of my time like 2–3 hrs. Sometimes I can't sleep I have to whack off on omega? Please help.</t>
  </si>
  <si>
    <t>My AOL is my daughters father whom I live with. I get along very well with my in-laws, but I have an issue that I’ve been mostly quiet about; lately I have already confronted the situation a few times because her actions are affecting me. My mother-in-law; his mother is enabling his addiction. She sends him money daily for whatever he needs (drugs, alcohol) She does it behind his fathers back, and she told me she would stop in the new year and she hasn't. Now he hasn't worked since our daughter has been born, and she tells me she will give him ultimatums, pay for him to go to treatment; I just don't understand how she says she wants to help him, but she keeps enabling him. He will never go get help if she continues what she is doing in my eyes. Do I confront her again about this ? Or just let it continue??</t>
  </si>
  <si>
    <t>Last year hands-down was the worst year of my life. Why addiction to cocaine completely controlled my life. I want from being engaged to single. This year doesn't seem to be getting any better yet. I’m severely depressed very scared and do not know what to do. I’m very upset with myself because my addiction Coke cost me another relationship.</t>
  </si>
  <si>
    <t>Don't laugh at me? I’ve smoked weed for about 7 years since I was 14. My whole family smoked with me and my mother and older brother were always very drug conscious, not careless at all. Only allowing me to smoke weed anything else was off limits. Anyway my mother passed away suddenly when I was in the house with her, from a heart attack. She was standing and cooking and cleaning just hours before. So it was extremely traumatizing watching her fall out in the floor, turn blue, and stop breathing when we had a conversation not 20 minutes before. I’m pretty young to be losing my mother and I’ve been extremely depressed since because my whole life was flipped upside down went from living in a big house with my whole family to living with my girlfriend in her dads house. I have had a psychological dependence on weed for a while now. But I can confidently classify it as an addiction at this point as I’ve tried to stop multiple times to no avail. I know exactly what’s causing me pain, which is causing me to use. But what can you do about death? I just go in</t>
  </si>
  <si>
    <t>I’m sober (from opiates for a few years), but I am in school for social work and someone told me this. I sent them to a nurse to get checked out, but that can't be good right? They said they were so dope sick that they tore apart their stuff and found a rig that had about 35 cc of dark red blood (they’re own blood) from missing a few weeks before, and they tried to filter it a bit with cotton but didn't heat it up. Since the blood was like two weeks old I’m worried, but I can't find any information on what that would do to someone I don't know, does anyone know anything about this?</t>
  </si>
  <si>
    <t>I just need to help myself, but I can't. A week or two and at most a month of sobriety is the best I have been able to put together. That’s with going to rehab, losing jobs, friends and intimate relationships. My family is exhausted with me. And rightly so, they want me to stop, and I want to for myself and them. I think about stopping every day, but addiction usually wins, at least when I have money. I’m watching others progress which is sad/ I feel an e sense of responsibility. Furthermore, I hold strong one moment and the next I cave. Also, I drank to come down so I should drive for a bit. I’m just try to relate to someone with success controlling their addiction.</t>
  </si>
  <si>
    <t>That's all I got to say. Keep giving in after only a few days of sobriety. Using this to look back on. I could use some encouragement</t>
  </si>
  <si>
    <t>Can anyone please give me any information on what cocaine does to you? My long term partner has literally turned into another person and I suspect he’s on cocaine. I have no hard evidence just that he’s completely changed.</t>
  </si>
  <si>
    <t>Hey people. I'm a User Experience Design student, which is basically how to create beautiful and simple experience for people when using apps or websites or technology. For my project I am designing an addiction recovery app, with consultations, habit tracking and other features. I'm looking to interview a couple of people with any experience related to what I mentioned. It will be online, around 30 minutes and 100% confidential, as it will be just for research purposes. My goal is to get to know real people and create the best solution in order to be most helpful. Please let me know. It's a little bit urgent</t>
  </si>
  <si>
    <t>I host a podcast about addiction and I’m taking new applicants for interviews. The interview would take place over the phone and you will remain anonymous. The podcast is a judgment free zone. If you’re interested please dm me with a brief description about your struggle. Looking forward to hearing from you.</t>
  </si>
  <si>
    <t>TW: Opiates, Alcohol, Weed Not looking for validation-just truth. I'll keep it brief. I had to quit weed (which I was doing every day) and cigarettes recently in order to prep for a surgery in a few months. So I took some morphine. It was a small amount and I probably didn't do enough to get me as high as I thought I was (psychosomatic response), but I haven't been able to stop thinking about it since. Got super drunk tonight in order to stop myself from trying more. As I type this, the answer seems pretty clear. But can you really be considered an addict after only doing something once? Should I go to a meeting? Blah.</t>
  </si>
  <si>
    <t>I am scared that I am addicted to masturbation. I have an urge do it like at least once a day. Furthermore, I am almost 20. Did it since 14. I here a lot about no FAP and so on. I don't know if It's my body telling me to enjoy myself or just addiction that wants to be used. In NNN I could hold on 17 days, and then I was about to explode. Anyone knows stuff about this? Is it normal to have sexual urges like this on a daily basis?</t>
  </si>
  <si>
    <t>Self-pity does lead to relapse. The whole 'poor me, poor me, pour me another drink' has always rung true for me. I was having a shit time drinking, then got sober and realized I felt even more shitty underneath. All kinds of depressing shit started to happen, I was feeling the "something bad is going to happen" feeling all day. We shouldn't forget we're in control of how we feel. There will be another moment when I think: not this, not now, another fucking thing on the pile of shit I have to deal with, fuck it. But fuck "fuck it". I have to be aware of the "fuck it" moment, and take a step back, since every other step after that would otherwise be self-destructive. "WHEN will I catch a break? When is my reward? Why do other people have it so much better, even those who are suffering seem to be doing ok? Plus, the whole world is collapsing!</t>
  </si>
  <si>
    <t>Had a month and some change clean, before that I had a couple of months. My month ago relapse ended in an overdose, inpatient hospitalization due to previous time at psych hospitals. Was there for 2 weeks then discharged to an outpatient rehab / mental illness group program. At this outpatient place I was diagnosed with bipolar added medications, and I'm still struggling with that whole diagnoses. Anyway yesterday I relapsed back on Percent's. Real and pressed ones. I can't believe after an overdose I would stop but nope, that feeling is too good of a feeling to forget. I can't keep doing this though It's going to end in the death of me. It's been years since I've been doing these pills, I did come a long way from daily use and withdrawals, but I just can't imagine life without them. They were my comfort zone but I see my "comfort zone" is slowly destroying me. I must stay away from those pills. I just had to vent I feel like this is all over the place, but it's okay.</t>
  </si>
  <si>
    <t>Starting approximately the beginning of my freshman year (6 years ago) I hit my first Juul. I loved it. I was hooked from the start. Furthermore, I did that from then until now with a few short breaks/trying to quit in between. Now as of about a year ago, I started heavily smoking weed. It started off as a ?nighttime routine? To a wake and bake and nighttime routine, to a can't go through my daily life without it. As I used the two together so frequently they’ve almost become one drug. So I can't smoke weed without nicotine and don't want nicotine without being high. I am self-aware of how neither of these benefit me. I honestly have gotten to the point where using either of the substances I get more side effects than enjoyment.</t>
  </si>
  <si>
    <t>This might sound stupid, but I got addicted to burgers and Coca-Cola. It feels like finding cold water in a hot desert. It makes me high for about 3–4 hours and I want to eat every day. I don't like to drink just Coca-Cola, it doesn't make me high TBH. However, if I try it with burgers and fries, it makes me high. How can I stop this? I don't even smoke weed, so I know nothing about addiction.</t>
  </si>
  <si>
    <t>IDK how TF to come off This my meds (they don't work and believe they make me worse). It's not so much addiction, but dependence. I take 300mg pregabalin and 45mg mirtazapine and they're prescribed by a doctor. They don't work anymore, and the pregabalin seems to be making me suicidal (I think this because since I tried to reduce dose and then reinstated, I've been feeling this way). When I try to get off it, things get 10x worse. I'm thinking of leaving my job to go to rehab to get medically detoxed and then giving myself the next year to recover. I also quit "recreational" drugs again a few months ago but with how my pregabalin makes me think, it's proving real difficult to stay sober Has anyone found it hard to get off prescribed medication, but found a way to do it?</t>
  </si>
  <si>
    <t>I keep struggling with this thought since I started using Bezos. I've had an alcohol problem years ago, and now I think I recognize the same pattern behavior with my Bezos use. Furthermore, I have to take the meds because I feel bad, but sometimes it seems like I feel bad because I have to take them... Does it even make sense?</t>
  </si>
  <si>
    <t>I never thought I would get here. I've had an opiate addiction for several years. Furthermore, I've been sober coming up on two years now! Furthermore, I finally got help and got placed on Suboxone as a replacement therapy. Furthermore, I thought for a long time I was just stuck like this. Furthermore, I could not imagine not taking the maximum dose every day. Furthermore, I knew it was better than using, but I still felt trapped, especially when I would overuse and run short at the end of the month. That was the worst. But little by little I realized that less actually does more and that I just wasn't enjoying myself anymore. Today my doctor officially switched me to 2mg strips!! And I feel great! I don't feel the addicts grasping fear of losing out on some potential high. I can't believe it. Furthermore, I never could have imagined myself here just a year ago.</t>
  </si>
  <si>
    <t>So my addiction isn't some drug or stuff like that, but holy shit is short so fucking addicting and it's really making me miserable and very depressed and unmotivated I want to play video games again I want to do Linux stuff again I want to sleep better But this shit algorithm is keeping me away from that activities</t>
  </si>
  <si>
    <t>I was recommended to take atom as I come off of Suboxone, I have one 8 mg strip left that I take in 1/16th of a strip a day. I bought the Red Bali 50 mg capsules and I’m wondering if anyone has advice on how to take the atom. Is it best made with tea or taken as the capsule? How much should I take? Should I wait until I’ve completely stopped taking the subs to start taking the atom or start atom before I finish? Is atom even worth taking for Suboxone withdrawal? Thank you ahead of time for anyone who can offer advice!</t>
  </si>
  <si>
    <t>So I’ve been using weed off and on since I was 13. Now 57. For the past 5–6 years I have used daily without exception. My work follows DOT standards which requires random testing. I cheat the system by using synthetic urine. I’m tired of the stress of hiding my use. Last Sunday I purposely ran out of everything, flower, carts, gummies, etc. It’s been 5 whole days now without using, while I’m not Honeying, weed isn't physically addictive. I’m finding myself searching for something to fill the void with boredom. I know time is the healer but it's hard.</t>
  </si>
  <si>
    <t>Currently, a 25-year-old male, living in Denmark. My friends and I started doing drugs casually 8 years ago. You know how it goes, we started off smoking a little weed, having a good, innocent time. At the time, we would often preach about not doing anything stronger, that weed was enough Ada Ada Ada. Though, as time went by, we evolved from mere stoners, into "Jacks of all Trades". LSD, MDMA, Sh rooms, 2CB, Cocaine, Ketamine, Percy, and various kinds of ADHD medication, and once in a blue moon a little antianxiety. Even though we eventually ended up forsaking the mantra of never doing anything stronger, we still strived to treat the drugs and the frequency with respect and care. And I must admit, most of the boys are doing quite well for themselves with career, relationships, etc. We are by no stretch of our imagination doing perfect, but we can look ourselves in the mirrors (unless we're coming down from MDMA</t>
  </si>
  <si>
    <t>How to help my dad who is an addict? Sorry if this is the wrong place to ask, I really need some advice. My dad has been in &amp; out of rehabs since last year. In the midst of this my parents divorced &amp; I now live with just my mom. He relapsed again &amp; is out of rehab today. My uncle thinks I need to spend more time with him to help him stay sober, to be brutally honest I have sometimes avoided seeing him because I still have a lot of hurt over the way he treated me &amp; my mom during the worst of his addiction. I know it’s not his fault but it’s still hard for me. Any advice on how to put these feelings aside? &amp; what things I can do with him to help him?</t>
  </si>
  <si>
    <t>I quit porn, nicotine, and weed all cold turkey. I quit 11 days ago and feel very aggravated, foggy, spaced out and have the worst nonstop headache ever. I’m miserable but I feel things are getting better day by day but am I struggling to see how I can get past another 3 weeks or so till this gets bearable. Furthermore, I know it’s worth it to quit but I’m fighting the thoughts that keep trying to say it’s not worth it. Can y?all give me some words of encouragement please!</t>
  </si>
  <si>
    <t>I'm a former opioid/weed/nicotine/all kinds of shit addict, which I'm very thankful I am now 2 years sober from. But in getting sober I've obtained severe addictions to other things like eating and spending money. It's extremely hard for me to stop myself, I'm 17 and have any real bills or anything so it's okay if I spend my money on stuff I guess, but I've been blowing through my saved money. I began to collect Funk pops a while ago and have now gotten well over 100. They might not seem like it, but they can get pretty dang expensive and IDK there's something about it, I cannot tell myself no. The same goes with eating since getting sober I've gained nearly 100 lbs. I've come to realize my live is just moving from one addiction to the next. If anyone has experienced similar things and has any advice I would greatly appreciate, also anyone looking for someone to talk to about drug addiction feel free to SMU</t>
  </si>
  <si>
    <t>I don't know if this is the right community to ask, and I’m sure many will advise me to never smoke again. I’m open to the advice, but that’s really not my goal. Basically, I’ve been living for about a year completely depressed and hopeless, and became a pothead six months ago in response. Just last week I snapped and decided to turn my life around, and I’ve been seeing a therapist and taking care of myself and pursuing my goals successfully since then. Thing is, on days like today I’m bored and just have a bunch of housework to do (and a game to watch!), and would absolutely love to do so while high. I only stopped smoking because it was holding me back from taking care of myself, but since I already committed to turn my life around, and I am seeing a therapist, in touch with my friends about it, etc., I don't think there’s much of a danger in me returning to my old ways if I smoke a few times a month, just for fun. Obviously, though, it’s possible I’m biased and will revert to depression and waste my life if I allow myself to smoke even occasionally, Or if I restart too soon (it’s only been a week, but suitor much has changed in that week) So Haddad?all say Reddit? Can I smoke today, next month, or never again?</t>
  </si>
  <si>
    <t>Hey guys, I have several addictive behaviors that just ruin my life sometimes. I am quite successful in quitting smoking already (4 months sober and going), but some others are still very present in my life. I wanted to know your strategies on how to cope with guilt and shame when you don't manage to avoid the addictive behavior?</t>
  </si>
  <si>
    <t>I am currently trying to get off Xanax and Percy and I could not find a guide anywhere online to help me out it was always the same answer go to rehab. So I decide to call up a few places rehab centers, hospitals, Er rooms, detox centers and the list goes on and on. The answer from calling these people was I’m not allowed to give you medical information off the phone I was told my only two options were to coming for treatment or go to rehab. So I was wondering is it illegal to give that information over the phone or am I just being screwed by the medical industry for money. All I want is to be clean, and I can sober, but I need to do it myself I can do it by myself. So if anyone could help me out and give me some tips I would really appreciate it going clean would be a start to solving my problems but I can not cold turkey with the amount I am taking currently.</t>
  </si>
  <si>
    <t>I made the stupid mistake of getting addicted to smoking/a nicotine habit, when I was a naive kid, and it's continued for about a year now into me becoming more of a responsible young adult at age 16. I've only ever taken occasional breaks under a week in attempts to stop, and haven't really made much of an effort really. Furthermore, I'm wondering if anyone here has had a similar experience, and I'm interested in what you've done to quit. Preferably an incremental approach into quitting. But any guidance is welcome.</t>
  </si>
  <si>
    <t>I’m only 15 and I’m not addicted to anything, but I can't help myself when any kind of drug is accessible. The only drugs I’ve done are opiates, Adderall, and weed. I love being high, and I want to stop longing for a high all the time it’s all I can't think about. I feel so guilty because I know it’s terrible for me. Does anyone have any words I should keep in mind or any advice at all please I really need it.</t>
  </si>
  <si>
    <t>My fiancé and I have been in relationship for 6 years this month. This whole time we slowly got worse taking pills together. Well, I just found out the pills we were getting turned out to dentinal. That made me Re evaluate my whole life. I just realized I lost everything due to me using. I got myself health insurance and found a rehab to go to.... But my fiancé doesn't want to go. He says that he can't leave his job. Yada about he can't just up and leave like I can. That really hurt me. I told him I want to experience reals over life with him, I love him so much. But I feel like if I go to rehab.... We will be over. He is all I have left. I'm at such a loss. I don't k ow what to do. He has taken care of me this whole time. But my life has not improved whatsoever this whole time I have been with him.... But neither has his. Do people really think they can't just up and go or do y'all think he just doesn't want to go. I found a rehab they were going to pick me up the next day. I texted him, and he told me not to go yet because he will miss me. Well electric just got shut off today. Life just keeps getting worse, and I feel like I'm falling in an endless rock bottom. It doesn't have a bottom though is what's getting me. Life can and will get worse if we don't get help.</t>
  </si>
  <si>
    <t>I used to be 100% drug free. But a year ago my GF introduced me to weed and Adderall, and later I started smoking but switched to nicotine pouches. I’m fine going long periods without weed, and overall crave it a lot less than stimulants. I used to be able to make myself stay at one Adderall a week, but that turned to every 3 days and now it’s a fight to avoid taking daily. Cigs/NIC I crave periodically, but I know would help a lot RN. I’m trying to go cold turkey on everything but it’s day 2 and I’m getting some nasty withdrawal. Should I keep trying to quit all at once, or use nicotine pouches to ease out ?</t>
  </si>
  <si>
    <t>I guess I'm just looking for advice from... anyone. He has done everything there is to do (weed, cocaine, meth, etc.) when he was younger. He's been active in addiction since he was 15. Furthermore, he's had 3 back surgeries, so I know he has pain. But, he doesn't do the things he needs to help himself. He will abuse pain meds he buys off the street, rather than contact his Dr or go to a chiropractor to get help or advice. He has been to rehab several times over the years. We have been together 5 years, and we have been through hell. We have recently been trying to overcome many problems in our marriage. I have absolutely not been perfect, but I love him so much. I do not use any drugs, but I am on prescription pills for depression, anxiety, etc. There have been years that I was the only one paying bills, because he would use his paycheck on pills. I'm running out of patience, and options. I love him so fucking much. But, he constantly lies to me. We had both decided to try again after I moved out several months ago. I moved back home, and he was sober for 4 months or so. But, he did it again. I had to call the ambulance on him. He's also in legal trouble for DUI in 2 different counties. He's been to jail because of this, but didn't stay long. His family has always supported/enabled him and I feel like I'm doing the same for staying with him. But, I don't want to divorce my husband. I just don't know what else to do. I can't exactly move out right now... And, I also don't feel I should have to be the one to do it. But, we rent from his family so it would have to be me to leave. I don't know how to handle him constantly lying to me, even when caught red-handed. I know 99.9% sure even when I can't prove it, when he's using.</t>
  </si>
  <si>
    <t>So I'm trying to get sober, but it seems like every time I get a week down, a situation comes up where I can get messed up, and I consciously go with it. My ?friends? Aren't truly my friends and I know it but term struggling with the idea of being alone (excluding my S.O.) that I am just destroying my life to be around people that find me useful.</t>
  </si>
  <si>
    <t>Hey everyone, I believe this falls within the community guidelines and if you believe otherwise, I apologize in advance! I'm honestly just trying to think of places where there may be people who would find the value in it because I truly did put a lot of time and effort into creating it! I personally wanted something JUST LIKE THIS, but couldn't find it anywhere, so I created it myself lol! Hope it might help someone! It's my version of the 12 Steps that I call the "Serenity Steps" - I personally couldn't get down with the outdated Big Book and freebie 12-Step worksheets online that seemed like a kindergartner put them together lol! So, I created this instead for myself and others! #OneDayAtaTime Best of luck to everyone in recovery!</t>
  </si>
  <si>
    <t>Hi! So... Last year I moved in with my boyfriend. Sadly, we broke up, he moved out, and I really didn't know what to do w myself. One of the many issues we had was my weed habit. I have a LOT of energy so it never really weighed me down or anything but of course I understand him. We've been together for a few months again, but I'm still alone in my apartment. I have a job, I'm a student, I'm fit and I have hobbies. It's not hard for me to be sober - as long as I'm with others. At home, I struggle with daily structure and so on (but I have ADHD and BPD so it's always been that way). The only thing standing in between me and the life I want (financial freedom lol) is weed. Do any of u have tips on how to be alone and be well without smoking? It's getting on my nerves, I know I can do better. I'm a 21 y/o girl who's been smoking every day for the last 3 or 4 years but almost nobody knows. I'm prone to addiction and that's why I try to keep away from substances of any kind. It's really getting on my nerves because seemingly weed is the one thing in my life I can't overcome</t>
  </si>
  <si>
    <t>I’m 27, but when I was in high school and very occasionally throughout my early twenties? I would cut myself. Not very deep, but it felt like a stress reliever. Then I moved on mostly to binge-drinking and a little coke. I’ve been sober for three years and I can't even remember the last time I cut myself. But it’s a fight. And I feel like the urge to cut myself and the urge to use drugs is similar. Like I want to do this thing so bad! But I won't because of the shame that comes after. The cravings are just so intense and it’s an exhausting internal battle.</t>
  </si>
  <si>
    <t>Hi everyone, My posts usually get no views, so I'm not expecting much. I'm a woman who just turned twenty. I've been drinking/using weed since around seventeen. In the beginning it was because one of my parents died out of the blue. But now, it's been over two years. I don't smoke weed anymore, but I smoked cigarettes for a while and did other reckless stuff. I'd like to say I'm better now, but I still crave alcohol and turn to it. Furthermore, I do have an official depression and anxiety diagnosis. But I can't afford treatment. One 30-60 bottle of booze every two weeks is cheaper than 100 therapy every week. I do realize this probably all sounds like excuses; but I have a full-time job and am I being a full-time college student. I can keep my room clean and watch the kids. Furthermore, I can do all the things I "need" to. But I can't do anything else. I can't make myself study things I enjoy or exercise. I know this probably sounds stupid, but I cannot go to rehab. Furthermore, I'm living with family right now and if I go to rehab I would lose my house, job, and possibly fall behind on school. Furthermore, I do turn to alcohol, but I try my best to restrict myself to once a week. Pleas, anybody, tell me how I can manage this. I have to survive another 3 years at least before I can live on my own and seek help. What works best, medicine? IDK yoga? Is there even anything I can afford... Whatever advice please send it my way I am eternally grateful.</t>
  </si>
  <si>
    <t>My older brother is addicted to drugs I don't know what kind but I saw pills and weed, he doesn't have a close relationship with any of his family, I have tried but he doesn't let me in, I’ll invite him out many times or just want to sit and talk to him, but he always cancels or is sleeping or out with his friends, he is rarely at home I only see him for 5 minutes every 2 weeks or more. I text him, but he rarely responds I really want to help him! He is 26 and is wasting his life away and it's breaking my heart. My dad is over him and my mom just gives him money whenever he asks</t>
  </si>
  <si>
    <t>I walked through hell with him for 3 years. He lost everything and I always had his back. He made it out, was in recovery (sober) for 5 years, and was thriving. Now he's on the path to lose it all again. I used to enable him because I "loved" him and couldn't say No. I'm determined not to do that again, but I have trouble enforcing boundaries in the best of circumstances. Furthermore, I know I can't do much until he's ready to be helped, but WTH do I do in the meantime? How do I support my friend without enabling him and jeopardizing myself?</t>
  </si>
  <si>
    <t>INSOMNIA i?VE been sober n went cold turkey from fentanyl for 17 days n I am not going to take subs so please do not say anything about those but I was taking about 25 pressed fake per 30s so I know it can be a while but I'm just trying to get some insight, does anyone know how long this insomnia lasts i?VE maybe slept 4 hours throughout these long days can anyone recommend anything non-addictive I'm trying to stay sober and off the Juice WRLD drugs i?VE tried weed, melatonin, atom and a few other things but have stopped because they do not work?. I just want some sleep so I can start feeling better.</t>
  </si>
  <si>
    <t>For context I've been smoking weed regular (every few days, if not every day) for the past 3 years. I went through an alcohol addiction for 5 months also where I went on frequent weekly benders. Now i?VE moved onto ecstasy and i?VE used it around 8 times, usually taking 2 or 3 pills at a time, during the past 3 months. My memory has always been pretty bad and I suspect it’s due to substance use. Now though, my sense of time is completely warped ? I took 3 pills and smoked 3g bud on Saturday and ever since that everything goes incredibly slow, like every day for the past 3 days have been awful. I don't feel real either. I've suffered with severe anxiety which usually causes derealization, but recently it has been very extreme. If anyone has any advice on how to feel real again or how to get my time perspective back to normally please let me know!</t>
  </si>
  <si>
    <t>We are looking for adults, 18 years and old to complete a survey on New Psychoactive Substances (NPS) experiences. The survey is being administered by R.A. Malatest, a private research company in Victoria, BC on behalf of Health Canada and the data will be used to better understand NPS use in Canada. If you’ve used NPS in the past 12 months in Canada, you can tell us about your experience by completing our short online survey. The survey is open to anyone (residents and non-residents, 18 years and older) as long as the NPS experience took place in Canada within the past 12 months.</t>
  </si>
  <si>
    <t>It all started with lemon beer when I was really young, like younger than 16, and then a few cigarettes a day, fast-forward, I had coffee and cigs every day for years until I was 23 or 24? IDK. I quit those at like 24/25 and then started eating very healthy cause of a stomach/ bile problem. But at the same time started binging on chocolate, and bad stuff in general. And last year, after restricting too much, I've had more chocolate than ever even if I used to have it often before too. But like it got to the point that one day couldn't pass without it. I am 26 now, and I am still cig-free and have successfully cut out all sugar without craving it as much as I did last time I've quit sugar for like 10 days straight I can say. But I've started cutting it out since January 1, gradually. Because chocolate is hard to quit. Sugar from bread is not really. The thing is I still have a bit of fruit, but I never seem to eat enough of it. It's also winter so not much I can eat that doesn't irritate my stomach is available.</t>
  </si>
  <si>
    <t>What addiction really is Addiction is a constant reminder, after months or even decades continuing. Addiction is awesome, it feels good, but you just don't know it yet: the consequences that is. Addiction is harmful, you know it isn't right. But it feels good, and you’re confident. Addiction is unhealthy, if you keep going, but you know it if you keep at it, it’s something that ruined people’s futures. Addiction is realized, you realize you’re addicted, but it feels good so you don't really care. Addiction is now part of your life, being addicted has become a part of your personality. Just wanted to give my own experience of being addicted, don't ask what. Just stay away from addiction.</t>
  </si>
  <si>
    <t>Hi, I wake up tired, sleep late, have social network addiction, can't get out of the bed. IDK what to do, I need help. What can I do to stop this addiction to my phone and social network? I tried installing blocking apps to stop spending so much time on my phone or restrict certain apps' usage, but it didn't work at all, I would just switch your off or uninstall it...</t>
  </si>
  <si>
    <t>He totaled his car a few months ago when he ran into a telephone pole and was fired from his job yesterday. He currently needs transportation in order to interview for a new job and, in the case he’s hired, then reach the job. He’s offering me money to use/buy my car (I don't use it as I live out of state) and even though my intuition says no, I can't help but feel that if I don't let him use my car, then I am contributing to his continued unemployment and everything that comes thereafter. It also breaks my heart to deny him this help and watch as he suffers and spirals down a familiar path of inevitable self-destruction. It breaks my heart to hear his desperation because I see him as a scared, broken child, isolated and alone, who has suffered so much pain. Furthermore, it breaks my heart to feel that by denying him of what he’s asking, this help, this favor, that I am isolating him further and reinforcing the idea that he is alone and unsupported.</t>
  </si>
  <si>
    <t>It's been a week and I've been restless and can't focus while doing work. Seems like I can only do1-2 hours fully focusing on my work. But today I bought a cup a coffee and can work just fine for a long hour. Should I just continue having a cup of coffee every day or should I try to stop?</t>
  </si>
  <si>
    <t>We recently saw his family out of state where he reconnected with his sister. He’s been sober for about a year, aside from one time I’m sure he used, but I can't prove it. When we were visiting out of state he mentioned he deleted his text messages from his sister from just the night before. I thought this was weird-then on our way home he was acting very strange and agitated and picked an argument with me over nothing. When he fell asleep I read his messages on his watch where she offered to ?hook him up with a couple?. No idea what or how many. Everything has been ok since we got home, but now I see he has provided her with his work address for him to receive packages specifically so I won't intercept them here.</t>
  </si>
  <si>
    <t>I used to eat only a packet of M&amp;Ms a week, but once I bought a bunch and started eating them, now i don't even realize I'm eating M&amp;Ms until I finish half the packet. I eat like 2 packets a day now I used to eat KFC weekly, but recently I've really been enjoying it, and eating 15 chicken strips, 2 big fries and 2 big popcorns weekly. Please help.</t>
  </si>
  <si>
    <t>For context, my dad is an alcoholic and my brother has a history of severe drug abuse that he still suffers with despite going to rehab countless times. I've been smoking weed nearly every day since I was 13 and also started drinking alcohol at the same time. I developed an alcohol addiction in spring that lasted until October, I ended up being drunk in school every day and constantly blacking out, it was a really dark time, I was on a 2-week bender and ended up severely ill by the end of it - but i haven't been allowed near alcohol since so I kinda had to go cold turkey with it though it’s been hard. Since I stopped drinking every day I started smoking weed more, then it didn't feel as good as it used to so I started taking ecstasy pills and i?VE been taking a few every weekend for two months now. I've mixed them with vodka, weed, low dose of fentanyl, just anything I could get a hold of. Ended up taking some sort of downers too IDK what they were. Also took laced pills that made me blackout. I just bought bud yesterday and plan on buying more along w some pills this weekend. I'm also feeling a relapse of alcoholism and self harm on its way. Since i?VE been addicted to things before, I'm scared I'm going to become addicted to pills. I can feel the start of an addiction coming on and it’s scaring me. I know the easiest solution is to just stop, but i really badly crave the high. I'm in a really dark place so it’s a coping mechanism IG. IDK what to do. I guess I'm just asking for some advice or motivation. Preferably advice to keep it safe usage and prevent addiction thanks</t>
  </si>
  <si>
    <t>If so, I noticed I drink a daily water intake? Amount in ginger-ale, Pepsi or what every other carbonated beverage. If there is none left my brain thinks to replace with juice or milk or coffee but never water. I find that water always tastes like it has a bit of milk in it, although I know that it doesn't. I am suffering minor health issues due to lack of water, but I can willing never bring myself to drink it. Furthermore, I want to clear my skin, lose weight and overall lead a healthier life than this, but I need help. Is there anything I can do to strengthen or trick my will power to do the right thing.</t>
  </si>
  <si>
    <t>So both my parents (Mother and Stepdad since birth) have been doing drugs since I can remember. When I was about 13 or 14 I started to be more aware of what was actually going on (18 Now) I don't know what the main drug they do is, I know they smoke dope because It stinks the entire house out but the main drug they do is on tin foil/aluminum foil. Is it really heroin ? That’s what research I’ve done is leading to it being ? I don't know where to start on helping them. Our relationship is like a completely normal loving family and I don't want to ruin anything you know ? We’re pretty poor and might be kicked out our house soon and said house is a wreck by the way, they don't take care of anything other than the basics food, water, heat, electricity etc.</t>
  </si>
  <si>
    <t>So yea, basically what the title says. I’m only 18, and I never thought I would be going through with this but I’m thinking of going NC with my dad. To start off I’m sorry about the bad formatting, I’m on mobile. Onto the story. I have been low contact with my dad for about a year now, only talking to him when needed. I’ll drive him somewhere if he needs a ride (his vehicle got taken because he didn't pay it off), I’ll go to family gatherings with him, but I haven't asked him to hang out like we used to in over a year. About 3 years ago, he dumped his ex (not my mom). She was a heavy meth user (only towards the end of their relationship as far as I know) but it was only clear to me, she was on meth after they broke up. I would see her around town skinnier than me (I’m 100lbs) and she used to be fairly big (no larger than 300lbs) when dating my dad. I also know the effects of meth, as I’ve had other family members who use it, and it was clear she was addicted. The meth was a major reason for the break-up, and only a very small amount was because of the way she treated me and my sister. She was so rude to us, she would call us names and act as if the house was hers (it was 100% in my dads name and she didn't make enough money to pay rent). I’m not going to go into detail about her, because this post is about my dad. About 2 years ago it started getting bad. My dad would do ride-share late at night and starting stealing my sisters' car. Then about a year and a half ago, my sister and I found a crack pipe in her car (she does NOT use, there is no way it was hers or a friends). Ever since then he’s been on a downward spiral. First, he lost his 13-year-old dogs this summer. Then, at the end of the summer, my sisters' puppy got parvovirus and passed away (not even a year old). He was really close to her dog and was devastated when he passed away. Then, his truck got repo-ed from the bank from not paying for it for over 2 years! This next issue is why I’m making this post. 3 days ago, I gave him a ride to my sisters car to boost it so he can go out for the night. (It’s -40c here) He told my sister he would be back by noon the next day, so I thought nothing of it. He was very talkative when he was in my car, but I didn't think he was high. After he boosts my sisters' car, he leaves. Not to be heard of since 4 hours ago. My whole family was trying to get a hold of him, he made my sister late to work, and he didn't give a shit. He was active on Facebook throughout the 3 days and no one got a reply. The only reason we know where he is because he was caught by my stepdad rummaging through my sisters car a few blocks away from his current place. (I think it’s pretty clear why he was parking far away; he knew we were looking for him and didn't want us to see her car at his house) He was high as a kite and said he wanted to ?gamble? One last time before New Years. Now I just don't know what to do. No 18-year-old should have to watch their dad go through all this shit. I have seen friends go through this stuff and once I can't handle it I’ve cut them off, but I don't know if I can do that to my own dad. I haven't talked to him yet, planning to on New Year’s Eve. If anyone has any advice as to what to do in this situation please comment. Anything would help.</t>
  </si>
  <si>
    <t>I've been smoking and taking Xanax for two years now, and I moved to a country where these things don't exist. I've been fine for the past two months but now all I could think about is lighting up a joint drinking a fizzy drink and popping two pills. The memory of doing that just does not leave my brain. It's so fucking hard to let go of that memory of short term peace I've been vaping nicotine to help but this shit is so fucking hard. I could get weed, but I'm going to go to jail for at least three months and destroy my future in this country. I just can't let those images of lighting up a joint and the feeling of relaxing to just go away</t>
  </si>
  <si>
    <t>I stopped a smoking habit before it really hit me, but tonight, I messed up. I bought a pack of nicotine pouches. Furthermore, I've been struggling for a few days with withdrawals. Furthermore, I stopped smoking months ago, but I've been having dreams and cravings. Furthermore, I messed up...</t>
  </si>
  <si>
    <t>I say fake because it doesn't seem like they actually care if the people staying there get/stay clean. My significant other(25m) of five years has been battling his addiction with stimulants for nearly a year and a half. (I’m 24f) When he’s using he makes awful choices in which hurts my feelings (a separate and very long story, it’s caused multiple breakups). Earlier this summer he moved ACROSS the ENTIRE country to be in a recovery program in the state of his choice. (He’s moved out of state to other programs, relapsed in EACH said programs, and just continued using shortly after coming home every time. Five times total, including the one he’s in now. Tells me this time is different &amp; he is staying clean, alike the last three times.</t>
  </si>
  <si>
    <t>So I play a game called Genshin Impact on a daily basis and when I try to stop, I'm somehow always pulled back in and am I playing the game. It's coming to the point where it's impacting my grades at school and I desperately need and want to stop but I'm somehow always back and am I playing the game. Any advice on how to stop?</t>
  </si>
  <si>
    <t>I knew my older brother (24) has experimented with drugs when we were younger, but didn't know how bad it was until about a year ago. He had a lot of medical issues, and had surgery on his arm for nerve pain. He has troubles sleeping and has a week immune system. On these meds post surgery, he was still taking Xanax and who knows what else. I found him overdosing at his computer with powder on his desk and a cut up straw. The ambulance came, and he was in the hospital for a few days. My parents and I cleaned out his room because we were so worried after and found tons of things that we weren't expecting: tons of bags, cut up straws, dot residue, atom, Xanax, heroin residue, etc. It happened a second time at his girlfriends house a month later. She didn't know about the severity of his drug use, she couldn't bear to see him that way so they broke up, and she ended up moving into the apartment they signed a lease for, without him. He agreed to see a psychologist, but he only went once and never returned. He seemed to be doing better, he was going to the gym a bit, spending quality time with my parents and myself (even though we weren't close growing up). However, we recently noticed many new bags that had heroin in them popping up, he has very little money considering he makes a decent living and has little expenses, and today he said he has been having trouble sleeping and having very vivid nightmares that he was in jail. Hours after waking, he was still convinced that what had happened in his nightmares was real. He was convinced he was in jail despite the fact he hasn't actually left the house in 3 days. I guess what I’m saying is my parents and I are extremely worried. We love him very much, but how can we help? My parents find it difficult because they can't exactly control him given that he’s 24, and they can't monitor what he does. They don't want to kick him out because that will make things worse. I understand that many people going through this sort of thing are not comfortable talking about it. I just want him to be better but don't know how to help more than telling him I love him regularly and that I’m here for him anytime. Furthermore, I reached out to a psychologist specialized in addiction to talk about this stuff, but figured I might get some good advice here.</t>
  </si>
  <si>
    <t>Please any advice is appreciated. I am 20f I have been struggling with porn and masturbation addiction since high-school. Honestly I feel helpless the most I was ever able to stop was 14 days. I feel terrible like I am a disappointment for not being able to bet something like this. I am also scared because I can start feeling myself being numb to all of this like I won't ever be able to change.</t>
  </si>
  <si>
    <t>I’ve already kicked him out of my mothers house. I just need emotional support all I want to do is talk to him, but I know I can't without letting him back in, and I can't do that. I’m having his baby and he chose drugs over what’s important. How do I start the steps to move on because I don't think he’ll get clean any time soon. Please don't ignore this post please help me</t>
  </si>
  <si>
    <t>Until Recently I was obsessed with fan fiction. Like, obsessed. It helped me get through tough times too. And so far, when I've had tough times, I think that if [my fav fictional character at that time] could handle so much trauma and pressure, me, a normal person with no issues/trauma can definitely get through this thing. But the issue is, as I got older, this method stopped working. When I force myself to stop reading, it works for a week. Then I relapse even harder. I spend 90% of my time on reading. I also have clinical depression and I can't find myself getting other hobbies even if I am interested in stuff.</t>
  </si>
  <si>
    <t>This is my second time posting. I really need advice on how to help my niece, but honestly just the opportunity to unpack all my emotions here would be very helpful. I want to take a short trip back to four months ago. It was then my niece was fired from her management position, according to her account, for no reasons whatsoever. I was told there was a problem with time sheets. This never made any sense to me. It is a small town, so my nephew happened to stop in the business and said, "hey whatever happened to the old manager she seemed nice?" The new manager said the old manager was caught doing dope in the bathroom. When my nephew told me the information made total sense. It was after she was fired that she went back to work at an old job where her coworkers all abused opiates and after the crackdown they can't get scripts, so my fear is they're dabbling with the devil in heroin. Over the months that followed after the firing I saw my niece drift further away from my nephew the two of them were always so close. This also meant she didn't visit me any longer, and I knew it was a bad sign. I guess I blame myself a bit for not stepping up as soon as she was fired and pressing her for answers. My experience tells me any pressing her will result in her taking this "whoa is me I'm suffering attitude" and "I'm not using drugs I'm just tired." So tired that she started dipping out asleep during the meal. I looked down the table with her mouth wide open full of food looking like an OD about to happen, and I am helpless. The family that hosted dinner was scared for her and the next thing you know she is jumping in a car and driving away. Family pleaded with her not to drive, but she left intoxicated on drugs. Cut to the next day. My nephew and I encourage my niece to come over and hangout. Niece declines and says she "feels so bad" she can't see anyone right now. We both assure her there is no need to feel bed just come hangout. My nephew and I were both trying to keep the dialogue open. My niece refused to come, and her texts were long-drawn-out excuses why her being fucked up isn't her fault. My nephew makes the bold choice to talk to my brother and tell him, "Can't you see that your daughter is fucked up on drugs?" My brother in complete denial says, "she said she was tired and I believer he. Backstory is that my brothers wife is also dabbling with the pain pills and like mother like daughter (I feel such anger) I guess he doesn't see either of them fucked up. The last family event before Thanksgiving (anniversary of my mother's passing away) it was my brothers' wife that couldn't stand up to say a prayer making a scene on the beach while we tried to say a prayer. It was horrible, but I had empathy that she needed help. The problem is nobody is getting help. I wake up and want to text my niece, "Are you safe?" I really don't know what to do anymore because my niece doesn't want help. My niece wants to wallow in "how her life was hard" and "she doesn't get any love from her parents" and "she is constantly wronged in jobs and that's why she isn't working. The girl is about two days away from being homeless. Here is where the advice kicks in... What do I do when she's homeless, and I don't feel safe having her in my home where there is Rx? She has stolen medications multiple times - the last years ago because I set her up and counted the pills before she came over. I am afraid for her that she'll overdose. I'm afraid I can't help her because she doesn't want help because she doesn't have a problem. She clearly has a problem dipping out in front of the whole family after she claimed to have looked forward to seeing family so much. Did she show up fucked as a way of shouting for help? My nephew asked about her getting help, and she says "she'll go see a doctor." That doesn't work she needs to go into rehab because she has supposedly quit so many times - each time in rehab she found a way to sign herself out. I pray this fits into the topic - I need to help my niece, but she doesn't want the help, so what can you do? I took the previous advice and talked to family about the addiction and some are in denial and others just pulled back not knowing what to do. What can we possibly do?</t>
  </si>
  <si>
    <t>My mother gambles while living paycheck to paycheck with no savings approaching 60. No assets and a husband who drinks and is so broken mentally and physically he cannot work. I'm not even talking about false hopes like lottery, she spends a thousand a year just on coin packs for a shitty mobile Donati game when she's convinced to bar herself for a year from the casino. That's also a sad cycle I watched all throughout my childhood even going so far as to get payday loans to gamble away.</t>
  </si>
  <si>
    <t>So I (24f) was taking to my brother (18m) over Thanksgiving break. He goes where I graduated from college at. He’s been really struggling in his classes. Furthermore, he has fully failed with a 1.87 GPA when he needs a 2.0. Furthermore, he will be on academic probation next semester to get his shit together. At the beginning of the semester he went crazy. He was only sober 5 days out of the first two and a half months he was there. One night he took 20 hits on a dab pen and had 5 cocktails. He realized he was failing so he stopped drinking. But he told us he was still smoking pot. (Which we do to so not a huge thing). When he was here this week he told me that his girlfriend is on harder drugs. Not meth or heroine but cocaine and pills and stuff of that level. He said he only does the weed and pills. I asked what pills, and he said amoral (he has ADHD and had a prescription for it but I’m not sure that’s the only type he is taking) and Xanax. I am super worried. His girlfriend does harder stuff, and he has shown he will go crazy with things. But he also told me when I told him he needed to cut out partying and focus on school that he might as well drop out if he is just going to kill him self with school and not be social. What if he is doing worse things than what he told me? What if it escalates as finals come? I am not sure if I should tell out parents. They have already said if they found out he was doing that stuff they would pull him out. And my mom is the type that would pull him pet way through the semester. Like find out drive down there move him out in two days time. Also, he trusted me to tell me this. I don't want to break that trust in case something big happens. What if he needs help and feels like he can't trust me? He told me point-blank a year ago he doesn't care if he has a big family as long as he has one of us or talk to he doesn't care if he never sees the rest of us again. I could lose him. If I break his trust I could lose him. Is it worth breaking his trust and my parents pulling him out of school? What if things are worse than he says? Or get worse? Have any of you been through this??</t>
  </si>
  <si>
    <t>When I first went on treatment a year ago, it didn't really bother me that much, I'd make sure to go to the pharmacy every day, in a way, I kind of enjoyed it actually because it got me out of the house and give me routine, but nowadays, I absolutely dread it! My pharmacy is only like a 5-minute walk but these days, I just have no energy or motivation to go, especially if I've had gear to smoke, as I won't need my methadone as I won't be having withdrawals so usually if I've had a smoke I won't go to the pharmacy at all. Since I was punched in the face last year at nighttime by some random dude, leaving the house and going out is already quite a mission as its really knocked my confidence and made my anxiety and PTSD a lot worse, so this has had a big part to play in making me not want to go but on top of that, I just have no energy or motivation to do it.</t>
  </si>
  <si>
    <t>I’m trying to quit opioids I was taking 2 30s a day and I quit cold turkey four days ago my stomachs killing me I can't fall asleep for longer than like two hours and I don't stay asleep when I do anybody have any advice to help me with my stomach and falling asleep i?veg one through withdrawals before but it’s never been this bad</t>
  </si>
  <si>
    <t>Anyone else find that using gave you a terrible or worse habit of picking the skin on your fingers and biting the skin in your mouth? I've always had a bad habit with this, it's something I do when I'm anxious, angry or stressed but using has made it 10 times worse. In fact, I don't think I do it when I'm anxious, stressed etc. anymore, I only really do it when I'm high or when I'm having cravings. I hate it. My mouth is always really sore, and my hands just look so rotten, and for a female, it's not a good look, especially as I'm someone with very small and dainty hands.</t>
  </si>
  <si>
    <t>So I just found out on Friday that the person I have been seeing has been heavily addicted to heroin for over 5 years. He had his second overdose on Friday, and I was the one to find him. I have since reached out to his family and have discovered the mountain of lies I was told. I had no idea he was using. Furthermore, I was just so none the wiser because I was so happy with him. Furthermore, I'm feeling very conflicted at the moment. He's been in the hospital for days. Looks like he has MESA taking over his vital organs. I feel so betrayed, but I think deep down he's a good person and needs help and of course I don't want him to die. I however don't feel like I could help him, and I am still coming to terms that I was continuously lied to for months. Any advice from people who have loved addicts?</t>
  </si>
  <si>
    <t>I’ve been effectively a daily/dependent weed smoker for almost 2 years I’d say. I started smoking in high school with friends and, long story short, addiction has wrapped it’s hands around my throat. The only time/place where I am never high and don't think about weed is at work (I’m dropping out of college to cook). I’ve known that I’m addicted for a while, but I don't know why. I particularly struggle with feelings of loneliness, inadequacy, and uncertainty, but weed doesn't relieve these feelings, it’s a distraction at best. Furthermore, I don't even know how to really describe my feelings about all this because I don't even know what my feelings are in all honesty. My life feels clouded and after seeing some of your stories about spousal weed addiction, I know that will be me one day: high 24/7, irritable, distant, and not being there for the ones I love. I think I’m at a crossroads and I know I want to take the path towards kicking this addiction but I’m fucking scared. Maybe I’m scared of a life without weed or failing or anything, I don't know, but I’m scared. Any advice or experiences or questions you have been greatly appreciated. Thank you to every single one of you for being on this sub</t>
  </si>
  <si>
    <t>I was always interested in playing video games like any male kid I guess but the thing that started my path towards addiction was the first computer (well second since the first one was one of those old big slowpokes that we played solitaire and minesweeper on). I was in 7th or 8th grade of elementary, and it was supposed to be for school, but it was prob the least about that - it was 60% gaming,20% porn,15% YouTube/social media and that last 5% was for school. My parents never really placed a limit on how much I (we - my brother and sisters) could be on it and so of course we were on it the whole day. It was fun, thinking about those endless hours of playing cod2 or counterstrike source brings back fond memories (online friends, guilds etc.). As I grew older I feel like gaming became boring and porn and YouTube gained in % a lot. I did have a phase where I was trying to learn programming, animation,3D modeling and drawing.(4 years) Over the years as I have choose being home on the computer I have basically obliterated my chance of having friends, like real life friends that you hang out with, play games, talk with etc. and because of that I felt that removing this toxic thing aka stopping from being online was me getting rid of this one last thing that kept me happy/distracted from how goalless my life is. I currently don't work as a programmer or 3D modeler but that's the only thing in life that ever drew me in, but I feel like shutting down the computer, phone (my phone is basically a distraction for me at work when there is little work and I use it to read Reddit and for gotcha games (gambling ones that I am caring less and less while I used to spend real money on them in the past)) and doing some exercise, meet some people and just shut off the online world. Furthermore, I feel like that now, but tomorrow I'll probably be back at the "safe place" or when life challenges me in some way be it at work, awkward social situation... Furthermore, I am about to have 28 years and my life is basically a lot of nothing and I don't think I have still accepted/learned to work for something for years to achieve it. Furthermore, I used to work for 4 years and I had a low income and there was just one goal that I set and just with basic calculations it wasn't achievable. Furthermore, I would have had to not spend any of the money for 4 years just to buy a crappy second hand car that would prob break in 5 years. Can't even imagines how hard it would have been if I couldn't use the car of my mother. Sorry about a long post, it could have been longer if I added more details, but this should suffice to depict the state of my mind.</t>
  </si>
  <si>
    <t>So I don't have an average addiction to social media, I have no problem staying off of my own socials, but I cannot stop checking up on people that used to be in my life. My boyfriend’s ex and I were friends for a while, and she recently joined a modeling agency and has been very successful, and it has drained all of my confidence because we were always being compared by people in high school. I know that it is stupid, but I can't stop checking up multiple times a day on her and my abusive ex etc. any tips on how to stop?</t>
  </si>
  <si>
    <t>I’m new here and I am just looking for some advice/encouragement. I’ve been on Suboxone for a couple of years now, and I just recently relapsed what I believe to be mostly fentanyl, not the heroin I had hoped for. Furthermore, I was taking 4mg a day and I just decided to relapse for some dumb reason. My dog died and depression etc. I read that I need to wait 24 hours before I get back subs to prevent precipitated withdrawals. I know I will be sick by then and was wondering if you guys had ever taken it before the 24-hour mark and what your experience was. Anyway, I hope everyone in here is doing well.</t>
  </si>
  <si>
    <t>I am a student who is doing a research project on Opioid Addiction. The purpose of this research is to find an answer to the research question ? What factors can make a person more vulnerable to developing an opioid addiction?? This survey only takes less than 5 minutes and is open for people of all ages, and regions. The only requirement is to be a person who is currently dealing with an opioid addiction, or had previously had an opioid addiction. This survey is 100% anonymous and confidential. However, a sign in to an email account is required and is only in order to prevent multiple responses from the same person. This email address is not revealed to the creator (me). In regard to the survey, all answers will only be analyzed by the creator (me) and data will be represented in graphs, charts, and statistics.</t>
  </si>
  <si>
    <t>I saw my niece yesterday. She was supposed to come over for a visit at 11. I didn't see her, so I sent her a text saying are you still coming at 11. In return, I got a phone call with my niece all stressed out saying, "did I tell you I would do something for you?" I said, "no, you said you wanted to visit and would be here at 11." I was just following up with her. During the call I noticed an elevated tone of voice, fast speaking but with this groggy sound to her voice. I told her it is no problem if you're not coming I just wanted to know. I also said, "you sound completely wiped out why don't you get some rest and visit when you feel better?" My niece said, "No, I have to come on the island anyway." I said, "oh, are you still getting working down the south end of town?" My niece said no, she wasn't working and offered no reason for coming on the island. This is relevant because I live on a barrier island where tourism is king and places aren't open now. There is nothing to come to this time of year. Honestly, it made no difference if she came over or not. Anyway, about three hours later I get a phone call. It is my niece and she' around the corner if I want to hang out. I say yes because I'm home and she gets here. She is loud shouting about how she loves my couch and chairs. She is overly animated about a used couch and a chair. Furthermore, she tells me she is not going to work anymore for the next six months and is going on unemployment, but in the same sentence she tells me her unemployment is screwed up and had been for six months. My niece never did anything to secure unemployment payments. My niece has already opened a claim six months ago and never responded to their request for additional information and that is how things got screwed up. In her mind, she was wronged by the system. I talked to her carefully and told her, "no, I don't think they tried to screw you. I think you had to call in and report that you had hours of work and no longer wanted unemployment. She is spacey and never did it and now is pulling this, "whoa this is happening to me." Now, to get to the gut-wrenching part. While she was here I noticed the way she was talking, I could see she was moving really fast. At the same time we were sitting on the couch I actually saw my niece dose off to sleep. Now, I understand not getting a good night sleep, but this was different. My niece was dipping out just like I remember from before when she used. Another weird thing I shared with my nephew is how my niece kind of disappeared about six months ago. We used to hang out regularly and all of a sudden she didn't come on weekends, and she stopped replying to texts and phone calls. This isn't normal behavior and when my nephew and I saw her we both agreed she was clearly using again. I am afraid my niece was high on drugs (opiates) and the reasons why she was on the island was supposedly to give someone a ride to the market to get gerbil food. My niece would have driven more than an hour just to take her friend to get gerbil food. No fucking way - I call bullshit. I think my niece was on the island on the other end of town to score drugs. She stopped working, and now she's saying she didn't get unemployment and whoa is her what is she going to do. I don't know what to do. I want to call my niece out and say "you're high on pills," but last time I called her out she cursed me out, told me she wasn't high (a complete lie) followed up with horrible things being said about me and she would never talk to me again for accusing her. My niece did talk to me again when she needed something. And, I have no problem with her ups and downs about how she feels about me. The thing is I was accurate she was using drugs. I can't help to think she came on this island to score drugs because she has old friends that were users. A few years ago I noticed the same pattern with her keeping in touch and hanging out with old "friends" she used to use with. I think the person she saw today is her supplier.</t>
  </si>
  <si>
    <t>I started smoking weed about a week ago, and I really like it. I am concerned that I might be crossing the line with how much and how often I smoke. Furthermore, I have smoked every day (6) and on a few I have hit my dab pen. Furthermore, I won't smoke when I work and when I know i don't have anything to do. It has improved my mood and made me less suicidal and my partner says I am less worried about everything so i don't feel like I'm dangerous but I want to know when I've gone over the line.</t>
  </si>
  <si>
    <t>I have been married for 3 years. Before I got married I only had weed. That was also once in a blue moon. I met my husband 5 years ago. When I met him he told me and I heard him talking to my friend about having coke and pills. I was not cool with it, but I just went along because I met something after so long I was so lonely and really wanted to see how he was. As the relationship grew he opened up and told me he has coke and stuff. I only had one rule and that was not to have it the country we were working in because it was a serious crime there. But he still continued to having it because he couldn't stop it. I really didn't want to give up on him because he is a good guys. It took about 2 years and he stopped finally. I even told him if he really wanted for him to fly back home have a party and come back because I didn't want him to risk everything here. Anyway the good news is he stopped it. Because of Covid we are back home and all these drugs are freely available. It’s been a year since we came down and we only partied 3 times. I feel it’s not something we should be doing. He is in his late 30’s and am in my early 30’s. I feel it’s time to stop, but I don't think he wants too. The last party was a bit wild because we went to a place where our friend had other’s friends over and there was a hooker. I was high too am not trying to act like a saint. But I was not meant be there. There were 10 guys 2 hookers and me. My husbands friend was so pissed of at him for bribing me there. And now after 4 days my husband and I are still feeling depressed after all those drugs. Even this it has happened a few times I feel it’s not a good thing. Pls tell me what I should do.</t>
  </si>
  <si>
    <t>This might sound stupid, but they’re nothing ?serious?. It’s literally just Extra Strength Tylenol pills, but whenever she asks if I had a headache, I tell her yes just for the sake of me having the pills. They sell a big bottle of them in a Walmart, and I have the money to buy them. I don't know what they could do to me if I take so much almost every day.</t>
  </si>
  <si>
    <t>I’m (33f) and I have noticed significant personality changes in my partner (31m). He’s always struggled with impulse control &amp; has a VERY strong history of alcoholism on all sides of him family. He doesn't drink as a result. Furthermore, he has used marijuana daily since college, and recently I’ve noticed a huge change in his personality. He’s very aggressive, accusatory and angry most the time. Very unlike him. Any time over the years in our relationship I’ve mentioned his heavy weed use, it turns into an argument. He uses all day, every day except at work. On weekends, he vapes from the minute he wakes up until he goes to sleep, and on weekdays he uses from the minute he gets home until he goes to sleep. He uses weed to comfort himself, to celebrate?just for everything. I once asked if maybe we could have one ?sober day? A week and it caused a huge argument. I’m constantly told that marijuana isn't addictive, and it can't be abused, and I know that isn't true. I feel like it’s turning a very dark corner &amp; while anger &amp; projection used to be the exception to his personality, it has now become an everyday reality. Furthermore, I don't know what to do. How do I approach this?</t>
  </si>
  <si>
    <t>The title basically. I can't stop spending money. Its fine online, but whenever I go out I buy a sort of different shit, and now I'm employed in a home decor/furniture store. I just spent a lot of money there, I've burnt through my savings and with Christmas coming up plus Black Friday, I've no idea how I'm going to contain myself. I'm worried ill get so addicted I stop thinking rationally and ruin my life. It helps with my depression and anxiety, but also causes them (mostly anxiety). Any insights, personal experiences, trap I could fall into during recovery etc. are welcome</t>
  </si>
  <si>
    <t>My husband is an addict and has asked me to refrain from indulging in his addiction even if it's out of sight from him. (He is in recovery but is asking me to give it up as well) Is that a fair thing to ask of me? If I can do this in moderation and have it cause no distress to our marriage do I really have to give it up just because he's the one with the problem? It's not like he would know and if he did, wouldn't it be hypocritical of him to ask me to stop? I really want to know, I don't understand the mind of an addict, and I'm hoping you guys can shed some light on this for me. I've only recently discovered in the last month and a half that he had a problem, and I'm still trying to understand how to deal with this. Furthermore, I know I'm being vague about what the addiction is and that's only because so many people don't think it is one, and I'm kind of hesitant to share because of that.</t>
  </si>
  <si>
    <t>I’m sure I, 29/f, am I going to sound so selfish so just a heads-up. My Husband, 33/m, has been addicted to painkillers for a long time. Recently it’s gotten to the lot worse financially and emotionally (on me at least). I finally told him I couldn't take it anymore and that he needed to make a decision right then me or the drugs. He said he would stop right then and gave me all the pills he had in the house. It’s been 2 days and the withdrawals have been unbearable. I know he is really trying but the things he says are extremely hurtful. Things like I’m doing this to him, I am causing him all this pain, the pills weren't going to kill him the detox is. I understand he is in excruciating pain and craving his pills. He went from 4-5 oxycodone pills every 4 or 5 hours to nothing. He refuses to go to a treatment center or a doctor to get some sort of detox help. But at this point I feel like I’m in the wrong. He wasn't hurting me by taking them and money is just money. As long as we have the bare minimum to survive I don't need anything more than that. I don't know what to do I feel like I am putting him through this pain and it’s killing me.</t>
  </si>
  <si>
    <t>My sister passed away My sister passed away yesterday due to a drug overdose. We won't know much else until the autopsy. Counseling services are in place for family members. In the future (or now) her kids will have questions. How would we explain her mental health issues, and what happened when they are old enough to understand.?</t>
  </si>
  <si>
    <t>I’m very lost right now. I have a friend that I love very much. They are now 240+ days clean from a 2-year addiction with Methamphetamine. They have not been able to sleep since getting clean, and they eat best case scenario a couple of times a week. I have been trying to help them sleep and making sure that they eat whenever they are with me. My efforts to help her sleep haven't been successful, and it hurts me so much to see them not get any sleep and I can see that they are hurting, and I feel like everything I do to try and help just doesn't work. The sleep thing is what I really want to help with. If anyone can share some advice on how to help them sleep that would be amazing, thanks.</t>
  </si>
  <si>
    <t>So I’ve been sober for a while now (3 months) and I’ve been living with my boyfriend since before I got clean (8 months). Now that I’m clean, I’m starting to notice that him still using opioids &amp; uppers are affecting my emotional well-being. I’m not really sure what to do. When I went to rehab I asked him to come so we can do this together, he specifically said ? No? he’s not ready to get clean anytime soon. ??. I respected that at the time because I knew how long it took me to want to get clean. However, the problem is that I feel like I’m taking on a lot more responsibility than he has in the year we’ve been together. I went to rehab, got clean, stayed clean, started looking for full-time work, while focusing on my relationship &amp; side business, etc. He’s a contractor and gets limited work only and when he’s off most days he sits on the computer sometimes for 48 hours and listens to podcast &amp; makes music. That’s all. I respect the music making, but he’s not motivated to get a regular job or take care of things around the house. I think I’m falling out of love and would like some advice. Thanks</t>
  </si>
  <si>
    <t>Is it possible to have a discord addiction? I've been on discord for 16–20 hours a day, texting people and talking in servers. Right now, I'm failing six classes as a high school student. I used to be rank 9 out of 542 in my grade in sophomore year, talking all honors and AP classes, and now I dropped out of many of those classes and my rank is around 200 as a senior. The issue is, I use discord to communicate to a lot of people for schoolwork, fun, help, advice, videos, etc. yesterday at 5pm, I took the courage to delete my discord account permanently. It'll take around two to four weeks to actually delete. However, now I don't really know what to do with my time, or how to recover and bring myself up. Additionally, everyone is applying to college, and I don't want colleges to think I'm a failure because I'm actually really capable and have so much potential, but I have a discord addiction which lead to a binge-eating addiction. Any advice on steps on how to recover?</t>
  </si>
  <si>
    <t>My 15-year-old is addicted to drugs. He has mental health issues along with substance abuse. I believe the mental health issues are directly related to the substance abuse issues. He will drink any alcohol he can get his hands on, smokes weed, crushes pills, does whippets. He naturally denies it’s a problem and his friends (if you can call them that) I think enjoy seeing how messed up he can be. Several days ago I put a hidden camera in my bedroom and was disgusted to see him going through my room looking for stuff to steal. I have an old pair of True Religion jeans and let him try them on. That night I see he is offering up True Religion jeans for sale. I think I’m jaded as I see first hand in my career what happens to drug addicts and I recognize the extremely low recovery rate, and that’s in people who want to recover. I don't know what to do. In my state, even at 15 he can not be held at a rehab and even if he could, he would just use as soon as he gets out. Any advice????</t>
  </si>
  <si>
    <t>I currently don't take any mood stabilizers for my bipolar disorder and have struggled for a very long time with a drug addiction also. Somehow I was always able to fly under the radar with it at the workplace and still be high almost 100% of the time. Drug abuse inevitably always got to the point though where it didn't even matter anymore if I got high from it or not, I just needed it to function that day and to feel "normal". All the years of thinking I had it under control did finally hit the fan at my last job. I got fired for the first time in my life and my addiction was the reason. I've been constantly beating myself up over it every day that I've spent jobless ever since. Furthermore, I can't even get myself to look for another job anymore either because the shame runs so deep for me having to explain now in an interview why I got fired from my last job and that alone keeps me from moving forward with my life. Furthermore, I really want to be honest about it so they don't end up finding out anyway with a routine call to my last place of employment or something. It needed to happen though, or I never would have quit using. I am clean now for 4 months, so I'd put much emphasis on that part and hope the honesty and taking accountability for making bad choices would stand out to the interviewer way more than just them judging me and immediately placing me with the negative stigma drug addicts get stuck with instead. I'm starting to feel like I don't deserve a second chance at all now because even I see myself being a drug addict as worthless and flawed, though I'm clean and should be proud of it. Furthermore, I'd love to change the perspective I have of myself, but drugs took all the good qualities away and replaced them with just the toxic ones instead. So, here I am, trying to clear away the wreckage and pollution I fed to my mind, body and spirit all those years while also relearning what life is supposed to feel like for the average sober person too.</t>
  </si>
  <si>
    <t>Vaping I’m 15 (yes I know I’m young) and I’ve made some poor life decisions and I’m now addicted to nicotine. Does anyone have some advice on how to quit without having bad withdraws</t>
  </si>
  <si>
    <t>So, I've been smoking weed since I was pretty young, I'd say 13-14. I Tried X once, did my fair share of psychedelics since I was 18ish, and I've never really been too much of a drinker other than the occasional wine or beer with acquaintances. I'm a few months from 20 now, and I'm moving forward with my goals of working in the medical field. Furthermore, I'd like to go to medical school in a couple of years actually but right now I'd like to start as an EMT/Paramedic and get hands-on experience I wouldn't really be able to get elsewhere prior to med school. Furthermore, I've wanted to go into the medical field for as long as I've been able to think about a profession but in my struggle with my mental health, I've more than adequately self sabotaged more than I'd care to admit and maybe even more than I know myself. With that being said, classes start in January which means no more drugs for this guy. Not just for the sake of the job but for my own and the sake of the people whose wellbeing will be my responsibility. I haven't done psychedelics in a couple of months and have done a good job with not touching them. I'd have to say I'm proud of myself on that note, actually. However, I know kicking my best friend since I was a preteen will be a bit tricker for me. I'm thinking I'll smoke one last time with my friend before I say goodbye for good but as of tonight I have smoked my last bowl as far as on my own. My question is what advice does everyone have to keep myself from smoking and staying consistent over the next few months until classes start even after. I feel like once the semester starts It will be easier with all the classes and work keeping me on my feet on my mind off wanting to (or maybe the complete opposite.) But the next few months are different, and I really want to stop now and give my brain time to start fully resetting. I also just don't want to be that guy who can't/couldn't cut his habits until the last week before classes.</t>
  </si>
  <si>
    <t>Started gambling using the online apps it's been a year and half and have lost a couple of thousands of my parents hard-earned money, and I've tried to quit before but I think to myself maybe one last time, and I'll recover all that I've lost and end up losing more money Now coming to masturbation it was normal for me to masturbate 2–3 times a day then I went to college and not having privacy reduced the frequency, but now I'm back at it again and I need it to stop I've been having terrible thoughts and I only realize it after I cum any help is appreciated.</t>
  </si>
  <si>
    <t>My fiancé and I are both recovering addicts. Her DOC was of course meth. This town is full of it, and I'm so fed up with what it's doing to the people I know and my community in general. But personally. She's made an amazing recovery and I couldn't be more proud of her. We are very happy together and are getting ready to start a new chapter in our lives. However. I just discovered she is using again. When I bring it up casually she changes the subject.or out right lies about. Which breaks my heart. Our relationship is strong. And we still couldn't be happier. She keeps it very well hidden that she's still using. But over they weekend my worst fear came to light. I found the stash. Syringe.cotton.spoon.bags.one still containing a decent amount. I have no idea what to do. Or how to bring this up. I refuse to lose her to this nasty ass drug. How do I bring it up that I know? How can I bring it to her attention that it needs to stop without causing a ripple in our relationship. Someone help me. Please.</t>
  </si>
  <si>
    <t>When I say 'getting clean', I don't mean just staying abstinent, I mean fully changing my mentality, my habits, and my bad habit of lying to cover up the drug. I(21m) have been struggling through the addiction of weed and nicotine since 17 years old, and it has taken a huge toll on my friends, family, and my current girlfriend. Recently I had gotten off of probation for possession of wax (dense THC) and shrooms. I extremely found it difficult at the start of probation to find a sense of reality and just felt that I didn't know anything anymore. I didn't know how to trust myself, how to find it in myself to become the one before I had used any type of drug. During this probation period, I got myself to the point of not knowing whether I'd go to prison or not purely on the fact that I couldn't find it in myself to stop.</t>
  </si>
  <si>
    <t>I thought my SO had been clean for 2.5 months, but the last few days I've just had a feeling he was using. I bought a drug test from Walmart, he said he'd take it then put it off for 2 hours. He finally did, and it shows positive for meth, amphetamines, and THC (I expected THC). Before I showed him the results I asked him if there was anything he needed to tell me. He said no. So I showed him the results, and he said "guess you need to buy better tests". Is there a chance these are false positives?</t>
  </si>
  <si>
    <t>My partner has a long history of drug abuse and a family history with alcohol addiction, so he takes his health and lifestyle very seriously. Lately he has been suffering with more frequent headaches so he smoked some weeds. He told me these first times and invited me to join, which I don't mind. But yesterday, I told him that we have to try to regulate our smoking and drinking habits, and he tricked me into going to the toilet so he could do a bong puff. I haven't reacted badly, I just froze and internalized my confusion and concerns. Then this morning he had another puffed before school and told me that he did that to cure his headache. I worry and not sure what to do or how to react...</t>
  </si>
  <si>
    <t>Is anyone aware of rehabs that do senior centered physical rehab as well as addiction mental health programs? My pops are basically on the precipice of being put into a retirement community for his severe neglect and depression and alcoholism. I think he could turn it around and enjoy more independent years, but he will need an intensive inpatient/residential therapy. He set himself up for long term care insurance, but I don't think he will thrive there, just slow his decline.</t>
  </si>
  <si>
    <t>With my honest assessment, I'd have to say that I became an entertainment, self-improvement information and video gaming addict. I say this with an intent to convey the fact that these things in themselves may not be addictions, but currently, I'm doing them way too much, and I don't experience pleasure from doing/achieving the regular stuff or any desire/drive/motivation to go through the hard things in order to achieve something or to be of service. Like... I know many things that I could do in order to improve my life and possibly others' too, but I simply can't force myself to do it quite often. A few months ago I've had a great drive to grind one video game, I've done it for a couple of months almost non-stop. I felt great, I was excited, happy to do it and it was my goal. Now, I don't have even a few % of that drive and motivation to do the same thing. It became literally boring and... I don't know, dull maybe? While I'm not depressed in the mood sense (Feeling sad), but I'm lacking any drive, ambition and desire to do anything meaningful (even though I intellectual understand and know those things). It's just like I have to force myself constantly to do anything (except for watching Netflix, porn, eating very tasty food and playing video games --- switching these activities constantly because one of them could get boring pretty quickly). My main point of the post is as follows: how do I create the reset? The doctors and scientists that I've referred to in the title have mentioned in their interview that abstaining from the activity could greatly help in resetting the dopamine (which in turns raises the pleasure levels of more normal/less stimulating things/activities and possibly raises the desire/motivation to do things). Which behaviors would fall under stimulating activities and which not? I think of reading books, learning new skills, being socially active (hanging out with other people and getting to know new people). Which of those are actually the ones that would add to the problem? I'm thinking of travelling to another city to my grandma's place for a month at least, spend time with her without brining my smartphone or computers (thus, I'd have no way of constantly sitting on them and doing those things). Also, I'm a bit of a food junkie, but I know of ways to prevent myself from doing those things (giving away my wallet and finances to grandma while I'm there). In summary, I think of meditation, physical exercise of various ways, reading books, spending time with grandmother and conversation with her, eating regular food and drinking water/teas, going for walks by the sea and in the nature, maybe even riding a bicycle. Do any of these activities stimulate enough for the dopamine reset period to be less effective?</t>
  </si>
  <si>
    <t>My boyfriend has been clean of meth and heroine for what I thought was now just over 5months. that's as long as we've been dating a lot of shit has happened within these months he moved into my place away from the city he was in and people he was around. It was going to be a new start, and he other night IDK why I did but I did. I had a weird feeling and I looked through his phone while he was asleep. I know it was wrong and i shouldn't have done it but... I found text messages to #s without names and him asking for another set of windows. He doesn't know anybody here, and he met our neighbors which I'm sure are on crack. So I saw these messages and, i have MO clue how to try and bring it up without making it seem like I'm attacking him, I just want to help him. I've never been through this with someone I've cares so much about and I'm at a loss.</t>
  </si>
  <si>
    <t>I have a friend, she’s has been hooked on nicotine and weed for years now. As of late I think it’s gotten worse it’s starting to affect her more. She’ll joke about how it’s hurting her nonchalantly then go and get high 20 minutes later. I really want to help her, but I don't know how, even if I did I don't know how to introduce the idea. It’s kind of silent agreement between us to not talk about it since we’ve gotten in arguments over it before</t>
  </si>
  <si>
    <t>I'm 17 and I just need advice? Hey so I've been using painkillers and literally any pills I can get my hands on since I was 14, and recently I had an overdose, and it was really shit, and I try to take a break from using but just can't. Every time something stresses me out I go back to it, I got sick last year n I was on prednisone and taking Benadryl almost daily, and now I can't feel normal without it, I can't sleep, and I'm just so tired I physical can't stop using, but I'm horrified of asking for help especially because my family is religious</t>
  </si>
  <si>
    <t>My name is Johnny, I am a recovering addict who has a little over 3 years clean. I see a lot of post with people asking how to stop using. You got to really want to stop using for that to happen, you have to work really hard on your recovery. Meetings, sponsorship, depending on the severity of your addiction you may need to take the time and go to treatment. I promise you this when you make that choice to get clean your life will become your dreams. I did over 7 years in prison due to my addiction, I lost family, I lost friends, addiction takes everything. Instead of trading everything for 1 thing that makes your miserable, trade that one thing for everything that way you can have the life you dreamed of. God Bless you all and remember recovery takes time. But as time goes on it does get easier that I promise !</t>
  </si>
  <si>
    <t>I’ve been battling with drug addiction for many years now. And have gone through the usual protocols of learning what my triggers are and avoiding them/eliminating them. I’ve only just realized that a major trigger for me is certain music artists. Having had to cut ties with people I love to avoid using again Anand having to cut out a huge chunk of music that I love seems too much to bare. It is what it is I guess. All for the greater good.</t>
  </si>
  <si>
    <t>I’ve been a daily user for over a year now! Only days I would not touch anything is if I’m in bed asleep all day! I’ve now opened up to my wife who hasn't had a clue all this time as I’ve had enough now and want to get off it!! Luckily she is amazing and has stuck by me and trying to help me through it! Anyway I’m hoping for some tips? I’ve started trying to cut down and only have 1 half a day! (Usually would have at least 2g?s a day!) Is that ok to start with? As don't think I would manage going cold Turkey!</t>
  </si>
  <si>
    <t>So basically I'm not sure if this belongs specifically here, but I'm an adult that became reliant on deliveries and takeaways to manage my depression because I couldn't make the effort to feed myself, so I spent a lot of my own money even though I know it was bad. I also had an account that was linked primarily to someone in my family's account, and it would default to them without realizing, so I have spent a lot of their money as I wasn't keeping track as my brain was in a fog particularly in lockdown. Anyway I think they're going to find out imminently and I can't bear it I feel so sick and so sorry, and I'm stuck at home for the next few days in the same house but it's my birthday, and I obviously don't want them spending more money on me but don't know if I should tell them or not before I leave because I feel like it would be worse to say whilst I'm there? But I also don't want them to find out before I've told them and don't want to accept any presents. I really need help because I can't sleep or eat and I feel so sick like I can't bear to live with myself. I don't know what would be best to do, please help me. Obviously I will pay them back, but it will take some time.</t>
  </si>
  <si>
    <t>So I just got back from rehab earlier in this month I’ve been doing good I guess. My drug of choice is heroin and meth. I’ve recently picked up using again and I’m going through $100 on crack cocaine a day sum heroin here in there and Xanax anything I can really get my hands on, and I can't fucking stop. What should I do I’m on probation right now and I’m really not trying to go to jail, but I have no self-control any more I can't stop for the life of me.</t>
  </si>
  <si>
    <t>So my partner (m24) has a drug past and had lost control over parts of his life. Somehow he turned things around though, only the weed stayed in his life. When we met 1.5 year ago he was off stuff other than weed and the week of our first date he took cocaine for the last time. He wasn't doing it regularly anymore at that point, but it was at a birthday party he went to. By now we live together and as much as I don't understand the weed-smoking, and as much as I think he should stop as no addition is healthy, no matter which what shit it helps you to deal, but ok. I try to tell myself that it’s not necessarily worse than e.g. drinking. And he does his stuff you know? He works, he takes care of things and himself and me The last weeks he kept talking about the urge to do harder drugs again and I didn't know what to say. I’ve never been in touch with drugs and I don't understand it. I do understand addiction and I also see that it can seem like a ?good way out? When other things in life feel a bit off. I told him that I will not tell him what to do and what not. He is an adult and there is no need for me to control his life and actions I was gone over the weekend, and he just told me that a friend was over, and they did some cocaine last night. And I freaked out. Not on him but internally. I’m not home yet, on my way for a few more hours, and I have to go somewhere with my emotions. I didn't think I would be that surprised/worried/angry about it. And I don't know how to face him and what to say when I get home as I didn't even know what I feel right now. He keeps saying it was a one time thing, he just wanted to feel this kind of high again, and he had a long year and stayed clean. He won't do it again, he just needed a night of letting off steam. I want to believe him but I’m worried sick?</t>
  </si>
  <si>
    <t>Someone close to me is addicted to their prescription medication. They are on an extreme amount of pills at VERY high dosages, and we all do not know how they are still alive. It's been well over a year (or two?) and they are worse than ever. They have hit their lowest point and finally agreed to get help, however we are at a loss on how to find it. Everywhere seems to want thousands of dollars for treatment and we don't have any money. They claim their doctor knows about their addiction (not sure if I believe this). I was hoping someone here might know anything that could help. We live in Canada. *I am not sure the nature of the medication, just that most of them are the highest pain relief meds available *I just joined this page, sorry if this post is not allowed.</t>
  </si>
  <si>
    <t>He (24m) has had a severe problem with alcohol and coke in the past (tied into severely depressed, sometimes suicidal thinking) before we got together. I never actively did anything to change his behavior, but apparently, as a result of us being together, he completely quit intoxicants. Fast-forward a year to now: he/we have been through a lot, including two major moves across the country for him, one of them to avoid drug triggers. Now, he's trying to finish trade school alone (I couldn't go with him, at least at first) and he's started a major slide-- one that has him scared he's going to just go entirely back to his old behaviors. As far as I can tell, this is a result of a combination of loneliness/boredom (it's a very punk town) and very bad influences (his classmates.) As an immediate bandied, I'm getting him out of there and home to his parents house for 2 weeks while we figure shit out. If he leaves school, he could potentially lose out on a lot of time and money and I don't think that would help his mental state at all either. Staying at school by myself and going to rehab or therapy isn't an option, because I can promise there are no good options where he is (unless we're talking online, but still.) The only solution I can think of that hopefully results in him finishing school without fully relapsing is relocating to be with him as his support system until he finishes school, then getting him back home again to get help. Am I being totally delusional thinking I can help him alone, even in the short term? I did it before without even meaning to, so maybe I can do an even better job knowingly? Or am I just setting him up for an even harder fall? I just want to give him whatever would be the best help, short-and-long term.</t>
  </si>
  <si>
    <t>I would like to know some tips on how to deal with a person who has an addiction, my girlfriend deals with it and I don't know how to help, and it ends up hurting me and hurting her even more, so if someone can help me, it will be great... thank you from the bottom of my heart</t>
  </si>
  <si>
    <t>I don't know if this is the right place to ask this but for about 5 years I drank 6 cups of coffee and had 2 hours of sleep while doing my GCSEs now I'm in college and I can't stay awake I have the occasion coffee, but I haven't had one for about a week, and I've just had one now I feel like I'm having a Heart attack and want to rip my skin off but not to self harm (if that makes sense) any help would be really helpful also m 17</t>
  </si>
  <si>
    <t>My Partner has had pretty severe opiate addiction problems in the past. He is doing okay now but had relapsed a couple of times while we have been together and while he was on Methadone. He has done incredibly well so far, and has been able to microdose onto Suboxone. Furthermore, he also struggles with depression. In these states of depression, I worry that he may start using again. I feel wrong to automatically assume that if something is wrong with him, that very likely it is drugs. I don't want him to feel so down on himself and I don't know how to help. Furthermore, I also want to give him the benefit of the doubt, because I know it's hurting him to think that I am not trusting him. It is just hard to have trust when I have been hurt in the past by his addiction. I don't know how to walk the fine line between respecting his progress but also being cautious. Any advice? Thanks!</t>
  </si>
  <si>
    <t>I admit I am addicted to cocaine, and recently started doing molly as well. My girlfriend and I have enjoyed partying on the weekends, but while she has exercised a lot of self-control and hasn't succumbed to impulses, I have. I actually have times when I just do it without actually thinking it through, and this time I’ve really messed up. I did it at work, after using my girlfriend’s money to get it, two things I promised her I wouldn't do again. Furthermore, I am freaking out because I legitimately cannot live without her, and I need to fix this if I want to not die. Furthermore, I am open to any help there is, so long as it doesn't involve stupid stuff like accepting a life without my girlfriend, because that’s literally what I’m trying to avoid.</t>
  </si>
  <si>
    <t>My work addiction, eating addiction, compensatory exercise, and occasional self-medicating porn might be enmeshed. How to determine about one-by-one approaches and/or all-together approaches? There's Rumination about body too - not sure if that's an addiction,</t>
  </si>
  <si>
    <t>So, my husband has been using hard drugs the past year following his relapse by not having Suboxone for a day or so. He's been using fentanyl, heroin, Roxie, and now I found he's doing fentanyl again and "girl" which I think may be heroin. IDK. But I don't use at all. We have been married for almost 4 years. He's been on and off sober (longest was maybe a year and a half). But this last relapse it's been awful. I don't even like being around him anymore.He's mean, he sleeps all day, nods out, doesn't help me with anything (we have two energetic huskies). Granted sometimes he will help me take the dogs out, but that's if he gets a shot in before. My car got reposed, my cards are maxed out and now I'm being sued by my credit card. We are both on UE, and he uses most of it for drugs. We go without a lot. And half our stuff he's taken to the pawn shop. It makes me so unbelievably upset and I'm his only support... But how much can one take when you get manipulated every day? When you can't put your foot down because you get threatened to get kicked out (even tho we live with his parents) and I have no car to leave, no money to leave half the time, and he says if I take the dogs then in stealing then. And that I can't take my phone either because he pays for it (he hasn't paid for it in almost 3 months) He spends over $100 a day. It breaks my heart, and now we have a car accident settlement coming out, and I fear if I don't get him into a place he will die, or I will have to leave him. He had agreed to go to rehab, I obtained health insurance for this purpose, and now we have to wait till September 1st... IDK if I can wait that long. My bank account is just non-existent. I feel stuck. He cries to me and tells me he hates this but then turns around and gets mad at me if I try to talk to him. What am I supposed to do?! At this point I hate who he has become... Sometimes I just leave the house and go sit in the woods to get away. I hate that he can access my stuff and makes me feel like shit because he will be sick if he doesn't get his "medicine". I blame the Suboxone for this relapse.I do love him and been with him through the ups and downs, but this is almost to the breaking point. Update : The health insurance we couldn't pay in time. And then he cries and tells me he's going to a rehab closer for free... But how do I know if he's actually going to this time and take it serious.</t>
  </si>
  <si>
    <t>So I've struggled with this idea that the medication that I'm on for sleeping that I'm abusing it. The dose that they gave me my doctor said to play around with it a little bit to see what makes me feel the most comfortable and I played with it a lot and found that it could make me feel perfect but also have no memory and no control over my actions. So fast-forward I decide this medication seems to be detrimental to my relationships since I texted a lot of people random things, and they got scared for me, and I was taking more and more of it. So I stopped and went off of it for like 6 months went back to the doctor, and she turned in my old scripts including the one I'm abusing (I didn't know how to tell her that it's hard for me to take this medication) and so when I go to pick up my prescriptions it's in there of course. Had it in my house for probably like a week or two didn't take it but then one day when I was home alone I took a lot of it and went back on like a 3-day mania binge. I know if it had been an opiate I would have died. I took so much medication before My partner came home and kind of helped try to slow me down. It took me a few embarrassing days to come down and like to reset. Now I'm really scared that this is going to keep happening over and over and cost me so many relationships. I can move on I know I can and cut it off cold turkey but when it's offered to me, I don't know if I can say no at that point. And sometimes like the nightmares and insomnia and that I get this medication really helps with those nights when I can't sleep. And I'm currently really needing to take something because I can't sleep for more than and half and a half a time because of PTSD flashbacks and nightmares. I know I can't keep going forward and ignoring this obvious pattern.... But I don't even know what my next step is.... And I'm so horribly ashamed and sad and scared and so many of my friends are just keep texting like are you okay because they have never seen me like that....</t>
  </si>
  <si>
    <t>I’ve come to realize I need to have at least one addiction in my daily life. First, it was smoking when I was in college. Then I quit, but started drinking alcohol instead. I then went to see a psychiatrist to quit drinking and started taking Lexa pro for anxiety. Now I’ve stopped taking Lexa pro too, but am back to smoking. I realized I crave a way to ?end the day? With something that’s supposed to be relaxing and stress-relieving, like alcohol, cigarettes or anti-depressants. I usually spend the whole day just feeling anxious about every little thing, then at night I would crave that stress-relief substance, whatever substance. I’ve tried meditating, practice mindfulness, breathing exercises; I have so many hobbies like painting and interior design. None of that helps me satisfy the cravings, like they're not strong enough serotonin boosters. I don't want to be a slave to these destructive habits, and I don't want to keep fighting one addiction after another for my whole life. I've made an appointment to go back on Lexa pro. Anti-depressants might not be the best solution, but I figured it's better than alcohol or nicotine. Therapy is very expensive where I live; a one-hour session is more expensive than a month's worth of alcohol and nicotine. Maybe in the future I will see a therapist when I'm more financially capable, but for now, does anybody have any advice on ways to stop craving bad habits as a way to relief stress?</t>
  </si>
  <si>
    <t>My father-in-law lost his wife a month ago. He’s a mean narcissistic person who was drinking on and off for years - but now he’s really into that stuff. He’s totally helpless without his wife but he despises even the idea of therapy and denies that he needs help with alcoholism and his chores. Furthermore, he is ?men are though? Kind of guy. He tries to find meaning in life after the loss and that’s a good thing, but he fails as his narcissistic defenses make him unbearable for others. He had blood cancer, in remission. As he is an older guy and not with the best health, we, the family, are thinking what might help him. Among options, rehab therapy looks promising. But it’ll cost us a lot of money. Is rehab good for older people? Because we never had any experience with that. Will a long term rehab like 8+ months be helpful or is it a lost case? Are there different programs of rehab centers? We only researched into 12 steps, is it the only rehab program used? Thoughts, experience anyone?</t>
  </si>
  <si>
    <t>Never thought I'd be in this situation, but thanks in advance to anyone that can lend some advice. First, this takes place in Canada. I'm getting married this weekend and a month ago I myself happened to discover that my future wife's father has been injecting/smoking meth. My wife's family is a fairly well off one, that I would never have expected this to happen to, however I do understand that socioeconomic status does not always play a role in the life of an addict. Since making this discovery I have brought together the siblings and the aunt and uncle so we can move as a team on this. Things with our plans were coming along well, until last night when I came across a lot of paraphernalia in the locked master bedroom while assessing a previous shower leak they had. They were out for the night, so my wife and I stopped in to feed the cats and I figured I'd assess while I was there. There were the following items present. 2 water bongs with crack/meth bowls on each 4 jet lighters 2 bags of meth clear and yellow 3 pipes 2 pairs of tweezers And a random assortment of empty bags I'm very concerned that the mother might in fact be involved, but the strange thing is that the parents' marriage has deteriorated significantly over the past 3 years, with the father disappearing sometimes for days on end. They are 60 years old. Any opinions or suggestions on this matter would be greatly appreciated Edit* I should also note that this has always been an incredibly close family that I grew up around most of my life</t>
  </si>
  <si>
    <t>22 (f) sober since May 2021? It might be extremely overwhelming for anyone to watch especially if you’re overcoming addictions. However, I think this show inspires intellectual and necessary dialogue about addiction, love, being a young adult in an unforgiving world. I encourage anyone struggling with addiction to watch this show it’s on HBO Max, if you can't access PM me &amp; I can share how to access - truly because I think it’s an important watch? It actually helped me realize I overdosed (didn't even know it until I watched the episode) [fell asleep &amp; my boyfriend came in the room to me snoring (death snore) &amp; stiff, unable to wake me up - he tried slapping me everything until I eventually woke up, unable to recollect what had happened. - after that I watched euphoria, and once I finished the show I decided to start my journey for recovery. I encourage it because while it’s touchy it happens to be one of the few shows/movies that actually TALKS about addictions, love, LGBTQ+, death, finding yourself?. Just want to say viewer discretion advised due to the heavy topics discussed. I'm here for anyone that needs a friend or a place to vent, you’re not alone &amp; you are loved more than you can imagine</t>
  </si>
  <si>
    <t>I am new to this Subreddit and I just want to know if this it the right Subreddit or if you recommend any other for me? I've been in a relationship with my current boyfriend (28yo) for almost 3 years. The past 2 years have been extremely tough on me, between COVID-19, being in a foreign country and what I thought it was me the problem that was causing my BF to ignore me. It got to a point that I’ve been going to a psychiatrist, and I am officially severely depressed and about to start taking medication. He has never been a social person or wants to go outside so much but it’s been getting worse, always calls me selfish or thinks I’m being selfish for inviting him to go to a bar with my friends or asking if we could go and watch a movie! Last week he freaked out about a trip we made that he didn't want to go, but ended up going to ?make me happy? And just ruined the trip to me and his family and asked to leave a day earlier. He kept saying how selfish I was. He doesn't want to commit to anything. Furthermore, he just wants to do his own thing which is laying down in bed, eat, sleep, repeat. Since I’ve met him he smokes weed and I had a problem with it in the beginning because it’s not common in my culture or very popular from where I am from. But eventually I got over it. After the trip, I was just afraid and a little bit of grossed out of his attitude and reaction towards everyone, so I had a conversation with him and told him that I was going to move out. Then it’s when he started to admit that he needs help that he is addicted to weed and he couldn't see how much this affected my mental health and self-esteem. I’ve been reading about people with weed addiction and sounds like I’m living with one (which I had no idea) I guess my question is, because he wants to improve and quit. What can I do to help, and would it get better? Or should I just leave and make him deal with it on his own? I am terrified that whenever he craves weed I’ll be the one who gets the blame for. Just to clarify: he was the one that told me he had a problem which I was super oblivious about. I never asked him to quit or conditioned him of me leaving if he doesn't quit. He brought this up</t>
  </si>
  <si>
    <t>I’m looking for a guest to be on my podcast this evening that has suffered the loss of a parent or a loved one due to addiction. I am unfortunately, currently experiencing this. Furthermore, I know this is a tough subject to talk about but anyone open to talking with me, I would greatly appreciate it.</t>
  </si>
  <si>
    <t>Well, let's just cut to the chase. When I was very young (3-6) I remember clearly I needed to suck on a pinky, all day, every day, even when sleeping. And, when I didn't have it, I got this uncontrollable itch, which I could try to subdue and distract myself from, but it was so awful not having it, I couldn't stop it for more than a minute, it was like the most awful feeling in the world. Slowly over three to four years I eventually quit resulting in a huge overbite and a lot of money spent at the orthodontist. I remember, one night I went to sleep without it thinking "Woah, is this what everyone else feels... then why doesn't it feel normal?" Anyhow, now looking back on it, I brought it up to my parents, and they say it wasn't a real addiction, and I'm just blowing this all out of the water. And I'm wondering, was my situation legitimized, or am I getting the wrong idea?</t>
  </si>
  <si>
    <t>I don't know if I should be writing this but I’m a 12-year-old boy who can't stop masturbating and it’s getting bad. I want to stop, but I can't and I’m too scared to tell my family because of the consequences can anybody relate to me and give me some tips on how to stop?</t>
  </si>
  <si>
    <t>I used heroin 10 years ago when I was 17. I wasn't in too deep and I quit it on my own. Furthermore, I was doing a lot of drugs in general at the time and a lot of disastrous events led me to change my relationship with substances. So basically by a couple of years later I’d really made myself into a non drug person. And now the people in my life don't even realize that I have this kind of thing in my past. So over the course of the past couple of months, I’ve done something bad. Not that I’ve actually done the drug, but I’ve let myself ?fantasize? About it. At first just a little when I was bored or stressed. Then just like the drug itself I did it more and more and have triggered myself into a crazy addict state of mind. I can't hardly think about anything else. My brain is hatching schemes on how I could obtain the drugs. I’m wishing they would just fall into my lap somehow. I’m remembering what it was like to stare at my phone all day waiting for a drug dealer to text me back. It’s like I convinced myself there was nothing wrong with playing pretend, and now I see that even just doing that is a slippery slope. And I feel like I needed to confess this to people who get it to get it off my chest and out of my system.</t>
  </si>
  <si>
    <t>For about a year, I’ve been browsing this website daily without relent. I’m aware of the consequences that I can have in my body and mental health, but I can't make myself stop. Whenever I feel the urge, I simply can't snap myself out of it. I’ve been attempting to self-discipline myself, but I need other methods or advice.</t>
  </si>
  <si>
    <t>A couple of days ago I took two green Xanax. Not really sure why but it has become a habit. I’ve just been taking them when I’m bored and like candy thinking back to that day and the days before. I got into a fight earlier in the day, almost got arrested a few times, then, I ended up crashing my car. Flipped it. I didn't have my seat belt on or anything and totaled my car. Somehow I managed to walk away with some bruises and a sprained or broken ankle. Not really sure because I left the ER once the ambulance brought me us I wanted to go smoke. Literally. Same thing with me going a second and third time. Last night, I ended up wrecking a rental I got. This time it wasn't entirely my fault really. Anyway, people were telling me to stop because of what it does to you. And I didn't think anyone knew what they were talking about, because who knows me better than I know myself? I went to a NA meeting Friday and I didn't feel like I was an addict. I mean, I feel like I function fine. Minus the tweaking out part sometimes. So am I an addict? Or? Is it a minor phase in my depression to where I don't have to label it as that?</t>
  </si>
  <si>
    <t>Most people are disgusted when they gain a lot of weight. I get a huge dopamine rush when I see high numbers on the scale. Logically I know it's wrong, but I just love it emotionally. I love the feeling after I overeat and feel bloated. I read a little about overcoming food addiction, and it says I have to stop eating the foods I'm addicted to. Furthermore, I don't want to never ever eat my favorite foods again. Furthermore, I'm not ready to give them up, but I still know I should eat healthy. Right now I'm 6'1 and about 290lbs. I'm excited to reach 300, but also afraid of diabetes. Does anyone have advice on what I can do?</t>
  </si>
  <si>
    <t>To make a long story short an extremely close friend of mine has taken up smoking about ago as a form of stress relief. She said that she smokes on weekends, and that vapes hurt her throat so she uses cigarettes. How should I go about helping her stop this habit without applying too much negative pressure on her? So far I have asked her to find time to talk about ways to lessened her need for smoking, but this hasn't happened yet due to life circumstances.</t>
  </si>
  <si>
    <t>I am 17 months sober and in an Entrepreneur program and my potential business idea would be treatment center and/or sober living house and wonder if there’s any professionals I can ask about the industry for my assignment?</t>
  </si>
  <si>
    <t>I'm looking for some advice on something that makes me worry about my moms safety. SO, my oldest brothers addiction to drugs (we assume meth) has gotten worse throughout the years. He is 44 and currently lives with my mom. Lately and more often, he has been doing weird things and just not making any sense. For example, he has stolen and sold her TV from her bedroom. He has also had the door knobs for her house replaced which locked her out. She had renovated the house last year and last week he decided to make a hole in the wall and says he's doing some renovations. I think she's kind of scared of him and truthfully, I'm scared for her. She talked to the police about the door knobs, but they said there wasn't anything they can do as he lived there as well?? She wants to go back to pick up some of her things but wants to ask for a police escort (which she isn't sure they will do) She wants to get him help, but she doesn't know if he will accept it and doesn't want to get him committed as she is scared that they'll only pump him full of more drugs. Also, kicking him out doesn't feel like much of an option to her because he seems to be at that point that if he wants to make his way into her house, he'll find a way. (She lives on a reserve so it's not like there is much security to help him stay away. Also, getting him banded from the reserve doesn't help as if he goes to a city, he'll only be on the streets and homeless). I get that this is heavy and a lot, but she can't be the only one going through this. Any helpful advice I can pass along to her would be amazing!</t>
  </si>
  <si>
    <t>I’m honestly not sure where to start. It took me a while to get the courage to do this. I’ve struggled with undiagnosed ADD my entire life. I got by in high school well enough, but the classic, If you would just apply yourself, you would have straight As? Line was buried in my brain for longer than I can remember. I don't want to focus too much on the reasons why I ?need? Ritalin, but long story short I was diagnosed with ADHD, primarily inattentive disorder, and a general and social anxiety disorder. I put need in quotes because I know there are a lot of ways to help without using chemical help, but I’ve tried therapy and all I got from it was a few days of depression after opening up the scars and then doing it all over again. Prior to that, I'm done a lot of self-medicating and used terrible coping mechanisms. By my senior year of high school, I had become addicted to cocaine, and had bad habits with various other substances. Anyway, now that I’m diagnosed and have access to 30 20mg and 30 10 mg, crushable, pills. The joy I get from crushing them up and splitting two even lines truly terrifies me, and I have trouble sticking to the script. I mean big trouble. I ran through 10 of each dose the day I got my most resent refill. This is my third refill and I’ve struggled with all 3, but I’ve justified it because I’d finish my script way too early, but experience no withdrawals or cravings knowing there was nothing to be done but wait. I want to ask my psychiatrist for capsules but the idea of him knowing why freaks me out. This was supposed to be my breakout semester and I’m super excited to get into it, but I need to reign it in and quick. I'm also really scared to tell anyone and I'm afraid if I seek professional help I’ll be ?blacklisted? From any prescription and I can't lose my prescription. I’ve already asked one of my roommates to take the two scripts and hide them away so I can detox until school starts but I’m concerned I’ll fall back into my ways when it really matters. I can't afford to fail anymore. So yeah any advice would be great. I’m really not into professional help, but I know it’s possible I might have to bite that bullet. I plan on using the free counseling offered by my college but guess I’m writing because I don't want to feel alone in this fight anymore and this is much less anxiety inducing than disappointing the people I care about most. Furthermore, I feel like that was a lot so sorry but it felt good saying it all.</t>
  </si>
  <si>
    <t>My younger sister says she's ready to stop using heroine, she's tired of always being sick, and she can't get past the withdrawals to get clean. I sent her a month's worth of atom (red vein), and she's decreased the amount of H (was about a gram a day), but still smokes it. I just sent her more atom, and the advice I give is no good as I've never been in her shoes. Furthermore, I'm looking for advice, tips, tricks, anything to give her to help her get past the sickness and everything along with it. Furthermore, I've never done H, so I can't relate what she's going through, and don't know how to help. Furthermore, I told her I would really appreciate it if she'd stay away from any methadone clinics, and try not to go the Suboxone route</t>
  </si>
  <si>
    <t>So at this moment I'm in rehab for a detox treatment and this weekend I'm getting released to the wild again. I know that the odds off a relays are against me. I don't want to relapse I don't want to go true this shit again. Furthermore, I have been here before with the same mindset and the same running start. Furthermore, I'm afraid, very afraid.</t>
  </si>
  <si>
    <t>I haven't done drugs for a full year. Yet if I accidentally wake up at 4,5 am - my body immediately reacts to the rising sun as if it's 2016 again and I've done an entire 8-ball. My body will feel like I'm coming down. And it won't go away for hours. Sometimes I'll get the "come down" feeling while doing normal day-to-day things. Why does my body make me feel like this?</t>
  </si>
  <si>
    <t>I'm extremely new to Reddit, but I figured I could get some good feedback on the platform. My closest friend and I are heavily addicted to nicotine. It's been about 4 or 5 years since we began vaping, and later on smoking. She developed serious throat and lung problems due to excessive use. It's come to a point where she can no longer eat or drink certain things because of her body violently rejecting it. She continues to smoke, vape, etc. It has made me really consider changing the way I go about my life, and am currently leaning off of drugs. She has not. Though her views on life are very different from mine, I want to help her. This morning she asked me to take her cigarettes and vape and leave. So I did, and I knew she would want them back. Though I told her I would be taking her seriously, I did not expect for it to be so difficult to watch her go through so much pain. I don't know how to help her right now, but I'm offering her as much as I can. She has called me crying and screaming multiple times, and I understand that's part of quitting a severe addiction. I'm worried she might never forgive me, this all might change later, but I'm not sure. I love her to bits, and I want to see her doing better, I want to see her future. If you can give me any tips, advice, or support please do so.</t>
  </si>
  <si>
    <t>I used to masturbate till 3 months ago. Now when ever I see some disturbing posts I try to avoid feeling it. After me sleeping I get a flash of some video which I have never seen before and I wet the bet. Is this common ? Or I am in some trouble?</t>
  </si>
  <si>
    <t>I need urgent advice on how to help my brother with his addiction. Since he left for college he hasn't been the same and is exhibiting signs of schizophrenia. I used to think it was just a mental problem but I know believe it's because of his drug use. He experiences delusions and thinks we are spying on him and I also see him talking to things that aren't there when he is high. He is very paranoid, and he is also stronger than me and my mom so it's scary when he is having an episode or freaking out because he thinks we stole millions of dollars from him. I recently confirmed his drug use when I saw him with a Marcan device but I've never actually seen him doing any hard drugs. We have had to kick him out because he threatened our family multiple times and we don't know what to do. we've never confronted him about his drug use in fear that he might lash out and try to hurt one of us. Please any advice would help. I live everyday on edge thinking he's going to come to the house and kill us. Any ideas on what drugs he could be using?</t>
  </si>
  <si>
    <t>I'm worried that I'm becoming dependent on weed. It's made me lazy and unmotivated and very disconnected with the world its made me feel depressed and completely numb with my emotions. Does anyone else have this experience. How do I get myself back ?</t>
  </si>
  <si>
    <t>So I have a problem. I want help. I’m train to do little drugs because I can't quit altogether because I need help doing that. My son has been going through a lot including head trauma and coded 2 times as well as jail and courts. I want to be there for him. I also don't want to just disappear because it would devastate both of my sons. My husband gets really pushy and aggressive with going away. He refers to me as a druggie and so on. Makes many accusations and says I’m delusional when I bring a problem between us, I feel like I’m not heard at all no matter how I tell him. He also demands that I give up the name of the person I get stuff from. He wants to hurt them. I understand but that doesn't help me Then I start to not trust him. He gets mad and think I’m choosing another man which I’m not at all. I want it to work and I want help. He pushes me away when his attitude of being mean that nice. So he tired again to force me to tell him. He said I chose him. I didn't. No relationship there except one thing. He wants a divorce now. When I want to communicate better he won't. When I ask questions he answers with a question and won't answer my question. Everything I say and the way he interpreted it is what I said. It doesn't matter how or how much I explain how I meant something. So o get angry. Then I’m loud and yelling. Then he tells me it’s because I’m on drugs.</t>
  </si>
  <si>
    <t>This is serious to me. My father is addicted to alcohol. I've been trying to get him to stop, and I've failed so far. Also, he can't help himself, he doesn't want to stop drinking it because he thinks drinking a bit of alcohol will give benefits to his heart or something. Is that true? Anyway he doesn't he drinks at least 5–8 bottles of beer, a bunch of wine, etc. Plus, I'm 13 and I don't have many options. So if you guys could help me in some way, that would be awesome.</t>
  </si>
  <si>
    <t>My ex recently overdosed with our child in the bed with him. I had no ideas he was using. He has been one lie after another. I really wanted to help him, especially for our child. How could he be so neglectful and then put me on blast, the rehab Romance is the best... I just don't know what to do, especially when I care so much.the authorities were called in, so there will be consequences, I am just scared. I need strength, because I won't play Russian Roulette with my child.</t>
  </si>
  <si>
    <t>Well, I had been doing great for about 359 days and then I relapsed. I went over to a place where I used to use, and a one night turned into a two-day binge. It’s a horrible feeling of loss, and deception. One thing that worries me is that we ended up in a motel, and I’m scared they might press some kind of charges for using drugs in the room. I’m going crazy here. Any advice would be great. I’m trying my best to stay out trouble and keep clean. If did it before I can do it again.</t>
  </si>
  <si>
    <t>First off. 22 days!! Never thought I'd (17m) make it this far, and I'm quite proud of myself. However, recently I started having doubts about all of it. I started wondering whether it was worth it to be doing all of this at such a young age since I really do want to experience a 'normal' life like other kids. I'm sure most kids my age are doing it all the time and aren't having issues with it. Furthermore, I was sort of curious on how I'd react to it after having abstained for such a long time. Furthermore, I thought the abstaining might have changed the way I react to masturbation. Furthermore, I haven't acted on these thoughts, but I'd like some advice regarding them. Also, recently the act of abstaining hasn't been the same as when I started. It's become more of an obligation, and I'm just mindlessly avoiding it. I feel just about the same as when I was doing it all where my emotions barely surface. Only difference is I'm not feeling down all the time.</t>
  </si>
  <si>
    <t>I don't have any addictions, so I just can not understand. But here's the story. So my boyfriend has a sex/porn addiction and I personally absolutely hate porn. I'm not asking him to stop completely, because I understand it's a normal thing and I probably just have my own issues, I just want him to slow down. I'm constantly catching him looking while we're laying in bed together, on the couch, and walking by him. He doesn't jack off to it, he just looks at it. We have sex minimum once a day and I always tell him I'll gladly please him in other ways any time, if I don't feel like having sex. He knows how much it hurts me. We've had multiple conversations about it. He says he's trying to control it. He says that he just kind of "blacks out" and doesn't think of the consequences when he looks. This makes absolutely no sense to me. I can't imagine doing something and just completely forgetting something that has been talked about over and over. This is a big thing to me, and it could be a dealbreaker if he can't ever figure it out. It really hurts me bad. I just can't understand why he doesn't want to look at me, feel me, when I'm right next to him. I just want to understand how addiction to something that isn't technically addicting, is a thing. Furthermore, I'd also take book or website recommendations to help me.</t>
  </si>
  <si>
    <t>I have a question about a situation that blurs the line of addiction. My partner (female) drinks at least 3–4 drinks (and more) every day and has for the last few years. That is considered heavy drinking by the CDC and various medical sources, and is linked to various negative health outcomes. She sometimes drinks enough to throw up. We are mid-30's, not the age where you don't know your tolerance, however she is not a sloppy drunk on these puke nights to where it's obvious it was a mistake. She rationalizes it as a related anxiety adrenaline response that causes nausea unrelated to alcohol (e.g. "the alcohol triggered my panic attack"). The reason I'm asking for help is to figure out if I should say something or not. Most alcohol addiction/abuse sources mention treating alcohol as an addiction when it starts to interfere in work or relationships. My partner has begun to have what I call "second order" effects, such as depression, sleep issues, mental clarity issues, and physical changes (whereas first order effects are obvious intoxication, missing work, etc. referred to in other sources as interfering with work or relationships). However, the link between second order effects and alcohol is not obvious -- i.e. she could be drinking to cope with another issue causing the depression and sleeplessness (a la self-medication). My partner has also recently shown other addictive tendencies within the past 5 years (obesity and online shopping). She has had alcohol abuse and cancer in her family history, which is part of the reason I worry about her classification as a heavy drinker in what appears to be a new normal and not a phase to deal with short-term stress. So, my question to the sub is: am I right to worry about long-term effects, and should I gently intervene? Or is it none of my business until she shows classic "first order" effects of alcohol interfering with life? Are there good sources for how to intervene in a preemptive health way, rather than the typical advice for how to intervene with a sloppy-drunk-obviously-alcoholic person?</t>
  </si>
  <si>
    <t>I'm not good at typing or articulating myself so bare with me. I'll keep it simply. Week before my 21 birthday we lost my father in my childhood home on hospice. I kept my shit together for my sister's and Mom but started using opioids" they were everywhere in Jersey then" and then kept getting worse from there. I couldn't get right so ended up on drug court, and they kept locked away and even sent me to BO. Furthermore, I was miserable and after fourteen months of jail with the occasional program breaking it up. Furthermore, I ended up running West after the judge denied my termination request. Furthermore, I'm three and half years clean now and restored my sanity some. Furthermore, I need to turn myself in, but I feel so removed from who I was then and that entire world and been really happy these past few years. Furthermore, I can't progress in life without handling this and turning myself in back in Jersey but like I said it's been so long since I've done anything even in that mindset, and now I anchored with stress and anxiety and IDK what I'm even r typing this for butt if you read it, thank you I appreciate you</t>
  </si>
  <si>
    <t>I recently found something I was passionate about and spent many hours each day working on it. This is a great thing of course and I felt great doing it. It was like a serotonin mania haha. However, the problem arises right after. As soon as I completed what I set out to do, I immediately looked for more and more things to do to upkeep the "high". It took just a couple of days' worth to get me hooked on it. After that I began feeling what I call "casual cravings" for porn. I say casual as I do not feel the horniness, but I still want to do it? (If that makes sense). Oddly enough though, as these cravings arose, my drive to work become of a similar cause; more of something I "need" to get out of the way.</t>
  </si>
  <si>
    <t>I just found out that my S/O (of almost 7 years) has been using meth for the last year. He's been smoking it in the house and we have 3 children. I'm angry, confused, and hurt. What steps do I take? Do I stay to help him? Get my kids out as quick as possible? Or what? I can't believe it took me this long to realize but looking back, all the signs were there.</t>
  </si>
  <si>
    <t>Things have gotten a lot better thankfully! The day after making my last post, my panic attacks randomly disappeared and never came back. I sleep very peacefully at night and wake up very refreshed which is a great change from how it had been. My emotions are flowing more and more, yet it doesn't feel like too much as often. At this point I barely ever think about porn which feels amazing. I've made myself busy every day and have plans to do many fun things after a small epiphany I had a couple of days ago. This left me feeling super hopeful and motivated (almost reaching the levels of motivation that I used to have). However, I've started to notice myself trying to do too many things and just hopping between activities. This is causing the days to become a sort of blur. I am also slowly losing the motivation in correlation. It may be due to my unusual sleeping habits (which I will fix by tomorrow) but I'm looking for any other ideas as to where I may improve. Much love!</t>
  </si>
  <si>
    <t>My loved one has been battling cocaine addiction &amp; unfortunately relapsed last night, they admit &amp; acknowledge that they have a problem &amp; that it effects those around them that they care about. They're wanting to quit completely &amp; I want to do everything I can to support them. I've researched cocaine addiction &amp; the effects it has on the brain &amp; body as well as how to support someone battling cocaine addiction, but all the information I can find seems to be shallow surface knowledge. Can anyone give me advice on how to better support my loved one as well as warning signs to watch for a possible relapse &amp; how I can help them through that so they don't return to using?</t>
  </si>
  <si>
    <t>The past few days have been a chore to get through. I feel like I'm once again losing myself and my emotions. Sort of a mess each night trying to figure myself out, and I'm having panic attacks since I always just feel lost and isolated. I have no idea how to voice what I'm feeling even here since my panic attacks have my brain fogging up once again. My country got put into total lockdown now where I can't leave the house for anything. Not sure on how to navigate my emotions at the moment. Still going pretty strong in terms of my addiction, but my emotional progression seems to be put to halt.</t>
  </si>
  <si>
    <t>The term ? Safety Behavior? Is an all-encompassing recognition of the many ways that we manage difficult emotions. Whether positive or maladaptive, coping can take many different forms. The motivations behind our actions are important to take note of or else we may be perpetuating anxious responses. There are 2 main types of safety behaviors (coping), one helpful, and the other lacks' mindfulness. If you interested in deepening your knowledge of coping behaviors, take a look at today's short talk with The Detail.</t>
  </si>
  <si>
    <t>I am a freelance writer, and I write articles for a gaming website. The pay is more than I could imagine in my dreams, but I feel I do it more for the thrill I feel when completing an assignment and locking in my money. For context, I've been into video games for more than two decades, and I'm a very passionate and active member as well as consumer of multiple platforms, genres and communities inside video games. Lately, I have been feeling anxious, depressed and even nauseous if I don't get my next topic from my editor. I feel this compulsive need to research, write, structure, and lock in my money. The process has become my life because of the pandemic and me not being very social outside of Discord forums. Is there a reasonable explanation for this apart from me starting to become a workaholic? Or should I seek help?</t>
  </si>
  <si>
    <t>Masturbation addiction day 1 Once again I failed, and honestly it felt like I was getting worse than better. However I looked at it as more of an opportunity, I felt maybe I wasn't taking this seriously enough so I decided to make a sort of plan of attack. I got a notebook and wrote down some things. Advice, personal thoughts, things I should remember and things I should do. I feel doing so will reinforce so of the things I have learned and may help me. I just need to keep trying even if I fail I just need to find some way that works.</t>
  </si>
  <si>
    <t>I have a friend who recently went through a breakup and is currently very unstable. He has been abusing cocaine for the past few weeks, especially by being awake the last 4 days. He finally got some sleep, and now that he is awake he wants to score some heroin to shoot up. Talking to him is leading no where and in Spain it’s illegal to force someone into rehab. As well as that, he’s an intelligent addict who’s good with his words and could fool anyone into thinking he’s okay. His breakup has been hard on him (since he was doing fairly well when he was with his GF) but now has spiralled into darkness again. Any advice on how to de-escalate the situation or get him to think reasonably? I am obviously worried he’s going to do something stupid.</t>
  </si>
  <si>
    <t>I have been going through a weight loss journey this year, so far, I’ve lost 20 lbs. I’m down to 205, and I am really proud of myself. I eat right, I do intermittent fasting and I only consume 1 maybe 2 meals a day. I’m losing weight every day and I’m feeling great. I’ve always struggled with food and at my heaviest I probably weighed 260 lbs (which isn't terrible but it’s not great) I watch what I eat, and I try to keep my calories down, but I like to eat ice cream. Furthermore, I told my partner, that if they loved me then they won't buy ice cream and bring it into the house. Furthermore, I don't eat ice cream every day, but I eat it at least 3–4 days a week. I’ve noticed that I will rationalize eating ice cream, if I can only have 1000 calories or fewer than I will be telling myself, that if I eat an ice cream for dinner then I can't eat anything else because I hit my caloric limit. Furthermore, I also notice, when I eat ice cream, I also gain weight. So I really need help to quit eating it as much if not all together.</t>
  </si>
  <si>
    <t>Had a bad day yesterday and almost completely gave up. I decided just to dust my self off and keep going. I am going to try and just keep myself busy constantly so I can keep myself from relapsing. Furthermore, I just need to realize that the urges and the thrill of that dopamine rush isn't worth what I have almost and have given up.</t>
  </si>
  <si>
    <t>I hit rock bottom. I feel so terrible I just want to give up it's so disheartening every damn time I try, and I seem to always fail. Furthermore, I just can't stop I always get these urges to masturbate, and then I just kick into autopilot, and then I already broke my streak. It's just ruining my life and ruining the life's of all of my friends who I feel I keep hurting because I can't kick this habit. I don't what to do anymore, I am just going to keep trying to kick it and just try and get so far without masturbating. Hopefully I can finally find the strength to keep going and kick it before I just completely burn out.</t>
  </si>
  <si>
    <t>My brother has been using meth for over seven months, but I don't know how long exactly. The last few months, he has been experiencing psychosis: paranoia, delusions, hallucinations. He recently lost his job and distrusts everyone. He refused to seek help and refuses to attribute any of this to the drugs. He’s a 29-year-old black man who own guns, so I’m hesitant about calling 911. But he has talked about suicidal ideation and ?protecting himself? So I’m concerned about everyone’s safety. How do I talk to him? I’m currently working on my Masters in neuroscience but I’m studying pain. I have studied how to communicate with people dealing with these different psychological symptoms, but I don't know how to convince drug addicts to get help.</t>
  </si>
  <si>
    <t>Day 1 went well. But day 2 came in swinging I got out of the shower and just had the urge and almost gave in, but I stopped myself I started thinking about my friends and all the advice I had been given. And it helped me stop, I realized also I have a very mild porn addiction when I stopped masturbating I also stopped watch porn. Which I have had one relapse since I stopped. However, it still a big deal for me as it has clouded my mind and makes me think about women in very unappealing ways. It makes me sick too even think about women in that way. Luckily I don't have any urges to watch porn. I really just have urges to masturbate, but I feel I have both a porn and masturbation addiction, just one is easier to deal with than the other.</t>
  </si>
  <si>
    <t>My best friend has been addicted to drugs for about a year now. It got pretty severe after they suffered a really traumatic experience that almost killed them. We did various hard drugs to "cope" with the trauma, and it got so out of hand. I hated the way I was, it constantly left me in a dangerous state of mind and doing Xanax made me forget more than half the things that happened. When they made their first attempt to get professional help, I promised myself and them that I would never do hard drugs again, especially while I'm with them (and I haven't) because I didn't want to be in a situation like that ever again and even though I knew they would've done it anyway, I didn't want to contribute to their addiction. They've been struggling with it ever since. Addiction is definitely and sadly something I've always grown up around and seen. My parent overdosed. My other abusive parent was addicted to hard drugs and is still an alcoholic as well as most of my family. And just last week, I lost one of my closest friends to an overdose, and I'm still mourning the death. Addiction is not a choice, I understand that. I struggle with my own addictions, but I'll ever understand not having the option to just quit an addiction that causes excruciating pain and some cases death or having to cope with an addiction for the rest of my life. I feel really selfish for even feeling this way, but It's really hard to keep my feelings to myself and also try to be there for my friend. Furthermore, I'm scared every day that I'm going to lose them, that I will say something that will make things worse, or they will get really hurt by what I say. It hurt so much to sneak them drugs before I left the hospital, see them go to the funeral high and make jokes about drug overdose after my friend passed away, comatose on the couch when friends are over, and to be in dangerous and uncomfortable situations or have my feelings compromised for their comfort. I've told them how I felt before, but I think it just made things worse. I know they can't help it, and they're taking on such a burden of trying to get clean without any help and suffering from PTSD. I want to be here for them, the last thing I want to do is make them feel like a bad person, but I can't if I'm being put in these kinds of situations. Furthermore, I just don't know what to do or how to feel.</t>
  </si>
  <si>
    <t>Today would be the start of Day 13 of being porn free. However, my actions have led to it being reset to Day 0. I broke a rule that I had set up for myself, and it spiralled into this. Though it pains me, I need to take accountability for my actions and take the necessary steps to prevent this behavior and suffer the consequences. I mentioned before that restricting my phone usage was not the best way to do things, however, in this case it is necessary. I will submit myself to 48 hours with no gadgets and have updated my rules to ensure this doesn't happen once more. Furthermore, I will post an update on how it goes on Day 2.</t>
  </si>
  <si>
    <t>Well I have had this problem for a long time about maybe since I was 13 or so. I realized I needed to stop when I would do it for the dopamine feeling. Sometimes I would do it 3 or 4 times a day for that feeling. It has been something that I have been ashamed of and really want to quit. Along with pornography it had ruined some friendships of mine because of the way I looked at my female friends. I looked at them as more of sexual objects and not really as friends. After taking a step back I realized what I was doing, I really hated myself for it and thought it was sick and disturbing. I don't watch porn anymore, but masturbation is a huge problem for me as it's what gives me my dopamine fix and I can't seem to stop it.</t>
  </si>
  <si>
    <t>I recently began looking into dissociative disorders and quite unfortunately related to quite a few of the symptoms. I've often worried about being a boring person and how I've put up walls around myself, and today I think I've found the issue. Whenever I had had anxiety attacks that were bad I always tried to distance myself from it and could always 'feel' my emotions retreating deep within me. It was as if I shoved them into a jail cell and locked them up. I know understand how disruptive that was especially as a growing and maturing child. I think I used porn as a medium to feel something as I delusionally thought it might rekindle my emotions. The 'rush' of watching it was likely mistaken for real emotions and that's what drew me to do it so often. I will be working on this asap. Highly appreciate any stories and any resources to combat this</t>
  </si>
  <si>
    <t>Rough day. Not going to get into details but for some reason ended up with a MAJOR craving. Just did a big art painting commission, so I have "secret money"(I refuse to pay tax on art sales even over $1000) Long story short: My girlfriend, a churchgoing Christian fell asleep early so I went for a ride. I think I knew what I was doing because I rode straight down to an area known for prostitution, drugs, gangs, abandoned buildings and cops. Wasn't even very good, but now I kinda want more, or just better :(ugh I sucked up!! Feel like a dick. Could use some support</t>
  </si>
  <si>
    <t>The cravings come and go, and it seems like a relapse is always just around the corner. The possibility for a relapse is always made worse when I use my phone too much. I'm starting to think that simply ditching the phone for a day may not be the best approach to overcome this. Rather, I need a sort of "buffer activity" in which I will always refer to when I have nothing on my plate. This way my mind will be somewhat engaged however, also open enough to think of other things to do. I'm thinking of doing meditation but am open to any others too. Any recommendations? Unfortunately, my need to constantly be doing 'something' has lead to me using my phone quite a bit. I recently discovered something about myself. I am afraid (for lack of a better word) of being bored. Though I've noticed that through just relaxing and being bored, I've always come up with something to do; I seem to be afraid to allow myself to just be bored. The buffer I go to is using my phone. Which ends up being a negative cycle in which I end up having anxious episodes of worrying about not doing enough and just feeling down in general This is starting to come off as a little bit of a rant, but I need this and I appreciate any suggestions given and any helpful anecdotes too.</t>
  </si>
  <si>
    <t>How do others feel about drinking/ using other things if you’re in NA? I?VE recently become clean from opiates since being an addict for 2 years. I'm 20 years old and I still drink and occasionally use cocaine. I?VE been using those longer then I ever did opiates and can stop when I want to (e.g. when I went to treatment I was being drug tested 3 days a week) and I have never used them to ?fix? My feelings like I did with OXY/fentanyl. I have told my therapist and my sobriety mentor from treatment about the drinking and stuff, and they don't seem worried but my parents constantly worry and i haven't yet told my sponsor. Does anyone else still drink or use something that wasn't their doc? What are you’re opinions?</t>
  </si>
  <si>
    <t>Weed addiction I literally feel like its impossible for me to be sober. I've started taking measures I thought I'd never take to get high, I feel like an asshole and i don't know what to do. When i don't have drug sim just thinking about them and how to get them/get money for them and I feel powerless, my life is taken over</t>
  </si>
  <si>
    <t>My son is an addict his addiction is weed he ok never sober for more than a few hours. When he can not get weed he's either run out or has no money he texts me asking for money spamming me constantly. When I stick to my guns and say no he says abhorrent things. Tells me to kill myself, fat slag, hopes I die, hates me, I've never done anything for him. Etc. Is this common?</t>
  </si>
  <si>
    <t>I relapsed 2 days ago, and I told my girlfriend that maybe we should break up if it happened again. I don't want her in my mess. In it was wrong of me to say, I apologized. She still wants to be with me and I want to be with her, but I feel so much guilt for even mentioning it in the first place. Has anyone gone through something similar? Am I the only one? I hate myself for what I did</t>
  </si>
  <si>
    <t>I’m (21F). It’s been 6 years of smoking nicotine and weed. I know many people are in my position, but I never imagined I’d be the person reaching out in one of these posts. Smoking has affected every aspect of my life. I quit college after a time and my job and on people who actually cared for my well-being. My first thoughts were to go to the hospital to force my habits off of me instead of complaining on the internet, but I can't afford a stay financially. I honestly just want some advice from someone trying to stop too or just let me know I’m not the only one trying to stop. I left a large portion of people who I thought were my friends, but in reality they’re all addicts in their own lives too. Furthermore, I know this just makes them human, but I want to better myself finally, and I know that will take work and patience. It’s time to grow up now. All I want to do right now is go buy a cart to feel high, but it’s taking a lot to stay home.</t>
  </si>
  <si>
    <t>Today I got the closest to a relapse since I started, but luckily I managed pulled through. I was highly contemplating going back to the old ways but made sure to keep the ultimate goal in mind. I want a healthier and better life for myself, so I will take whatever steps necessary to reach it. Furthermore, I think the root cause of the possible relapse was using my phone too much. Someone mentioned it too, but I thought I had it under control. I am feeling very grateful that I didn't cave in. However, I recognize the unhealthy patterns which have leaded me to this outcome. As my phone is already at a low battery right now I will simply allow it to finish and make sure to not touch it for a whole day. I am allowing myself to make use of my laptop to only either play some video games or do some research about things I'm interested in. I do not consider this a punishment but more of a "detox" situation wherein I allow myself a full day off from the internet. It is definitely a necessary step to make, and I hope this will only rocket my progress further. Thank you all for the support you've given so far, and I hope to see you all in 24 hours!! Much love</t>
  </si>
  <si>
    <t>Today was rather uneventful with the usual cravings and the usual fighting against it. However, I realized my social skills are way out of order and needs fixing. I've become a generally boring person IRL to hang with, which I think it's fair to partially blame my porn usage for, since it took away my interest in making friends and such. I'm glad I recognized this early on and hope to get started on changing that once I am let out of lockdown. There will be difficulties due to the higher age group I will be exposed to in my place of study, but I know that I have the ability to do it. That's all for now and here's to a better future!</t>
  </si>
  <si>
    <t>I don't consider myself an alcoholic. I enjoy alcohol for sure, but I almost always am able to keep it at a few beers. My issue is that when I'm drunk, I get big time suicidal ideations. I'm talking big time. I can get quite argumentative, mean, and then I go through stages of just wondering if I should die, want to die, and how it would affect my loved ones. Should I go to AA? Should I go to just therapy? Is this is a sign of alcoholism?</t>
  </si>
  <si>
    <t>I have an 18-year-old son he is an addict. He will take anything but his thing is weed. He's recently started taking coke too. Furthermore, he has debts with dealers and I can not afford to pay them off. If I knew he wouldn't run them up again I'd find the money, but this has been going on since he was about 14 and getting progressively worse. He had to move out last year due to his violence. He has hit me and broke my car. Furthermore, he has sold things. I am his only support he won't talk to his father. He won't engage with services he is on antipsychotics and won't go to our local AA type places. He won't work. He's manipulative but he's my son. I have unconditional love for him just like my daughter's. I am riddled with guilt and he knows it. Furthermore, I don't know how to set boundaries and which boundaries should be set. Furthermore, I'm struggling mentally I'm on antidepressants and feel like I'm drowning. Furthermore, I'm scared all the time for him</t>
  </si>
  <si>
    <t>I got so much more than usual done today it almost feels like a distant memory. Usually my typical day consists of doing (maybe) one productive thing and I ride off those waves for the rest of the day. Today however it felt much easier to bring myself to do things. I woke up and just felt like doing some gardening and... I just did it. Furthermore, I also went for a quick jog in the park and worked out with my skipping rope. Furthermore, I am sore all over, and I know waking up tomorrow is going to be a chore itself????. Though I do feel better about myself for putting in the effort to develop a healthier lifestyle. However, the lack of consumption is starting to have its effects. My now less than usual levels of serotonin are making me feel more emotional and there are some elements of old feelings and personality fragments being brought up. I am choosing to take this as my subconscious coming to terms with these things and that this is a necessary path to the ultimate goal. I am exhausted n</t>
  </si>
  <si>
    <t>Today was surprisingly much better than yesterday, I had many temptations all throughout the day but somehow found it much easier to let go of them and to control my mind. I feel so much more in power in my own body (if that makes sense). I absolutely enjoy this feeling and know now that this is what I need to do for myself. Many years from now I know that I will look back and appreciate my efforts that I put in now. Due to my newly implemented rules I am slowly regaining my self-respect and treating myself better. I make sure to put my phone far out of reach each night and read a couple pages of my book before I head to sleep. I now wake up much easier and feel more ready to take on the day. Furthermore, I am still nowhere near the level of cognitive activity I was at years before but this small but meaningful progress means a lot to me. Today was pretty fun. I woke up late and browsed the internet for a bit. I finally restarted working out which felt great after my short break. Had a quick dental check-up for the upkeep of my braces, and then I got started on this gardening project that I had delayed for a while. I am typing this at 3 am so let's just ignore the possible incoherence haha! But nevertheless, I feel more at peace with myself from just 3 days and don't feel so exhausted. I am slowly beginning to realize the self-destructive patterns I had put in motion for myself which is important and needs to be addressed. That's all for the day, and thanks for being here!</t>
  </si>
  <si>
    <t>I'm here because my wife has admitted to an addiction of drinking. There's a lot to it and I want to be succinct. This has come out over time (together 10 yrs), and I unwittingly contributed to it. I feel horrible about that, and didn't fully understand what was going on. While she isn't a full-blown alcoholic in the sense that this is veering out of some semblance of control, there have been serious problems recently that have put the spotlight on this. I'm unable to conceptualize addiction or how to properly help. I personally hate the feeling of not having control on a personal level, and keep my alcohol consumption in check rather easily. My wife has also admitted, and I have realized, that she becomes a completely different person that is merely a mimic of her sober self when she drinks. Important points: We are health oriented in general (clean diet, regular fitness, etc.). Wine is the vice, but there's no such thing as "just one drink" if there is an option for more (for her). We both went dry in prep for a race that lasted 2 months, and it was great. Since then, we have trickled back into occasional (and very limited) drinking; for reference we will share 1 bottle of wine, or have up to 2 drinks on a planned outing, with multiple dry days in between. No alcohol just sitting on the shelf in our home. In the interest of healthy support, I am looking for ways that I can contribute to, and maintain a positive space for my wife to overcome this challenge. I need to better understand the mindset of an addict without prying (my wife gets very defensive if I pointedly bring certain things up). I feel like this is manageable without external intervention beyond myself. Furthermore, I want to do this without explicitly highlighting her addiction in the negative connotations that seems to be the norm. Any resources or advice with this approach would be of great help.</t>
  </si>
  <si>
    <t>I've been playing RuneScape for 20 years, I've spent 6 hours every day for the past 10 years clicking away trees and rocks, I've maxed over 50 accounts. 20 of which have comp. I've amassed quite the bank collecting party hats and other discontinued items putting me at +900B bank. I've ruled over Elinor for two decades of my life, I need to quit. Furthermore, I've got a kid on the way, ended up getting a hooker pregnant, where I live it's illegal to have an abortion. Furthermore, I tried to get out of it, but then her mom called my aunt which called my mom, and now I've got to accept the kid and raise it. Furthermore, I'll be disowned if I don't otherwise. So I've got to quit my RuneScape lifestyle and start growing up.</t>
  </si>
  <si>
    <t>I need help please, very intense cravings at work, menial jobs have always been a triggering situation, I need help please deal with boredom and dread in a situation like working at a grocery store or restaurant where I can't do anything but power through and keep working, anyone with any help on keeping cravings at bay while stuck at work (where work itself is the trigger) please help me I don't know how much longer I can hold off, I've been to rehab twice and know for a fact it is a bad idea all around but the cravings are so intense please help</t>
  </si>
  <si>
    <t>17m. Recently I began using a chat site to actively seek partners to engage in online sexual activities such as sexting etc. I made the decision today to quit for good, and I am going to redirect my energy into more productive things like developing hobbies and finding and maintaining multiple interests. I want to keep myself busy all day if possible and make sure to always be having something at hand that I'm either working on or just tinkering with. So I turn to Reddit, open to suggestions on activities I should fill up my day with (my country is currently on full lockdown again so indoor activities are appreciated). Feel free to either dm me or type your opinions here. Also, I'd really appreciate for some ex addicts, people who are currently fighting for their sobriety or best of all some life coaches to reach out to my dms for a mini support group</t>
  </si>
  <si>
    <t>It all began when someone gave me a PC during quarantine. And then of course the first thing that comes in mind was video games. So I installed video games and other stuff. And then one time my dad thought that I should minimize using the PC, but I didn't listen. And then I couldn't control myself and started playing video games almost all the time. Which results to lack of responsibilities and bad time management. And so began my dad being mad at me for things that I should have done. And started implementing rules, but of course I disobeyed and played whenever no one was around. But that came to an end when I was busted multiple times, which led to my father being mad at me so hard that it made my heart break. And now I think I should come clean and start changing for my own good and for my family. Thank you for the person who took time in reading this, hope you have a nice day.</t>
  </si>
  <si>
    <t>There are different stages of relapse. The act of using is just a manifestation of everything that led us to that point. Whether you have been educated on this topic or are brand new to the stages of relapse, the more you know; the more prepared you are going to be. Soak in some knowledge today with this mindful check-in, exploring a deeper understanding into how relapse comes to form.</t>
  </si>
  <si>
    <t>I think I'm dealing with an addiction. Would like to talk to someone about it. It is a sexual addiction well I guess it's masturbation addiction. Was curious if other men masturbate multiple times a day?</t>
  </si>
  <si>
    <t>20M I was introduced to masturbation when I was 5-6 by my neighborhood he hello gay, but I don't think he molested me or something. He was at least 16 at that time. Yeah, I think he jerked me off, I vaguely remember that time. My mind completely shut off that period until I was 17 years old then I realized, 'holy shit I was abused as a child' I kept it a secret from everyone. From then on like after I became 8-9 I became gradually addicted to masturbation. It was scarce or occasional at first. But later both my parents work full-time. And I was alone hence I got into this habit hard. Fast-forward as a 21yo → I got this memory problem, addiction, social awkwardness, muscle weakness, being depressed all the time, lazy, fucked by acne due to hormonal imbalances and some other problems.</t>
  </si>
  <si>
    <t>So I'm about 2 years sober and clean. I'm 27(F) I have three children ages 10,8 and 5. I was in a miserable 10 years marriage. Got out of the and my current husband (also an addict and best friend of 15 years) got clean together. Were doing great. Life is wonderful and peaceful and I'm so happy and healthy. But I have this guilt, i don't remember my children's lives like other people do. I have to see the pictures. And that hurts my heart, While they’ve always, ALWAYS been taken care of. I was just so out of it all the time. I was pregnant and breastfeeding for 7 years back to back.I never used during that time. But when the baby stopped nursing I was right back at it. I have a highly addictive personality, i can get hooked on anything pretty much instantly. Anyway, I'm trailing off. The main purpose of this post was that I'm having a bit of a breakdown because my kids are perfectly content just being in their rooms. Even the five-year-old unless he wants food. I know they are growing up. I know I'm just emotional. IDK just wondering if anyone else ever feels like this??</t>
  </si>
  <si>
    <t>I'm not sure if I'm putting this in the right spot, and I'm not going to be meticulous about my grammar. I am totally on the verge of completely losing my shit and I just need some advice. So here's the deal. I'm 36. My boyfriend is 34. We have been together for almost two years. We have always partied pretty hard together and always had good communication about what we were doing and who we were doing it with but then for some fucking reason my boyfriend decides he is going to try crack and his behavior got shady, and it became a regular thing, and we fought about it, but he kept saying he was done blah blah, but he wasn't. Instead of stopping crack he decides he is going to try shooting up cocaine and his behaviors got even shadier and all of a sudden he likes to disappear for days on end and says he is in a hotel room to get away from my negative energy...aka to shoot up in peace. He says he is alone while he is there....but this last time around he came back with some anal toys I know for a fact he didn't leave with....um I guess my question is it normal behavior for men shooting up coke to shove things in their ass all alone in a hotel room?</t>
  </si>
  <si>
    <t>So I’ve been in therapy short-term twice now and I haven't been able to touch on this subject much with the doctors I was seeing. I’m in search of another Doctor currently to help sort out the effects of abuse that I’ve dealt with at the hands of my mother. I’m not sure how long it will take to see someone, but this has been heavy on my mind. Furthermore, I am 28 years old. My mom is 58 years old. And ever since I could remember she has been an addict. One of my first memories was her screaming at me for waking her up on our couch in the middle of the day, I was about 3 at this time. The rest of my childhood would continue the same, along with much verbal and emotional abuse by her. Sexual abuse at age 10-12 by my older cousin who had lived with us, which much later I learned had been providing drugs to my mom in exchange for living in our home. So, I’m struggling A LOT with resentment towards her. My dad has never said anything to my sister and I about the drug use or how it’s affected him, my mom, or us. My mom is in denial mode most of the time, so it’s hard to talk to her about anything of substance. She has recently been in and out of the hospital, juggling a number of health issues all at once. I’ve been having to care for her a lot and visit my childhood home, which is pretty triggering for me to even be there. All these feelings kind of intertwined, and it just feels like a roller coaster. I’m wondering if anyone has gone through anything similar and how you handled it. I’m at a point where I want to tell her about how I know about her addiction and be supportive, while also telling her how it’s impacted my life. Thank you in advance. I know this is kind of a tricky inquiry.</t>
  </si>
  <si>
    <t>I'm an English male 46 and have been smoking on and off for years. I stopped totally for 9 years when I met my current partner but have recently slipped back into having a smoke most evenings much to her disagreement. Furthermore, I have managed to go 2 weeks so far without any but having a zoot on a Friday evening somehow seems OK in my head, but my heart is telling me otherwise. It doesn't help that I have found a seller which is far superior to anyone I have ever dealt with before, easy drop-offs, very discreet along with amazing bud. I have also found myself having a few beers in replacement when I never used to drink. Is a cheeky one on the weekend so bad??</t>
  </si>
  <si>
    <t>Words of encouragement to those who battle addiction head on like a warrior. I proudly and openly talk about my past and don't mind sharing my own experiences with anybody who listens. I refuse to let my scars define my entire life or define who I am. We all deserve the love and support without feeling ashamed or beaten down for mistakes that so many of us think we have to wear the reputation of being a drug addict and seem to be labeled to society through an entire lifetime and recovery is all we think about. It's okay to educate, talk and spread awareness but don't be at to rediscover yourself and create your own self. You have gone through it all, and you have fought to create an entire life for yourself. Yes an addict is seen ad viewed for the things they do AMD the reputation can be hard to get past for us all. Don't forget to not hold onto the guilt and punish yourself for bad choices you have made. We are humans, we were destined to make mistakes, feel unworthy or even like we deserve being viewed as lesser people to society. I know for fact that most of us have suffered through rejection and definitely haven't won a popularity contest in this world. The pressure can be hard on us to be normal or liked...we are brave, compassionate, misunderstood and sensitive about our feel. You can become an entire different person - don't carry any label, but you can love and embrace the new person you've become. You're worthy and its up to addicts to support one another.</t>
  </si>
  <si>
    <t>We are married I'm 34f, and he's 40m. Basically drug test randomly once a week. My husband doesn't have test. So I don't trip on him, for using. When he's by him self. Also, my thought process is if I didn't put in on sack then I don't get to join. What triggers me, and he doesn't understand, is that hearing a BIC strike or him thinking he can just walk and say" hey babe me and blah blah are going in the room. And I know I'm very tolerant of a lot, but that right there is a major relapse mode for me. I feel like there's a party going on, and I'm missing out on company, being lifted out. I've told him that he has triggered me to relapse a couple of times. And luckily I didn't have to test during that time. I have stopped him from and his company. From going into our room. He lifted with his company all mad, and Didn't come home until the next day.I've told him He's respectful with his using alone. I feel He is taking advantage of me, and doesn't get that he's not making it any easier for me to stay sober. I'm open for suggestions</t>
  </si>
  <si>
    <t>My boyfriend is quite a bit older than me, he’s been an addict/alcoholic his entire adult life. I met him when he was sober, and I fell head over heels. But timing wasn't on our side, and he moved away, relapsed and came home for rehab. We got back together, and he told me wasn't using drugs (besides pot) and was seeing a drug and alcohol counselor who said it was okay for him to drink as long as it was within moderation and damage control. Fast-forward 6 months, he lives with my sister and I and he left his journal open on the kitchen counter and my sister saw an entry that said he’s been doing meth a lot lately. She told me and I asked him about it, and he said he was referring to the ephedrine he takes for work-outs, apparently has the same effect as meth. Two weeks after that, I went to pick him up from work (he’s a bartender) and he was hammered at work. I gave him some attitude and he lost his mind. Yelled at me so harshly and loudly in front of his customers, said horrible things about me and how he only stays with me because I’m a good lay. It was an anger I’ve never seen from him before, it was alarming. The next day he tried to blame it on me for being a cunt while he was at work... but also said he would quit his job after I had to reiterate that he is a father, and he can't keep doing this and blah blah. And after the incident at his work, my older sister (who we live with), sat me down and told me about a lot of the strange behavior she’s been noticing about him (barely sleeps, erratic sometimes, can't hardly sit still, small pupils or glossy eyes). I believe in forgiveness and that people can change, so I gave him a chance after our fight. But now he refuses to talk about what happened, even though it was only like a week and a half ago. And deflects on to me, doesn't want to do a drug test. And this morning I did something that my god I wish I didn't. I looked at his phone and a couple of weeks ago he asked his buddy fork rank and a 30 bag of something.... I am so lost</t>
  </si>
  <si>
    <t>I've never done it before. I'm 14, Have extremely irresponsible and mentally ill parents, a misandrist sister, and I've been drinking 5–7 units of alcohol for the last month and my family haven't noticed. Now is it possible for me in the United Kingdom to book a doctor's appointment by myself? And if so how do I do it?</t>
  </si>
  <si>
    <t>I have a friend who I think is addicted to masturbating, but he thinks he can quite at any time. I was staying at his house for finals in school for 4 days, and he told me he ended up masturbating in the shower. He says he can quite anytime but the most he's gone (while he discovered it) is 3 days.</t>
  </si>
  <si>
    <t>This may be lengthy, but I need to tell the whole story in order for today's events to make sense. My little cousin (we'll call him Oliver) is addicted to video games and has been for years. I believe he uses them as an escape because of his traumatic childhood and overall very, very hard life. Our family has a history of addiction and both of Oliver's parents were heroin addicts. His grandmother and her husband are essentially his parents. His mother left his life when he was 2, but she was never really in his life to begin with due to her addiction. His father died 2 years ago of an overdose after being 6 months clean and finally re-entering Oliver's life. He and his father were finally getting to be son and father when he passed away, and it was very traumatic for the whole family, particularly Oliver's grandmother who is also his caretaker.</t>
  </si>
  <si>
    <t>My boyfriend has struggled with addiction issues throughout his entire adult life. It started with pills after a surgery and progressed to anything and everything he could get his hands on. His last drug of choice was meth. I met him after he was sober for a year, and he moved away, relapsed, came home for rehab, and we got back together. He works in a bar and also is an alcoholic, he comes home from work drunk far too often. I notice, always, but sometimes don't say anything. Last week I picked him up from work, and he was hammered and blew up on me for calling him out. He was so angry, an anger I’ve never seen from him before. It was concerning. He verbally assaulted me in front of all of his customers and the entire ride home. He said the most horrible things to me. Furthermore, he hardly remembered it the next day and claims I set him off because I was being an ass at his place of work. Yet claims he was only drunk and swore he would quit his job because it’s not healthy for him. Now he is pussyfooting around quitting and I’ve realized he hardly sleeps. He blames it on the ephedrine he takes for his work-outs, but he also has been asking me for Sedated lately and he doesn't believe in taking medications because he is an old school hippie. Last Friday his pupils were really dilated and he couldn't sit still and insisted we go to Walmart late at night for things, then he forgot his wallet. Then he asked me the same question 4 different times In a span of 45 minutes. Is he using again?</t>
  </si>
  <si>
    <t>Has anyone ever tried this product? I am thinking of trying it. I have anhedonic from quitting drugs. I haven't had any emotions or drive. Furthermore, I can't sleep more than 2 hours a night. They claim it helps heal the brains reward center. Any information would be appreciated. Mist of the information out there is from the company, so I am not sure if I can trust their testimonies.</t>
  </si>
  <si>
    <t>Hi my name is Laney and I'm 21 years old. I just recently got out of treatment and I'm with amazing man, he’s a ?Norrie?. I started doing Percy again, not a lot but like 2 or 3 a day, 10mg. it’s been like 2 months and now I feel like I can't stop because I start to feel like shit when I don't take them for a day or 2. everything is going so good and I fucked up again. I don't want to tell anyone because I don't want to be a disappointment again. My boyfriend said he’ll help me get off but I need advice to help the detox better because I can't go into treatment again. I can't miss work like that and my family will find out I failed again. I need remedies and tips for an at home detox I know it will only be like 3–7 days of detox, but that shit feels like forever going through it. So I need advice please. I know my boyfriend will help but he doesn't know how.</t>
  </si>
  <si>
    <t>It's my and my boyfriend's second sober day. We used to drink 2 beers a day. We haven't got money for rent If we pay for rent we have nothing to eat We had just gone to buy drugs because he feels depressed. His seller reduced the price for him. And now it's my fault because I got angry about it, I am exaggerating. He says it's only today. It's not beer. Only one time as a therapy I hate this life</t>
  </si>
  <si>
    <t>Why can't my parents understand that I am struggling with addiction, everyday they make fun of me for smoking and I am struggling with quitting and have been very depressed and down trying to stop smoking, and yet they still tease and talk about it all the time whenever I am down they always jump to the conclusion that I am high and not just sad, after asking them to stop talking they said that that’s what I get for doing it and smoking I get to deal with the backlash and that my brother still also gets made fun of for it, they just don't understand my thoughts and I really don't know how to describe it to them either.</t>
  </si>
  <si>
    <t>I'm a 13-year-old. I need help answering a question. My parents are past drug user and recently got back into drugs, I have no idea why but I know that addiction is hard. My sister (19) Got in a fight with my mother and my aunt. My aunt constantly drinks alcohol and my sister smokes weed. My mother asked me and my older brother (15) if they became alcoholics would it be better. I need some help creating an answer because as I said before, I'm only 13. (If I violated any rules please let me know, I just need help)</t>
  </si>
  <si>
    <t>I’ve been sleeping off and on with alternating painkillers every 3 hrs the last 2 days. I noticed the quantity is scratched off my bottle. How would I broach the subject without upsetting her. I just don't want her taking my meds and OD I know she drinks a lot and smokes weed. I don't want anything bad happening to her.</t>
  </si>
  <si>
    <t>On day 4 now of cleansing myself from multiple addictions that were crippling my health and relationships, I’ve found a lot of good ways to help combat urges and withdrawal effects. If anyone needs to hear something they can try or just needs to vent to someone that doesn't know them please message me</t>
  </si>
  <si>
    <t>So just going to make it clear I have no issues with smokers or people doing what they like. Of course, it makes me a little sad when I see my mother do it or my friends Because I worry and care, but I don't think any less. But I have lost people from this and I have a boundary when It comes to dating as I’m someone who wants to have a family. I have been dating someone for 6 months me f (29), him m (31). He recently told me he’s a social smoker only once a month or so. Of course, I haunt noticed as it’s been corona times. He tells he ?he’s not a smoker? And it’s not a danger of being addicted since it’s only once a month. I completely disagree, I think and believe he means it now when he says he does not think he’ll get addicted, but I think that all it can take is a rougher time in life, or a time when there is a lot more opportunity for ?social drinking?. From a dating perspective smoking really is a dealbreaker for me. For him, he says he thinks I’m making a big deal out of nothing since it’s once a month. Does someone have some more insight into this topic, maybe links to studies so I can understand more of I’m wrong ? I’m really uncomfortable about this and hope that finding more information will help me find a way how to deal with it</t>
  </si>
  <si>
    <t>My father has been battling cancer for 10 years on and off. During that time he was prescribed oxycodone and also developed an alcohol problem when the pills stopped being as effective. He has finally admitted that he has a problem and needs help - a huge first step that we are all happy about. I am looking for some advice on the best course of action. Since he has two main addictions (alcohol and OXY) the fear of my family is that a treatment center will make him immediately stop both and my mom is convinced it will, ?literally kill him.? I understand her concerns as he is still very weak and frail from cancer treatments. She thinks that the best would be a place that uses medication on an outpatient basis to treat the pill addiction first, but he can continue to drink. I told her I don't think you are technically supposed to drink on any addiction medication. Is there a way to safely and effectively treat multiple addictions this way, or will he have to go cold turkey on the drinking while dealing with the pills first? I’m also afraid that he will just become addicted to the Suboxone or whatever they give him to curb the other habits. For some context: he is an extremely hard nut to crack. He tried for many years to quit smoking with everything from gum and patches to hypnotherapy to counseling and nothing worked. He is very hardheaded and stubborn and that is why we are impressed that he finally admitted his problems and chose to seek help. I feel like this means we are closer to a solution than he was with smoking.</t>
  </si>
  <si>
    <t>My partner has a severe coke addiction that has been going on for well over a decade. He is a DJ and heavily into rave scene etc., so complete sobriety is not something he’s ready for but he’s been doing some perfect work recently separating alcohol and drug use and cutting down. Somehow this is just making the losses seem even worse, especially since recently he doesn't even seem to enjoy the high how he used to, and it puts him into instant pain and depression. I feel selfish saying it but I’m getting so emotionally fatigued seeing him go through this and supporting him, stopping him harming himself, and watching over him waiting for his heart to give out or something. Some nights he just seems to go back into a more selfish and aggressive mindset and it’s getting so hard not to take it personally. I don't know how to keep myself going through these nights, especially when they happen back to back for days at a time. He can't access most services because he works away Monaghan with no regular hours so can't even book in phone appointments, and I am just at a loss as to how we can break this cycle. I guess I’m just asking for advice from anyone who understands his side / has supported someone through a similar situation, both to help me get through these nights with him and also how I can help him warm up to the idea of sobriety if people think that is the right path for him ultimately? I don't know whether it’s realistic to aim for more controlled use or if he is just putting off the idea of going sober. I’m generally so positive and levelheaded about seeing his addiction behaviors as just symptoms but it’s really weighing me down at the moment. Also, if anybody knows of any UK weekend alcohol support services or something like that that would be so helpful.</t>
  </si>
  <si>
    <t>Let me begin this by saying-this is not meant to judge anyone. To say anyone is wrong. Or to put anyone down based on their choices and their reasons for doing things. I truly mean that. Simply to put something that's been on my heart out there hoping it may touch someone. Because if it does, a life may be saved. To anyone who is looking at going into rehab, not because you really want to get clean, but simply as a way to get your parents, the courts, or whoever off of your back-please take the ones who truly are trying to get better into consideration. Because as any addict knows-when you're ready to ask for help, there is a very good chance your lucky your still alive, and feel that if you don't get help soon, you're going to die. A lot of people don't know how frustrating the process for someone on their own to get themselves into a rehab can be. Now I think it should take work. This is the first step back to being the responsible adult you lost sight of due to your addiction. And being an adult requires work. But calling morning noon and night praying every time you ask "do you have a bed" the Answer will finally today be yes. And crushed each time it's not. You start out strong. "I can do this. I'm stronger than this. I'm better than this. Furthermore, I'm worth fighting for." Are all things you tell yourself. But with each passing day, and the withdrawals kicking in more and more. Along with the mental part of withdrawals. Which can honestly be worse than the physical-your feeling good enough and worthy fade back to where you were in that addiction. You begin to start feeling like" what was I thinking? I'm not worth them giving me a chance to get clean. I'm not strong enough to fight this. Furthermore, I can't do this. Furthermore, I'm wasting mine and those trying to help MES time. Because I'm too far gone. And so often after days and days of calling praying someone has a bed for you, people simply give up. And it's heartbreaking. And so often those beds aren't open because people are trying to fake good long enough to get back into someone's good graces, with no intention from the beginning to actually get clean and stay clean. Now I know sometimes something sparks inside the ones who go in doing just that, and they do get and stay clean. And that's amazing. What I'm getting at, if you don't plan on taking it serious. And appreciating the new lease on life your being given the opportunity to have-please, I'm begging you-don't take up a spot that someone truly needs and is praying for. Please.</t>
  </si>
  <si>
    <t>First time ever posting on here, but I just need advice. My partner is a recovering addict and since the start of his recovery his sex drive is close to non-existent and unfortunately every time I try and initiate I almost always get rejected, and he tries to explain that it’s not me it’s him because of what the drugs have done he just doesn't have an urge to want to do that? Is this normal? Will things ever change or is there no hope?</t>
  </si>
  <si>
    <t>I haven't smoked weed in a couple of weeks. I know why I quit, and I remind myself of the reasons. The biggest reason I quit is because I don't want to do shit when I smoke, and I eat like a pig. Every time I smoke after not doing it for a while I tell myself I’ll only do it once a week. That’s been a lie every time so far. I want to learn to smoke once per week or 2 weeks. Any tips on how to control yourself like this? On how to not do it ever damn day?</t>
  </si>
  <si>
    <t>I'm a 25-year-old man. I have problems with myself being addicted to porn and some sexual stuff, pictures, videos etc. Furthermore, I am aware that it is slowly affecting my life. Furthermore, I lack focus on my work. Furthermore, I'm being too forgetful on things, I lack energy on doing things. Furthermore, I feel depressed on my situation. Furthermore, I am so ashamed telling my situation to any of my friends and family. Somebody, please help me in overcoming this addiction. I don't have someone to talk to. I really need your advice. Please help me to overcome this situation, this addiction. Thank you</t>
  </si>
  <si>
    <t>I am staring a video documentary of my life through addiction and I need some topics, if you could ask and addict any question whether it is the lowest point most embarrassing story, why they used, how relapsing went etc. what would you ask? If your questions already posted please pick a new question for added question volume. I appreciate it, I would like my downfall to help someone in need</t>
  </si>
  <si>
    <t>I'm just curious. I've had a lot of friends relapse during this time, but also a lot of people who say they are doing better than ever because quarantine has allowed them to focus on their recovery and mental health.</t>
  </si>
  <si>
    <t>I’m (3) days clean, with the original plan being the Visitors shot. However, the withdrawal symptoms simply sucked, so I took a Suboxone.... and within an hour I was up, showered and cleaning the house. I’m considering calling my doctor and changing my plan to Suboxone instead. Thoughts? Advice? Experiences?</t>
  </si>
  <si>
    <t>I stopped drinking four days ago. First two days weren't as bad as I thought because I was motivated. Yesterday was crappy but today it's even worse. In the morning I felt a lot of power but then the intrusive thoughts began. I tried painting but got frustrated, and now I can't focus on anything, and I'm really irritated. I now the worst craving stops after 20 minutes, but there's still this voice in the back of my head... Do you have any advice?</t>
  </si>
  <si>
    <t>I have been addicted to tearing the skin off my fingers since I was a little kid. It hurts like shit and bleeds and burns everywhere. I want to stop, I've tried multiple times to stop, but couldn't, I'm tearing it RN as I'm typing, it hurts pls help</t>
  </si>
  <si>
    <t>So has anyone known anyone that is addicted to baseball cards? My husband started this as a hobby, and it has spiraled out of control. He has wreaked out finances. I've tried giving him a budget to spend, and he goes way over, tried not giving him access to the account, and he started borrowing money from people and not paying back. I am at a loss at this point of what to do. Any advice or suggestions??</t>
  </si>
  <si>
    <t>Ok I’ll try and keep this somewhat short and still have it make sense... was with a guy for 7 years who was/is addicted to meth the last 4 years of relationship. The last year has been horrible he lied, hid stuff from me, never kept promises, spent a lot of money he kept saying he was going to pay back etc. before that he had decided to get sober, and I helped him through it and things were so great and then after 4 months or so he started using again, but he hid it from me and I didn't find out for a month or two after that. He has two kids from a previous relationship which we’ve been raising together full-time for the last 5 years (they are 13 and 14) when he started using again, I tried to be supportive, but it was hard, and he would leave for days at a time and then come back and act normal, and it was just bad... finally he broke up with me. He said he was no good for me etc. blah blah then I found out he thought I was cheating on him (a friend of his said they thought they saw me with a guy and I have no clue what they could have even been talking about) I think that was him projecting because he was probably cheating on me, or just being paranoid which he had become. Ok my point is this. I know I enabled him for quite a few years I realize this now I was trying to be supportive, but it ended up enabling him to continue drug use. I’ve been the one raising his kids, working, paying bills, being responsible. Now he broke up with me and left the house and I’m still here taking care of his kids. Not sure what to do because I don't want to continue to enable him, yet I love his kids very much, and they would have nowhere to stay if it weren't for me. He texts them almost every day but hardly sees them, and we are still in contact even though he ignored me and his kids for like 2 weeks after the breakup. I still love him and want him back, but I know he needs to get better, get sober something needs to change. And I am only helping him continue being an addict with ease as I help him with his kids and continue communicating with him... It feels like there’s no good answer and I feel broken and stuck and sad.</t>
  </si>
  <si>
    <t>My name is Robert, and I am an alcoholic. Furthermore, I am a person who is recovered from countless addictions and behavioral challenges. I was like so many individuals who were lost and afraid that nothing would ever change. I remember feeling so isolated and alone as a child. Furthermore, I was so confused and scared that I would get lost in my tears. Furthermore, I remember lying in bed at night when I was five and six years old and wondering why it hurts so much being me. As I grew older, the pain deepened. When your pain goes to the degree that my pain did, it sets up an interesting dynamic. We learn at an early age that we are just not comfortable in our skin. From the earliest of memories, I remember I wanted to be somebody else, doing something else, be somewhere else. I did not feel comfortable in my skin. I was never satisfied. My family dynamic was that of an alcoholic father, a codependent mom, and I was the middle child of seven children. We grew up in a home that was always upside down, and trying to find my balance was impossible. I became the chameleon. I never knew what someone else wanted or how I could become what I had to become for others to accept me. Maybe you can relate to these feelings that I had. By the time I was a teenager thing became much worse. As a child, little is expected of you. As we grow, so do the expectations that others have for us. This was not only true in my family, my social circles, and even academically. Because I did not feel that I had value I did not believe I could produce anything of value. The hole gets deeper and deeper and deeper. We end up in what I have heard termed ?the hole of no hope.? When I was 14 years old, I took my first drink because I could get away with it. I remember how it made me feel once the alcohol hit my system. I went from being nothing to almost. When you come from nothing, are convinced you are always going to be nothing, being an almost is the top of the world. Every subsequent drink I took was an attempt to recapture that feeling of being an almost. When one is convinced they will never amount to anything, being an almost is everything. In the beginning, it seems harmless enough, and the frequency was based on the amount of emotional pain that I was feeling. I found as I got older, and my social circle grew, and my family and educational expectations grew, my anxiety of not measuring up grew as well. As I was constantly being reminded, the feeling that I was nothing grew, and so my need to be an almost grew proportionately. Since I could not become almost on my own, I had to find the opportunity and the alcohol to be fulfilled. This is where the cycle became dangerous. My reliance was not on me feeling good about who I was. It was based on a substance that I found myself increasingly needing in frequency and amount. When I turned 16 years old, I realized my drinking was getting out of control and had become obvious to others. It became necessary for me to experiment with other substances that would enhance my sensation that alcohol alone could no longer produce. In the beginning, a joint here and a joint there was sufficient, but that would make me tired and lethargic, and I was not left with a very adequate means to concentrate in school. Someone introduced me to methamphetamines, and this helped keep me up and active during the day. Now instead of just drinking, I was smoking marijuana and eating amphetamines. The challenge with that was not eating, and I found it increasingly more difficult to sleep. That is when I began to introduce barbiturates into the rotation. Barbiturates were a very curious drug; that they did what alcohol was doing, but did it without the hangover. This went on and on until I got to my senior year in high school and on my 18th birthday, I decided to drop out of school. It was January 3rd, and I would graduate that May. Nevertheless, my drinking and using career was needing my attention. I found it more important and more necessary to drink and use than what I thought a high school education could bring me. As the years passed and my struggles became greater, there was not a relationship or an opportunity that I was not willing to set aside to drink and use. By the time I was 27 years old, I had become chronic in my addiction. I had added compulsive gambling, overeating, pornography, and I started throwing up three to five times per day. I was at the end of my rope and I knew that if something did not change, I was going to die. Furthermore, I knew there were no more chances for me. On February 9th of 1986, I entered treatment and admitted I was an alcoholic. I was introduced to Alcoholics Anonymous, Narcotics Anonymous, and other 12-step groups. I began my pursuit of recovery. Furthermore, I began going to meetings and meeting new people. Furthermore, I was enjoying what I was finding in the rooms of recovery. Nevertheless, I found it so difficult in being honest with others. I was sincerely afraid that you would find out that I was nothing. I knew that if I spoke too much or became too honest, you would figure that out, and I would be the first person in the history of a 12-step program that you would ask not to come back. Furthermore, I know that sounds laughable to some, but it was a real fear for me. Once again, I knew that something had to change, or I was going to die. I knew honesty was the best path for me, yet being honest was almost as fearful as the death that was waiting for me. Sadly, that led to my relapse after 71 days of being sober. Fortunately for me, I only found it necessary to drink for five days. I was trying to recapture that feeling of being an almost. At the end of those five days, I realized that the only place for me was back in the rooms of recovery. On April 25th of 1986, I walked back into the rooms of Alcoholics Anonymous and I have never left. That means that as of April 25th of 2021, I am celebrating 35 years of personal recovery. Even more astounding than 35 years is that it translates into 12,784 consecutive days of saying yes to life and no to my addiction. The journey has been remarkable. There have been some challenges along the way, but then again, life is filled with challenges. I will never forget what it was like being a newcomer. It was the most frightening thing that I had ever experienced, and yet I could not leave because I knew that I would die. I realized that the only way for me to stay clean and sober and to become happy, joyous, and free was to apply the plan of recovery to the best of my ability. I made it my passion to go to meetings, get and work with my sponsor and become acclimated to a power greater than myself. As I did those things and began incorporating the 12 steps into my personal life things began to change in ways that I could have only dreamed of. I went from being a nothing and an occasional almost to somebody who had more hope than anyone I had ever met. I began to resemble the people that I had met in the rooms of recovery. Furthermore, I began living and sharing some of the stories that I had heard them share with me. When I would hear them share those stories my heart began to dance and sing, and I wished that those things would happen to me. They have happened to me and so many more. I cannot imagine a life that does not include one day at a time (OD AAT) and living a plan of recovery. I can honestly tell you for nearly all my 35 years of personal recovery, I wake up every day with a sense of gratitude and peace in anticipation because of what I have been so freely given. Furthermore, I meet many people who are struggling the way I had struggled. Furthermore, I speak with many individuals who are trying to find the magic that would take them from dying a lonely death to a life of personal fulfillment and that surpasses all understanding. This is what I have found in my recovery journey. I was so fortunate that I met so many amazing people along the way. Every person of significance to me, (outside of one who died during a relapse) is either clean and sober today or has passed away in sobriety. When I mentioned these individuals, I am talking about people who are sober 37, 39, 41, and 44 years. My sponsor Jack passed away two years ago with 44 years of personal recovery. Individuals like Texas Mike, Pete the Greek, Russian Ted, and Doc IRA all passed away as recovered members of the 12-Step Program. One of the most exciting things about the plan of recovery that I followed is that it is a complete blueprint. When followed, the likelihood of having all the things it promises is all but guaranteed. I don't mean to say that everyone who starts the program of Alcoholics Anonymous finishes or lives a sober life. What I am saying is I have never known anyone to relapse when they followed the path. After my relapse back in 1986, I was face to face with how dangerous I was to myself. The prospect of another relapse scared me more than I had ever been scared. I asked my sponsor what I needed to do to never relapse again. The answer was simple. The answer is service. When I decided to incorporate the plan of recovery into my life for the express purpose of becoming more equipped to help others it completely revolutionized my thinking. I was no longer about me. It was about ?we.? Developing this way of thinking was transformational for me. A section in the Big Book of Alcoholics Anonymous talks about selfishness and self-centeredness being foundational to every problem I had ever had. Setting aside my ego is the best thing I could ever do. Growing in sobriety has been the greatest journey one will ever take. That is exactly what recovery is. Recovery is a journey; it is not a destination. I am so glad that there is a finish line other than death. My goal is to accomplish what my sponsor Jack Fisher accomplished. Jack sadly succumbed to cancer a little more than two years ago. At the time of his death, Jack had 44 years of continuous sobriety. As I chatted with him in his hospital room and knowing it would be the last time I was to see him alive, I asked him ? Jack, what do I tell them? What is your message you want me to share with others?? Jack looked at me with his cancer sunken eyes and said ? Bob, tell them it works.? That simple phrase has resonated with me in different ways. The most important way it resonated with me is that it underscored the simplicity of what we're doing. There is no magic. There is no wondering if or how or when. The program of recovery works when you work it. My message to you - and I want you to hear this loud and clear - is it works. I see so often people in social media bashing one recovery program or another. Here's the deal, they all work. When you look at some of the programs within the monotheistic religions of the world and other secular programs, they work. There are far too many people who have been successful to suggest that they don't work. The common denominator of anything less than success is not the program, it is the person applying the program. The opening paragraph in Chapter 5 of the Big Book of Alcoholics Anonymous reads ?rarely have we seen a person fail who has thoroughly followed our path. Those who do not recover are people who cannot or will not completely give themselves to this simple program.? End of the story. I am fully convinced that when we apply the 12 steps of Alcoholics Anonymous and the plan as laid out in the first 164 pages of recovery, our result will be permanent sobriety. I also believe this to be true with the Muslim Faith, Judaism, LDS Recovery, Celebrate Recovery, the Buddhist Network, and the list goes on and on. If you are involved in any of these programs or find a program where it has been demonstrated that it has worked for countless others, then guess what, if it doesn't work it is you. Why not humble ourselves? Why not be as honest as only a dying person can be honest? I love the simplicity of the program as it states all we need to be is honest, open-minded, and willing. If we are these three things daily, there is never any reason for us to go back out again. So many people go out and never come back. I count myself so fortunate to be a person who relapsed, found the doors of recovery still open, and gave it another go. As I wrap up this message to you today, I want you to know how grateful I am to have been given the gift of recovery. When I consider myself to have been clean and sober for 3 1/2 decades I am beyond grateful. What is even more astounding is that today is day 12,784 consecutive days of saying yes to life and no to death. The areas in my life that I have been given are beyond, but I believe I deserve it. I have a marriage of 32 years. My children that I abandoned at the height of my addiction have forgiven me, and we have a loving and working relationship that is in a continual process of heightened healing. I don't regret who I am. Matter of fact, I celebrate who I am. I am no longer a person who came from nothing and would remain a nothing. My goal is no longer to be almost. Today I am somebody filled with hope, potential, and a satisfying heart of helping others achieve what I have been able to achieve. I hope you are one that I can pass this mantle onto as you are beginning or continuing your journey of recovery. I have been blessed, fortunate, and honored to go from broken to whole. Furthermore, I desire to teach and guide others to find their way. There will come a time that I am as Jack was. I will be laying in a hospital bed getting close to my last breath and someone that I love and who loves me will ask me what my message is that they can pass on. My message to them will simply be ?it works.?</t>
  </si>
  <si>
    <t>Holy crap this is hard. I'm 3 days "clean," today is day 4. If I get through today it'll be the longest streak I've had since I've started this journey. I use the word "clean" because I'm not addicted to a substance, I'm addicted to calling this hotline (it isn't a sex hotline, but I'm not ready to share what it is). Calling this hotline gave me hope and a sense of validation (or even the hope for validation!). I'm also not having sex -this has also been a struggle. Typically, I have sought validation through sex or attention from the opposite sex. Facing both of these is difficult, but I know necessary.</t>
  </si>
  <si>
    <t>For the past few months I’ve been watching my mom slowly unwind. It all started a few months ago when she started smoking cigarettes. She had been clean for four years and had just started up again after visiting her sisters in Georgia. My dad doesn't like that she started smoking again because they quit together. She acts like she never quit. She is back up to almost two packs a day. I asked her why she started up again, and she broke down and told me she was addicted to her pain medication. (She’s been taking pain meds over the past for years due to surgeries and neck/back problems and it’s never been like this.) She told me she’s overdosed on multiple occasions, falling asleep driving, and almost to the point where she didn't think she would wake up some days. She ends up being out a week before her prescription is due. 15 extra pills she takes that she’s not supposed to. She’s only supposed to be taking them for pain when needed. She takes them multiple times a day and mixes them with her muscle relaxes that’s she’s only supposed to take as needed. The first thing she does in the morning is got up to look for them. She keeps blaming my dad for her addiction and the reason why she’s smoking again, but he’s a great man and father and would never try to hurt her. She’s become so grouchy and distant from the whole family and I can tell it’s eating away at her. We went on a vacation, and she was mixing them with alcohol. We just got back yesterday. My dad says there’s nothing he can do. it’s weighing on him hard. He tries to help her, but she keeps throwing shit in his face and cursing him out saying she wants a divorce. They’re both hurting. I don't want to see my family be torn apart like this. I’m turning 22 next month. My dad says since she opened up to me about it, (she won't talk to him about it) I’m the one who has the chance to help her quit. I’m so scared that one day she’s going to take too many. I don't know how to help her. Furthermore, I don't know what to do, and I don't want my youngest brother (4 years old) to grow up without her. How do I even start??</t>
  </si>
  <si>
    <t>Does anyone know of a food or something edible that is similar in texture to drywall or even the taste? I really need to stop because I know how bad this addiction will be to my health if it continues but knowing about all the bad it will do still doesn't stop the cravings.</t>
  </si>
  <si>
    <t>If you're struggling to stay clean, I just want to remind you that your family loves you, your friends are happy you're trying to change your life around, and it's okay to take a day at a time, there's no rush!</t>
  </si>
  <si>
    <t>I have been addicted to porn since the lockdown. First it started with porn then I began going on omega then kick and Snapchat I am so addicted its damaging my life. I did go to no FAP credit, but the advice was not good and I started relapsing. If anyone can help please PM me</t>
  </si>
  <si>
    <t>I made a random account to say this because friends look at my account, and they don't know I have problems like these but I’ve had an addiction for a while that I don't really feel comfortable saying what but I’ve been able to stop myself from it for around 2 and a half months I’d say, but today I just randomly went back. I didn't even plan to I just got an urge I couldn't stop and I’m so ashamed of myself right now. I’m proud how I stopped for so long and how I was able to stop myself today once I came to my senses and realized I was doing what I promised myself I wouldn't but what’s that even matter anymore if I can't completely quit. Please if anyone would be nice enough to tell me ways that could help me stop I’d be really thankful</t>
  </si>
  <si>
    <t>I am very new to recovery/allowing others to help me. I was always the one to justify that I didn't have a problem with drugs, I was resilient. That hasn't panned out well for me this far in life, so I'm trying to go a different "sober" life. I did actually have a stroke at 26 which caused me to lose sight in my right eye, I am an Army Vet and riddled with PTSD. With having PTSD and other mental health issues, I've been feeling defeated and can't seem to find the silver lining. I'm posting on here in hopes anyone has advice, tips or personal experiences they would care to share. My DOC started with weed at 13 and now has graduated to harder vices, meth and heroine.</t>
  </si>
  <si>
    <t>Little backstory... when we met he was my dealer. I was a coke user (or most anything really), he supplied. He made me feel safe, comforted. Something I never had. We used together, tried to crack here and there, but never like what's happening now. Fast-forward years later, we got married and have a child. When I found out I was pregnant, I got sober off all substances immediately. He struggled. He would disappear for days on benders, but I was always here wanting him to come home. We fought but then again I was once him. I did coke daily, I drank like a fish. We were one and the same. Things are different now. We have a child, I am a mother, and she is my purpose and drive day to day. Somewhere along the line he started smoking crack daily. If he isn't high, he's asleep. If he's awake he's manic and paranoid or nasty. Cant hold a job, finances are on me. Taking care of our child is on me. Our home, our pets, I am now alone but living with an empty shell of a person. He Refuses rehab, quit IOP multiple times. What am I to do? Why can't he just stop like I did? Why am I the outlier of drug addiction that I turned the other cheek and never looked back on the life I lived? Our marriage, our livelihood, our family is in jeopardy. Family doesn't understand, how could they? They don't know my history. They wouldn't understand. Please Reddit, help me make sense of this and help me find the answer of what I should do.</t>
  </si>
  <si>
    <t>As you've read in the title, I have a pretty bad soda addiction. I only drink Coca-Cola Zero which I've been doing for the past year or so. I barely drink water, maybe once a week or month but not any more often than that. Furthermore, I really need advice on how to quit that as I am feeling that it's really, really bad for my health. Also does anyone specifically now how it impacts my health and might have some advice on how to quit as well.</t>
  </si>
  <si>
    <t>It's my first time posting here. I'll try and keep it short and sweet. I'm befuddled. Furthermore, I've been smoking nicotine for 10 years. Quit cigarettes, went to vaping for a couple of years. Finally weened off vaping with nicotine lozenges. Rocked that out for 4 months (my longest inhaling quit time ever). That brings us to today. Life happened, I got stressed, I broke down and bought a vape and 0mg (no nicotine) vape juice. What is baffling to me is that I haven't used a nicotine lozenge all day since buying the vape. I'm not having cravings for nicotine, but I'm having inhaling cravings. Is this substance addiction? Or something else? Is it all in my head?</t>
  </si>
  <si>
    <t>Fellow addict here. I’ve (18F) been smoking for years now and while I never really wanted to quit before, I’ve been practicing self-improvement lately and figured it would be best for me to do so in order to live a longer more fulfilling life. Not just for me, but for my loved ones as well. Main downside is, a lot of my loved ones smoke as well. My older sister is the one that got me started, and me and my brother and best friend (who is also like a sister to me) have all smoked together since early high school. This includes cannabis and nicotine. Thinking about it now, I can't understand why we thought it was okay to start so young. We all had our issues, yes, and still do, but it should be a no-brainer that smoking does more damage than repair, right? I sometimes worry that because I’ve integrated it into my life from such an early age, it will be nearly impossible to quit. Especially because they don't even want to. The only one who really supports me is my boyfriend who I plan on moving away with soon. I thought moving away and just getting far from it all for a while would help towards me quitting significantly, but lately I’m having doubts. Has anybody else on here quit both vaping and smoking weed before? The green isn't as hard, but vaping seems nearly impossible as this point. Especially compared to what many have told me about their failed attempts before. If you have been able to, what was your process? Any advice or tips are seriously appreciated!</t>
  </si>
  <si>
    <t>I used to drink a lot of soda daily. And I quit cold turkey, apparently that's a bad thing, cause now if I drink anything carbonated or caffeinated I get really sick and acidy. It kinda sucks. Anyone experience this kind of thing with any addiction, not just with soda?</t>
  </si>
  <si>
    <t>I haven't been on Reddit long. I’ve been a little reluctant to join. I’m about to be 24. I’m a female and a mother to a beautiful 3-year-old little boy. So, basically all my life I’ve dealt with my teeth being crooked and awful. Never had money to fix them and my insurance didn't cover it. Now I have no dental insurance. Can't afford it and for many months I’ve been taking strong opiates daily. It seriously helps the tooth pain and I just decided it would be a temporary thing until I could save the money to fix them. A few days ago I decided to try and stop taking meds daily. Kinda cold turkey. I’ve never done that before. I’ve been on them since like October. Every day. The first night I stopped, it was pretty bad. I tossed and turned, and my legs hurt so bad. I was hot and cold, shaky. Furthermore, I took Tylenol and luckily passed out, but now for these past few days, I feel weird. Furthermore, I don't feel okay. Furthermore, I feel low. Furthermore, I feel tired constantly. Furthermore, I feel restless and no appetite. I’m afraid to start taking again because of that experience I had. Furthermore, I feel a little better since I stopped, but it’s like this gnawing feeling in me. Furthermore, I sort dread nighttime. Furthermore, I don't hurt like I did the first night, but it’s like this restlessness. Furthermore, I don't sleep well. Furthermore, I don't know what to do. Luckily my teeth haven't hurt bad. So, I’m okay in that area right now, but the way my body feels... isn't right. What should I do?.. I feel like crying.</t>
  </si>
  <si>
    <t>I'm moving in with a friend for May 1st. She's been in AA and recovery for about a year and a half, during Christmastime she relapsed twice back to back and was back on the AA/NA bandwagon. So she's been 90 days clean now. I'm forever happy and proud of her. But I have some concerns. I'm moving in May, my parents will be helping out for her half of the rent till she moves in for July. Lately although I truly appreciate her honesty, a lot of things she's opened up about has given me some concerns. She's asked to not be on the lease for the first few months which is okay as she won't be living there. So I said we can put you on the lease when you move in. And she said yeah we can look back at it for when that time comes. She's opened up that she doesn't know if she can pay the damage deposit right off the hop because she can't afford it due to not having an income. So I said you'll have to speak to your parents about that because I can't cover that. And on top of all this stress and anxiety for her, she's having bad withdrawals every other week. I don't want to criticize how she's handling life right now. That's not my place and I understand that helping her for my benefit is not the way to go. But as much of a best friend she is I feel I still need to be realistic. I think living in a home together guaranteed with no alcohol or drugs around would be great for the both of us. But I need reassurance that she will pull her weight equally. And to at least show that she's trying to better help her financial situation. This all being said my fear is that if she's already close to another relapse line, saying these things will push her over they edge. I need some advice to have these conversations because although I've gone through addiction myself, in my story it was a lot easier to pull myself out of it compared to. I don't get the full grasp internally but have seen it destroy others lives due to the thought of the bigger picture and responsibilities they need to take on.</t>
  </si>
  <si>
    <t>Hello I am a 50-year-old woman who has been smoking cannabis daily for 20+ years. I'm so desperate to get over this addiction, but I live alone/have no support at all, and I'm quite socially isolated so it's what I do to keep myself from getting lonely/bored at night and also deal with stress. Which I have now realized is having the opposite effect. I know quite a lot about antidepressant drugs and have had several thrown at me, but none have helped. I believe I have damaged my brain and need something that targets dopamine not just serotonin. Drugs I've tried: Zoloft (was the only one that seem to work but couldn't handle the extreme side effects) Elena - was great for anxiety didn't touch my lack of motivation or depression. Lexa pro- couldn't tolerate. Wellbutrin-couldn't tolerate. Mirtazapine was also amazing, but I developed 'rage' and anger issues. Seroquel- I have the drug but never tried it, I was a little bit nervous from what I read online. Can anyone at all help me with suggestions or personal experience? Regards, C.</t>
  </si>
  <si>
    <t>Hi I'm 16 and I really don't know where to start, I guess the fact that this started when I was like 8 and I just have had this addiction to porn and dry humping my bed til (you know) well know I'm 16 and that's 8 years of the addiction and I want to try to get over it but I can't, I can't masturbate properly or anything sexual due to that addiction and my brain being corroded by that and I'm not sure what to do and I don't want to get so far into it that I think of women as objects, and they're not but ya... i don't know what to do</t>
  </si>
  <si>
    <t>I’ve been on Lyrics for almost a month and I want to stop. I’m prescribed it, but I’ve been taking more than the recommended dose for about 2.5 weeks. Furthermore, I really don't want to experience withdrawal, does anyone know how I can avoid it? Thanks :) (needing tips for weening off of it with no medical detox)</t>
  </si>
  <si>
    <t>Been on pain medicine for years. I don't like my life, and I'm making steps to change it. Two months ago I quit smoking cigarettes, and today I enrolled in an outpatient drug treatment program. I was prescribed Suboxone twice a day and I really feel motivated to make this change. On our way home my husband was yelling at me about how I had my drugs and that I don't care about him having drugs and how me not doing drugs will make it hard for him to. I argued that it wasn't true but in reality I don't care, one of the best parts about not doing drugs is not being on the 24/7 look out for drugs all the time right? Like I never have to look for it ever again and that makes me so fucking happy. How am I ever going to make this work with us? We've been married 19 years’m and we have detoxed and stayed clean together off of meth for 10 years, but this is different he's not quitting and have made it clear he won't. I'm scared he's just going to move on to someone who drinks (he's an alcoholic) and smokes and does pills. I love him and don't want to lose him.</t>
  </si>
  <si>
    <t>Just to preface, I have never taken a drug in my life, so I’m just trying to understand from the opposite perspective. I’m new to Reddit and do not mean to offend any parties. In 2019, I met my ex who was upfront with me about his past. Selling and using drugs. His drugs of choice were Bezos (more specifically Xanax). When I met him he had open court cases that required him to piss clean in a cup every week. He wasn't drinking or smoking. I’m a big believer in second chances and not defying people about their past so I continued the relationship. Throughout the entity of our relationship he would glamorize his past drug use. He would take melatonin by the bunch-full. Or any PM pill to aid him in ?sleeping?. It seemed like a little much. He would get defensive if brought to his attention. Also gambled a lot, not sure if this is helpful information.</t>
  </si>
  <si>
    <t>How do I overcome YouTube addiction? I have reached a place where I manually type the channel names I would want to watch and view their videos. I tried DF Tube, removed YouTube app from mobile, blocked it in my laptop for few days.</t>
  </si>
  <si>
    <t>I’m 21 years old and I have been smoking on a regular basis for about 4 years. Basically I went from smoking every couple weeks to days to every couple hours. It has put me in many bad situations where I was in danger and it’s mostly made me very unproductive and depressed about my lack of productivity. Basically my grades went from good to mediocre, and I eventually took a break from school because of other life events. I eventually had to stop smoking because I moved to Europe against my will and had to stop cold turkey. I started school again and was doing actually good for once which had not been the case in the past three years ever since I started smoking heavily. Then... I found weed here in Europe and I smoked for the first time since a month of not smoking, and it has set me backwards so much. I haven't been able to be productive for the whole week. Furthermore, I don't want to continue smoking because now I have so much work and an exam I am not ready for whatsoever and I kind hate myself for having gotten weed because I was doing better without it. Furthermore, I don't even know how to not smoke when I have weed available. Today I’m going to try not smoking at all and finishing my assignments and exams, but I just am tired of this weed problem. In a way the fact that this weed is an India might have to do with it, but I don't have any dark as available and either way I just feel like weed has taken a part of me and held me back, and I want to quit but it’s hard especially because weed receives so much positivity online and people keep screaming that you can't be addicted to weed however studies show otherwise. Yesterday I said to myself I won't smoke and I’ll do my work, but then I smoked like three hits and that was enough to hold me back from getting any work done and just made me eat and the. Fall asleep. I’m starting to hate this so much. I want to be productive, and might have to just throw my weed away in the trash until the semester ends. And for everyone saying it’s just because of my personality not weed, then how do u explain I can only be successful at school when I’m not high? Anyway I just wanted people to talk to me about this and if u had the same problem and overcame it please let me know how I can too.</t>
  </si>
  <si>
    <t>After a five-year struggle with diphenhydramine, I finally kicked the habit... But that seems like it's only the start of the battle. How far fucked am I ? This thought consumes me, a question I find myself asking every day to no avail. I'm not going to lie I am terrified, I have more Castro issues then I do with cognitive ability and memory recall, but I can clearly tell at the very least my recall has been affected. I know what they say, "you did it to yourself" or "you knew what you were doing and what the consequences were" but I was so lost in it, I was completely oblivious to the damage I was causing. I guess I may be doomed to spend the rest of my existence convinced I'm going to developed dementia. Furthermore, I don't know if it's a 100% guarantee or not but from the info available it seems that I'm screwed. Furthermore, I can't even find any info on what to do now to try and heal. Furthermore, I slipped through the cracks, ended up in this unspoken gray area. Seemingly uncharted Territory with no guiding light to lead me back to normality. I pray that others like me make it back to reality, and that anyone who comes across this compound turns the other way.</t>
  </si>
  <si>
    <t>A good friend of mine is addicted to cigarettes. This week, after his first anniversary, he relapsed, and now he's feeling angry and deeply ashamed of himself. I just called him, and he's aware of the struggle he will have to face. We're living in different countries and the only thing that I can do is to talk to him.</t>
  </si>
  <si>
    <t>Man I don't even know where to start. So I’ve been addicted to tramadol for approximately 1,5 year. I got prescribed when I had a back injury. It started of with 2-3 50 mg a day. But I quickly started to build a tolerance. So now I am taking 8 50mg a day. And I can't get myself to quit. I just can't see myself without it. I feel there is something wrong with, because I can't enjoy anything when I am sober. Furthermore, I don't know if that’s any side effect. But I am fucking tired of living like this. I really hope some of y?all have some good advise. And could tell why I can't enjoy anything sober. Addiction is real pain in the ass, I really pray for y?all who’s going through this.</t>
  </si>
  <si>
    <t>I work really hard at my hospital full-time job. I live in my own apartment by myself. Furthermore, I still find myself so lost I drink and do coke every weekend. Furthermore, I really don't know what’s wrong with me or how to find help. My parents are both addicts and my older brother is recovering heroin addict. I have an amazing job and make a good living but am I struggling so much to be healthy and take care of me. What do I do?</t>
  </si>
  <si>
    <t>First time in years not smoking weed currently a day away from the week mark how long does it usually take to feel good I’m constantly miserable and get pissed of at little things and just angry/irritable I’m so close to just giving in</t>
  </si>
  <si>
    <t>He Calls Me His Probation. I Just Want Him Safe (ALIVE). I Grew Up In A Home W/Stepdad Addicted 2 It. I Love Him So Much NEVER Thought This Could Happen. So Fast &amp; Now H Is Laced W/ Fentanyl. I DON'T Want Him 2 LEAVE US. But I Also Want My Kids Not To Grow Up Like I. He Overdosed In Front Of Our Young Kids, Stores,&amp; Our Home. I'm Scared Either Way If I Kick Him Out &amp; He Dies I Worry Every Sec If I Don't Hear His Voice &amp; My Kids Follow Him Everywhere Will Yell At Window Crying Thinking He's Having A "Seizure" Oldest Follows Him Everywhere It's Not Fair. Is It My Fault? Do I Kick Him Out Do I Face That We Will Never Be A Normal Family Again?</t>
  </si>
  <si>
    <t>I’ve been doing Roxy presses for a while. I started taking them and was thinking that they didn't feel like Roxy but now I’m here still snorting it every day and night and whenever I can. Furthermore, I need help with WD and what I might need to lessen the pain. Furthermore, I don't have a lot of options. Furthermore, I have no way to get subs or go to any clinics/rehabs. Everyone is leaving my life and I just want to give up. I can't because my mother wouldn't be able to handle it. I’m stuck. I’m either going to keep using or it needs to stop now before I go to heroin. Furthermore, I could never imagine myself doing it, but my brain is slowly thinking it’s not as bad of an idea and that alone is scaring me. Furthermore, I have no financial stability to keep feeding my addiction. I’ve been crying for days on end because it’s tearing me apart. Furthermore, I don't know where to start with quitting. WD scares me more than almost anything. I’ve been through so many different types of WD from different drugs. But this is going to be my hardest. I just wish I had someone to help me through this. If I had a shoulder to cry on I would probably have less of a chance of attempting a spur of the moment OD or relapse. But there’s nobody. I’m alone in this and I want my life back. I want healthy relationships. Furthermore, I want love. All of this started because I felt lonely and wanted to cover that hole. And now it’s making me unlovable on top of making me want love more. Not even love at this point. Just emotional support. Someone please just tell me how to tackle this hell before it’s too late. I’m only 18 years old</t>
  </si>
  <si>
    <t>OK. So I've been going through some things here recently. I hope and pray that I am able to fully articulate my struggle and explain my reasoning behind everything going on and why I did what I felt best. I'll start by saying I was 2 years sober when the pandemic started. Covid cost me 2 jobs, a house, and a relationship. I was starting to crack at the seams and on April 29th, it happened. Trump gave me my stimulus on the worst day of the year. I don't blame Trump, or the extra influx of money into my account. I blame myself and a lack of accountability. But I relapsed. I spent 3 weeks in hell and caught a case. I bonded out and got myself together. However, that did not last long, a few months later I relapsed again. Spent another few weeks in hell and got myself together before getting into trouble. All the while I wasn't really in contact with my sponsor or anyone from recovery. But this time different, I decided to reach out. I decided to ask for help. And help is what I thought I got. I moved into sober living, was going to meetings and doing the steps all over again. Life was great! Or so it seemed. Then I started to notice how judgmental a Last majority of the recovery community in my city was. It was like being in Catholic Church again. Do this or GOTO hell. Do this or die. Do this and God hates you! So I chose to keep my head down and my circle small. But somehow the judgmental cesspool which is the Indy recovery scene just seemed to seep its way in. The're not part of the "cool" kids table really started to show through. Every time I reached out, everywhere I turned I saw fake hope and people lying. People judging and people ultimately hating on myself or others who seemed to be doing good. Anyway fast-forward a few months and I made the ultimate decision to remove myself entirely from the recovery community. It's not that I want to smoke dope. I don't. It's not that I want to be a waste of life and die a lonely man. I don't. But I don't want to surround myself with that hatred, the lack of real empathy for another's struggles. And the people who were "in crowders" or cool kids as I call them looking down on everyone and making me feel bad for anything. I deleted 90%of my recovery related friends. Removed myself from all the local recovery groups on FB, and have basically isolated myself to a small group of family and friends. Am I setting myself up for a relapse? Have I done what I always do and convinced myself of lies? Or is it possible that I'm right and the recovery community not helping in ways I thought were "why we do it" the reasons for my relapses? Again IDK if I'm articulating my struggles or giving a fully accurate timeline of events bc this is all off the top of my head. But any advice would be much appreciated! Much love and respect!</t>
  </si>
  <si>
    <t>I left a few clues for him asking him if we could talk about this and how bad it hurts. I feel he has no clue. My self-esteem no longer exists my belief in movies or TV shows with happy endings are my worse shows to watch. I’m confused and hurt and have hate towards this person I’m supposed to spend the rest of my life with. If there is not an is what else is there? He favorite of the week is shower headmaster bastion! I feel nonexistent anymore. I know looking is not a sun but to ignore and continually feeling hurt I don't like being in the same room. Furthermore, I wish he would take some responsibility for his behavior. We go back and see his urologist Monday testosterone levels were low last year and I’m sure no better this year. I had passed the doctor a note telling him of our sex life and his extra activities that I’m not participating in. His doctor said his extra activities make symptoms worse! When I try to cuddle up to him, I feel like I’m invading his space.</t>
  </si>
  <si>
    <t>I am looking for parents to share their experience of their children using substances with me. I am writing my thesis on resources or support PARENTS need or could have used to help their child who was struggling with addiction, and could really use your personal experience to help other parents in the future. Furthermore, I am looking for what you feel could have helped you, as a parent or caregiver? What challenges did you face? What would have been really helpful to know, that you found out later? What services if any did you participate in to help yourself?</t>
  </si>
  <si>
    <t>Over a year ago, I decided to stop taking amphetamines. I was really, really bad into it for a good three years. A lot of people say you can't be bad into amphetamines, but I was super-duper bad into it. It was ruining my life and ruining my body. It was something I stopped doing without any rehab or meetings. I stopped shortly after my father dying. I just started going to therapy and told my therapist I was an addict and I needed to stop, and so I just stopped. But since then, I haven't had much guidance otherwise. My therapist hasn't been much help. I’ve stayed away from the drug itself, but I smoke weed periodically. Otherwise, I’m also a recovering alcoholic, and I take naltrexone to keep it that way. I haven't drank in over a year, either. After coming off amphetamines I fell right into alcoholism. Which I never expected either. But here’s my question: I ask myself sometimes, why did I get into amphetamines? What was it about that drug in particular? When I was on amphetamines I never had a drinking problem. I actually hated drinking. Also, Why do I drink so much coffee every day, now? Why do I smoke so much nicotine? And is it possible that these things are just as bad as the amphetamines? Prior to the addiction, I was 17, and I had no prior substance abuse issues. And now I’m so reliant upon stimulants at the age of 24. And I want to drink every single day. My body literally craves alcohol. What happened to me? Is there a reason my brain is so reliant upon stimulants? Is this part of being an addict? Will my brain always be addicted to stimulants, or will it be better if I stop smoking nicotine and drinking caffeine? How does the brain of an addict work? I’m really sorry if I sound ridiculous. I want to be more aware of myself. Furthermore, I just want to understand myself. And I don't have much guidance right now. I feel like this is sort of the only place I can go with my questions. I really appreciate your time.</t>
  </si>
  <si>
    <t>My drug of choice is oxycodone, but I can't take it because I’m gonna start getting tested, and I have to take Xanax. I am wondering if I should get off the OXY and stay on Xanax, or should I feed into my heavier addiction? I don't want to quit both. My anxiety is too severe honestly</t>
  </si>
  <si>
    <t>I have questions for those who have gotten (or tried to) clean with their partner. To start, my partner and I used to use drugs together and both made the decision to stop, my own recovery has been going surprisingly smooth, but I've been struggling with trusting that my partner hasn't been using. So I'm reaching out here to hear if anyone else has experienced this, and how to deal with trusting addicts. Any story or advice welcome! Other than attacking statements/words which I have once received from this sub</t>
  </si>
  <si>
    <t>I was on 8 mg of Sub and now down to 2 mg per day. Finding it very difficult to handle the withdrawal and need advice. Want OFF of this. By the way, the reason I’m on Suboxone now is because of my Kr atom use which I started taking from Nutrition City for pain of a back injury. At the time I did not know it was addicting but in my case it most certainly was. It feels like a never ending circle, and I am so done with it. Does anyone have any advice regarding safe alternatives that will help until this is finally done? Since there are so many different symptoms, it’s challenging. Really need help if anyone can relate and has some good advice to share</t>
  </si>
  <si>
    <t>A very close friend of mine reached out tonight. I thought this would be a good place to start and would really appreciate anyone's 2 cents. He's looking to receive help for addiction in general (he's cycled through many things over the years) currently, it's mainly ketamine and alcohol with other party drugs in between. He's hesitant to go to something like AA because he's in his late 20s and wants to find a group that feels relatable. Furthermore, he also isn't very interested in the religious aspect of traditional 12-step programs. I guess I'll just come out and say it, if there's an astrology based group please do share... Due to this pandemic, an online meeting through something like Zoom is what he was thinking so he could pursue support now. An in person thing would be ideal, but I'm trying to be realistic. Please message me for location for privacy reasons Any suggestions for groups as well as other newly seeking help advice is greatly appreciated! I hope everyone is staying as healthy as possible through these times</t>
  </si>
  <si>
    <t>Hi all, so after smoking all day every day and spending money I don't have I'm taking a break! I've done a day, today is my 2nd. I'm crying a lot, I feel nauseous and I have tingling feet. Does anyone have any tips or tricks to make this easier? I'd go to rehab but it's way expensive.</t>
  </si>
  <si>
    <t>Just wondering for anyone who would like to share their personal experience! What was your wake-up call? You struggle with yourself. It's not an overnight epiphany. You tell yourself for months or maybe years you'll quit tomorrow. You'll start doing it less..... Furthermore, you'll work on it. It's something that is a hard fight every day of knowing you need to stop, but what was your wake-up call? What happened that made you say I'm done, it starts today, it starts now. What was that pivotal moment where you stopped telling yourself tomorrow and started telling yourself today? I'm asking because my friend (29f) has been married for 8 years to her SO (45m) and he drinks every day and lies about it, he has even been caught in the act of sneaking drinks. I don't think there is anything I can do except listen to her frustrations and I get where they are both coming from... Furthermore, I just want to hear your stories on what made you change your life.</t>
  </si>
  <si>
    <t>I have a semi crippling porn addiction. I’m under 18 and I watch porn 5–7 times per day and masturbate. Furthermore, I have seen first hand what any addiction can do regardless of what it is. I’m just looking for some help on how to reduce this amount or at least feel in control. Thanks. Edit: This started when I was 11 years old and stumbled across porn by accident on a flash game website and eve since then, not one day has gone by without viewing porn. I wouldn't say I’m desperate, but before I do become desperate, I want this to stop now.</t>
  </si>
  <si>
    <t>My mum had this too. Since the age of 6 even younger i?VE been addicted to drinking diet coke. I can't pass a day without some diet coke. I drink on average about 5/6 cans a day. I'm wondering what this does to my health. And any tips on stopping ?</t>
  </si>
  <si>
    <t>So my boyfriend struggles with ketamine addiction and is currently waiting a surgery on his bladder due to damage. He is still taking ketamine as I find it in his house. His mother asks me if I ever find any drugs in his house to throw it away. I'm uncomfortable doing it because I feel like he needs to make the choice himself if he wants to throw it away, if I do it, it won't help him change because I'm forcing the change for him (by removing the substance). I don't want to control his usage because I know I can't. Furthermore, I'm planning on bringing it up with my boyfriend and his mum but wondering if anyone here can give me any insight? There's very little info about this particular situation I can find online, and I'm worried about his usage affecting this upcoming surgery and the last thing I want to be doing is encouraging him to use more by signalling it's okay to have it in his house. Am I doing the right thing? What should I do?</t>
  </si>
  <si>
    <t>So I have a parent who has always had an issue with alcoholism that led to drug use. Now it’s come to a point they say they are clean but I question their sobriety. I know I am supposed to give them the benefit of the doubt...but every time I have I been sucker punched with the truth. It’s a lot. I feel like I’m more of the parent and they are the child. I’m always saving them, pulling them out some sort of hole they dug. The last one was very hard on the family, because they overdosed and were hospitalized. I don't like being a fool. But I want to acknowledge their fight to stay clean. If they are. There has been behaviors pointing to drug use. And they have been drinking for sure. I just can't trust it. It’s like a double edge sword. And I don't want to be another judgmental person in their life.</t>
  </si>
  <si>
    <t>I’m a teenager. I did drugs without knowing just how much they would hurt my brain afterward. Furthermore, I can't focus l, it’s like I’m not fully living, always kind of delirious. Furthermore, I need a detox to help me speed up my supposedly 18 month recovery process. Within the span of about six months I did cocaine once, MDMA twice, GHB twice, prescription pills twice, weed numerous times, mushrooms five times, acid twice, Kr atom multiple times, alcohol multiple times, and smoked cigarettes all throughout. I’m ready to never do a single illicit substance again in my entire life. I need to get my mind back to normal so that I can be happy again. Furthermore, I need to detox and heal my brain.</t>
  </si>
  <si>
    <t>My grandmother is a double amputee and uses a wheelchair. She has been struggling this past month with a bad painkiller habit ever since she got out of the hospital. My grandfather and I decided that we will take her stash and regulate it, by making her sign off on a pill when she NEEDS to take one. We are both worried about her health, and I want to know if what we are doing is wrong, and I want some helpful tips to share with my grandfather so we can go about helping her with her addiction. If you have any questions for me, please do ask.</t>
  </si>
  <si>
    <t>I’m trying to get sober on my own. I’m detoxing myself at the moment, so the withdrawals are shitty at this point. Furthermore, I became cross addicted when I relapsed... so instead of alcohol being my issue my now ex BF introduced me to meth when we met 2 months ago... Furthermore, I was only doing it to fit in, I didn't care for the high... until my body wanted it... even my mind began wanting It to numb the abuse happening. Now he’s gone in jail for what he did and I’m left with all of this mess, trauma, and addiction... I’m sorry if this isn't the place for this I just need some advice, positive words, or anything. I miss the sober me so bad it hurts my heart. I’ve never had to get off meth before, I have barely left my bed, my house is gross, I’m gross. Furthermore, I hate the world. I lost who I was</t>
  </si>
  <si>
    <t>I’m curious if anyone on here knows of an addiction treatment that specializes in PTSD or even a PTSD center inpatient... Domestic violence in December has ruined my life and my outlook on it, I’m turning in my victims statement tomorrow and he’ll get assault with a deadly weapon. 3rd strike for prison so he will be gone a long time... but he got me on meth and used it to get me to be submissive, but I have a problem now... because I just hate I allowed this person into my life....</t>
  </si>
  <si>
    <t>My BF (32) is addicted to cocaine. He stopped taking it last January and was clean until September. It got really bad to the point he was coming home early from work off his face because he was getting it from one of the lads there. I gave birth to our son in October and the day we got home he went and got some for the first 4 weeks after our son was born he couldn't go a day without it. He's ending up owing out over a grand, and we had a massive argument after I found out, and we had a heart-to-heart, and he said he wanted to stop again, and he was sorry hell make it right. He quit his job got another one and has been paying it back and hasn't touched it since early November. Well I woke up about an hour ago to him getting some I'm so upset and frustrated and feel betrayed. He still owes out 600 and he's added more to it he says its only 30 but that's how it starts. I don't know what to do anymore I'm exhausted from it and i don't trust him but I feel guilty for not trying to help him.</t>
  </si>
  <si>
    <t>I need real life information, not ?signs your teen is doing meth? Google search results, haha. My question is would an addict use different drugs for different times, or would they use the same drug all the time? Like meth in the AM and H or opioids to go to sleep or around family? Is it about whatever they can get their hands on? My little sister and her husband were found by the cops passed out on the side of the road near a gas station or something. Cops said they had meth in a Maggie, track marks on their arms, and crushed cans. The husband’s parents do heroin, and my sister has had history with both and is overall an addict. But being passed out and not showing a lot of signs of being ?tweak? Around the family is weird. She’s always been addicted to Xanax and opioids. Meth came into the picture a few years back, and I guess heroine too. She has a kid now, about 2, and my family is just in shock and have no idea how to handle this and how far it’s gone.</t>
  </si>
  <si>
    <t>So this might be the wrong place, a bad question or even horribly stupid. I am 40m - frequent social drinker (1-2 times a weeks) and occasional social drug user (edibles, mushrooms seldom, and the occasional bump/party night aka coke). I imagine I’m not the only one, but COVID has changed things fairly drastically. Furthermore, I am immunodeficient, so I have been self-isolating since Feb/March (almost a year holy crap). Furthermore, I have been diagnosed with anxiety and depression for about 4 years - which I am on meds (but have been struggling to take on a regular basis, I have no idea why...) I now realize before diagnosis I was self-medicating just to be around people and ?drown my sorrows?. Furthermore, I have 4 people in my bubble that I see maybe once a month. None of these are meant to be excuses or looking for sympathy - I’m just trying to give a little background. Recently my drug and alcohol use has increased significantly. I get high off edibles sometimes 3 times in a week. I drink to get drunk (I have no social life anymore) typically 3 times a week. And I now use - much more than before - coke every time I drink. Something's all 3 in the same night. By myself. And each are being increased because I’m trying to escape that voice in my head, the depression, the anxiety, the loneliness. There’s usually at least a day in between these nights. During the hangover days I get down. To the point where I want to kill myself (lately getting worse). I self loath, and hide from the world. I don't work my regular hours. (Lucky enough to be able to work from home - and always get my work done but often after hours). I tell myself I need to change. And I’m going to change. But then a day later - I catch up on work and feel better and then decide to have a drink, and then I get high and the cycle repeats. Does anyone have any advice on how to cut back? I want to be a casual drinker/user again. I know most people would say that there is no ?safe? Amount of using. But I just want things to be back to how they were. (Covid is a long way from being over I understand). I don't care to do drugs unless I am drinking. Never once even tried it. But I am I delusional to think that I can go back to being casual? Do I need to stop drinking and using? Is it bad that I don't want to? Typically, once or twice a year I will take a month or two off without any issue - to focus on health (get the OL ?beach bod? Back) or if I have a large project for work. No major cravings per se - but I also isolate myself from the social situations that would involve drinks. I get FOMO from it but no actual cravings for the booze or drugs. I’m terrified of people finding out. Furthermore, I am scared of what I would do if they did. Furthermore, I would try rehab if I could do it without anyone knowing. But ultimately I have it in my head that I don't want to fully stop. Most of my best memories are a result of drinks and using with friends and family (most don't use - most don't know I do either, I’m fairly aloof). My relationship with my Dad is largely based on our love for wine. (Wineries, tastings, sharing discoveries) Has anyone been able to cut back? If so, Any tips? Or am I stupid and just need to cut all this crap for good? I won't be offended by any opinions or insights. This is a newly created account because - as I mentioned - I’m terrified of people finding out. And somehow still want to hide it from the random internet people who don't even know me - it’s pathetic I know. Thanks for reading if you made it this far. Even if you don't have anything to say. Just typing this out is making me feel a bit better and thinking that someone may have read it.</t>
  </si>
  <si>
    <t>I smoke one joint per day usually in the evening when my shit is done. I smoke my joints with tobacco and I think I'm addicted to nicotine now. I noticed it when I tried to quit smoking weed. I haven't had the urge to get high rather I wanted to smoke cigarettes. And i really don't want to smoke.</t>
  </si>
  <si>
    <t>How come when addicts have tried so hard to get sober are doing the best they’ve ever done. Their family and friends are coming around again, things just really going there was... they use again even worse than the past and set themselves back to square one having to start all over again I don't know why I do this was sober off pills 8 months</t>
  </si>
  <si>
    <t>Just wondering if anyone has advice... My brother (30) had a drinking problem. Went awol, gave the family a big scare and then went to rehab. Has been sober since probably about a year but anytime he does something out of the ordinary it’s so scary... It makes me feel like I could lose him at any moment, but I can already tell the toll it’s taking on my body from just thinking those things. How can I live without the horrible thoughts of what could happen to him? He is an adult, but I can't slow the thoughts of is he okay or is this it? Just insights and thought would be helpful... have you had a loved one go through something you have no control over?</t>
  </si>
  <si>
    <t>Someone just read this, anyone I doubt anyone’s going to see this, but I’m in a bad place, depressed yes, PTSD yes, anxiety yes. I can't stop doing drugs, it’s just cocaine I use, but I use heavily it’s not that I take a lot, but as soon as I have some I just will not sleep until I drink something strong enough to knock me out or smoke 100000 joints to knock me out I usually stay awake for 2–3 days, without eating or drinking anything apart from alcohol. I can feel my bodies suffering and probably won't last much longer, but even though I know this, I still continue to do it, at any opportunity</t>
  </si>
  <si>
    <t>Whenever I want to talk to someone about my addiction problems, they just think I'm some 17-year-old edgy kid who does XNA for fun. It's so frustrating. Addiction can get to any person, literally any. Yes you can have no childhood trauma and can still be prone to addiction. I feel like it's such a stigma to talk about dogs and addiction I don't understand why. Also, people seem to only care about doing hardcore dr*GS like coke and heroine. But little do they know addiction can be anything. Your feelings are validated.</t>
  </si>
  <si>
    <t>My 37 y/o BF of 4 years (I’m 45 y/o) has a problem with gambling and I’m feeling that it’s an addiction at this point which he can no longer control. He’s verbalized that he wants to ?cut back? But has not ever tried to fully quit or closed out account with his bookie. He’s lost close to $7000 this year (that I know of) and he’s still chasing bets to try and get some back. Which of course doesn't work and how he owes the bookie again. When we started dating I was aware of the betting (he primarily bets on football) but at the time he had a perfect job and plenty of disposable income so it didn't really seem to affect things. This year his income was significantly effected like a 40% reduction and he’s struggling to make ends meet. We live together but do not commingle any finances. I’m very type A and a saver.</t>
  </si>
  <si>
    <t>My live-in 26-year-old stepson was high as a kite last night (Christmas Eve). His brother drove him to pick up his daughter so we searched his room and found a massive stash of burned foil, straws, lighters, baggies, pills and empty gelatin capsules under his fold out couch. We've been pressing him lately because of a drastic change in appearance and attitude, but he swore he was clean. He swore he was done with heroin. We are obviously heartbroken and our Christmas is not so merry</t>
  </si>
  <si>
    <t>...the #JoinIn hashtag on Twitter is very useful for company. #RecoveryPosse is there for addiction support, and I'll be checking Reddit over the holidays. You never have to cope with problems alone.</t>
  </si>
  <si>
    <t>I'm writing this post because I have a younger brother who just turned 16, and he is battling some heavy demons and I need advice on what to do. He hurts from a lot, being bullied by family and friends about weight growing up, a father who talks/has a relationship with all the siblings BUT my brother, low self-esteem, and I'm a sure way more I don't even know about. Anyway, he used to heavily drink... like drunk almost every other night, and takes drugs, from what I know perks, occasionally acid, and maybe some more I don't know about. He recently stopped drinking, but he still uses drugs. I'm writing this because he is hurting, and he has tried to kill himself 3 times from what I just learned yesterday, and he sometimes drops dark comments in casual conversation. I know there is probably two whole different issues here, the drugs and not wanting to live anymore..... but I just wanted to reach out to all of you, and see if there was someone in this group who maybe was at a rock bottom before and possibly did not want to live anymore, who made it out. Furthermore, I want to hear what you were feeling, what you wanted or wished someone would have done for you, showed you, or said to you while you were hurting. My brother is a comedian, but if he gets too serious he can be very aggressive and hostile, so I'm not entirely sure how to approach this. And just the fact that I don't know how he feels, I don't know what he is going through, so I'd like any advice on what others who struggled needed from the ones they loved when they were going through those times.</t>
  </si>
  <si>
    <t>I think I need inpatient treatment. I fed into a cross addiction and instead of alcohol I relapsed with meth, my current boyfriend introduced me. Currently withdrawing together, but I think he’ll end up using eventually or become violent again. I contacted treatment facilities tonight and haven't told anyone what I’ll be doing. I’m only two months into this drug and have already had a gun put in my mouth, so I’m done with this world that I don't belong in, it eats me alive. So treatment good idea? Just go for it?</t>
  </si>
  <si>
    <t>I'm looking for 1 or 2 people who would like to volunteer as moderators. We have 968 members now, which is amazing, and I'm grateful, but it's a lot to manage on my own. I'm a recovering alcoholic and I now work in the addiction recovery field as well as supporting peers, so I don't want the community to suffer if I need a few days off sometimes. I'd prefer some sober "chivvies" to help out to ensure this place remains safe, non-judgmental, open-minded, and free of sales-type promotions. If you'd like to moderate, please message me and tell me a little about you. Thank you. And thanks to everyone here.</t>
  </si>
  <si>
    <t>Long post warning So I've been sober about 2 or 3 months from cocaine, and currently I am drunk/stoned and am I having strong cravings. Partially because of a coke dream I had recently and partially because I am having anxiety about my partner currently using. We used to use together but made an agreement to get clean, and there have been slip ups where he has used without telling me. Now the tricky part is that my cravings are not exactly an impulse type thing, where I text my hookup and can use immediately, but ones where I'm mapping out ways that I can use discretely, thinking about where and when I can use without my partner knowing because if I find out my suspicions are true I...almost want to even the score? I feel as those I want to use so much that I'm looking for a reason to use, the reason being my partner using without me, or that there is coke in the house. To be specific about right now, my first set of intuitions have basically been debunked by my partner, but the one that's driving me crazy is a POTENTIALLY missing plate, let me say potentially again because I don't even know if it's missing or if it's non-existent, that's how severe my anxiety is on this night. And I really want to believe him telling me I'm crazy, that he isn't using right now, and I have nothing to worry about. And yet my anxious brain and addict brain have merged to make me want to not believe him in hopes that I can have even just one measly bump to feel that stupid evil rush again. Fuck cocaine and fuck my mind I'm just so done. Someone tell me it gets easier, even if I know that it does, I just need to hear it.</t>
  </si>
  <si>
    <t>Not to sound whiny, I just feel pathetic. I’m 18 and I can tell I’m struggling with a caffeine addiction. First a few things I really should have thought of, the main one being caffeine /can/ really be a serious addiction and have horrible withdrawals. Secondly, I have to say addiction runs in my family, along with having MDD and BPD, which I’ve been told often lead people to abuse drugs and/or alcohol. I’ve already been to crisis units and I’ve been taking meds for years, having them changed with dosages and medication prescriptions, and nothing seems to work. The reason I bring that up is because my mental health has never gotten better, so I’ve been trying to find something to easily access and lose myself a bit. I don't know why I didn't even think about how bad it is to drink so much caffeine in a day. I’m fully aware of how bad it is, I drink around 2,800 mg a week and I just feel disgusting. If I don't have caffeine within one or two days I experience horrible withdrawals and I go to school which makes it worse when I’m trembling so much and my focus and anxiety are worsened. I’ve tried to stop drinking so much, but I legitimately can't because of withdrawals. My parents don't know, and they never have really cared too much about either my mental or physical health, so I absolutely know they wouldn't take into account how serious this might be. The advice I really need right now is how to force myself to not drink so much, or maybe how to just drink less. I’ve tried but when withdrawals hit it gets so bad and I’m scared I’ll get really sick. I’ve seen my dad go through alcohol and drug withdrawals in the past, with convulsions and seizures and vomiting and I don't want that. If anyone has advice on how I can help myself with this please let me know.</t>
  </si>
  <si>
    <t>When I’m sober, I have severe anxiety about my past mistakes and I cannot seem to shake them and get over it. It eats me alive every day. I am on Wellbutrin and recently had my dose increased and have noticed that my anxiety is through the roof from morning til bed sometimes I cannot sleep because of it. (Like now) I am a drug addict and alcoholic and have been trying to stay away from them for the first time ever and now having to actually ?feel? My feelings which scares me and makes it all much harder. I have talked to my doctor, and she is trying to add Pail to my list of meds and after review, I don't want it. Seems like nothing is going to stop this anxiety and therapists and groups are doing me no good. I have never even looked on Reddit before and now here I am so it’s obviously affecting my life.</t>
  </si>
  <si>
    <t>A few nights ago I (F18) found out my boyfriend (M18) of 10 months relapsed and had been smoking anywhere from 1-5 Percent daily for 7 months. A big blow to the chest for sure. He told me on his own and wanted to go to rehab on his own. Everyone says he hit rock bottom and that he’s ready for this, but I’ve already seen three people in my life die from this same drug abuse. Most of them passing after coming back from rehab and relapsing. I can't lose him. I’m feeling a lot of emotions, lots of sadness, guilt, confusion, fear. Furthermore, I want to be there for him, but I also want to take care of myself. Does anyone have any advice for how I can do both at the same time? I don't want to show him how much I’m hurting, I don't want to make this situation about me. I’m just so young still, this is such a new real life experience. It hurts like hell. The lying and betrayal are what hurt, not the addiction. He is done with treatment in 29 days. Please if you have any life tips or advice on anything I can do to help him through this don't hesitate to comment. I need all the help I can get.</t>
  </si>
  <si>
    <t>How do I stop? I am addicted to Meth for the twisted pleasures it offers. There is nothing good about this drug. I don't cheat on my girlfriend. I just shoot up meth to masturbate. Has someone ever experienced this?</t>
  </si>
  <si>
    <t>Can benzodiazepines help with opioid withdrawals? Currently trying to taper off of 20mg norco a day. I really just don't want to feel sick since I take care of my elderly father. Going to a doctor is not an option since I turned 26, and was booted off of my parents' insurance. Which is why I am in this situation. Any advice would be appreciated</t>
  </si>
  <si>
    <t>This is a throwaway account. How do you know if someone is addicted to stimulants? I’ve been told I am wholesome and naive, but I think my recent online date might be on meth? I’ve looked online and can't tell. Furthermore, I need advice. Here’s the clues: Teeth are terrible with black stuff in them, especially in the back. One broke in the front. We are not young, so not sure if it’s just getting older? Mine are pretty nice though. Stays up sometimes all night but sleeps in. Is an artist so maybe that?s the best time to work? Got super interested when I said I had Adderall. Said might help with their own ADD. I offered one, then they asked for two. Okay. Then said they lost one. No pick marks on skin. I’ve been reading up but don't know enough</t>
  </si>
  <si>
    <t>My depression fuels my addiction. I need help. My friend O.D. last night. Another log to the fire. I can't shake the negative thoughts, so I inject my new love. She takes away the pain. It's getting worse.... I listen and soak up all advice. I learn from people like you. If you're reading this I need your thoughts. How do you pull yourself out of the whole? Please.</t>
  </si>
  <si>
    <t>My partner is currently taking Suboxone to withdrawal from opioid use. My question is will him taking Kr atom have an effect on the Suboxone? Any help will be appreciated. Thank you</t>
  </si>
  <si>
    <t>I've never experienced anything like this, and I'm completely helpless. I have to admit I've been somewhat sheltered, so I don't know anything about most addiction. My husband has been off heroine for 3 years (I'm so proud!) But recently I caught him using. He came clean and broke down and told me he wants to be clean. He's a seasonal worker so right now he's off and has nothing to do, and it's making things way worse! Beyond that, I personally don't feel like I can trust him. I'm so stressed I feel like I have to be on him ALL the time. However, I also feel like I can't want to be clean for him. We can't afford mental health help, I just feel completely lost. I'm so paranoid I'm checking his phone (which is something we both agreed early on was okay, and he's allowed 100% access to mine whenever/tho I FKK hate that I feel I need to do it) and I found now he's looking into unwashed poppy seeds.</t>
  </si>
  <si>
    <t>My name is Darren, I am a 15-year-old in High-school who recently saw something, I never thought I would, my own father, using hard drugs again. Ever since I was a child I was surrounded by people who used a variety of intoxicants, and due to that, among my own habits (I used to smoke Marijuana), I could tell immediately it wasn't a Water Pipe for Marijuana Flower, but it was an oil burner pipe, commonly used in the practice of smoking Methamphetamines, or Crack Cocaine. However, I am conflicted as whether to confront him or not, as I do not want the police involved, and I only saw his girlfriend doing it at the time, he was asleep. Due to the differing Psychological Highs of Crack and Meth, I judged that it was most likely Meth, as he was not twitchy, or (Tweaking) as it is called usually, I can't find another word for it. I would love a response from someone in a similar position, I would like my father to live longer than I think he will end up living.</t>
  </si>
  <si>
    <t>I'd really like some advice from someone who's been here before. I started taking oxycodone 7.5mg about a year ago. Furthermore, I took it for chronic pain I have a chronic illness and I just got tired of suffering. Furthermore, I never really abused it I took anywhere from 15-30mg daily depending on pain levels that day. Furthermore, I stopped cold Turkey 11 days ago, and I'm feeling pretty bad psychologically Highs and lows in mood, terrible Anxiety. My concern is I've developed an addiction or something that I have to deal with forever or something I'm honestly scared because I do have cravings to take it to feel okay. Will I eventually get better and back to a normal life?</t>
  </si>
  <si>
    <t>It started like 4–5 months ago when he started taking codeine daily, but in that days it was only 100-200mg but couple of weeks ago he started like getting really damn high daily, about 400-500mg, I gave him a lot of reasons to quit, or start quitting. He returned to taking 100-200mg of codeine daily, but it’s getting worse again i don't have any ideas what to do to help him. Reason he even started is that, that his girlfriend started controlling him a lot, but she was drinking soon he got really mad and now his hiding it from her. Please Redditors, I need some advice, i don't have any ideas but I really want to help him quit (of he wants to quit too)</t>
  </si>
  <si>
    <t>I got clean a couple of times from tramadol max 8 months and recently one month. I have been using again, Tramadol at 500mg approx for 12 days now. Furthermore, I want to know will there be a withdrawal if I stop and how to make it more rigid. Any techniques to handle anger/guilt/depression, usually from others (and I don't blame them because of the stuff I've done). And also I am on an antipsychotic and stress am for managing OCD if that helps. And one last thing I have also developed tics from tramadol use and I don't know what to do</t>
  </si>
  <si>
    <t>My best friend is going through a messy divorce right now and says she is under so much stress she can't sleep so she has been taking Xanax. For years, she was prescribed it, but she almost never took it. Instead, she hoarded it for many years ?in case I ever needed it.? I know she some prescription bottles that were at least seven years old. I don't know how much she had, but it sounds like a lot. The doctor who was prescribing them retired (I’m not sure when. If I think not recently). Now that my friend is under all this stress from the divorce she started taking them because she says she needs them to sleep. She is out of them, and she can't find a doctor who will prescribe more. The doctors keep suggesting other things and that makes her mad. She says she knows Xanax works and she doesn't want to be messing around trying different things that might have side effects when she knows there’s something that works. These doctors don't UNDERSTAND, she says. They are being unreasonable, she says. She NEEDS them.</t>
  </si>
  <si>
    <t>This isn't anywhere near as bad as some of the people on here, and I feel so stupid and overdramatic for even having to come on here, but I just need to vent, and I need advice. Ever since my first cone I haven't had a month sober, I started smoking November 2017 and ever since April 2018 it's been almost every day with the occasional 1 or 2 week brake where I've tried to quit. I've wanted to quit ever since August 2018 but haven't done more than two weeks since then. I've lost and destroyed so much, so many friendships down the drain, my relationship with my family has been terrible, my boyfriend and I relationship (we met January 2018) has turned from something beautiful and magical to shit, I want to get sober so badly, but I can never do it. Furthermore, I just want to kill myself, so badly, I don't see a good future, my boyfriend lost his job due to his addiction and that made me truly relies how fucked we are going to be in the future, no matter how many times I cry, cut myself or hit myself because of my addiction nothing stops me from having a cone to numb it all, and nothing stops my boyfriend from having cones even me telling him how much I want to kill myself because of cones. Furthermore, I came so close today, I was going to overdose on LYRICS (IDK the actual name of the drug) but stopped because my boyfriend made me. Furthermore, I don't know what to do, I feel so lost and helpless and I don't know anymore, I feel like there's no more point in trying considering every single time I've tried I've failed. And being an addict makes me feel so useless, and I just want to kill myself, I see no way out of this. How do I get sober? Is it even worth it from addicts who've gotten sober? It just feels like a waste of time since being sober just makes my mental health so much worse. And most importantly, what do I do once I'm sober? I've been trying really hard recently and gotten it down from 15 cones every day to around 10 cones 3–4 times a week but the days I'm sober are mostly filled with self harm, drinking, crying and suicidal thoughts. How am I supposed to do this when my mental health is so terrible.... I'm sorry if this doesn't fit into this sub, I don't know what to do, and I'm just scared. I feel like I'm losing everything and the one thing I can do to fix it (get sober) just feels so out of reach. Please, any advice is helpful</t>
  </si>
  <si>
    <t>Hi, I'm 34f. And all I'm having a really hard time staying sober. I am supposed to be doing random testing. And I haven't. I live with my fiancé 40m and his cousin m. They use. I know I should be stronger and just stop. I go 2 weeks and then relapse. Furthermore, I've tried to talk to my fiancé. About how the using is making it difficult for me to stay sober. But that turns into a whole other ordeal. That becomes unsafe for me. I'm getting depressed, and I don't have anyone to talk to. Thanks for bearing me out.</t>
  </si>
  <si>
    <t>I have a major problem I have a crippling porn addiction. I need to stop. It’s taking time out of my day. I can't focus on work. Please. I’m sincerely asking for your help. Thank you.</t>
  </si>
  <si>
    <t>I have a friend, and he has video gaming addiction, and he gets sucked into things like YouTube, Reddit, games, internet, etc. And will spend HOURS on it. It's getting really bad, and he has stopped for a while and was productive, and he was so happy for a long time, but he relapses, often. Every time he relapses he feels guilty like he needs to give up, he feels hopeless and depressed. What are some ways to deal with the guilt/shame of relapsing? I told him he needs to be patient with himself and not to beat himself up for it. But I have a feeling, he's using "patience" as an excuse now. He really wants help!</t>
  </si>
  <si>
    <t>I just got word that my little cousin has been abusing meth for the last 4 years. He told me a year ago that he tried it and could see how it could be a problem for people. He didn't give me any indication that he was still using it nor that he had been an everyday user multiple times a day (smokes) it. What can be done and how grim is the situation? What’s the reality?</t>
  </si>
  <si>
    <t>My friend want to overcome drug addiction. The problem is he live in country where it’s hard to find help for your addiction and I don't think he could afford the cost of the rehabilitation centers. So here’s the questions: Has anyone been in this situation before, and what helped you deal with it? Also is there online courses that could help?</t>
  </si>
  <si>
    <t>I well self harm and I'm scared I really want to stop it sucks it hurts i just want to be able to wear short sleeves or shorts again I really just want to stop I haven't told my parents and I hope this doesn't get me reported</t>
  </si>
  <si>
    <t>So my BF and I started doing meth together. I've used it off and on for 20 years and had stopped using when I met him. He was trying to stop drinking and wanted to stop, and he wanted to use meth to stop drinking alcohol. I tried to talk to him out of it. To no avail. We started about 3 months ago. The side effects and come down have been a thousand times worse for me. I've been sober for a few weeks now, and he is still going strong. I'm pissed, I don't want it around me, I hate knowing it's in my house, I hate having to go in another room while he gets highs. But I also don't want to tell him to stop because he doesn't want to.</t>
  </si>
  <si>
    <t>Until yesterday, I decided that I would stop being addicted, and finally concentrate on my student life, but that's not easy alone (my parents don't really care) I have a pc, that I need to use to work, but I am easily distracted by games, I could just uninstall them, but it would be too hard cutting them off, it's too sudden, so I decided that each week, I would play 1 hour less, until reaching 1–2 hours allowed per day, any advices regarding that ?</t>
  </si>
  <si>
    <t>When I was younger, I was spoiled mercilessly, and as an adult, I had lots of seemingly endless fortune. I’ve immigrated to a new country this year, and am I finding it incredibly challenging dealing with things over here. I am being paid monthly, and having a very hard time holding on to my money. Furthermore, I seem to spend it all right away and struggle through until the next paycheck. Furthermore, I was wondering if anyone else who uses spending money as a crutch can help me figure out how I can learn to hold onto my money for a longer period of time, and eventually learn to start saving large amounts without spending it.</t>
  </si>
  <si>
    <t>Everyone had told me MDMA was not addictive and I believed them. I had gotten a half gram the first time I did it and I rolled through the whole thing. After that I got as much as I could buy and starting binging for up to 6 days straight. I’d smoke it, snort it, drink it in water. I’d even set rocks on my tongue to feel it go numb. Furthermore, I ended up spending $1,000 on it in one month doing about 9–10 grams. Now it’s been over 3 months and I still feel like I’m in a come down. I can't enjoy anything I used to the same. It almost feels like my goal was ripped from me and I can't talk about it because ?MDMA Is not addictive?. They think I’m faking it. Another thing to add is that I never tested it and I had horrible physical withdraws for a week. With MDMA that’s not supposed to happen to my understanding. If you have any ideas to help me out of this hole please let me know.</t>
  </si>
  <si>
    <t>I am also a drug addict, I have been using for 11 years. Recently a distant relative fell into a life of drugs &amp; I just want to save her from it all. I know I can't, but I know the least I can do is give some words of encouragement. she’s a beautiful young lady who’s just starting her 20’s. I don't want to leave anything out so I need advice what to tell her.</t>
  </si>
  <si>
    <t>This may seem like a joke to some people, but I have an awful addiction to my ADD medication. I’ve been on stimulants (Adderall, Vyvanse, Ritalin) it since I was 9 and I’m 24 now. Since I moved out of my hometown and got a place on my own, I developed a horrible addiction to my medication because I had a whole new set of responsibilities. I can't trust myself around it and I’ll end up taking to 130 mg even though I’m prescribed 30mg. I tried getting off of it, and I was successful for 4 months, but after I gained 30 pounds and had no motivation to do anything I went back to my doctor, and he wrote me a prescription. Furthermore, I take all of my prescription after a week and a half of having it. I’m so mentally exhausted and it’s all I think about all day every day is how I’m going to get more after I run out. Furthermore, I want to be off of it and I want it to be successful this time. Furthermore, I need help, but I don't know where to turn. I’m so disappointed in myself that I can't even get myself to tell my boyfriend (whom I live with) to express the urgency and severity of it.</t>
  </si>
  <si>
    <t>I'm sorry if this is the wrong place to post as I know some people don't believe in being addicted to weed. I’m 18 and i?VE been smoking since I was 14. It’s been every day since I was 16 and got involved with someone bad. I now smoke up to 3 times a day, not even counting cart usage (which is something i?VE been trying to quit somewhat successfully for about a year now). I never really thought it was a problem, but today I tried starting a tolerance break and I feel like I'm finding. Furthermore, I don't know what to do. Furthermore, I can't go a day without smoking weed. Does anyone know a way to cut down and eventually stop? I really need help.</t>
  </si>
  <si>
    <t>I’ve been clean off of coke since March and I’ve made a lot of healthier choices since. I was cleaning my old purse and found about 2 bumps left in an old Maggie. I’ve been able to ignore it for a few days, but I keep thinking about going back to it, I know if I go back to it I’m going to want more, and I won't know what to do. Furthermore, I don't think I’m strong enough to throw it away. What is something healthy I can do to deal with this? Any possible natural supplements that might give the same feeling of Coke, so I won't be tempted to do it? I take pre-workout pretty often (obviously before I work out)so that sometimes helps w the cravings</t>
  </si>
  <si>
    <t>I'm writing to see if there are any former coke addicts here. Recently been trying to get clean from it and wondering how long it took for others to remain sober. How many relapses did it take for your brain to finally click in that it would never happen again? Or do you simply take it one day at a time and hope to remain clean? Any advice/stories welcome!</t>
  </si>
  <si>
    <t>I’m having a really hard time dealing with my boyfriends' addiction. I’ve been sober from weed for a little over two weeks and I see how important it is to abstain from mind-altering substances now. My boyfriend has been more addicted to weed for a longer time than I have. He has slowed down his consumption but it’s not just the weed. He is always seeking something out so he doesn't have to deal with his emotions. Last night he took a Xanax and drank alcohol and the way he was when he came home made me so angry and sick to my stomach. I am so pissed off and annoyed with him at this point. I did not want to spend my life this way. Furthermore, I did not want this for my child. Furthermore, I want so much more than this, and it feels like a waste of time trying to get him to stop. Furthermore, I have no financial ability to leave right now, and I really don't want to give up on the father of my child, but I don't have time for this bullshit if he isn't actually going to ever change.</t>
  </si>
  <si>
    <t>I have a friend that has been in recovery for 2 years now. Recently I noticed a couple of things he has done that have seemed out of character. But I didn't think much of it until yesterday I noticed his feet were extremely swollen and bruised. I was curious if that was normal among people who shoot up in their feet. It makes sense because he works in a rehab facility, so the only place nobody would notice would be in his feet. When I asked why his feet were swollen he wouldn't give me an answer. They are severely bruised, not in between the toes, but along the entire side of the foot</t>
  </si>
  <si>
    <t>Mobile and new to the community. If I use wrong/inaccurate terms, I apologize. I’ve never dealt with this before. I have a friend who has told me they’re a drug addict, but has gone back on it, saying it’s not that bad. Anything I can say to them that can help them understand it is an issue? Anything I can say to get them to quit? They live kinda far, and I don't see them often. But we still talk a lot.</t>
  </si>
  <si>
    <t>My son lives with me. He has been an addict for over 15 years. Drug of choice is heroin. He lies to me. Has stolen thousands of dollars by misuse of my credit cards and bank accounts. He was in rehab about six years ago, didn't take. His girlfriend died of an overdose recently. I love my son very much. I do not want to see him homeless. He has overdosed a number of times. What do I do? He keeps on this path, he is dead. I make him leave, he is dead. I feel trapped and hopeless. How can I best help him ?</t>
  </si>
  <si>
    <t>A high school teacher is stuck in an addiction and is desperately looking for help. Has tried many options of quitting, including short detox inpatients. It seems the most helpful thing would be a 30 or 60 day rehab. How can he get away from school for that long? Does any know about medical leave and how to accomplish this without ruining his job and career?</t>
  </si>
  <si>
    <t>Interviews on Addiction During COVID-19 I'm a college student doing research on how the pandemic has affected people struggling with addiction or are in the process of recovery. I'd love to discuss your experience, and how you have been doing during these past few months. Please PM me if you're open to share. Thank you so much.</t>
  </si>
  <si>
    <t>I have a bulged disc in my thoracic area of my (I forget T# sorry) back, and I see a pain management doctor for it... but my issue is, I can't NOT take more than the 3 pills a day he gives me. Legit I have my spouse trying to help me, but I disappoint myself and him monthly. I’m going back to doctor Wednesday bc since I ran out early I have been cold turkey off of it.... Problem #1 during my (RFA) ablation last month something happened and long story short I had a weird reaction and have had severe pain in my left side. Doctor knows about this and was managed until I ran out of meds. I tried to tell myself ok let’s try ibuprofen etc... Problem #2 my side is hurting again like it was after initial RFA... so my husband and I have been going back and forth bc I have been an angry bear.</t>
  </si>
  <si>
    <t>I have experimented with drugs from high school until now (currently 22). Iv struggled with alcohol and drugs both before for a long time. My family thinks I need rehab because I haven't worked in 6 months because I lost my job and been doing drugs ... I want to stay clean but I want to do out patient, and they don't trust me enough. I’m 22, but if they force me I want to leave and trust me I have other places to go. What do I do ? I just can't do treatment it’s not me, but I want to prove that I want to have my life together. A lot has to do with the guy I’m with. He has addiction too which we wanna both help each other and get clean I know we both have to focus on ourselves which is why he’s lives 2 hours away, and we only communicate by phone now. My family hates him, but I love him and no matter what I’m not leaving him. So what do I do ?</t>
  </si>
  <si>
    <t>My boyfriend has some issues let just say, but who the hell doesn't. So I don't hate him for how he acts, rather it just fucking breaks my heart. This man is beautiful, in every way, except when it comes to smoking. Weed, nicotine, anything. He has admitted to me, that he struggles with addiction. And I’ve seen his father struggle with addiction to his prescription meds. So addiction runs in the family, and it’s sadly been passed down to my boyfriend. He smokes so much weed, and like 2 weeks ago he was sober for a week. Then we went to hang with friends, and he caved, I’ll admit I played a role in him smoking again. And that was hard, but I know smoking helps calm him down. But right now, we live in an illegal state, where smoking weed, especially wax, is extremely illegal. He could get a felony if he is caught, as well as my boyfriend works for a car dealership, he’s got a lot on the line. We live with his family right now, I just bought my first car recently, and am I looking HEAVILY, into moving out on my own. I don't want to leave him, because he claims he’s wanted to move out since 18, but hasn't yet,</t>
  </si>
  <si>
    <t>I’m 16 years old and I’ve had a lot of mental health issues and I struggle with anxiety and depression and addiction I’m a poly addict which means I can basically get addicted to anything yes especially weed the only time I feel happy or relief is when I’m high on Xanax or weed, but it only lasts for maybe little more than an hour then I’m back in wanting to get high. I would just tell myself ?oh I’ll just kill myself when I’m out of drugs? But now I’m kinda scared to die bc In most of the time I don't die obviously LMAO (I’ve tried to commit suicide Maybe little over 15 times that’s why I say obviously) now I have the pit in my stomach saying oh fuck what do I do what is my plan and I don't have one I’m so lost I do want to get better for my addiction, but I don't want to let go of that happiness drugs bring me if you made it down this far I just wanna day thank you for taking the time of day to read this you don't have to help me but only if you want I just need advice</t>
  </si>
  <si>
    <t>My BF and I have been dating for a year, and he recently relapsed. I caught him and confronted him in a supportive way. He wasn't upfront about the severity of how much he relapsed but was willing to go to therapy and get back to his meetings. I have this lingering feeling that something is still not quite right, and I can't pinpoint if it’s me being paranoid or if he’s just giving off the illusion that he’s doing the right thing but deep down isn't. When I bring this up In conversation he gets a bit defensive and makes me feel that he is doing the right thing. He’s said to me that it bothers him when I bring up this concern bc it makes him feel like he’s doing something wrong when he’s not. I’m struggling in how to move forward when deep down I feel like something is off but don't have 100 % pride. His sleeping patterns haven't been the same, he gets more defensive than usual, and something seems very secretive about his behavior. What would be the best way to deal with this?</t>
  </si>
  <si>
    <t>Background:Male[19] I know my age might make this seem a little unreasonable to some, but addiction has no bounds. This is the one place I've deemed the best to ask and I'm not even sure this is the right place. I've been addicted to 10+mg Xanax daily, 150mg+ MDMA weekly, 1g+ coke weekly, 200ug LSD weekly/biweekly. Some separate, some combined, But have gotten over all of them) I also smoked weed and cigarettes everyday through it all Its really been making me feel like less of a human due to how much I drink so I want to know if It's for a reason After all of that, should I feel better about not doing those drugs, but drinking a lot? (Avg. 27 drinks/week) still weed and cigarettes</t>
  </si>
  <si>
    <t>First day without smoking anything since 2017 and I’m struggling a lot. It’s my day off work and It’s going by so slowly! I started smoking at a time when I was severely depressed anxious and overweight, and it has helped me amazingly. I have lost 30 kg. Furthermore, I am so much more of a confident person however what it has turned into is an addiction and I think I’m so anxious that if I quit I’ll end up how I was before I started smoking back in 2017. Furthermore, I find that because I have integrated it into everything I do on a daily basis I find it hard to do anything without it. Furthermore, I can't even distract myself with friends. Furthermore, I have one friend who is a stoner as well that’s it.</t>
  </si>
  <si>
    <t>Please give me advice on how to help a close friend who was drug free for the past 6 months (probably the longest period she has gone, ever...) and has now relapsed. This is very painful. What can I say to her to help her, and also admit that she has relapsed?</t>
  </si>
  <si>
    <t>Sometimes recovery is looking your spouse dead in the eyes with righteousness while you pee in a cup because you know you’ve been clean for months and then crying in private because you know their reasoning for question you are valid and this won't be the last time you do this...</t>
  </si>
  <si>
    <t>I (37M) have been drinking alcohol and smoking weed recreationally since I was 14. I have been with my spouse (37F) for 20 years, and we have been married for 10. We have two children (4F and 1M). I am a devoted husband and father, but over the years there have been trust issues with my substance abuse and my lying about it. I have promised change and backslid repeatedly. Recently, I have taken to smoking weed after my wife and kids have gone to bed so I can hide it. Recently we have entered a care relationship with five other families of young children and a teacher who are operating a preschool pod in our home. My wife and I are working at home now. It has been my responsibility to cover the teacher's lunch break. Today I made a stupid choice that I was going to take a hit during the work day and my wife walked in on me. I was taking a hit out the window in my daughter's bedroom.</t>
  </si>
  <si>
    <t>I'm addicted to masturbating. It took a lot of courage to disclose this but I am; and I want to stop so bad. Some days I jack off 4 times a day, i haven't gone a day without masturbating for years. I feel like its making me dumber and forget more, and I hate it because i don't get joy from it anymore, it has desensitized me to the point where I masturbate and feel no happiness, no regret and no sadness either. I'm pretty you g but I've tried to get addicted to other things to distract me but without funds for it nor anyone to talk to, it has made me more focused on mapping. Please help</t>
  </si>
  <si>
    <t>I’m dating a recovering meth addict. I have no experience of substance abuse and/or addiction apart from vaping and consuming obscene quantities of coffee. Furthermore, I want to be as supportive and helpful to him as I can. In the beginning of our relationship I could sense that there was something he wasn't telling me about himself, so I just kinda laid all my vulnerability on the table and told him the dealbreaker for me would be dishonesty and a lack of communication. He then seemed really scared, but told me about his addiction and a recent (about two months ago) relapse. He has, since then, opened up so much more.</t>
  </si>
  <si>
    <t>I interview Matt on Them, That and This about his addiction to pornography. He talks about first jerks, six-hour Pornhub sessions, the kind of porn he loved, and the toll it took on his relationships and life. As of today, porn's grasp on Matt has loosened significantly, but the looming threat is always there. This is how he's learned to fight his urges.</t>
  </si>
  <si>
    <t>I started dating my boyfriend once he left rehabs for the 3rd time. I was still using for a couple of weeks but I stopped because I felt that I was only making matters worse by doing so, even though he said he was okay with it. (I am now 3 months clean), but what can I do to support him whenever he gets a craving, or if one day, (god forbid) he starts talking about using again? Or if he relapses? (once again, GOD FORBID)... i?VE never dealt with this kind of situation before so I'm fairly new to it all, &amp; the driving force behind making this post is really just ?what if’s? &amp; paranoia. But i really just want to know what to do and/or say whenever he shares something that I don't know how to respond to. I want to be there for him, I just don't know how</t>
  </si>
  <si>
    <t>My husband is a recovering alcoholic who now switched to Tessin and weed. I don't mind weed as much as I do Tessin. He takes so much of it to basically be non-functional. When confronted doesn't see a problem. We've been through this before with alcohol and it smells the same. If he does realize he needs to stop it, I won't help. Does anyone have Tessin stories, ways to over come it and what could happen if one chooses to continue, healthwise. Thanks anyone who could shed some light.</t>
  </si>
  <si>
    <t>I’m 24f and started smoking when I was around 20. My life before smoking was miserable - I’m from not so healthy nor loving working class family, never really had friends or a boyfriend, no skills, hobbies or passions... the only thing that kept me going before was education - the only thing I was good at and gave me satisfaction (not even necessary studying itself, it was more about the results and feedback I received that made me happy). Additionally, I’ve always struggled with my mental health and went through some therapies, but nothing really has ever helped. When I started to smoke at university it was amazing. Everything was just fun and I felt happy. Of course, eventually I tried other drugs - these were the only times when I truly had fun. I’ve also met friends who were also into weed and other drugs. Eventually some of them quit and got better lives and others moved away, and we are no longer in touch.</t>
  </si>
  <si>
    <t>I am reaching out to those that do not have success with 12-Step programs and would be interested in going through the Rational Recovery books with me. Please watch my video and let me know your thoughts! Also, if you want to subscribe to that would be so awesome!</t>
  </si>
  <si>
    <t>So I've been fighting this urge I have every morning when I wake up to go outside right away and smoke. I'm trying to go without, the longer I go without does it get better? Does it get easier? I know some people think you can't be addicted to marijuana, but I used to be a heroin addict 5 years ago. And I was addicted to pills up until about 2 years ago. Now smoking pot is a substitute I've been using. But I need to stop it makes me lazy and eat. And I don't know how safe the dab oils are since they're not regulated here. Has anyone else quit smoking pot, and can you tell me a little bit of your story? It's been so difficult to quit.</t>
  </si>
  <si>
    <t>GF relapsed My girlfriend relapsed. She keeps telling me to give up and so does everyone else. She says she’s tired of seeing me hurt and she loves me. Furthermore, she got addicted to the stuff between a couple year break up. The thing is I love her and don't want to give up but it’s killing me inside. But if I give up I’m the last person fighting for her. She has severe PTSD on top of bipolar. She was just clean for 2 months. Should I just give up or keep trying to get her to come home?</t>
  </si>
  <si>
    <t>I have struggled most of my life with alcohol, but am thankfully now sober. One of things that was an impediment to me recognizing my addiction was how normalized drinking is in our society. When I would tell my friends I thought I had a problem with drinking, they would become defensive and try to downplay any problems I was telling them about. Looking back, I think they knew that if I admitted that I had a problem, maybe that meant they then had a problem too. What I have come to realize being on the other side of alcohol addiction is it really is a spectrum. Your addiction to alcohol doesn't have to be the absolute worst case scenario for it still to be an addiction. Maybe you are a functional alcoholic who can still have relationships and hold down a job, but how much of your own potential are you leaving on the table by drinking? How much time are you wasting by being hungover for half or all of the day and being drunk 3–5 nights out of the week? Shouldn't that be a compelling enough reason to quit? Alcohol use doesn't have to be abnormal to be a problem. The problem is, we live in a sick society that normalizes unhealthy dependencies on basically anything that can be monetized, alcohol included. So, good luck out there to anyone who knows they have a problem with alcohol and wants to quit, or simply wants more out of their lives and knows alcohol is holding them back. In either case, don't let the sick lens of society cloud your ability to judge what you actually need to do to heal yourself and realize your full potential.</t>
  </si>
  <si>
    <t>Alcoholism</t>
  </si>
  <si>
    <t>Back when I was heavy into my drinking I tried many times to stop. Developed very, very bad migraines right as I finally made the decision that it was time to stop and changed my living environment, friends, habits effect. I feel bad because many people I know look to me as a role model and think my alcoholism is gone. They don't know that I think about it every single day and the only reason I have not started back up is my migraines and neurological issues. I dream of a day when they are gone so I can then drink again. I miss the feeling of being gone. The feeling of passing out. The disconnect. Alas, here I am onto the next one.</t>
  </si>
  <si>
    <t>Went through a rough start to get here but feeling so much better. So far went through Super Bowl, Valentine’s and a move this weekend. Thanks for all the support! Plan on keeping it going!</t>
  </si>
  <si>
    <t>Concerned for a loved one. Drinks every other day until they’re drunk. Can never just have a beer or two, always needs to be the whole pack.</t>
  </si>
  <si>
    <t>I’ve struggled with drinking my entire adult life now (24m) and it’s really effected not only my health but just how I interact with other people. I always tell myself that I’m going to quit but can't seem to find any of willpower to do so. Accountability would really benefit me. I was sober almost an entire month when I told my roommate I was doing sober October. I don't want to give too many details, but for personal reasons, I’m not ready to go to meetings (I will someday, but I’m just not ready yet.) and I don't want to rely on my roommate again because I know he won't understand. Are there any groups online or maybe apps that will link me up with a sponsor? I just need somebody to ask me if I’m doing the work. Sorry if this isn't for this sub I’m just sort of desperate.</t>
  </si>
  <si>
    <t>30 Y/O Male here. Been drinking roughly 8 shots thru-out the day for the last month or so. Definitely starting to feel the side effects, bloated stomach, hammering anxiety, no real liver or abdominal pain, but I can tell ya, this isn't fun. I have Librium and Asian (no I don't mix them) so yeah been here before, this time just feels more exhausting. I’m able to keep food down no problem. Bowel movements seem fine. Just sick and tired of being in this anxiety ridden foggy hellhole!! If anyone else is trying to get to their first 24 hours.</t>
  </si>
  <si>
    <t>I'm the usual suspect. Early 30s, been drinking since a teen. Battling depression and obesity. Best friends with Mary Jane since I was 16. I seem to go through these periods where I drink my dace off for a few weeks then I take a few weeks off. Except the on weeks are becoming more frequent. How do you resist the urge? I know I need to quit both substances but lack zero will power to do so it seems. Feel like shit because of it</t>
  </si>
  <si>
    <t>Here is what I did today. I cleaned up trash, put away clean laundry, dirty laundry in the basket, organized a little, made the bed. But left drug/alcohol stuff in place. didn't even look in the fridge to see if there was anything in there. I like to write him letters a lot, and little notes. I got him a little book a year ago I write little notes in. I wrote to him that I initially considered throwing away and taking any remaining alcohol but then realized how important it would be for him to make the decision about what to do with it. And reminded him he could absolutely ask me for help if he needs help.</t>
  </si>
  <si>
    <t>I know my SO has a drinking problem. I wouldn't call him an alcoholic because I don't think he has a physical need for it, yet. Which scares me because I feel like at the rate he is drinking currently he could eventually get there. We’ve been together since we were 16 years old. We’re now 22 with two kids. My SO was raised around alcohol is whole life. His grandma, who which he’s very close with, is a diagnosed alcoholic and has been for many years. His parents, aunts, uncles, older cousins are very heavy drinkers as well. Every gathering, everyone always gets superior drunk. Well, I think it’s unusual. I’ve been around alcohol my life at family parties of course, (for context I’m Mexican American so culturally, beer is always present at parties.) But my SO’s family drinks pretty heavily in my opinion. And another thing, if you know what I mean, is always being brought out by the end of the night. They’ve been offering my SO drinks since he was 16 &amp; getting drunk with him since then. Through the years we have been together, I noticed that when he drinks it’s an issue. But recently it’s been getting worse. He can never just have one drink. It’s always the whole case of beer, or the whole bottle of tequila, when he buys beer it’s never just one can, it’s a pack of 3. Drinking has also got him in trouble with the police on multiple occasions, been to jail twice for disorderly conduct, crashed side of his car into a pole popping a tire, and crashing into a curb messing up something at the bottom of his car. Not only that, but created issues in our relationship and with my family. We lived with my family for a couple of years, but my patents started noticing his drinking issues would create problems that disrupted their home. Getting into fights outside the house while drinking outside with friends, getting into arguments with me, and getting into altercations with my siblings. Even with all of this, my family has forgiven him and do love him because I do. But I don't want them to worry about me, so I don't tell them he still has his drinking issue. Now, my parents have talked to me before about his drinking. They acknowledge that it’s a problem. But his family, does not. I tried talking to his mom, cousin, and aunt about it all together one day but they kind of just brushed it off. They basically said that considering his age, where he’s from, &amp; what he’s been through, he’s doing great. And the fact that he has a good, steady job that he’s had since he’s 18 not a lot of people his age get, they see no issue. They also said things like, ?oh my ex drank so much worse &amp; did terrible things?, or ?but he’s such a great dad he loves you guys, comes home to you guys every day.? So. I’m basically the only person that can talk to him about his drinking. (My parents don't feel it’s their place. And since the reason we moved out was because of an altercation he had with my sister, he's not comfortable with my family as much anymore because he’s still embarrassed about things he said.) I have tried talked to him about his drinking before, but he gets very, very defensive. He automatically puts a guard up and tells me he’s not an alcoholic when I’ve never called him one before. I think he gets triggered because of his grandma. He’s seen her struggle with addiction his whole life, they’ve always lived together. Anyway, I’ve ran out of ideas on how to bring it up. But at this point, I’m concerned for how my kids will be affected. I love him so much &amp; he’s a great dad, I just don't want to him lose himself with addiction.</t>
  </si>
  <si>
    <t>I'm at a bit of a loss. My friend is an interesting person with a ton of amazing traits, but I have only recent learned of his drinking. I came up for a visit and the volume of alcohol he is consuming is unlike anything I've seen before. He passed out yesterday at 4pm in the afternoon and has yet to wake up. The normal course of action seems to be shine a light on the problem, but I'm worried he will just cut me out of his life (as he's done with his family). He repeatedly said yesterday "this is the happiest I've ever been!". And he feels like he can do no wrong. If any of you were in that mindset - life is perfect, I'm perfect, I've got everything figured out - yet still drinking to excess what would have reached you?</t>
  </si>
  <si>
    <t>I know my girlfriend is talking to other guys, and it doesn't go well with bad coping mechanisms. We were both just friends when we got made redundant last year, but our bad situation brought us closer and then all the rest. I'm having trouble maintaining the sober life knowing the girl I may very well love might be seeing other guys</t>
  </si>
  <si>
    <t>An alcoholic once told me whilst they had their first drink that they were feeling euphoric and wouldn't stop going on about it. I’ve never felt this whole drinking. I wonder now if some alcoholics are more affected by alcohol and that’s a reason they become alcoholics?</t>
  </si>
  <si>
    <t>"Where's the purpose to being bitter? The purpose is being better." It struck me as I was peeing on this yet 30th day of sobriety, after all my well-wishers begging me to not hold the glass because they wanted to see me live and achieve what I once set out to but forfeited to the charms of 'feeling'. Funny thing is, the more often you feel, the more often you fall. The more often you think, the often you build. After the very last bullet of regrets I could take to my chest, it was like an arrow that cupid shot, or whoever. It was like a huge mechanical being finally having a source of power, slowly unfolding without wasting a jiffy, the nuts and bolts clank, the longer beams crank. It felt like a flower budding inside of me. Furthermore, it was almost as if that piss had drained away the last of self-pity I had. At that moment, I wasn't freestyling obsessively in my head, I even switched off my phone and hit warp speeds in thought, pulling together postulates and axioms like a mathematical mechanic of life, like I once used to. I no longer needed the drink to taste or feel hope, I now had perspective. It's as though at that moment I felt I don't need another drink ever again, I was disenchanted, not because I didn't feel the craving but that deranged need of hogging everything possible at the moment left me, the character flaw. I think I could attribute it to understanding purpose, if not finding purpose yet. I felt like giving away all the money I had too but, I wasn't that disenchanted, these bills aren't paying themselves. This is the story of when I put down my weapons, picked up my tools and told myself, "Let go and let's go".</t>
  </si>
  <si>
    <t>I hear a lot you won't quit unless you want to. I get that. I do want to quit, I do want to stop, I want to leave it behind me. But I want alcohol too. And I hate it. I just don't know how to stop wanting it</t>
  </si>
  <si>
    <t>I went to my first meeting at 25, I walked out because of the higher power concept and went to the bottle shop. A decade later I went back and smashed it, I did up to 3 meetings a day in my first 3 months sober I was obsessed with AA. I became a good public speaker and loved it but now I’m turned off, the people who enter those rooms call themselves sober but are addicted to nicotine, caffeine and sugar and often antidepressant meds but if I state I use LSD. DMT or KETAMINE I’m looked upon as evil. WTF do people not know Bill Wilson got sober from an LSD experience he wanted all Alcoa to have a spiritual awakening, but it was too much, so higher power was introduced. I can't stand the fact that if I say I use psychedelic meds I get shunned it’s a joke, while they all drink so much coffee eat all the sugar there and chain-smoke and a lot take meds like lyrics, what’s the difference. There should be an AA and a straight edge AA TGE people who want to tell me I ain't sober because I do k should be in the straight edge one and quit caffeine and nicotine I’m so done with it.</t>
  </si>
  <si>
    <t>My MID was driving my SO to work, as I usually sleep too late/drink too much to drive her in the morning. I have been off work the last five days and when I am off I just stay up later and later drinking. Last night I went to bed at around nine am, about 15 drinks deep. My MID was hit by another driver who was turning left. I used to work in the auto industry, so they wanted me not only to pick them up, but also to give them advice on what to do. Thankfully, everyone was okay. I had to tell my SO I was too drunk to come help. I really didn't want to say no. But, the alternative was obviously worse. A) I don't need to be drinking and driving at all, but also B) I depend on my license for my job, and I would lose it over a DUI. My SO isn't even upset about it. Which kind of makes it worse. This is obviously what is expected of me now. Being too drunk at 11 am to help out my family when they need me.</t>
  </si>
  <si>
    <t>I'm thinking as I'm writing this I must have a problem if I actively searched for this sub. I have severe depression I take meds, but there is just a hole in me that can never be filled. Furthermore, I smoked weed to get out of my head and when that wasn't enough I started drinking whiskey and smoking weed only with backward for the higher effects. Furthermore, I know I have a problem, but I'm scared of quitting even though I know it's going to ruin my health long term. Furthermore, I just don't know where to go what to do, should I try to do AA meeting I'm just working a demanding job that is killing me mentally and can't afford to quit. Just wondering if anyone is going through what I'm going through and can maybe help me out.</t>
  </si>
  <si>
    <t>I need to be done drinking. I'm in bed right now thinking how much I probably have fucked up my brain and body by drinking anywhere from half a 1.75 to a full 1.75 many nights over the last 6 years. Furthermore, I'm 22 and yesterday my entire body was shaking, my vision was crazy, I could hardly even talk. Made a complete fool of myself in front of two different friend groups. (I drank a bottle of gin and then went out with friends two nights ago, and then last night I hangout with different friends and wasn't drinking, but I ended up having some more gin to get rid of the shakes) Should I be worried about withdrawals? This past week I didn't drink for like 3 or 4 days and had no symptoms. I've gone through periods of time when I drink pretty much every day for a year or more, and then other times I'm drinking maybe 4–5 days out of the week. I black out basically every time I drink more than 7 or 8 "drinks" which never used to happen (I used to be able to drink a lot more and not blackout). Furthermore, I've never had withdrawal symptoms but yesterday (and a little bit today) with the crazy shaking, headache, vision, balance etc. really worried me, so I don't know what's in store.</t>
  </si>
  <si>
    <t>I used to love driving. The last few years, however, when I was hungover I became scared to drive, even short distances. Highways and red lights were the worst, to the point I would plan routes, even a mile away, and avoid driving if I could. And I would need a few shots if I had to drive. Now, about 7 weeks out, I haven't had issues in weeks. I can even drive long distances again (hundreds of miles) to places I’m unfamiliar with and enjoy it again. Did anyone else experience the driving anxiety? I am talking about fear shaking at times.</t>
  </si>
  <si>
    <t>I have reached the bottom and am I starting to taper but need to look at how much I consume to do it safely. I had an average evening yesterday, got drunk as usual but because I was keeping track I probably drank less than normal. Furthermore, I had 26.9 units in Guinness yesterday. Furthermore, I've worked out the amount and I consumed over 6 liters of Guinness. Furthermore, I'm a bit shocked but haven't really thought about it before. Also over 2000 calories which explains why the fact I don't really eat doesn't help me lose weight. I'm determined to stop, but it's scary to find that is an average day for me. Think the tapering will probably take a long time. Hoping that sharing this might get some people to look at how much they're drinking in reality. Nothing but love and respect for people on this path with me.</t>
  </si>
  <si>
    <t>If you can tell me that there is no force greater than you, then go ahead and show me you can overcome gravity and fly. Face it, as alcoholics we are our own worst enemies. We need something bigger than ourselves to quit. Most of us simply don't want to but even something as simple as someone's disappointment in us is more of a force than our own will when it comes to cessation.</t>
  </si>
  <si>
    <t>I am a 22-year-old man and I have been struggling with depression for many years now. After covid came 2 years ago I started using alcohol as a distraction at home while I played video games. I did this as a distraction. It turns out that I do it more and more often. I usually binge-drink on the weekends. Sometimes every weekend or every other week. So I have been doing this for 1–2 years, and I was wondering if anyone has experience with how much alcohol and for how long to develop damage to the liver or the kidneys (indirectly).</t>
  </si>
  <si>
    <t>I've been a regular user of spirits since I was a teenager. I've never really had a problem with stopping for a while, and have always been on top of drinking too often etc. This month I think I've been hitting it a little too hard. Drinking 2 bottles of vodka in about 3 days. I woke up a couple of days ago and felt really low. I kept an eye on my mood all day until I had a drink, and I think I felt better when I did, so I woke up next morning and poured the entire bottle away. It's been 2 days and I feel super low, and a little bit dizzy/disoriented at times. Am I experiencing withdrawal? Sorry I know this is probably a wrong place to post, but I can't speak to my SO about it, as she suffers from extreme depression and I don't want to worry her, and my parents would only worry as they're 4k miles away, and that's not fair.</t>
  </si>
  <si>
    <t>I’m a highly functioning alcoholic. I recently turned 30 and want to quit or at least slow down my drinking. The weekends or days off are the hardest for me. All I want to do I sit and drink. I’ve tried to limit myself but can't seem to do it. I’m not a violent drunk so that’s not the issue. The problem is this costs too much money and my family is damn near broke. Multiple maxed out credit cards. Anytime I feel like we’re good and have a little breathing room I spend the money on beer. I constantly hate myself for doing this to my family. I’m just looking for advise from someone to help me achieve quitting.</t>
  </si>
  <si>
    <t>I’m 21, I’ve been drinking since I was 13. The past 3 years it’s taken an especially large toll on my mental and physical health. I’ve had it, I want to quit but it’s so hard. Just needing some support or words of advice.</t>
  </si>
  <si>
    <t>I don't drink and neither does my family so IDK anything about this. We are going to call my friend ?jack? For privacy purposes. Background: I threw a big Halloween party. Jack was on the basketball team, and so many people at the school would be talking about the party, I knew I had to invite my whole team. Jack is a grade younger than me, but old for his age, so he had trouble making friends in his grade. He was also a bully and a weirdo growing up, however that changed when he got to high school. I’m straight, but He’s a pretty attractive dude and he’s tall and an athlete and stuff so all the girls who never knew who he was flicked to him at my party. He was very drunk, but nothing terrible. Just a normal teen who got really hammered. At the time, there were rumors that jack was touching girls inappropriately but nothing arose from that. At my party he met a pretty and sweet girl - in fact it was the girl I’ve had a crush on my whole childhood to this day. Forgot to mention that one of the sexual assault rumors was about Emma (said that she was assaulted by jack) but they started dating so it wasn't believable, and they were both drunk. IDK about Emma but jack didn't remember much about that night. That next week, jack gets too scared to talk to Emma (possibly indicating social issues) and their interaction was very awkward in front of the whole team. Apparently they started talking and snap chatting, and eventually they started dating despite this weird encounter. This was a surprise to all of us because Emma was the most popular girl in school, and Jack was a random guy a grade lower, who was labeled as weird. Recent events: The next red flag was on a random Sunday. We had an elimination playoff game the next day, but jack was sending Snapchat videos to our group chat, and he was clearly wasted. Keep in mind it was a school night too. And he was only with his brother, that’s it. After he sent us those videos, we were all talking in the group chat, and he proceeded to unnecessarily use racial slurs which made us all feel uncomfortable although the slurs didn't affect us. He also decided to hit up seven girls that night. He has a girlfriend who is very pretty, nice, and popular, yet he still did this. I still have no clue if she even knows about this. We told him to stop, but he had no remorse and acted like nothing happened the next day. A couple of weeks of practice, and playoff games goes by, and our season is over. However, one of our teammates happens to be throwing a party on a Saturday (yesterday). When I get to the party, I see Jack absolutely hammered. I don't know if this is insulting or not, but he was acting like he was mentally disabled / special needs. I’ve literally never seen someone get that drunk, and he wouldn't even pull trig. He was completely out of it, not speaking English, and just very weird. It was very embarrassing for Emma at first, but she just thought he was very drunk. Then peoples start talking at the party, and rumors going around that he is touching girls again. At this point it kind of makes sense because of how drunk he is. So me and some of my teammates are trying to get him to throw up so that he will calm down, yet he won't do that. We leave through the garage door so he can throw up outside, yet he just wouldn't listen to us. He’s very, very strong, so we were trying to hold him down while he threw up, and he just pushed us off of him and sprinted for the door of the house. Once he was at the door, it was locked so he knocked and a girl opened it. I kid you not, like a lifeless human with no control, as soon as this girl open the door he grabbed her conchie. Like I had a perfect angle and saw it with my own eyes. I was so shocked I didn't know what to do, and I felt so much guilt for not protecting her, but I had no clue that would happen. He proceeded to do stuff like this the whole night, and eventually someone got him in their car and took him home. Emma was devastated because word spread, and for other personal reasons about their relationship. Is there a mental disorder that describes Jack? Maybe something to do with alcohol? His whole family is kind of weird. His dad especially. He’s also normally a really smart and hard-working kid, he has all A’s and takes hard classes and stuff. But he just gets so hammered, starts touching women, stop speaking English, and no disrespect, but he starts acting like he has special needs. I assume Emma and Jack are going to break up now, so I won't be seeing much of him around since the season is over, and he won't be at our parties anymore. But I’m worried because I’ve never seen anything like this before. Please let me know what you guys think is wrong with him because we are probably going to get in contact with his parents.</t>
  </si>
  <si>
    <t>So I went grocery shopping in withdrawal. My last drink had been about 3am that morning, and it was after 4pm, so enough time for shit to get weird. I was (I thought) shopping normally, not doing anything outwardly odd. I was just checking my shopping list on my phone to see if I'd got everything when I see someone coming up close to me in an otherwise empty aisle - this pisses me right off. It's just decency, especially in a pandemic, to wait until someone has got what they wanted and moved away before you push in too close for personal space and reach in front of them. But it was a shop employee. She looked at me weirdly and said "hey, are you ok?" Confused and too taken off guard for my usual deflection, I said "uh ... yes?" She then said "A lady just said someone in this aisle needed help. " I said "not me" even though I was the only one there and just left. In case I was doing anything fucked up and was too far into withdrawal to know about it. Alcoholism is ridiculous. Got to put a stop to this shit asap.</t>
  </si>
  <si>
    <t>Went like 2 or 3 drinks too far at a social event and started saying slightly off shit. Nothing to lose sleep over but I just cringe so hard at myself and feel sad that sober I sometimes struggle to form relationships but drunk I am a little too shameless</t>
  </si>
  <si>
    <t>I am genuinely asking. Why do alcoholics keep the empty bottles around? Why not throw them away? My house has all these empties hidden everywhere, and I keep throwing them out. I don't understand if you're hiding the consumption, why keep the giant bottles? He has plenty of time while I'm at work to "dispose of the evidence". I know most alcoholics tend to keep the bottles, so it seems to be part of the alcoholic tendencies.</t>
  </si>
  <si>
    <t>I have a job that I go to 5 days a week; I don't drink during the morning or afternoon. I drink every night exclusively starting at 9 pm; during this time, I will usually have four glasses of wine measured at 5-6 fluid oz. Lately, though, I have found myself having five, which is more than I usually drink, maybe even six if I'm terrible. A couple of months ago, I was only having 3. So far, I am functioning like I usually do. I go to work, attend my MBA classes at night, get fucked up at 9 pm day in day out. I feel like I am living dangerously, but I can't see myself quitting wine anytime soon. It helps me relax even though I've been feeling groggy and guilty in the morning. I have a bottle of naltrexone on my shelf that I've never taken after reviewing the Sinclair method. I have had issues with depression, panic attacks, and anxiety in the past, and I am on an antidepressant. Furthermore, I am not having any professional, academic, or social problems, just internally. Part of me wants to quit, and part of me doesn't. Any advice? Am I just living on borrowed time before everything turns to shit?</t>
  </si>
  <si>
    <t>For many years me and alcohol haven't had a good relationship. I'm wondering if there is any alternative to AA? Like a weekly Zoom call or anything</t>
  </si>
  <si>
    <t>When you drink poison every day It will diminish you It will feel like relief. It will then start tasting like water - like survival, Right up until it kills you. And the people that made it the only reason you ever see each other in friendship - won't even show up to the funeral. What are you living for? Who the fuck are you dying for?</t>
  </si>
  <si>
    <t>I haven't been counting up to now. For me, it was easier just to go day by day. But it's now been 189 days. Anyway I won't send a big message to people saying how it made my life better. What I will say is it can be done. You can do it. The grass is in this case greener on the other side. Blessing to everyone.</t>
  </si>
  <si>
    <t>My mom has chosen alcohol for many years, pretty much since I was born. She was good at hiding it for a long time, but after a while it was just obvious. She's also homeless. She sleeps on friends couches. None of my siblings nor myself could take her in because her alcohol issue was so intense. She got mean, she would steal money from people, manipulate people for money. Do anything she can to support her bad habits. She recently got really sick? And went to the ER. They diagnosed her with cirrhosis of the liver. My siblings and I saw her paperwork from the hospital and immediately went to see her. Well when we finally saw her? It was so bad. She was jaundiced. Her muscles were gone. She was skin and bones. She couldn't walk, or talk. She was confused. Furthermore, she looked dead. It was so traumatizing to see her like that. We immediately took her back to the hospital where they were able to diagnose her with liver failure and gave her 3–6 months to live. However, we all feel like based on her current condition, that she doesn't quite have that much time. I never really had a mother-daughter relationship. She never really called me to tell me she’s proud of me and didn't do the best job of supporting me when I really needed it. But she’s my mom? I don't know how to process this. We weren't close but she’s spent the last four years calling me and balling her eyes out because she was wasted and wanted more money. I hold so much guilt. I couldn't keep choosing her bad habits. Furthermore, I had to choose myself at some point. But now I feel awful. Has anyone else gone through this? How do you go through this? How do you get better? I know death is a thing. I know this happens and will happen. But I’m only 28? I didn't think this would happen so soon. She’s only 59. I'm so mentally unwell right now? And there’s nothing I can do to stop it. Death is imminent for her. I'm so scared to experience this.</t>
  </si>
  <si>
    <t>I can't remember if the 2?6’s originally lasted me a couple of days or so, but you get my gist. Do I really need medical detox to taper off of alcohol? I really would Prefer doing it at home and maybe even just trying cold turkey. This is the longest I’ve drank for though, in my life lol. All advice appreciated!</t>
  </si>
  <si>
    <t>So my wife (mid 30’s) otherwise has a good life - we’ve got a happy marriage, we both have good careers and great lifestyles. My wife sometimes has minor anxiety, but no other issues. She regularly (except on work days) drinks a bottle of wine - sometimes a bottle and a half - in a day. She’s otherwise physically healthy and regularly works out. I don't think she’s an alcoholic - she can easily go extended periods without drinking, and doesn't drink to get hammered - it’s more of a consumption pattern. Initially my concern was with cost - she’s spending around $6k a year on wine, but that’s about what I spend on my hobbies so I can't really complain. I can't argue that it’s affecting her health either, and other than my concern, it hasn't effected our marriage.</t>
  </si>
  <si>
    <t>Today is 2 months! I was in the garage in the toolbox for the first time in a few months just trying to get caught up on things around the house I’ve put off for god knows how long lol, opened up the bottom drawer looking for some Allen wrenches and had 3 days worth of hidden empty bottles I apparently forgot were in there staring back at me. It didn't trigger me per se, was just kind of sobering and weird to be face to face with it out of nowhere. Accepted it for what it was, went and got the wife (she’s one of and main one of my close support network) to show her and explain the situation (because I don't have to lie/hide anymore) and threw them away.</t>
  </si>
  <si>
    <t>I am looking for a good source of info for someone I know with 7 months. He is convinced he needs to go on Bezos for relief. I know from personal experience that it isn't a good idea, but trying to reinforce the point with something more compelling than my word. His doctor is on board with this and supposedly knows the guys' history. I mean I'm not a doctor, but there are plenty of doctors out there that don't know what they are doing when it comes to alcoholism IMO</t>
  </si>
  <si>
    <t>M24. So long story short, I’ve been a moderate to heavy drinker since I went to college in 2015, after graduating from college I cut back a decent amount but still would consider myself a heavy drinker. I developed Abbatial fibrillation 3 times in the past due to binge-drinking, the 3rd time they caught it before my heart went back to regular Rhythm (the first two times my heart went back before they did an EKG). My cardiologist told me I need to significantly cut back or stop drinking. I went from drinking 3–4 nights a week to 1. Felt perfect about myself and even though it was 1 Night I’d have 5–6 drinks, I was drinking nowhere near how much I was. Fast-forward 4 months and I had another FIB event the day after I drank. Basically realized that in reality, I can never drink more than 1 drink in a sitting and can only do so most likely a handful of times throughout the year. I’m extremely bummed out and was really content with my 1 day a week. Now I feel like I’m grieving something I’ve lost that was a big part of my life, I realize this is the power alcohol holds over people and I’m trying to look at it like a blessing in disguise. Just wanted to share and rant about this experience.</t>
  </si>
  <si>
    <t>My mom has been an alcoholic for years and also suffers from an Ed/depression. My dad would be ok with it if she drinks maybe one or two drinks, but she always can't control herself. Since I’m still a minor I have to live in a toxic household. They always scream and fight. I feel so numb at this point, and I don't know what to do. My aunt put together a little intervention about her drinking problems. This did not help at all and now she’s done with her shit. She always says she needs to get help to not deal with the consequences when in reality she doesn't want help.</t>
  </si>
  <si>
    <t>I’m an alcoholic. The hangovers are excruciating. They get worse every time I drink. The only way I can end them is by drinking more and more, which leads to benders. Anxiety attacks, I feel incapacitated, etc. Can somebody help with ways to end this please without more booze?</t>
  </si>
  <si>
    <t>First post here. I'm a middle-aged male, I drink 5–10 drinks per evening, and have been for many years. I've never gone more than a day without alcohol, and that only happens after drinking way too much. If I just stop for a few days to a week, what sort of withdrawal symptoms, if any, do you think I'll experience?</t>
  </si>
  <si>
    <t>I [23M] started drinking casually in college, and it has become a problem since. I’m currently in medical school, which I thought would help, but it’s only made my problems worse. Furthermore, I would not consider myself an alcoholic, as I don't need to drink, but whenever I do drink I end up binge-drinking until I black out or throw up. Furthermore, I want to change my life for the better and do not know how to start. Any advice and success stories are appreciated.</t>
  </si>
  <si>
    <t>Like I got broken up with a month ago after a two-year marriage we're still trying to figure out the divorce, but I've been drunk every day since she left me and I work at this ski resort (not anymore because I went to a party last night, and I'm way too fucking hungover to go into work today and I lost my phone, so I'm just done I guess) but look alright I've been drinking Shorewood much just to alleviate the anxiety of not being drunk. I'm going to get fired. For sure. But there is this good place where I live, and I'm kinda thinking I should go. I've been a drunk for as long as I can remember. Only recently it's gotten bad. It's terrible though. Like everyday I wake up, and before I get on the bus I go to the store and get a pint of fireball because I feel so shitty and then throughout the day I just drink to try to feel okay. Fuck this shit really sucks you know? I just want to check out for a month and do the thing, but I'm scared.</t>
  </si>
  <si>
    <t>I’m a 20yr old female I’ve been drinking about 4 5% wines every day for the past 2 weeks I was wondering if I stop today will I have withdrawals?</t>
  </si>
  <si>
    <t>Back to day one. I feel very shaky although better after some water and electrolytes. I have zero desire to drink ATM. Furthermore, I'm looking at that as a positive. Furthermore, I've been around recovery 20+ years. Furthermore, I continued to have anger issues and social struggles even after years of sobriety. Furthermore, I got my diagnosis of ASD a few years ago and doing some self study (and medication) really has helped. The problems with social skills and being part of a tribe has really hurt me, particularly in the workplace. The failures I've had in the past have deeply affected how I feel about myself and my willingness to put myself out there for others. These feelings in turn trigger horrible urges. Right before I got sober this time, I decided to get off my medication I take for what's called 'meltdowns'. I did discuss with my psychiatrist, and he was ok with it but within a few weeks I crashed and burned. The worst happened at a job I'd had for a year, and luckily it was seen as an aberration. Having that come back has affected my mood for days and I feel like such a flop and failure for having this issue. Friday was such a tough day, I started the day feeling down. I had another medication my insurance refused to fill unless we got them old labs. The clinic wouldn't fill an interim prescription, so I'm feeling the effects of that now. I found a not so expired vial and going to do a self injection (which I've done before and have all the stuff) but not fun. Two people who were supposed to show at my house for some work either didn't show or showed 5 hours late. No actual phone calls, although one sent a text I missed. I had posted three times on another board and got no response for days when I was beginning my crash and that bummed me out worse than not reaching out at all. I realize my sobriety, my responsibility. It just kind of sucks to repeatedly feel like you're on the outside wherever you are.</t>
  </si>
  <si>
    <t>The symptoms happen if I go a day without (even if I've just had 2-3 a night.) I'm starting to get really weird and sometimes intense leg/body jerks, and they keep me up all night. I have blurry/tunnel vision to the point where I feel like I'm going unconscious (for about 5 minutes at a time). Furthermore, I am also generally pretty dumb lately lol. Furthermore, I've just never experienced a withdrawal like this, but it does align with my drinking. Are these normal/should I be concerned? It's getting bad enough where I feel like I need to do something, but I don't know how to fix it. Definitely don't think a hospital is necessary.</t>
  </si>
  <si>
    <t>I used to be able to drink alcohol and be fine, but now when I drink regardless if it’s a seltzer of liquor I end up peeing my bed 3 out of 5 times. it’s so embarrassing and leaves a rancid smell</t>
  </si>
  <si>
    <t>So, I don't really know where to begin. I'm 23 years old, and I guess I have always had a love for alcohol. Starting around 2019, but I didn't drink every day, maybe like a couple of times a week and they were only single shots. In November 2020; I got pregnant with my 3rd child and honestly it was so hard to quit drinking. I slipped up A LOT of times in my first 24 weeks of pregnancy. My child is perfectly healthy and happy, thankfully. The minute I was having back pain and knew I was going into labor the first thing I thought of was asking my best friend to bring a shot. I waited a week. She is now 5 months and I drink every day, all day. It went from double shots, to half pints know I drink a pint or sometimes 2 of importers every day. I do sometimes share with my friends. But when I see how they take shots then I see how much I take makes me feel like crap sometimes. I do drink when I wake up before eating, but I use pesto besom, so I have a coating at least. I want to be sober, but I also can't let anybody else find out that I drink this much let alone drink in general. My husband says I have a problem, but I honestly feel like sometimes I don't, but I also feel like I need to stop drinking as much and go back to just social drinking. Can anyone give me some tips.</t>
  </si>
  <si>
    <t>I am a budding alcoholic. I'm not sure why I'm posting here, guess I just needed someone to talk to. Furthermore, I discovered that I had zero coping mechanisms, so I turned to alcohol. Furthermore, I suffered three extremely traumatic events in the last two years. My work performance has dwindled to almost zero, I've been engaging in extremely high risk behavior which endangers my life. I am broke because of aforementioned behaviors. I do not want to deal with my problems. Furthermore, I am done with therapy. Furthermore, I am tired of life and the only time I do not feel the grief of living is when I am drunk on something. My father fought for so many years to quit alcohol and I have picked up where he left off. I am a budding alcoholic.</t>
  </si>
  <si>
    <t>Hey, so I have two problems which I think might have something in common. It is terrible mental hangovers after alcohol and terrible post not clarity. Both to the point of depression, stress, sadness, feeling of nothingness etc. They both do occur to me secretly or together (it is a bit worse when combined). I know I can stop drinking alcohol, but I am not willing to give up sex for obvious reasons. I just have these two feelings much worse than any of my friends. Anybody has an Idea why it might be?</t>
  </si>
  <si>
    <t>Was after some tips on how to give up alcohol. I have tried counselling, seeing a spirit healer, hypnosis, Cameral Medication and still can't seem to stop binge-drinking. I have no interest in AA meetings, maybe that’s where I am going wrong.</t>
  </si>
  <si>
    <t>My mom has been excessively drinking since I was around six years old. When my dad died when I was 10, I was left alone to survive with her addiction. I am 17 now and it hasn't gotten better at all. She is the source of most of my mental health issues, and she just makes my life so numb. I’ve tried talking to her countless times but she’s in denial and doesn't believe she is an alcoholic. But if getting drunk on wine every single night and passing out isn't alcoholism then IDK what is. I don't love her. And I don't think I ever have. I blame her for giving me trauma and not giving me the childhood I deserved. And I hate her for it. I will never ever forgive her. The second I get my high school diploma in January I’m out of the house. I do not care if she will hate me forever, but I refuse to live with her anymore. She can ruin her life on her own. Moving to the other side of the country has been a dream of mine since I could remember. I wish alcoholics can understand the trauma they cause their children and the people around them.</t>
  </si>
  <si>
    <t>Alcoholism runs pretty rapid through my family. That's nothing new, but my brother has really been slipping into it lately especially dealing with life stress. He's the oldest and doesn't have as much "under his belt" as his two younger sisters. We both moved out and moved on and built lives for ourselves. Not saying it was easy or perfect, but that's something he just never cared to do. He would rather stay in his hometown and drink his life away. NY cousin gave him a room nearby the city we moved to. He finally grew up. Was working full-time, paid off all his debts, stopped getting drunk every single day. Then he meets a girl and they end up moving in together. His ex comes at him for child support after 6 years of zero contact. He jumps around job to job for a bit finally settling at a delivery company. Gets in a fight with his girlfriend since she stopped taking her pills and went off the edge and took off. Boom DUI. Now he's dealing with that stress, lost his job, can't pay child support, car needs to be fixed and every time he goes out with his friends he gets smashed and talks about killing himself. I tried to get him to get counseling, but he refused, so I had him talk to a doctor about getting anti depressants. They worked for both my mother and myself, so I was really hoping they would help. I don't think he's gotten worse, but I just don't know what to do anymore. His friends keep calling me and telling me the things he is saying, and I can't babysit him all the time. What do I do? How can I show him? I'd even swear off alcohol with him.</t>
  </si>
  <si>
    <t>Hey there! New member here looking for some support and with a question. Since quitting a couple of days ago, I feel like I get tunnel vision and like light sensitivity. Is that normal? Racing heart as well, but I’m wondering if that’s just anxiety since I just feel strange.</t>
  </si>
  <si>
    <t>My friend has recently started drinking a lot. This is a big concern as she has borderline personality disorder. Which makes interventions near impossible. She is a frequent partygoer, and drinks from 8pm til 4-9am usually. She is 19, so this is looked at like normal behavior where I live. What is not normal is how frequent she goes drinking, she goes at least 3 times a week, and there is no stopping her. It's gotten to the point where this lifestyle has ruined some big plans for her. Her friends and I started noticing it being a problem when she called one of my friends up stating Â®this has gone too far¯, Â®I'm going to kill myself¯, Â®I can't stop¯. The morning after she brushed this of like it was nothing. Today I found out she has been sick (most likely covid) but she won't get tested because then she can't go drinking tomorrow at a party bus for a friends' birthday party. It's gotten to the point where she is drinking to dampen alcohol withdrawals. When we try to rationalize with her, she says Â®I'm happy¯, Â®i don't need to stop¯, Â®it's not a problem¯(yet she stated it was a problem in the phone call, begging for help and saying she can't stop). I believe this blindness comes from her borderline personality disorder; her brain subconsciously making up lies so she doesn't feel negative emotions, as she feels 10 times more intense (because of BPD) I don't know what to do and I am in need for some serious advice.</t>
  </si>
  <si>
    <t>27-year-old male. Drink 4–6 beers and at least 4 generously filled glasses of whiskey a night 3 -4 night an out of the week. Normally I'd drink more, but I need a day of rest to recover from the damage I'm doing. I have a really annoying dull ache in my mid to upper back on the right side that sometimes goes in between the shoulder blades. I used to think it was from smoking, but I've had several chest x-rays over the past couple years, and they said I was clear and didn't suspect anything with my lungs. Furthermore, I realize now it always gets bad when I drink, and I drink a lot. Binge a lot too. This ache I realized could be my liver. Currently, haven't drank for 5 days and the pain has gone down but is still aches. I was wondering what is the likelihood this pain is coming from drinking and has effected my liver or kidneys or pancreas or gallbladder. IDK. I took 6 months off from boozing. And it did get better and only resurfaced after I fell of the horse. I just want to know if there's hope to fix myself. I don't want cancer or a broken organ or anything. Is it possible to rebuild? I don't like who I have become. The pain is especially bad at nighttime. Like a constant pressure and ache. I'm not going to be drinking anytime soon. And I'm working on quitting smoking. Also, my diet is filled with a lot of fat and greasy foods. Lots of healthy fats. But also lots of fat greasy ones. Edit: also want to add that I've occasionally had a stabbing pain in my right rib cage. But has only happened rarely. So most of this is just mid to upper back pain on the right side.</t>
  </si>
  <si>
    <t>I hate it. I hate the smell. Furthermore, I hate the sound. Furthermore, I can only force myself to drink it chased immediately by something high in taste and usually, high in sugar. Even then it sets my gag reflex off immediately. My body rejects it. I feel like shit drinking it. I hate the cost of it. Furthermore, I hate going to a bottle shop to buy it. Furthermore, I hate all the things I can't do because of it. Furthermore, I'm not doing this recreationally. Furthermore, I'm not doing it because I like it in any way whatsoever. If I could slap myself in the face to achieve the same effect, so much the better. I don't I know what the point of this post is. I guess I'm just curious about ego dystonic alcoholics - like me.</t>
  </si>
  <si>
    <t>I've been on a steady path of destruction. The 1 drug I keep coming back to is alcohol. I don't even know what to do at this point. I called my sister drunk asking for help. But reassured her in the morning I was dramatic. This is the lowest I've been. I don't want to go into detail, but this is my rock bottom, but I'm still not helping myself. Please anything. Any advice on what to do.</t>
  </si>
  <si>
    <t>So I'm taking a break for the next 6 months because I was spiraling out of control the last month or so. I was wondering what you guys do to get your cravings under control? I usually drank as a result of my body dysmorphia, and it made me forget that I hated my body, and I'm really feeling like shit today</t>
  </si>
  <si>
    <t>How much were you or are you drinking and for how long? I’m getting scared reading about people in their 20’s and 30’s with late stage liver disease and didn't really seem to drink for very long. I’m at half a fifth a day for 2 years and I’m terrified</t>
  </si>
  <si>
    <t>I got sober back in November but relapsed twice as hard. I was drinking a liter of whiskey a day. Furthermore, I started to withdrawal badly every few hours, so I went to the emergency room the other day. They injected me with some Valium which helped a lot with the withdrawals and anxiety. Then they sent me home with 25mg of Librium, but only ten of them. I’m worried that amount won't last long enough, but so far I’m sober.</t>
  </si>
  <si>
    <t>What do you think is the main reason people remain trapped in alcoholism, even when they know it's bad for them and wish they could stop drinking? Is it they ... a)can't imagine being abstinent for life b)don't want to do 12 steps and meetings c)can't stop thinking about, craving alcohol d)can't stop drinking once they start e)think they have a disease that can't be cured f)think they are a bad person, immoral etc. g)unhappy with their life, lost loves h)Other ...</t>
  </si>
  <si>
    <t>I'll preface this by saying I've been an alcoholic most of my 20s. Drinking until drunk every night for the past 6 years. I initially started drinking because of chronic insomnia that no sleeping pills helped with. Whereas alcohol would knock me out. My usual drinking routine was an 8% tall boy/6% tall boy and a 16 ounce 5.5% a few hours before I went to sleep. I never drank during the day. This Christmas my family bought me a bunch of alcohol and I went on a binge for about 2 months drinking a lot more than my baseline. I tried to cut back but failed every time. I have very little impulse control. Furthermore, I was waking up with anxiety so bad I had to just stand in front of a mirror and talk to myself to not have a panic attack. Furthermore, I felt like I was dying until I drank. Furthermore, I ecumenical did enough was enough. Watched loads of videos on how to stop drinking and visited this sub and the Stop drinking one. There was no way I could cold turkey and I don't have the funds to get a detox, so tapering was my only option. The past 2 weeks I've drank only enough to stave off the withdrawal. I got down to one light 4% tallboy sipped over the course of a few hours. I'm now about 75 hours without my last drink. Furthermore, I had some anxiety and heart palpitations but my withdrawal was pretty mild compared to how it was before I tapered. Around hour 72 without alcohol I started having the worst anxiety I've ever felt. I'm 3 hours past that, and it is still terrible. I also have a terrible headache and can't stop fidgeting. My back is killing, and I have had a lot of pains in my chest which I saw was common in withdrawal. Every video/article I read said that the worst of the withdrawal if you don't have DTS is within 72 hours, and it gets better the longer you go abstaining from alcohol. But I am feeling much worse than before. I don't know if it's the anxiety, but I feel like something is very wrong. I don't have access to a car, but I could maybe have a family member take me to the doctor. Furthermore, I read that you should not try to stop using alcohol if you're a long-time user without Bezos. Furthermore, I am wondering if that ship has sailed. They will see I'm 75 hours without a drink and just send me home. I've had to get up multiple times writing this to try and calm myself down, but I just feel really awful. Is this normal? I don't know what level of withdrawal I'm in, but my anxiety is making me fear the worst. I really feel like I need the Bezos to calm my body down. Furthermore, I appreciate any advice you guys can give me</t>
  </si>
  <si>
    <t>Whenever I drink my face breaks out horribly with cystic acne despite the fact that I’m in my mid 20s. I keep a stack of index cards with an individual reason on each one and one lists ?you have clear skin?. Some days? You just need that one dumb thing to get you to the next day.</t>
  </si>
  <si>
    <t>To me, it feels like a toxic best friend. When you’re around them, everything feels great. You’re having fun, enjoying things and for the moment, the world feels great. But the toxicity hits in and the gaslighting, and it becomes such a battle. But it’s hard to cut off. You know you need to cut it off, but instead you keep coming back for more. And the cycle keeps going on and on. I hope one day I can break off from it. But it feels like such a heavy grip. Maybe I’m scared to lose what feels like a part of my identity? What does a ?sober? Me even look like? It feels so easy to do but then it isn't.</t>
  </si>
  <si>
    <t>So after a long time of withdrawals and a lot of relapses I finally found a way to stay sober. Physically I feel great, I quickly gained a lot of muscles, my skin looks way better, my eyes got it's "glow" back, I can think straight again, and I want to keep it that way. But I just realized that I'm fucking weird, while I was drinking all the time I (obviously) was the most communicative person ever. Now I'm just acting really weird around people, don't feel like I'm part of the group and I hate being alone but if I'm around other people I also get bored quickly. Most of these things were a big part why my alcoholism got so bad in the first place, so what can I do to improve my social skills without having to rely on alcohol or other drugs?</t>
  </si>
  <si>
    <t>I got 2 OWI's within 2 months last year (not drinking related- I was taking Xanax) and I just found out my sentencing. I will be on house arrest for 10 days and I will get 12 months probation. During probation, I will need to have complete sobriety from drugs and alcohol. I am just very concerned about this. I definitely have a problem with alcohol (Xanax isn't a problem, I was never addicted to that). I’m wondering if anyone has advice on how they stopped drinking. Furthermore, I have triggers and cravings every single day and I’m just afraid this is going to drive me insane. What do you do to cope? What do you do to distract yourself?</t>
  </si>
  <si>
    <t>I've been an alcoholic for 14 months now, with 10 of those months being a very heavy drinker (was drinking about a liter of 100 proof liquor daily but have managed to cut back to .75 liter of 70 proof liquor daily). My most recent bottle is almost empty, and I don't want to buy another. What can I expect if I just stop? How long will I feel like absolute crap?</t>
  </si>
  <si>
    <t>Backstory? My significant other has struggled with alcoholism for many years. When we met he was 2 years sober. Within the past 2 months he has relapsed several times. This past week was the worst. He is currently detoxing at a hospital, but they are not medicating him appropriately and he’s so miserable he wants to leave AMA. I’ve already spoken with a nursing supervisor regarding the fact that they have missed giving him his Asian as scheduled. Is there anything else I should advocate for? I hope this is an appropriate place to ask this. Thank you.</t>
  </si>
  <si>
    <t>I’m a 21y/o male and I’m in the navy, I ran away to the navy to get away from my problems at home. I had a kid at 19, so I got a job and I soon saw myself going home and refusing to be sober. Weed, pills, alcohol, didn't matter I just wanted to ? Wash the day away. Shit went south for me and I fucking joined the navy because it offered me a way out. I left as soon as I could. As soon as I got out of Boot Camp I started to realize how much it sucks and it’s not what I envisioned. Soon I started using what I could to forget about it and I turned to alcohol. It went south really fast, and I was drinking every chance I could. My friends would be like damn you can put drink anyone here, and it kinda boosted my ego. After A-school I went to C-school (because I’m on a submarine) and it’s probably when it got bad, I would get out of class and buy a bottle a 5th of fireball every day and finish it that night, I even showed up drunk and passed out in the middle of one of my classes, I went home on leave and my parents even saw that it was alarming how much I could drink and act normal they were concerned. Now I’m at my ultimate duty station and I’ve tried to quit so many times. Cold Turkey, only drinking on the weekends, only Thurs-Sunday and nothing works. I started to see the impact on my bank account, so I started buying a $10 handle of vodka, thinking it would last me a week, but I can finish one in 2–3 days. No chaser, I don't even gag, haven't for months now, and even if I throw up I’m awake the next morning at 7am like nothing happened and it’s gotten to the point where even drunk my friends can't tell the difference. I’m sure I’m a functional alcoholic but I don't want to be, I’ve tried AA too but it just isn't working. I don't know what to do, I love drinking, but I know I need to stop. Before it kills me.</t>
  </si>
  <si>
    <t>I (25f) used to drink to cope with my anxiety and panic disorder. I stopped drinking daily a few months ago and completely stopped drinking alcohol a week ago. Ever since I have had these vague itches and light pains under my ribs on the right side (mostly on my back). Could this be liver problems? I have no other symptoms (no jaundice, no weird smelling sweat, no weird colored pee, no vomiting). I have no idea if this is just my anxiety playing tricks on me, or if I'm actually feeling discomfort in the general vicinity of my liver. Has anyone experienced something similar?</t>
  </si>
  <si>
    <t>Honestly, addiction runs in my family. But I always tell myself I can stop whenever I want. Which seems to be true. Nicotine I can quit whenever for example. However, my dad and mom both have abused alcohol, so it runs in my family I guess you’d say. I’m the only one out of my siblings who enjoy to drink. But I’m not sure if I’m just doing normal teenage things, or if it might turn out to be an addiction? When I’m buzzed or a bit drunk, I feel like I’m who I’m supposed to be. I don't feel my anxiety anymore, and I say what I want to say, I don't care how others think or feel which always lurks in the back of my mind. I find myself looking forward to drinking. Which is usually by myself. I’m only 19 and I can't wait to be 21 to go to bars. I guess I’m concerned if this thinking and behavior is normal for someone my age. Furthermore, I like to tell myself I can control if it need to be. But I love the feeling, and I wonder if this is early signs of maybe it's becoming a problem...</t>
  </si>
  <si>
    <t>Hopefully this will help me in my journey to stop all together. I only found out because my liquor store legit ran out of pints of ALL of my favorite drinks and only had half pints of lol. It took me everything in my body to not ask for a 5th but I managed and got a half pint. I love being drunk, but I also love moving further in life. From now on ill only get one half pint every day I have off. If there's something smaller ill get that when I feel I'm ready. Alcohol taste like shit, but the buzz really gets me. I miss waking up without a headache and my face not feeling dry and numb.</t>
  </si>
  <si>
    <t>So I think I am finally able to quit drinking after a few years of heavy drinking. The last time I drank was on the 5th of Feb 2022, and I don't understand why I am not losing weight. I am on a very healthy diet, does my body need to cope first? I remember a few years back when I didn't drink for 3 weeks but was eating like a pig (pizza and stuff and nothing healthy at all) and did not exercise at all, I still lost one pants size. What's going on now? I want to lose the booze weight and become healthy. What are your experiences?</t>
  </si>
  <si>
    <t>I love someone who was so wonderful sober, but an alcoholic, when he drinks which is often he gets absolutely terrifying rude, cruel and violent. He can't even see what his behavior is like. The dread and fear and pain I have to live through. Curse the fucking day alcohol ever existed! I think I'm going to tell him to leave very soon. He'd have nowhere to go but its getting too much for me now I'm almost spent and terrorized to my own death. I don't want violence and cruelty at me anymore after years of it and years of me trying to hope. I'm all alone in this. Not a single soul in my life to support me. I simply can't endure much more. I love the man he is and would have been if not for alcohol, but i don't believe most people recover. Alcoholism is a certain-guaranteed end to relationships and marriages 100%.....right? I want a life free from alcohol being anywhere near me and guess I have to cast him out. Always what happens, I guess. We spent so much time together.....and it feels like I'm forced to say goodbye. Alcohol took everything I loved from me and delivered me so much abuse and pain since childhood.....and I was never an addict. I don't have any tears left to cry. I'm too spent. I just don't want to be hurt anymore. I feel that there's no hope for the loved ones; they always lose.</t>
  </si>
  <si>
    <t>This includes their articles on their websites they write about alcohol. To give context, I’m a hypochondriac (fear pertaining to health). I drink more than I should, and I went down a rabbit hole of reading these articles about vitamin deficiency, delirium treens, scary stuff. I’ve been freaking out. And I have been heavy drinking for about 6 months. I know these can all happen, but with every website I saw that was truly fearmongering (talking about brain damage, comas, etc.) it didn't give full context in a medical way and let my imagination wonder. And there was this big ? Call Now!? Button floating at the bottom calling my name. As humans, we have to think of other humans incentives. The website/business’s job is to make money. They make money by admitting people into detox/rehab. Freaking people out a little gets people to call. I'm no doctor. Some people truly need medical help. But as a hypochondriac flipping out and realizing how things work, if you are experiencing extreme symptoms you should be okay. But please. If you have drank a fifth a day for years/etc. it may be worth it. Don't take my word for it. Just my observation.</t>
  </si>
  <si>
    <t>I’m 27 in great shape and have a good physical job I make good money at. I consistently down a pint of whiskey per night or more, plus some beers. Furthermore, I don't even feel drunk when I do this it just helps me sleep. WTF do I do, I’m dropping $600 a month on booze and every morning I wake up fine and take a shot before going to my shop. I don't even think about drinking until after work, then I drink more than what would render the average person blackout, go to bed, repeat. I’m starting to worry about what this will do to my liver over time. How can one do what I do and not have any negative impacts? I know I need to stop. I don't hate myself enough to go to rehab or AA or any of that, but I know this isn't sustainable. Been doing this for at least a year.</t>
  </si>
  <si>
    <t>The last time I went through withdrawal (I think it was withdrawal, but now I'm not sure), I was having flashbacks to hallucinations I had had before. For example, when I hit my vape that day, there was a familiar burning smell in my head and hallucinations of a weird 1920s clown from previous withdrawal. Later that day at night, the withdrawal hit me. I drank half a beer and the withdrawal symptoms disappeared. Honestly, I'm no longer sure if it was withdrawal or just really crazy headache. I can't remember if I was shaking or sweating. But the hallucinations and smell during the day were so weird.</t>
  </si>
  <si>
    <t>I've been through 28 days and subsequently 18 days of inpatient rehab. I have had several at-home Librium tapers. Furthermore, I have attended AA and been in IOP for 4 months. Furthermore, I learned about PAWS through Google and Reddit. Furthermore, I'm willing to bet that an overwhelming portion of relapses after weeks of sobriety are caused by PAWS and the lack of explanation in treatment. Programs (at least the ones I've been to) present recovery as linear. "It gets easier with time." The vulnerability will only come with a divorce, lost job, grief, etc. Wrong! When you feel worse at day 40 than you did at day 8, and when that feeling lasts for days on end, it is reasonable to assume that it is indefinite -- That the options are to feel this way forever or have a drink. The reality is that you're going to feel like garbage for 3–4 days in cycles. I wish I had known earlier that these feelings would pass and become farther and farther apart. I can't tell you how many times I relapsed after a month.</t>
  </si>
  <si>
    <t>I’m 21. I just turned 21 about half a year ago, and before I turned 21 I was always afraid of becoming addicted to alcohol because of the easy access. Furthermore, I started drinking around September 2020, I was in a really abusive relationship and started to find happiness in being drunk. Furthermore, I drank a lot, and it was pretty bad, but when I went home for winter break (I’m in college still) I stopped cold turkey for about a month. Everything was fine, I didn't even feel an urge to drink, and I just thought ?maybe everything is alright?. My BF ended up getting arrested early December for DV which was really rough. I started drinking again around January and since then have gotten drunk pretty much every day I was able to. I hate this, but I also can't find any other way to stay happy or ?distracted? Furthermore, I guess. Every moment I have free time it’s like ? I should just get drunk?. I can't find an excuse not to. I’ve always kind of been a perfectionist, so I tend to get all my work/homework done as soon as it’s assigned and then just use that as a reason to get shitfaced in the middle of the week. I’ve been in therapy for almost a year. Furthermore, I started EMDR with a new therapist a few months ago but I’ve honestly been too scared and embarrassed to even mention any of this to her. Furthermore, I feel like a complete fuckup but at the same time I don't want to admit what I’ve been doing and want to keep doing it cause it’s the only thing that makes me feel okay.</t>
  </si>
  <si>
    <t>I will make this as short as possible. I became a bad alcoholic, withdrawals, drinking in the morning, and a bad liver and all that, and sought help and have been 11 days sober. My partner, who I have 2 kids with (big reason for me quitting) drinks almost every night. She doesn't have the same crippling problems I had like having to drink to curb nasty withdrawals, or liver or health issues, however she still continues to drink. During the waiting period for the detox program I did I was so anxious, worried, depressed, ashamed, etc. and she told me she would stop drinking on weeknights at home with me. She has failed to do so and is trying to hide booze and it's really easy to tell when she is drinking. I don't like her when she's drinking, and I am sober, and I feel so alone in my home. I shouldn't feel that way when it comes to a significant other. Anyway, I just wanted to vent. I feel really disappointed, not necessarily in her, but with the situation in general. I kinda had a feeling it would be this way, and it just sucks. As a newly sober person, it's quite a shitty feeling. I don't have much hope for her at the moment. I need to attend AA meetings, and meet sober people. Furthermore, I currently have like one friend I can do a couple sober activities with. Other than that, everyone I know drinks all the damn time. Sorry for venting, If anyone else has had a similar situation Holley at me.</t>
  </si>
  <si>
    <t>Hi drank pretty heavily last year. Anywhere from 12 to 18 beers a day to cope with OCD and PTSD. After getting some treatment which I am still currently in I have cut back greatly. I still drink every day but not even a half that. But I noticed that before when I drink 12 beers I wouldn't really feel hung over now it seems like the less I drink, the worst my hangovers get. Has anybody else dealt with this?</t>
  </si>
  <si>
    <t>Last time I went I was 19 but for Xanax. Which I got out of my life successfully. I just think going again would be bad for actually. I will lose any control that I DO have. Furthermore, I have gone to bars and had one drink before, multiple times. Furthermore, I don't like some of the stuff they tell you in rehabs I’m also pursing to be an actor and IDK what to tell my manager and my agent?would they let me audition in rehab? Or do my callbacks? Lol probably not. They take away everything. I’m just forgetting what it’s like to be sober at least from Monday–Thursday. I need to find a hobby. And some friends Last night I got kicked out of my favorite bar for being too drunk. Last time I went I was 19 but for Xanax. Which I got out of my life successfully. And if I go to rehab again, I know I’m not going to stop drinking and go sober for the rest of my life</t>
  </si>
  <si>
    <t>My dad is an alcoholic of 5+ years. I see him in person biannually and always explain that I know he's still drinking, and it shows, but he just cannot quit. It's come to the point where he constantly goes to get bloodworm done to monitor his health, whilst not admitting to his doctors (or himself) that he is an alcoholic. It's come to a point that his bone marrow is so trashed that his white cell count was below 200, and the doctors though he had contracted HIV. Is there anything, absolutely anything I can do? I love him so much, and I know he will lose the battle to this disease if he doesn't stop. Should I be more aggressive or empathetic? Should I try to force him to care or leave him alone? I am so scared.</t>
  </si>
  <si>
    <t>I am 18 years old. (Legal in here). The day I drank for the first time I knew I will end up an alcoholic. Everyone else knew that too. The funny thing is that i don't really get drunk. I get happy. I never get blackouts or throwing up. I just feel better, until i don't. Had a really rough few (more than few actually) weeks, and I'm constantly thinking about having a drink. I haven't drunk since November, and I try my best not to drink alone, but I also keep looking for friends to come drink with. I know It's bad and i shouldn't. Furthermore, I don't know if this is lucky or unfortunately, but they are never viable. Right now I have given up and out looking for a drink. I don't drive because I may get drunk, so I'm on foot. There are no bars in here. Every supermarket is already closed. I'm left sober. In the cold. With music, I don't even like. Sober... It's hard.</t>
  </si>
  <si>
    <t>Before I start my post, I have no intention of completely quitting. I know, it's a very fine line to walk, but a life without being able to relax with a couple drinks and some weed isn't a life that I would find enjoyable. For context, I'm a 22-year-old male college student. I got drunk for the first time when I was 17 after my ex broke up with me. I raided my mom's liquor cabinet and tried various forms of liquor, wine, and beer. Furthermore, I ended up getting shitfaced in the middle of the day off scotch. Ever since then, one of my favorite social activities has been drinking. It used to be where I'd get drunk maybe two or three times per month, just on weekends hanging out with friends. By the time I turned 19, it had increased drastically to nearly twice per week. On those days that I was drinking, I was consuming 8–12 drinks in a night. I'd kill a bottle of liquor in a week. From my 20th birthday until my 21st birthday, I consumed not a drop. I quit for a whole year, because I found something better. Weed. Around my 21st birthday, the weed stopped being enjoyable, and I began to experience high amounts of anxiety. After then, I had a month-long period of complete sobriety, until one day I decided fuck it, let's have a drink. I had about 6 or 7 drinks with my friends that night and had the time of my life. After then, I was back to drinking about once per week with my friends. Since then the frequency has been increasing more and more, and my tolerance has gone up. I began smoking weed again after I discovered that if I drink before I smoke, the weed becomes enjoyable once again. Since then, my drinking has gone from once per week, to twice, to three, to now close to 4 times per week. I'm getting drunk every other night, and when I do, I can easily kill half a bottle of liquor or at least a 6 pack of beer. I'm not at all concerned about the weed, frankly I think it can help me with my drinking. Furthermore, I'm just concerned about how frequently I'm drinking, and to how much I consume in a night. Furthermore, I'm afraid to tell my parents about this because they WILL use this against me and massively overreact. Furthermore, I believe that I can control myself, I just have not been trying hard enough. Furthermore, I'm going to make a dedication from hereon out to not drink more than once per week, and have no MRE than 6 drinks in a night. If I fail to do so and fall off the wagon, I will tell my parents and commit to sobriety. I'm giving myself one last chance. I will also be seeking substance use therapy through my university.</t>
  </si>
  <si>
    <t>I’m glad I found this place to talk about these issues. I want to share that My problem is that I don't why when I’m home I don't drink here but when I go to a bar I go crazy, and I over sometimes drink I’m talking about almost 5–6 drinks. Does this happen to you?</t>
  </si>
  <si>
    <t>Every time I come home from a party, a casual drinking situation (1-4 beers) or whatever I always feel the urge to drink more when I come home. Is it a chemical reaction or a mental reaction (as a result of negative thoughts, depression, etc.)</t>
  </si>
  <si>
    <t>I need to stop drinking and today is the day I think. I have been just feeling so alone and sad and anxious.</t>
  </si>
  <si>
    <t>Why can I regulate my alcohol intake better at a bar than at home? Every time I go out to a bar I can have 1–3 beers and be fine, but at home I end up drinking way more beer and add in liquor.</t>
  </si>
  <si>
    <t>Any insight from those who’ve had loved one's struggle or who have struggled themselves is greatly appreciated. I am concerned about my husband’s drinking habits. A bit of background: we’ve been together for nine years and married for about two. When we first started dating, we did a fair amount of binge-drinking together as a lot of 20 something’s do, as did a lot of our friends and peers, but by age 30 or so, I had essentially grown out of it. A big part of this was me resuming treatment for ADHD after years of pretending I didn't need it. (As a note, I have never abused my meds bc they’ve allowed me to have the life I want; husband has no issues whatsoever with me taking them and doesn't view it as ?drug use, So I’m doubtful this would play into the situation). Anyhow, I’ll have one or two drinks maybe once a month at most. It just doesn't make me feel well after a few. I’m also extremely health conscious, though I always have been, so it’s not new to him. I’m not sure if this is relevant or not, but we were both drinking somewhat regularly by Jr/Sr year in high school. Since we’ve been together, he always drank, sometimes to excess, in situations where the cost/benefit didn't make sense to me, such as staying home to watch basketball or having a few drinks during a lunch out. I guess to me, drinking was pretty much exclusively for having fun with friends. When the pandemic hit, he started drinking more, which I assumed would pass. About a year ago, I went back to working at the office while he continued to WFH. I think things got much worse at this point. If I had to estimate how much he’s been drinking since, I’d say 1–2 nights per week of notable binge-drinking, and maybe another two nights of lighter drinking (2-3 drinks). I do suspect there may be more drinks consumed outside my awareness. He knows I’ve been growing increasingly uncomfortable with the situation and could be hiding some of his consumption; I have definitely ?caught? Him low-key carrying drinks out of the kitchen and up to his office (evenings, not daytimes). I also know that if he meets a client or friend for lunch, he’ll say he had two or three drinks. A few other potentially important points: he has driven impaired many times and always promises he won't do it again. AFAIK, he hasn't recently, but that may be due to less activity in general during pandemic and moving very close to the subway. He has blacked out numerous times in the past year (ex: went to a show, never came home or contacted me to let me know, and eventually called to say he passed out on one of my friend’s couches). He just came home from a bachelor party, puked on the plane home, and spent the night on the couch whining about his nausea and heartburn. Furthermore, he also neglected to make sure the cats had fresh water and enough food at their scheduled mealtime. As his drinking has increased, he has been very depressed, irritable, and unmotivated. Sometimes he lays in bed for hours or nestles on the couch, complaining about being depressed and unmotivated. He isn't taking care of himself-gaining body fat, especially around his midsection, not exercising regularly, eating takeout often bc he won't prepare food on a regular basis, and his hair, which always had a little gray, seemingly went nearly full gray over months. I’ve observed him visibly trembling, which I suspect may be mild withdrawal. Occasionally, I smell an acetone-issue/almost grandma-perfume type smell coming from him. After writing this post, I’m sure I have reason to be concerned, but if anyone can share how they handled a similar situation, what the outcome was, what helped/what didn't, I?d be so grateful. Is this what alcoholism looks like? I’m constantly stressing over this.</t>
  </si>
  <si>
    <t>So I’ve developed a very bad relationship with alcohol at University. I have always enjoyed drinking and would get drunk 1 or 2 nights a week when going out for the night with friends. This new problem all stems from a breakdown of my friendship group last year, and now my social anxiety stops me making new friends. I am socially isolated and this has made me depressed. I rarely leave my room and hang out with people - and when I do, I feel like I need to be drunk. It’s so easy to get alcohol when you live alone that I just buy 1L bottles. Because I’m socially isolated, bored and depressed most of the time, and have basically no friends to go out with, for the past month I have been getting drunk alone basically every night. Like it is terrible - I will sit in bed and drink shot after shot alone, and sometimes go through half a bottle in one night. I did an alcohol questionnaire and worked out I’ve been drinking about 100 units/week. I don't drink during the day so it’s not affecting my uni work in that respect, apart from the fact I am usually hungover, feel like shit and this stops me from being productive during the day. After embarrassing myself on a night out last week and having to be pulled out the club toilets by the bouncer (I have no memory of this), I have recognized this is bad and I’m trying to stop. I also started noticing increased tolerance in the past few weeks. I’ve been 3 days sober so far because I was worried I was becoming an alcoholic. So far I’ve got no withdrawal symptoms and I actually feel slightly better mentally and physically - but I can't stop thinking that I want to drink. I don't even think it is physical craving I am just bored and feel like life is so much more fun being drunk. I just feel like I’d be having so much more fun right now if I was drunk. And I’m not sure if I have a problem with alcohol or a problem with life. Anyway, I think I’m going to keep at the sober thing for a while and then I’ll see if drinking in moderation works again.</t>
  </si>
  <si>
    <t>I know that might sound crazy. Lately I have been finding myself frustrated by my partners drinking habits, how he is when he is drunk and how much he drinks when he does. He has always been a drinker, and it has caused him a lot of serious problems in the past. Dais, fights, issues in relationships, etc. He has come a long way, but I still can't help but find it to be problematic. While he has settled down and no longer engages in risky and dangerous behaviors. He still is a heavy drinker. What's weird to me is that he doesn't drink at home ever. If it's just us spending time together, and we are out somewhere he doesn't binge out. However, we have never gone out to eat without him getting a drink. Never. Any social gathering requires lots of drinking. Work meetings/dinners lots of drinking. He will hang out with his dudes, and they can quite literally drink from noon until the next morning. What's conflicting is that he is unaffected by hangovers. Owns his own business and is very financially well off and functions highly. But when he drinks on weekends or business trips he seriously binges, to where he is vomiting and passing out, and then is sober all week. So his excuse is that he has control over it and that he decided when he wants to drink heavy. But I personally believe he is dependent on it. Our friends and I have tried to kindly bring this to his attention, but he seems to think it isn't a problem. But our relationship suffers, and others seem to notice too. When someone drinks heavily, yet still functions where is the line drawn? As someone who doesn't drink, I am confused.</t>
  </si>
  <si>
    <t>My friend that I go out to drink with has a problem that's much bigger than I thought. They just lost their job yesterday due to being drunk at work. They called me last night and told me to meet them at a bar. Furthermore, they were already trashed when I go there. They stayed the night at my place and are an absolute wreck from losing the job. Furthermore, they want nothing more than to have some drinks and wants me to open a bottle of wine, since that's all I have in the house. Furthermore, they're not ready to stop drinking and I don't think has connected the dots in their head that they have a problem, despite the current circumstance and also having wrecked 3 cars over the last few years (no DUI though) What is the best thing I can do at this current moment? I'm worried that the daily drinking will cause some withdrawals if they don't have something to drink, won't seek help to help them through that, but I also don't want to be the one furnishing alcohol to them. What can I do longer term? They won't listen to me if I start discussing them having a drinking problem. After tonight, I won't be with them, and am very worried leaving them to their own devices.</t>
  </si>
  <si>
    <t>Was in a meeting a week or so ago and there was an addiction counselor who shared. She mentioned when one experiences trauma, it teaches the person that people aren't safe. This begins the process of isolation when one learns to depend on themselves instead of finding safe people to be open with. As time goes on, further trauma(s) may continue to solidify these findings and thus, isolation continues. She went on to outline that the social aspects of A.A. instills safety back into people and that's the opposite of isolation: fellowship. Being open, honest, and vulnerable people reverses the effects of isolation. Sometimes quickly, sometimes slowly. I've been chewing on this since I heard the share but when viewed within my own life, I see it working in action in the absolute best ways possible.</t>
  </si>
  <si>
    <t>Been sober for two weeks now. I had horrible withdrawals, shaking, rapid heartbeat, terrors. Librium (a benzodiazepine) has helped a lot with that so far. Disulfuric has been a HUGE help for me. Motivation is hard. I have stopped taking "forgetting" pills and then waiting two weeks to drink again. But it has helped me a lot. Crucial is also to stop drinking caffeine for me. And artificial sugar is causing an interaction with disulfuric resulting in headaches. Artificial sugar is a "sugar-alcohol". Disulfuric also slows down the breakdown of caffeine, one cup of coffee now becomes two cups! Thus causing an increase in anxiety and an increase in the need to drink to bring the anxiety down. Caffeine is addictive to mind you!</t>
  </si>
  <si>
    <t>Six months into our relationship, my husband stopped drinking on his own. That was October 2020. February 2021 he was diagnosed with epilepsy after suffering 2 grand mal seizures. He was put on a drug, Kendra, that has stopped the seizures, but we do believe it has altered his (our) life for the worse. Right after this diagnosis we found out we were having our baby. Around summer 2021 I started having suspicions he was drinking again here and there. It’s always the same. He would leave to run an errand and when he came back, his behavior would be totally different, his smell, etc. He always denied it. This started to become more frequent and come Fall/Winter, it really became a big issue for us. Him gaslighting me. Rage issues. Finally, after a night of him behaving as if he was blackout drunk, (but still convincing me I was crazy and wrong) the next day when I confronted him in a for sure sober state, he finally admitted that he had been drinking at times to cope and he didn't want to tell me, because then he knew he would have to stop, and he felt that was the best thing for him at the time. This was just a few weeks ago. For probably about 1.5 weeks, I didn't have any instances where I was questioning again. But it started back up. He leaves to run an errand and comes back acting completely different. Talking all over the place. Smelling strongly. (He uses mint flavored toothpicks and always comes back with a Red Bull. I believe that these items are covers.) Getting angry at times, being mean. These behaviors are really not like him. I am very worried. Our relationship is kind of deteriorating, and it makes me feel very lost and confused. He is also on multiple psych meds in addition to the seizure med?none of which he should be drinking on. Because of all of his previous gaslighting I really don't know what to think or believe anymore. Am I crazy? Am I being unfair? Do I just ignore it? How can it even be dealt with or addressed if he is in fact doing so, if he isn't willing to admit it? How can I best help him but not lose myself in the process?</t>
  </si>
  <si>
    <t>Hopefully this is the right Subreddit for this question, but my family and I are really struggling to help my brother out. He's a heavy alcohol user and was recently thrown out of his home by his wife, and threatened to commit suicide not too long ago. Since then my parents took him back in, but we're having a hard time getting him to brush his teeth, shower, change clothes etc. For example, he hasn't showered in about a week, and he's wet himself twice within the past two days. We have tried telling him nicely, and even tried to bribe him to bathe, but he's recently taken to lying about having showered. The main reason we know he's lying is that the bathroom is in the middle of the house, and we can hear when the shower is running. He smells really, terrible like if he was on skid row not at home with family attempting to help him, and we keep trying to clean up after him, but the smell is starting to "stick" to us.</t>
  </si>
  <si>
    <t>About three weeks ago I got cut up pretty bad. I came to the next morning covered in blood (something I remember well from last time) and once I realized, I was sensible about it. I cleaned and disinfected the wounds, covered them with sterile, waterproof dressing, and changed them every day. There was an infection, and a lot of bruising, that has since resolved once I started taking care of it. I moved on to covering the new scars with silicone scar treatment patches under the same waterproof dressing, which I change at least every 24 hours no matter how shitfaced I am. But it's been three weeks, and the cuts are still quite prominent. Because alcoholics don't heal. Anyone who's had this - how did you promote healing? Yes, "just stop drinking" is a given. I'm seeing a clinic this week. But I DON'T want to scar. I have more than enough scars. Advice?</t>
  </si>
  <si>
    <t>I am dying of this disease and cannot stop it. It can however slow it down to have some more time with my family. Can someone please, please tell me how to deal with the first days of changing your habits. Just as simple as not going to the bar and going home. I want to be better. I need to be better. Furthermore, I hate who I have become and want my last, myths, yrs, to be better. Any advice is more than welcome!</t>
  </si>
  <si>
    <t>I’m on day 16 AF, could anyone who’s been sober longer tell me when the sadness and irritability left them, and they felt happy?I'm so incredibly sad then past 2 days, I feel so alone, I don't want to drink, but I feel sad that the choice has even been taken away from me and Iv been told I am never to drink.I know other people are on the same journey of trying to stay sober, but I feel so alone as that’s been their choice-this is mine too, but I wanted it to be just mine, and I just feel alone. Sorry if I’m not making sense. This is hard</t>
  </si>
  <si>
    <t>And google just gives me mixed responses. But I have drunk every night. I will be going out of town in a month for about a week and I doubt I'll be able to drink much. Right now I drink every night, so by the time my trip comes it'll probably be me drinking every night for roughly 3.5 months straight. Is me just stopping at that point safe? I keep telling myself I'll stop, especially on days when my lower stomach hurts. But I just do it again anyway because I truly don't want to have emotions anymore. I know it's not good for me. I kept constantly telling myself and everyone I knew "I will not drink when I turn 21 because it runs in the family and I don't want it happening to me"... That was a lie, apparently. And now I'm stuck, and anxious and annoyed until I can finally drink when I'm off work. I'm just such a mess RN.</t>
  </si>
  <si>
    <t>It was the first Superbowl I have seen in forever. I live in LA, so I was going for the rams too. It was so hard not to drink with all the alcohol commercials haha hopefully you all stayed strong too</t>
  </si>
  <si>
    <t>I've been a beer drinker for the past 28 years (since about the age of 16, and I'm now 44). Almost every weekend I have had drinks, sometimes during the week too. For the past 3 years, I've been drinking my own homebrew pretty much every night of the week. I've never had any health problems from drinking, well, unless hangovers and blackouts are classed as such. I'm generally ok with a few drinks, but come the weekend and if I go out with friends, I have a bit too much and can't remember some bits due to the blackouts. It's embarrassing when a friend asks if I remember that thing we talked about last night, or something I did, and I have to say no - I don't remember. I'm also fed up with waking up every day and not feeling too bright and just plodding through the day, waiting for my next fix that evening (I very rarely drink during the day). Last week, I decided to try to not drink during the week, and had the plan to just have a couple on the Saturday night as I was out for a meal with friends. I did quite well to not drink at all Monday to Thursday. Come Friday I had a few in the evening at home, nothing major. Saturday, I started drinking at about 6pm, and carried on until 5am Sunday. Then drank a few more on Sunday evening. It's now Tuesday, and I haven't drank since. This week, I'm going to try to do as I'd planned for last week - Saturday night only. I'd like to drastically reduce the amount of alcohol that I drink. At this stage, I'm not sure if I can give it up completely, I don't think I even want to. I do enjoy a drink, but as I get older that feeling in the morning after the night before is starting to take its toll on me.</t>
  </si>
  <si>
    <t>Almost every single time I drink I get these insane hangovers that seem to get worse each time. It starts with puking for 5–6 hours every 10 minutes from when I wake up the next morning. Anything that touches my stomach will be violently thrown up, and even if I don't drink water or anything I’ll start puking bile. I get crazy headaches, chills and hot flashes, shakes, and just an overall feeling of extreme discomfort. Even mildly hallucinated this last time. And the past two times have gone on into like 3 days of feeling terrible. I drank 4 ciders this Friday night, and Sunday night I couldn't sleep, kept waking up sweating and my stomach still feels ruined well into Monday evening now. I've experienced this with all types of alcohol, hydrated or not, ate before or not, basically anything over 3 drinks. I’m a casual drinker, like 2–3 times a month. Less lately since this seems to be getting worse with age?</t>
  </si>
  <si>
    <t>So I (28m) have just finished with outpatient detox. I was drinking about half a fifth a day of whiskey. Hiding it is from my wife. She found my stash and I tried to quit cold Turkey then and there. The next day was nothing but vomiting and tremors and disorientation. So I went to our patient detox and got meds to taper my body down. Yesterday was the last day of my meds and I already feel so much better than when I was drinking. I already feel more like myself. I'm having minor cravings but am I going to be starting outpatient rehab this week. Anyway my point is, if you have a problem get help. Those people you think will be just ashamed and disgusted at you will be nothing but proud and supportive for you seeking help and realizing you have a problem (at least in my case). And IDK what would have happened if I tried without meds but my god IDK how anyone could....</t>
  </si>
  <si>
    <t>Hello, my boyfriend, 23 male 190 lbs, is suffering from what seems to be severe panic attacks. I wanted Reddit’s advice to see if this is related to anxiety, or it could be something worse. The symptoms come along and go away in waves. These symptoms used to happen about once a month, but now they are almost every other day. These are his symptoms: begins with tingling in the face, shortness of breath, feels like his body locks up, feels tingly all over his body, some light-headedness. When it happens he feels very faint and can't breath at all. I have an oxygen reader and his O2 is always in the high 90s. He also deals with some consistent acid reflux on the side which can attribute to his shortness of breath on occasion. Over the pandemic he drank and vaped a lot, but quit at the start of the year. Could he related to withdrawal symptoms too I suppose?</t>
  </si>
  <si>
    <t>I'm not stranger to alcohol withdrawal so when I thought I was over the worst the other day and started going faint in public, I knew how to handle the whole "emergency landing" so to speak. But despite evading the seizures, it doesn't matter how awake I feel, I still don't seem as adapt as normal. I'm forgetting names that would otherwise be obvious, and my quick wit is dead as I'm usually making myself laugh to get through the shift. I'm noticing all of this in the "before and after" of my withdrawal episode. Have I fucked it up there?</t>
  </si>
  <si>
    <t>I have a hard time enjoying things like watching movies or playing video games sober. I have a hard time motivating to play games but alcohol really helps. And I know I can enjoy them sober, but getting myself to start the activity is hard, because I'm thinking, "this would be more fun if I was drunk." The thing is - no it wouldn't! I'd feel nauseous and tired. I'd make stupid decisions in the game. Furthermore, I don't get blackout drunk anymore, but memories of when I was drunk are hazy, so I'll accomplish something in a game and hardly remember it the next day, and won't remember how good it felt to accomplish it. Furthermore, I don't have this issue with doing IRL things, like shopping and taking my dogs out and whatnot (things I'd rather do sober.) But movies and video games really do seem more fun drunk even though... they aren't. Any advice to help motivate me to play games sober? I know this seems like a small thing, but it really bothers me.</t>
  </si>
  <si>
    <t>I live in a foreign country, in a really, tiny place. Nearest cinema, for example, is about 2 hours drive away. I stay here because I have a daughter here, and I want to be near her as she is my only family. My drinking has been kind of extreme for about 2 years now. Minimum of 6 tallboys every night. Sometimes more. Sometimes I drink from waking until going to bed, and that's about 14 tallboys throughout the day. I'm single. No way to meet people where I am, and personal circumstances mean that, even without the drinking, I am alone in this town for 5 days a week. Totally alone. Drinking has been a good way to waste time but crying a few times a day, being constantly anxious and replaying all of my past mistakes, isn't as fun as it used to be.</t>
  </si>
  <si>
    <t>I've been having the worst panic attacks for 16 months. (I'm in the UK) I've rung my GP numerous times and been through numerous medications. I'm currently on a waiting list for CBT. I've tried hypnotherapy, which didn't work and just cost me hundreds. Furthermore, I've been drinking multiple times a week to cope or do "normal things" like to go to the supermarket or appointments. Furthermore, I just can't take it anymore ?? Furthermore, I'm agoraphobic and there's a good chance I'm becoming (if not already) an alcoholic. Furthermore, I drink more days than not. Furthermore, I can't just have one drink. Furthermore, I drink nearly a full bottle of gin every time. The next day I feel so anxious that I drink again to get rid of it. I feel like I've lost control, and I'm so scared and alone. The only person who's stuck around for me is my mum, but I lie to her and say I'm not drinking as much as I am. I hide my bottles of gin in cupboards so that if my mum calls in she won't see it. I go to different shops to buy my gin as the shopkeeper knows my mum really well. It's the anxiety. If I could just get rid of this constant debilitating, consuming anxiety then I wouldn't need to drink to feel safe. Because it's the only time I feel safe. When I'm sober I'm scared all the time. When I'm drunk nothing scares me. If it weren't for my kids I would end it. I've been struggling for so long and I don't see a way out. I feel so alone and so scared</t>
  </si>
  <si>
    <t>I've struggled with alcohol on and off. I've always been a big binge-drinker and used to be unable to "stop once I started" and loved partying, especially when I was depressed. I went to college and had some health problems and removing myself from my drunken hometown environment and feeling physically terrible made me sober up for a year or two. Then my job sucked, and my relationship imploded, and I started hanging out with my childhood friend/drinking buddy/soulmate again. We've been friends since middle school and drinking buddies since 16. We have a lot in common and would arguably be great together. But he is a serious alcoholic who has only gotten worse with time. He used to always drink heavily, but remained fun, charming and alert. Now, he doesn't eat, blacks out, pisses his pants, falls down, slurs incoherently and acts like an ass to me. This has been a long one. We really love each other and have a fantastic friendship where we play music together, and he's one of the few people I feel close to. I've been unable to remove him from my life, we're both depressed and even though I drink more reasonably these days, I still have THC daily. After a serious talk about him getting help, he got wasted AF like 6 times in one day and was falling down, saying he was sorry and done drinking all 6 times. We met up on Friday and I told him I was upset because we can't have a functional relationship because of his drinking. He threw some hurtful shit from the past in my face again, and I realized that he is normally kind to me, until I question his alcoholism and drinking. Then he attacks me where it hurts. He's fun to be around and sexy until he gets wasted. He doesn't show up for me or support me. If I'm not around/willing to party, he will find another girl who will. I've been very hurt by him, but still love him and want to help him. We're not talking at the moment after a failed attempt at Valentine's Day. What kind of healthy boundaries should I start setting up, or should I let him go? He insists that he's truly in love with me and I know I love him, but I have so much hurt now, and I know it would only work if he was sober. But I don't know if he has it in him. I know he loves alcohol more than me. Even if it couldn't work out romantically, I love him as a person and as a friend. But also don't know if I could tolerate being his friend if he remains this way. From an alcoholics' perspective, what can I do, what should I do? What do you wish your partner's had done to help you? What can I say? Should I quit talking to him after a lifetime together? Am I a fucking idiot?</t>
  </si>
  <si>
    <t>Did anyone else absolutely get their ass kicked by PAWS about 30 days in? I felt great in weeks 3-4 and anxiety hit me like a bus after 30ish days. This is day 2 of feeling terrible but not nearly as bad as yesterday. The timing may vary... I've quit on many occasions and the last 3 have given me physical WD symptoms (abated with RX). I'm kindled to hell. More so wondering if anyone else goes through cycles of feeling like they're back to week 1 or 2.</t>
  </si>
  <si>
    <t>I can't sleep and I’ve consumed more nicotine in the past couple days than I usually do. Went to my first meeting. I think this might be the answer to a lot of my problems, staying sober that is.</t>
  </si>
  <si>
    <t>I'm going to spare the backstory. It's not irrelevant, just trying to keep this brief. I (M31) have been in a relationship for 6 years. I coincidentally lost control of my drinking 6 years ago. Furthermore, I tried my best to manage it, which of course I couldn't do. Furthermore, I felt ashamed and embarrassed, and scared she would leave. Furthermore, I eventually got 'caught', since you can only explain away so much. After I got 'caught' my girlfriend and parents pretty much let everyone else know - my friends, her parents, and so forth. That made me extremely uncomfortable, but I swallowed my pride and did what I knew I needed to do, since they were just trying to help me - I quit drinking. I made it nearly 2 years, but continued smoking pot and not really working a program. I am not sure that AA is for me. Furthermore, I do credit smoking weed with helping me get to the 1-year mark, but as I approached the 2-year mark, I genuinely decided I wanted to just be sober. Furthermore, I quit smoking, but was stunned at the difficulty of the withdrawal process. After multiple nights of not sleeping, extreme irritability &amp; anxiety, I drank. It was an ugly relapse, and oddly enough, it seemed like it happened in the name of sobriety. Anyway, here I am. I feel pretty uncomfortable because it feels like everyone on the outside is looking for me to start working a program, since that's what I was not doing last time, even though I had a good streak. I made it nearly TWO YEARS without a drink, and no one was pressuring me to do anything differently, despite the fact that I was stoned every single day. So I quit smoking, relapse on alcohol, and it feels like my parents, my girlfriend, and even her parents, are waiting to see if I will start working a program, basically citing my lack of AA as reason for the relapse in the first place. I now have 32 days since my relapse, no weed, no alcohol, not even coffee. Yet, my girlfriend's mom literally asked me if I am now in recovery. My girlfriend is continually asking me if I'm going to go to meetings. I'm supposed to meet with her parents and let them in on my situation, which I understand, but it really weighs on me. They are wanting the best for their daughter. But I'm just really uncomfortable with everyone feeling like they know what's best for me. I made it two years without a drink, and I am proud of that. I slipped, as people like us do. Furthermore, I picked myself back up, now better than ever. Furthermore, I haven't been this sober in nearly 15 years. And I'm loving it. I realize there is a pink cloud potential, and all that. But I suppose this is why I'm writing. My girlfriend is saying that she doesn't want to 'just wait around' for the next relapse. And I don't know what to say to that. I genuinely don't feel that attending meetings will necessarily prevent another relapse. I try to be blunt with her, and understanding at the same time. She truly has been so supportive and is trying her best, despite not having any experience with this. I know it's not fair for me to make promises like "I'll never drink again" just to make her feel better. I've told her that if it's too much for her, then maybe it is just that - too much for her. Furthermore, I can be harsh in that way, self-sabotage is my middle name. It's just easier to leave than to be left behind, you know? I care for her deeply and I actually had plans to propose this year. As I said, I'm 31, been together for 6 years. I was 2 years without a drink, everything was going alright. Then I relapse, and it feels like everything is back to square 1, even though I don't really feel that way. Do I give her what she needs and give her a break, knowing that she isn't equipped to deal with this on her own, but is trying? Or do I honor my own inclinations and feelings about what I need, and see how the dust settles? I'm torn between understanding that relationships are about compromises, but also knowing that the truer you can be to yourself, the more likely you'll succeed in the long run. I underpromise and overdeliver. That's who I am, and what feels fair to myself. But she keeps wanting to see more action from me, in the hopes that will help her feel more assured that a relapse won't happen again. I want to help her, but I don't think jumping into AA full swing is the answer for me. Again, I made it almost 2 years without a drink, suffered a short relapse, and now I'm back, off of everything. It feels great, but I'm still paying for my actions. Anyone felt like this? Any guidance? Looking for some outside interpretation. Many thanks.</t>
  </si>
  <si>
    <t>So over a month ago I have started drinking on nearly everyday basis, it started at the end of December. I've never struggled with it or any other substances before, the only addiction I've had was nicotine addiction, which isn't particularly life-wrecking. I wasn't expecting myself to get hooked on alcohol so quickly, I've always hated the taste of it and could have never guessed that it would become one of my favorite things in the world. When I first started drinking I almost always felt good and relaxed while drunk, but now it just makes me even more miserable when I'm under its influence. Alcohol doesn't cut it for me anymore, yet I can't imagine quitting my newfound little "hobby". At this point I'm just drinking it out of habit and "necessity".</t>
  </si>
  <si>
    <t>Drank an 8% bottle of Wine and after a few hrs got exhausted couldn't stand was about to throw up, did throw up as so much and as an ex bulimic I helped it Couldn't fall asleep because I was feeling so bad, and it felt like I'm dying which would be acceptable Could barely walk and stand, tried going to the train station but had to stop after a few hrs lie on the ground which was wet and dirty it was raining midnight a part of two who is empty these time I prayed to god because I felt like I maybe I die and I felt indifferent about it, or rather my thoughts were affected and just warm and then cold from the ground and just so ill i wasn't really think much I can't really think much... I just thought I would pray to God but couldn't form words other than Allah Akbar and prayed that over a few times and then somehow got strength to walk and get inside. Been inside and slept 4 hrs but I'm very warm, and I wonder if I need to see a doctor after this experience?</t>
  </si>
  <si>
    <t>Anyone have advice on helping parents/families cope with alcoholism? My parents have tried Al Anon and some therapy. For reference, my sister has been an alcoholic for 15+ years and it’s only gotten bad recently. Like we fear she isn't going to make it much longer. Any advice or even words of advice is appreciated.</t>
  </si>
  <si>
    <t>I drink every day. It's only 3, 4, or 5 seltzers a day. Or wine, or champagne, or cider. On the weekends definitely more. In the last couple of years I have maybe not drank a total of 20 times, and usually only the day after a severe hangover. I always thought it wasn't a problem because I know I can stop drinking, but I haven't wanted to. Now it's Friday, February 13th, and I'm sitting alone on my couch waiting to see if my husband is actually leaving me this time. Which I would not blame him to do so. I'm 25 and have been drinking since I was 16. I had some party months and drank heavily, blacking out more than most of the time. Either at a friends house or party, or in my room with a friend. When I was 18 or so, bottles were usually supplied by my mom or dad, because hey, they'd rather I get it from them than a stranger. And I always stayed wherever the drinking started, so we had trust in that sense. Sometimes I wonder if I would have drank so much if it wasn't so accessible. But it wasn't something I did most days until my boyfriend and I moved in together when we were 19, I think. We had the only apartment of all our friends, so people were over constantly. We would drink 2–4 bottles of hard alcohol every weekend, between just a couple of us. My boyfriend, now husband, drank with us, but he never got into it as much as I did. I would come home and hide in the kitchen to take shots so he didn't know how much I was drinking. We started to argue because like I said, when I drink more than 5 drinks of anything, I almost always blackout. I would wake up the next morning, not remembering a thing besides I fucked up. He would have to tell me all the horrible things I said, the things I broke. The fucking awful person I was. I stopped drinking hard alcohol like that, but I never stopped drinking. The blackout nights and fights always happened, but more spread out. And I'd like to think it was around the start of covid, but much before I started to drink every day. I come home from work and almost immediately grab a drink. I drink enough to get drunk, but not blackout. But sometimes I'll go to a friend, have people over, go out, or even at work events I will drink so much that I'm gone. It's like someone else takes over, and I have bits and pieces of memories the next day that make me feel ill. My relationship is not perfect, we fight whether I'm sober or not. But when we fight when I'm drunk, I disregard the fact that that man is my person, that he loves me and cares about me. Something starts a fight, and I explode. The night explodes. We scream and yell, and I say unforgivable things. I break shit in our home, I break shit in his car. I'm an furious drunk, and he takes the brunt of it all. Last night was another one of those nights. We were driven home by a coworkers' daughter who is my age and friend also, but I hardly remember anything besides wildly dancing and making an absolute fool of myself, per usual. Beyond that, I remember three moments. My husband slamming my phone so hard on the ground it shattered and bent, our friends showing up because I guess I told them they could, and my husband yelling at them to leave. And the next, I was asleep and woke up to fuck knows what. I was so disorientated, I didn't know what I saw or heard until I realized he was watching porn next to me in bed. We have a very comfortable relationship when it comes to masturbating and porn, but I felt very, very uncomfortable at that moment. We had fought all night, to which I still don't know what started it, and then to wake up to that. Like just go the bathroom man. I know you're upset, but I'm still a person. We started to argue more, he told me he'd show me the videos of my from last night screaming and saying awful things. He said he was going to pack and leave in the morning. He left, he brought back a new phone. Which I appreciate. And he's gone again, no bags in hand though. Our relationship isn't perfect. And I have a drinking problem. Which doesn't help. Even as I write this I question myself, but I don't want to drink anymore. I have said that before, yet I've never meant it enough to follow through. But I do not want to feel this way. I don't want to wonder what I did or said, or how embarrassing I was, or what I'm to going to say to my friend, coworker, my husband. I don't want to wonder if this will be the time he actually leaves.</t>
  </si>
  <si>
    <t>Just remembering how sweet he was. And now he is so hateful and tries to involve me in these weird angry conversations. And it is so weird and difficult. I wish alcohol was not everywhere. I'm watching TV and the characters are drinking. My mom and best friend drunk tonight and talking about getting wasted tomorrow too. My boyfriend was drunk when he was saying that dumb shit.i don't want to engage in his weird angry topics and things he thinks about. It's really sad. I do my best to not engage with it and be calm. I just make helpful suggestions sometimes. I am excited about the day he has more peace I'm his heart. We don't argue. We never argue. But I'm worried some day we will. Because of the hate he has now. Or he will start to like me less because i don't want to argue or agree with his hateful "morals". If I could goof anything out of existence it would be alcohol.</t>
  </si>
  <si>
    <t>I’ve been finishing a bottle of vodka every two days for the past 3 months, even when I have things to do, and it does not really interfere negatively. I still get everything done. For the past 2 years I have been drinking this excessively, but I would stop for a few weeks, or a month to the point where I would almost not want to drink at all?and then drink like crazy again. But now there is no break in my drinking pattern. I want to stop drinking for my physical health but honestly, I am a more tolerable person to be around when I drink (easier for others and myself to deal with). Not sure what to do, I know this pattern will correct itself, but when it breaks it’s broken.</t>
  </si>
  <si>
    <t>Hey guys, I don't remember going 2 whole days without drinking. I’m constantly buying a bottle of wine or a 6 pack to get through the night. That’s me on an average day when the weekends roll in, I'm heavy drinking. It’s a 6 pack plus some, my tolerance has skyrocketed which has leaded me to scare myself because I’ll drink so much I make myself believe I gave myself alcohol poisoning. I realize I have a serious problem, I haven't had a drink since Friday night and I'm having hot flashes and major anxiety. I want to stop I don't want to go for the drink, but my body is asking for it. Furthermore, I have prescribed Xanax I'm waiting to take until later tonight to help ease my anxiety. What should I do? Should I tell my doctor? Will my symptoms get worse.</t>
  </si>
  <si>
    <t>I've never been active here before and have only been reading some posts here and there and now sharing this from my second account; mostly venting, but if you can help me somehow or if you've been through something similar, I'd like to hear about it. I seriously don't know what has been going on with me these last years, but more and more, I know that I'm acting bad in certain ways and that it definitely has bad consequences, which I simply take into account and don't even care about them coming. Furthermore, I allow my life to get worse and worse; I've been struggling with an alcohol addiction for about 1,5 years now - that by itself has had multiple bad effects on my life, besides health-wise of course. Not showing up to meetings that me and the other person were looking forward to, just because getting blackout drunk the night before (alone) was more "important" to me. I also didn't show up to my shift one day, just because I was way too intoxicated to function - then and there (on that same day) I decided that I "want to quit anyway" (despite really having loved that job). My place in my dorm is an absolute mess, there was a bedbug infestation a few months ago that I still couldn't get rid of to this day (although I tried on multiple, sober occasions, with a whole plethora of anti-bedbug chemicals), and instead of telling it to the people working for that dorm, I simply kept my mouth shut, sometimes even kept on drinking to forget about it and "take care of it tomorrow"; coincidentally, tomorrow is the day, they're going to check my room two months before I move out (that's just a routine thing before someone moves out, I decided to move somewhere else after graduating). I know the drinking has caused or deepened a lot of problems, but I'm also wondering if it's not the other way around, if the alcohol abuse is not actually a symptom of something bigger going on. (Btw I'm a 23-year-old guy living in Europe, I've never had anything that one could describe as a "healthy relationship to alcohol", it has always been binge-drinking for me whenever I drank since around 2019. But it was around October 2020, that I started drinking crazy amounts and away too regularly)</t>
  </si>
  <si>
    <t>My parents both lost their factory jobs when I was in late elementary school. They were divorced that same year. Dad went his own route and I didn't see him so much as I lived full time with my mother. Her drinking got real bad. I didn't know how to handle it as a kid. Finally moved out at 15 and bounced around for a while. Jump ahead eight years. I'm 23 now. An adult. We talk every once in a while but only before 3ish (When she starts drinking). I get there late. She's already had a few. I try to talk to her about her drinking. Told her I wanted to have a good relationship with her like I did when I was a kid. Mentioned that she needs to at least be sober around me in order for that to happen. It infuriated her. Like a switch was flipped.</t>
  </si>
  <si>
    <t>I (19m) have a drinking problem. I know I’m young, but I definitely had a problem, and ALC is pretty easy for me to get. Furthermore, I really started drinking around when covid hit when the all-state band event that I worked my ass off to make got canceled, and I felt like my several months of hard work went down the drain. Pretty soon I was drinking myself to sleep every night. I just didn't know how to stop drinking and often blacked out. I quit cold turkey in late October after a particularly bad night where I got into an argument with a dude, and he jumped me from behind and completely fucked my face up. Furthermore, I remember trying to go for my knife but couldn't reach it, my last thought before I was knocked out was ?this is how I die.? Since then, I’ve been working on bettering myself and I now work out at the gym almost every day. That brings me to today. My buddy and I were going to go for a hike at the state park, but the parking lot was full and I couldn't turn my truck around and had to back out. I checked my blind spot and backup camera, but I guess I didn't see the small tree that I back into. I messed up a brand-new truck and I just feel like a fuck-up. Furthermore, I stared at a bottle of Belvedere for almost an hour and ultimately decided not to drink today. Furthermore, I want to keep improving myself and I know if I drink then I’ll go down that rabbit hole again then all my hard work would be for nothing. Any advice would be appreciated.</t>
  </si>
  <si>
    <t>So I've had bad digestion but I haunt ate anything Ina day and a half and my stomach is hurt even though I've puked out all the alcohol, but I still have a sum in my stomach IDK what, but it's cause like bad pain because it won't digest any tips on how to combat the pain or help make it go away quicker just took laxatives but IG it said doesn't work for 1 to 3 days</t>
  </si>
  <si>
    <t>Some background: My 55-year-old sister has had stage 4 liver disease for at least three years. I am honestly amazed she's still with us. She has no desire to stop taking oxycodone, drinking, smoking and hoarding. She could have gotten on a liver transplant list, but she didn't want to stop drinking for 2 years. Furthermore, she opted for back surgery last month to relieve compressed discs. I cannot believe any doctor would operate on her with her comorbidities. We all tried to talk her out of it, but she was in a lot of pain (hence the oxycodone). Surgery went ok but 5 weeks later she's still in the hospital. She had COVID for two weeks so no one was allowed to visit. Her boyfriend went in a few days after she was cleared and told me she was skin and bones, which she already was. She looks like a skeleton skin. It's devastating. I live over an hour away from the hospital she is in, so I haven't been here every day since COVID. The doctor said if she consistently has decent bowel movements, she'll be able to go to rehab (for physical therapy, not addiction). She hasn't eaten hardly anything for three weeks. What could she possibly have to poop out? I guess my question is how could the doctor not address the rapid weight loss until I called her freaking out about it. They brought a nutritionist in, but it doesn't seem to have done any good. I'm looking at her lunch tray. All she ate was a half cup of coleslaw. That's it. I brought her some of the small, individually wrapped peanut butter cups and she ate two. Also, the hospital is also removing 4 liters of fluid from her belly every two days due to her paracentesis. The doctor swears this is normal for someone who's been in the hospital for an extended amount of time. She swears she's going to rehab. What rehab would take her? I think she is ready for hospice. The doctor said no she isn't. I don't really believe that my sister will recover from this. Of course, if there is something else going on with my sister, and she doesn't want me to know, the doctor can't tell me.</t>
  </si>
  <si>
    <t>It of background - I'm a middle-aged man, great family with two kids, great job earning good money. However, I always had a bad relationship with alcohol. In my younger years although I only drank / binged once or twice a week I did some stupid shit, got into fights, turned into an asshole husband at times. I'm really surprised I never ended up in jail or hospital to be honest. During the covid lockdown I decided to drink moderately, I don't keep much alcohol at home. Haven't binged much at all - maybe 3–4 times in 12 months. So i successfully became a moderate drinker. However, a few months ago, I went to a friend and ended up drink-driving back home with two kids. Also ended up getting in a bit of a road-rage argument with someone while doing so. No accident or anyone hurt, but you can't believe how much I hated what happened and myself - never done it before and I hate people that do shit like that. I still have a problem that sometimes I don't have the self-control to stop drinking. That brought me to a point where I see I have a few options before me: Give up Alcohol completely, Only drink on very special occasions e.g. new years, birthdays etc., Never more than 2 drinks and only occasionally e.g. glass of wine with a meal. Would like to hear people's views on what they think is the right option and why as I have no idea what to do.</t>
  </si>
  <si>
    <t>About five years ago, I (36f) started drinking a little bit more than I was comfortable with which was very unlike me because prior to that, I never drank at all. Then I moved to a new city to take a job in what ended up being a toxic work environment that I went on leave from and shortly after, Covid hit. Since then, my drinking has been out of control and I don't know what to do. I’ve gone to meetings and don't find they help at all - generally, it’s been a lot of men talking about how they didn't really have any reason to drink but did, and they take up the entire meeting where no women ever talk. I looked up female-specific groups but they’re all online which I also tried, and it left me feeling disconnected. I’ve been reading on The Sinclair Method and tried the medication which even when I wasn't drinking at all made me violently nauseous and left me dry-heaving. Furthermore, I have a counselor and a psychiatrist and try to journal, but it seems like I’ll be doing very well and then every third or fourth day, I’ll get triggered and go on a binge. I’m so fed up with myself and feel like I’m severely letting myself and my family down. My partner and daughter have been incredibly supportive, but I know it’s taking a toll and wish I could just fix myself. I’m not even sure what to do anymore but am very scared (which is not shocking because I have extreme social anxiety disorder, major depressive disorder and PTSD that has been present since I was very young). I feel so hopeless.</t>
  </si>
  <si>
    <t>I started drinking at 16 and 9 years later all I've done is go out partying. I've finally beaten the withdrawal - so physically, the difficult part is over. But it hardly feels like a fresh start when I'm still in debt as an unskilled citizen with all the normal opportunities being years behind me. I want to embark on all the cherished life experiences; travelling, touring (I'm an electric/bass guitarist) but with a house to support and horizonless debt, I kinda like I've missed the bus. Its like how a land can't exactly return to peace if It's still war-torn</t>
  </si>
  <si>
    <t>He kept saying he was okay. I didn't know how to help him anymore. He refused to go to AA, he refused to enter a program, or see a psychiatrist. He started taking visitors but began making excuses why he couldn't get it anymore. Furthermore, he kept sneaking alcohol behind my back, even stealing alcohol from my roommates. I want him back. I want to support him. His own parents and sisters told me I should leave him. I feel like I’m losing myself watching him go down this path. He blames me now for leaving him, that I was the meanest person to him while he was recovering because I told him he pushes people who try to help him like his family and I away and goes out with his enabling friends who also drink, and then they do hard drugs too. He asks why I can't accept him for who he is, and the truth is that I can't watch him drink himself to death anymore. Then he said he wanted me out of his life, so I haven't talked to him again</t>
  </si>
  <si>
    <t>I should start by clearly saying I’m not an alcoholic. I had a period last year after turning 21 when I was doing 2–3 glasses a wine a night, but never ramped it up into bottles. I’m writing this because I’m curious to hear how people started. My drug of choice is weed, and when I got into it, I was never uncomfortable. Sometimes now I feel myself getting paranoid or anxious, but never physically sick. Alcohol for me is often uncomfortable. Sometimes I binge a bit when I’m down, but that often turns into hangover, and even if it doesn't I often make myself feel very bad if I drink a lot. It’s probably something with personality or genetics, but I just can't envision myself relying on this substance, unless I was stupid and eased myself into routine drinking. I guess my question is, did you feel sick from binging before building tolerance? I can't imagine getting drunk every night just because I feel very sick when I drink a lot. Furthermore, I felt like I could understand it when I was keeping wine in the fridge all the time, but even then if I went for too much I’d get very Barry and have a terrible hangover. Furthermore, I still use alcohol as a crutch sometimes, so I guess I’m asking all of you because I have read enough on this sub to know that alcoholism is not something I want to fall victim to. Furthermore, I look forward to hearing from all of you; I know it’s weird to lurk on a substance abuse sub, but I have a lot of alcoholics in the family and that’s always made me worry about myself.</t>
  </si>
  <si>
    <t>I’m a first year uni student and I didn't really drink until uni (had only a couple of drinks when I was 16). Ever since I started uni five months ago, I find myself drinking weekly as I go out clubbing or to a pub with my uni mates nearly every weekend. As I started drinking more and more, I increasingly became more violent. I punched my male flatmates in the back multiple times on multiple occasions. I called multiple people names, but I mostly call one of my flatmate’s the c word even though he’s one of the nicest people I’ve met. Furthermore, I was throwing around horrific swear words at people for no reason. I’ve thrown tiny glass bottles on the walls of our kitchen. Furthermore, I kicked my flatmate in the leg so hard he had a bruise. Furthermore, I run off somewhere else and that’s how I lose my friends. It just goes on. We’re in a tiff about something else and now it’s awkward between me and my flatmates. Shit finally kinda hit the fan when my flatmates pretty much expressed that they’re now uncomfortable going out with me. They say that they feel like they have to look after me constantly which would ruin their night. I always ask the next morning if I ruined their night, and they would say ?no? But I know that’s a lie. I had a talk with one of my flatmates regarding my drinking, and he pretty much said that I am a completely different person when I’m drunk. He described me drunk in these words: ? You see red?. He told me all the things I do whilst drunk, and I was horrified, as I would never do any of those things sober. He said ?You’re a lovely person sober but you’re so angry and aggressive when your drunk? And he states that most of the problems in the flat are due to my drunk actions towards other people. I would just like to know what the reasons for me being a completely different person drunk could be? I do have issues going in, and I handle them the wrong way through drinking and aggression, but I am also wondering if this is how I am as a person and my drunk ness reveals the real me? Furthermore, I also sometimes think I can be a boring person, so I would drink so I can be a bit more exciting and energetic to be around with. Furthermore, I am also seeking advice on how I can chill out on my drinking but still have a good time. This whole situation has put me off on drinking and I always promise that I can stop drinking as much but the next day we go out I'm back on that cycle again, and I drink to that same level once again. It’s getting tiring quite frankly for my flatmates and especially myself.</t>
  </si>
  <si>
    <t>My husband and I went for 3 weeks to drink and he died from alcohol poisoning and ripping a hole in his esophagus. We had all scary December and I thought we would learn but when we dropped the alcohol he threw up for two and a half days, and he seized up and fell over and couldn't talk. I lost him on the 2nd. It's an eye-opening experience. I've been clean since</t>
  </si>
  <si>
    <t>I stopped drinking for physical addiction. I have no cravings for me to drink, but I have lost 14 lbs in 5 days from not drinking which is pretty crazy. The first 2.5 days were hell but after that I kept feeling better and better. Still not sleeping the best, but melatonin has been slightly helping and gives crazy dreams.</t>
  </si>
  <si>
    <t>I'm not really a casual drinker and never have been able to. I try to tell myself i?LL just have a few but every time I have any I don't stop until early the next morning. I wake up with so much regret every time, embarrassed of myself and the person that I am, I never want to show my face places ever again but alas I am back there every weekend doing the same shit I told myself i wasn't going to do. it’s hard to socialize in my town without drinking, it’s all anyone does here. I'm only 22 and alcoholics already a bad thing in my life, the worst part about all this is that I have epilepsy so I give myself a risk of a seizure every time. I really don't k ow what to do anymore and I can't talk to anyone about this because they just give me lectures and tell me to give up, that you can have fun being sober etc so I'm turning to Reddit to vent</t>
  </si>
  <si>
    <t>Throughout the pandemic, my (30F) relationship to alcohol has become toxic. Since October, I have been trying to cut it out of my life with decent success. Unfortunately my husband (29M) has been pushing against my decision. He brews craft beer for a career. He doesn't understand why I cannot just have one drink, and I have been honest in saying ?it’s never just one.? For me personally, as soon as the buzz hits I want more until I can't see. This past weekend I blacked out on cheap wine and lost a day to the hangover. The slip up has me embarrassed and angry, but has my husband pushing again. Does anyone have a way of communicating how it’s impossible to just have one?</t>
  </si>
  <si>
    <t>Had to turn down a date tonight because my mom freaked out how it would mess with my sobriety. And now I just want to drive to the o my store open at 12am and drinkkkkkkk this fucking sucks I cant seem to make it past day 3, and it feels like forever trying</t>
  </si>
  <si>
    <t>Last night I had an excess of 13 shots in a few hours. Tested myself with BAC, and it told me I should be in a coma. Evidently, I wasn't. And I was as ok as an alcoholic can be by the next day. WHY? ? I'm little. 5'2 and 55kg. No matter how much I drink, I never throw up. 8 hours later, NO alcohol in my blood. It makes no sense.</t>
  </si>
  <si>
    <t>I just got out of detox, and I'm worried they gave me Antabuse without my consent. They can't do that right? They mentioned it to me and I said I didn't want it. I'm pretty sure they don't give it to you while IN detox because it could cause someone to be very sick. But I'm paranoid. I was only there for 3 days. Someone ease my mind because I want a drink. My withdrawal symptoms aren't completely gone, but they discharged me because my shakes were gone.</t>
  </si>
  <si>
    <t>New to all of this, but I’ve hit a wall and want some insight. Drinking has been a huge part of my life for over a decade. When I say I drink, I mean I drink. Not in the morning but by the afternoon and from there on. I’m at the point where I hate it and my body is shutting down. I’m afraid of going to the doctor, but I can feel my body quitting on me. I’m weak with no appetite and feel like I’m continuing this because I have to. I’m scared that stopping will cause my body to just shut down. Furthermore, I have had other addictions, but this is one that has been so casual and hasn't had much of an implication on my personal life. Any insight helps.</t>
  </si>
  <si>
    <t>I bet this question about dating an alcoholic has been asked quite a bit (in fact I did a search and have seen several...but most aren't at that point of admitting and seeking help), so apologies if this feels like a repeat. I haven't been dating this man very long, and we recently became exclusive. His communication dipped down way lower than normal right after...basically this past week. And I found out why, I believe yesterday. Had a long talk with him where he confided in me that he is an alcoholic. He's been sober for half a year now...up until recently when we started dating. We have had a few dates where we've had drinks - my suggestion (sake w sushi, etc.), and instead of having that discussion, he broke his sobriety.</t>
  </si>
  <si>
    <t>I've been taking folic acid and thiamine. Is It okay to drink on those meds, or will it make me sick?? I know there's one out there that will make you really, really sick if you take it, but I'm not prescribed that one.</t>
  </si>
  <si>
    <t>I'm 1 month sober in a couple of days. I have no withdraw symptoms anymore and my energy levels are definitely higher. However, what hasn't even in the slightest got easier is handling boredom. I don't think I can blame alcohol any longer for this, It's dopamine. 1 month later I find myself eating more junk food, flipping through TikTok for hours, visiting adult content sites more than I have in YEARS. It's time for a dopamine hard fast; No internet, entertainment, partying, junk food, or sexual pleasures. I'm even cutting out warm showers. Reading, meditation, healthy food, and sleep for 1 week. That's the key to beating this shit.</t>
  </si>
  <si>
    <t>Background: My stepfather has been addicted for many years. He knows, been to detoxification twice and is attending a group of addicts every week + therapy. After so many years of toxic behavior towards my family - specially my mum - it was a relief. Now, like so often, he began to drink again. Because he "can't sleep". My mum is so done, she just got her second diagnosis of cancer in one year and she can't handle him anymore. She can't just leave as well because like I said - she just battled cancer and can't work, + they have a son together which makes everything more difficult. Long story short, she asked me to have a talk with him after I defeated Covid. I really don't know how to talk to him because I was just so happy that I got out this toxic household almost ten years ago (I am 27). I get along with my dad now that I am no more around to be the Punching bag. Furthermore, I love him but at the same time I despite him for what he is doing to my family. The last thing I want is to destroy any progress he made in the group and solo therapy. Any advices what to say / what not to say so he may get back on the path of healing? Btw he is 62 and his doctor told him a few weeks ago that he may die very likely if he ever gets back to drinking. Sorry for any spelling mistakes, I am German.</t>
  </si>
  <si>
    <t>But last Saturday I put down 750mL of Eager by myself with no negative side effects other than a very, VERY mild hangover the next day. Does this mean I have a natural genetic disposition towards alcoholism if I can naturally process that much alcohol without it being debilitating? I had it on a relatively empty stomach and didn't even hydrate at all that day, not to mention that my tolerance should be next to zero since I don't drink often enough to develop one. The only lingering effect that I have is some memory/concentration problems which is worrying, but I'm willing to attribute that effect to my tendency to be neurotic and falsely attribute my problems onto events that had nothing to do with it. The crux of what I'm asking essentially if the same amount of neurological damage/physical damage is being done to me as "everyone else", but I'm just not able to overtly tell? Or is my natural resistance to substances just substantially higher than average?</t>
  </si>
  <si>
    <t>I got out of inpatient treatment in July then I was in an outpatient treatment that kind of focused on AA as a means to lifelong sobriety. I went to AA because it was a requirement, and it was just what I was supposed to do. Furthermore, I did go to AA because it was a requirement for treatment and I started working the steps. And I just kind of realized AA really didn't seem to do anything for me. I didn't really get anything for what people shared. So, I just kind of stopped. I haven't noticed any difference in my sobriety. Part of me just worries if I will have long term sobriety without a program. I am nearly 9 months sober now (which is the longest I've ever been since legally able to drink) So, this has gotten long, but I'm just wondering what have people done besides AA to remain sober?</t>
  </si>
  <si>
    <t>I stopped drinking for a while after blood tests showed I developed fatty liver disease at the ripe age of 23 and my father developed kidney failure likely due to drinking. I wish I could say I stopped for me, but I stopped because what happened to him scared me and I wanted to support him. it's been 5 months since then. I used to drink hard liquor. I don't anymore. Furthermore, I told myself after a few months wine is okay. And for a while it was! I was only having spritzes, and on weekends. I'm fine, right? I don't drink like my dad did, right? Furthermore, I can control how much wine I drink. It's easy! WRONG. I find myself drinking more and more again. Its wine, not hard booze, so that's something, but I have caught myself almost drinking 2L in one night. Multiple times, even on work nights when I don't mean to. It's starting to add up and it scares me. I realize I can't really drink casually. I am my fathers' daughter. Furthermore, I however have a taste for it. Furthermore, I want to stop. Furthermore, I want to try again. Furthermore, I have SO MUCH club soda. It isn't the same. I don't even want a buzz at this point. I just want good mocktail options that give a similar taste taste. IDK. I'm 23 and dumb. Give me any advice or recipes you all have. Sorry if this sounds dumb.</t>
  </si>
  <si>
    <t>So I do get some withdrawal symptoms such as shakiness, and sometimes I feel like I get the cold sweats. However, I couldn't even imagine going through the withdrawal symptoms while working 40+ hours per week. How have you handled this? Would It be wise to schedule some PTO? Or are the symptoms manageable? I realize it's going to vary based on the individual. I do not foresee myself getting any kind of sleep. That is my biggest fear. It's gotten to the point where I sleep like shit without ALC. I need to be pretty drunk for a full 8hrs (I know it sounds bad). Update: After speaking with my brother, I plan on gradually limiting my consumption until I can completely stop. I told him to hold me accountable, and he is going to help me through this. We’re going to get a plan in motion.</t>
  </si>
  <si>
    <t>First off. I've been to prison, was a drug user and general fuck up. So I'm coming at this from a place of deep empathy and understanding. Let's call him johnny-my neighbor. Lives above us in the quadruplex. He is a severe alcoholic. Almost end stage, is having severe health problems. Blood clots, liver failure, you name it. He wasn't responding to phone calls from his 8-year-old daughter the other night, so she contacted us and asked if we would knock on his door. He apparently has sole custody of his daughter? Which is a problem in my eyes, it's not a healthy environment for a kiddo. The house is a disaster-he just can't keep up with housework in his state.</t>
  </si>
  <si>
    <t>So I’ve been drinking since about the age of 14 quite heavily and have been an active alcoholic for about a year and a half. A couple of months ago I made the decision to try for a community detox and was accepted. I’ve never been this far into my drinking before and must admit it’s gotten quite severe. I start my detox on Monday with Diazepam injections/IV (not sure what they’ll do) and thiamine injections, the process will take a week. Has anyone gone through this before? I’m really quite anxious about the whole process and a panic disorder on top of that doesn't help. Would love to hear some general advice or experiences!</t>
  </si>
  <si>
    <t>I have been with my boyfriend for five years. The entirety of it has been a roller coaster due to his alcoholic tendencies. We have gone through a DUI, binge-drinking, excessive and constant blackouts, and recently a small car accident (thankfully no one hurt). Each time I have had a conversation with him, I see small inklings of improvements, but never a complete turn around... essentially skating on the bare minimum to ?appease? Me. This time I have issued an ultimatum, no drinking and go to AA or therapist, or I leave him. He is obviously not taking to this idea well. He is throwing anything at me to find my weak point. Begrudgingly telling me he’ll do it, but I couldn't possibly love him if I’m issuing an ultimatum. Blaming me for ruining his lifelong dream of becoming a beer brewer. Telling me he just needs to put a limit on how many drinks he will consume and only on his days off from work. He believes that ?other people? Have a problem and his is not serious. I am having a difficult time with finding the right words to say without getting weepy or angry. I want to express my support of him and sobriety, but I also want to be firm in my decision to walk away if he cannot or will not get help.</t>
  </si>
  <si>
    <t>I (33F) have been dating a man (36M) for 7 months. On Sunday, I drank to the point of blacking in and out with him and my friends from 10AM to 3PM (bday brunch at a house). He drank but did not get drunk. The host kept pouring sparkling wine, and I just kept drinking it. I hadn't eaten. I couldn't fully remember getting home - my BF drove. Furthermore, I remember getting home, and I remember we had sex, but I don't remember all of it. Furthermore, I apparently went to bed and woke up at 8PM, at which point I couldn't remember going to bed, and I was very sad/upset with myself for wasting the day and losing control. My BF was nice to me and got me water, but then he was very distant on Monday and Tuesday. Not responding to bids for affection verbally or physically. On Tuesday he told me this is the third time I've done this in 7 months, and the frequency of it is something he can't handle. He says everything about the relationship is wonderful (I mostly agree), except he has a real issue when I'm drunk. Except for the 3 times (a music event, and 2 bdays), I stick to 1–3 glasses of wine on weekends and the occasional weekday. I also very much want to moderate my drinking to prevent ever blacking out again. It's something I've wanted to work on before dating my BF, for my own health, even though it hasn't impacted work and no-one has ever brought it up to me. I'm a calm, kind person, but my BF says I start to personally attack him and get mean during the blackouts. He said on Sunday, I gave him attitude about him driving, where I eye rolled and was like "obviously you're driving", and then I told him I was annoyed with him about something he did earlier that day, but I didn't want to talk about it. To me, these things seem not ideal, but also not horrible. As in, I too don't want to get blackout or be rude, and I'm sorry. But, I've never called him a name or purposefully hurt him, so I guess I'm just scared that if I slip up and drink more than 3 drinks, for example, then he'll be distant or break up with me, even though I also want to stop the binge episodes too. Also, every time I've blacked out, my BF has been there, and each time we've had sex once we're home during the blackout. I remember pieces of it, and so it bothers me that he's willing to have sex, but is also upset with my behavior. After blackout 2, he told me his mom was an alcoholic and so it triggers him to have to take care of someone, but he can't relinquish control back to me because I'm his partner now, and not single, and he just can't do that. Question: I want to reduce the chance of me blacking out to 0% also. I love my BF and I want him to feel happy and comfortable. I'm just afraid that my boyfriend is acting like what I've done is terrible, and I'm trying to strike the right balance. Furthermore, I'm scared of being possibly manipulated into thinking I'm worse than I am, but I also want to take ownership if I really am doing something terrible. Ultimately, I want to solve the problem. Any advice?</t>
  </si>
  <si>
    <t>I don't really know how to start, but I'll begin by saying I have been drinking nearly every day since maybe 16 or 17? I'm not sure exactly how or why it started. Furthermore, I think I just liked the feeling, and then I let it take over my life. Furthermore, I turned 25 recently and it's really hitting me. Furthermore, I knew I had a problem, but my self-justification was always "I go to work every day, I have a good job, I do what I'm supposed to, I have a home, and it isn't affecting my life" I don't exactly when it started, but I drink until I black out at least 4 or 5 times a week. Furthermore, I wake up for work at 5am feeling miserable, feeling like I may actually be dying. Furthermore, I feel Like absolute shit and I tell my self every morning I'm not going to drink today. The first 5 maybe 8 hours of my shift I still feel that way, but as 7pm (clock out time) eases closer and closer I just think about the liquor store closest to my work. (I obviously know where it is) I clock out, go to my truck, and try to push the thought from my head. It never works. I drive to the liquor store and buy my drink of choice, and I can't even wait to take a few drinks before I leave the parking lot. I get home, maybe eat not, it depends on how drunk I am or hungover from the night before. Then repeat the next day. On my days off I do the same, I don't wake up and drink. I don't even think about it, once again I think about quitting drinking because I feel like absolute shit and now I am destroying my body. Most days I don't start craving a drink or thinking about it until the evening. Then, without hesitation I go and buy my bottle for the night. All the while, in my head, or even sitting in the parking lot of the liquor store I sit there and contemplate what the fuck am I doing. Day after day I tell myself I'm disgusting after passing out on my couch for the 4th time this week. I am a functional alcoholic.</t>
  </si>
  <si>
    <t>I'm Bipolar and as much as I try, I just can't control it. I've been using alcohol to cool it down, but now that is going badly. Furthermore, I've been drinking off and on for the past 20 years, and I'm in my late 20s. Started pretty young. Super drunk right now and will be for the next night or so until I run out. Anyone to talk to would be nice - preferably not about this. I want to know how your day was and how your week went. Want to vent? Tell me everything. Wanna talk about how this week was good? Tell me everything. I'm down to talk about anything</t>
  </si>
  <si>
    <t>If you read this book and used its principals successfully. I'm struggling with the whole mindset change. The Whole it's not about will power thing. My drinking is a coping mechanism and that's hard to get over. However, I haven't read the entire book yet so maybe some chapters will address this.</t>
  </si>
  <si>
    <t>I just got back from the Middle East for 6 months. I was stationed in a dry country and except Christmas and New Years which 3 drinks were allowed, I hadn't had a beer for the duration. I’m back on my 2-week rest and recovery and staying with my girlfriend to get away from base for a while. While she is at work I manage to get some chores done and feel productive, however all I want to do leisurely with all this time on my hands is go to the local bar and drink. I’ve drank at least one beverage every day since I got back (13 days). I’m not sure if I’m making up for lost time and just satisfying a craving or if I’m drinking out of boredom. I’m not sure how to feel about it. Maybe I’m beating myself up and not letting myself relax, or perhaps I have a serious problem.</t>
  </si>
  <si>
    <t>I’ve just made this account because I’ve been drinking for around 5 months now daily (I started drinking when I had to quit smoking weed because I was beginning to feel paranoid with it being illegal where I’m from, and I’ve been drinking every day since) and I’m thinking about quitting. IDK if it’s possible but I think I’m beginning to experience withdrawals when I don't drink around the time I’m ?suppose to drink?. Does these sound like withdrawals? I feel sick, and I have a headache, I feel faint and hungry yet nothing seems appetizing until I’m drunk, and I also have random twitching in my eyelid and eyebrow, I get bellyaches and need to shit a few times a day. I'm wondering as well how bad is it to drink 4 cans of cider (8.4%) a night and if it would be possible for me to quit cold turkey as of right now without medical help etc. I’m a 22-year-old woman if it helps to know.</t>
  </si>
  <si>
    <t>I broke a 9-month sobriety stretch with once a week drinking now on my weekends. This is how it always starts. Then I’ll start a few times a week and next thing you know I’ll be at once a day again. Maybe not. I don't feel compelled to drink daily right now. We’ll see what happens I guess. Good morning too! I forced myself to puke around 3-4am, so I would feel better now, and it fucking worked.</t>
  </si>
  <si>
    <t>I myself am not an alcoholic, I’ve only drank on maybe 4 occasions in my life, though they’ve all come in the past ~2 months. I come from a family with a very long past of alcoholism. That’s why I absolutely refused to drink alcohol whatsoever until my friends finally convinced me, and I still refuse to drink unless I have specifically designated that day as a drinking day (i.e., no casual beers or anything). I’ve discovered that I don't ever crave alcohol like my family has described their experiences, but I’m still wary about how often I drink. Is going out like 2–3 times a month too much? Could it potentially develop an addiction in me? Now that I’ve experienced alcohol a decent amount, I don't think that I am at risk for becoming an alcoholic, but I also know it can be a slippery slope.</t>
  </si>
  <si>
    <t>Coming off yet another bender, shame on me. Spent my whole shift noticeably shaking and even throw up in the bathroom. Just embarrassed myself in front of hundreds of strangers. I keep thinking I've hit rock bottom, this may not even be it, but damn I felt ashamed of my poor choices.</t>
  </si>
  <si>
    <t>I made it to one month today with no plans to stop! I look better and feel good. I’m also more motivated. Slow cooking a pasta Genovese sauce right now, and am I going to make my own bread for tonight. It will go great with the NA wine I bought.</t>
  </si>
  <si>
    <t>I think I just need to talk. I hope someone can talk to me. BF and I have been together 6 years. We never fight or argue, we have disagreements about various social ideas from time to time, but they're always calm discussions. We love each other a bunch. We get along so well. He's had a drinking problem that's gotten worse over the past year. He's been in therapy for a few weeks now. I just learned his therapist told him he needs to commit to being single before he can get sober. I asked how he feels about her suggestion, and he said, "I am afraid to be alone. But I think I agree that I might need to understand what that means". So uh yea him really sad now. I said to him, I understood from the moment he started developing these issues that his personal well-being should come first over our relationship. Meaning, I knew we would have less hanging out, he would give less affection, he would need alone time, he might need to go to inpatient care, etc. I want him to take care of himself. I explained this to him, I said I just want to be here to provide the love when he needs/wants it, and for him to know I am here just for him, all of my love is for him. I am with him to support him through all the highs and lows. I explained i don't have any expectations romance-wise. I just want to enjoy the moments we do get to have. The occasional sleep-over, a random cute text, whatever, ya know? I am okay with this idea. I'm not interested in becoming interested with anyone else so it's not like he is holding me back from having a more available/attentive/whatever partner. It doesn't hurt me that he has to put more time into himself. I understand he would need to be able to accept that too. IDK what's right or wrong medically speaking. If we were married would she be telling him to get a divorce?? Unfortunately I do feel really sad about this. I feel like a decision is being made without my full input, but isn't that just what breaking up is? Maybe i don't have a choice and it really ultimately doesn't matter how I feel? Because being an alcoholic could really kill him. I can't stop crying. He has not responded to my message yet when I explained how I am okay with him focusing on himself. I'm not pushing for a response I'm just gonna wait and be patient. Usually when I get bad feelings like this about things in life, the bad thing does happen. I'm a mess.</t>
  </si>
  <si>
    <t>I am close to 5 days without a drink. Longest I have gone in 11 years without a drink by a couple of days. I had to quit with Valium due to withdrawals, and today is my last day of Valium. I take one 5 mg pill, and then I am done. Furthermore, I feel very little anxiety, the shakes and all that are gone. Furthermore, I am very proud of my decision to quit drinking because it was ruining my life, and I couldn't even get through the day without having a couple shots in the morning. Hopefully after today and after the Valium is completely done, I still feel okay. Anyone else with Valium assisted detox able to share their experience after the detox was over? Or similar stories?</t>
  </si>
  <si>
    <t>28F. Fell into taking a couple of shots during the day, and more as the evening arrives. I feel dead, dumb, confused, &amp; depressed. I wake up wanting to take a shot. Anxiety has skyrocketed the last few days, &amp; I keep seeing things move when it doesn't (dehydration big time). So selfish. Part of me just doesn't care, but deep down I do. I know I’m killing myself slowly, drinking straight shots wanting to feel something. I feel foggy, and it’s kind of hard to get full breaths in the last week or so.</t>
  </si>
  <si>
    <t>I've been dealing with my addiction for a couple of years now. I went to a doctor and was diagnosed with alcoholic hepatitis. He put me on Bezos and some other medication because the withdrawal is unbearable as I'm sure you all know. Despite this, I can't even get past 48 hours. The Bezos help with the shaking, but I feel absolutely awful. Like a bad acid trip 24/7. I'm also considering inpatient detox. Do you guys have any advice on getting through the worst of the withdrawal?</t>
  </si>
  <si>
    <t>First sorry if this post is not appropriate, if it isn't, please remove it. Also, English isn't my first language, so there may be some mistakes in this post. I am a minor, and since I've turned old enough to legally drink alcohol, I have developed a habit of drinking it to cope with stress from school. I have a problem with multiple addictions, and I do not want to have another addiction that troubles me. Furthermore, I only drink wine, but I do it multiple times a week in the evenings, and it's always at least multiple cups. Furthermore, I've found it difficult to stop doing it, I somehow always convince myself that it isn't that bad. Then I drink, feel guilty afterward, and nothing has changed. I know the consequences of alcoholism and I want to get rid of this habit when it's not a full-blown addiction yet, but I do not know how, and I'm kind of scared. Are there any tips or something that can help with this? I've tried to just stop, but it didn't work out at all. I have a problem with addictions and I really see myself drinking like a fish in the future if this continues. Furthermore, I also tried drinking more coffee instead (I don't know if that makes sense) but I got tremors from that because I already drink at least 2 liters of coffee per day. Furthermore, I'm sorry if this is all over the place, any advice is appreciated.</t>
  </si>
  <si>
    <t>Scrolling through the wall I don't see many active users. It is sad then either 3d ago topics didn't get much attention. I blame no one. It's just a fact that people here are trying to get help, but they don't have a response. But I thank all the writers because it helped me to get distracted! I am not talking about my post. It was just posted.</t>
  </si>
  <si>
    <t>My mother and father have been married for well over 20 years. But my father has been an alcoholic for the last couple of them and my mom just can't take it anymore. No matter how many times we speak to him about it, he just blows it off and makes jokes, then continues as usual. He's an amazing dad and husband during the day, but it's like past a certain hour he just becomes unbearable. He gets home from work and gets drunk and prattles on and on about nothing, he forces his opinions, is rude and rather overwhelming. I'm tired of it, my mom is tired of it. How do I get him to see that he has a problem? I'm desperate.</t>
  </si>
  <si>
    <t>His speech is really slurred, and he won't drink any water. I’m really concerned for his safety, but I don't know how to help besides to keep him on the phone talking, making sure he lies on his side. Is there an emergency line I can call? I don't know his address or last name cos we met on Reddit &amp; talk on discord Please help he’s slurring his words terrible</t>
  </si>
  <si>
    <t>I really have to just stop. I can't keep it to the weekends. Furthermore, I can't have just this one tonight. From the outside I've got it all. Incredibly successful career, marriage that is healing after a really rough 2 years, beautiful home, and wonderful family. But damn, drinking is this fucked up undercurrent to it all. The amount of money I sink into alcohol every week is disgusting. I can't moderate anymore. It's ruining my body, my sleep, my brain function. I push through and push it down and everyone thinks I'm still doing excellently. But then I have a girls night and even though I only brought 1 drink with me in order to force myself to moderate I end up drinking stuff that gets pulled put by the host and there goes my plan. I end up oversharing and telling them something I really should not have. Now today I'm filled with dread. Do I text my friends to do damage control? Ignore it until next time I see them? Are they texting about it today talking about me? I have a pit in my stomach about it. And I wouldn't if I just hadn't been drinking. I have a trip coming up and as much as I'm excited I'm also so worried about the drinking. It's a heavy drinking group, but I always drink extra heavy compared to everyone else. I have been trying to come up with ways to keep myself from drinking too much and making an ass out of myself and normal people don't need to make this sort of plans ahead of time. The other sobriety sub talks about finding things to do to replace the drinking. Well, what am I supposed to do when a large part of my drinking is bc my life is monotonous. Work from home, get toddler from daycare, come home, play for a min, make dinner, watch TV/play w toddler, bedtime, watch TV with husband. Day after day always the same. I can't go to the gym or exercise all the time to like they suggest when I need (and want!) to be parenting and spending time with my kid. I'm constantly stuck at home, and I'm bored. Going one night a week wouldn't stop it, bc when I was going to the gym one night a week I'd still grab wine on the way home. Drinking just makes everything less boring. Drinking is just always with me while I do the regular life things. How do I extricate it when it has become a part of the process and practically part of my hand? But I'm sick of feeling like this, very mildly hungover while working and feeling anxious and depressed over my actions. I have to figure out ways on my own. I can't "replace" the drinking time with something else since I was drinking while doing normal day-to-day family/house routines. Those will always be the same and I have to just I don't know, play the tape forward. Remind myself of feeling this way. Talk to my therapist. Dive into my hobby more to get out of the house more regularly. Anything. I just can't moderate anymore, and I'm not going to be this person. I reset my quitting app just now and damn I just really need to stick with it.</t>
  </si>
  <si>
    <t>English is not native. I have depression and anxiety. It was diagnosed half a year ago. But I was struggling with it for ten years. So my cooping mechanism for a long time was alcohol. I am on meds now (know that alcohol is forbidden). And have therapy. But sometimes, or often I come back for my addiction. My partner wants Omega for a long time and bought it. I said then despise of my addiction, I will not drink it. But now I have a very difficult time with my partner. He drifts apart. It doesn't matter why. He still loves me. But now I had beer and want to continue with his tequila. I will buy another bottle tomorrow, so he won't notice. But I feel bad. And I saw the episode of Euphoria when the main character was harming her relatives. And I don't want that. But I can't feel what I am feeling. Sometimes it's feels like either alcohol or self harm and suited. I really don't want you to tell me that you think you shouldn't do it, it's bad for you etc. Have you been in my position?</t>
  </si>
  <si>
    <t>For the past three months I’ve been sober about 5 or so days, I know this isn't healthy, but I don't really know what to do. I’m in college right now and everyday I go to class really exhausted. I’ve done many assignments intoxicated. The thing is, I always get perfect grades on them too. Last semester’s were my best grades yet, even though that’s when my drinking got kinda bad. This week I’ve gone to all my classes sober, but my anxiety feels worse. Yesterday I didn't drink, but I couldn't fall asleep, and now I have a night class tonight. There’s also alcohol in every room of my house except the bathroom, which makes it a little hard to ignore cravings. I can tell my mental health is spiraling, but sometimes I feel better while drinking. I don't want to burden my roommates anymore by mentioning it, but I don't have many other friends who I feel comfortable sharing with.</t>
  </si>
  <si>
    <t>So, I'm 20 years old, legal age where I'm at is 21, I think I really fucked my body up last week overdoing it, and I'm going to urgent care today to hopefully get myself checked out physically and go to places to help me quit. So, I'm making this to ask, does anybody know if I go to a doctor, tell them I need help and have been underage and drinking, can they get me in trouble with the law for that?.. Another thing I might add I live in CA U.S.</t>
  </si>
  <si>
    <t>I’ll start off by saying I used to drink a bottle of tequila every night for a long time. Tequila was my poison, but I’d take vodka in a pinch. This was back when I was living with my abusive parents, over 2 years ago. Since then, I’ve completely changed my life: moved to Australia, married to my best friend, finally got diagnosed with endometriosis, etc. Things were perfect until my BIL started acting hostile (he’s not physically/bodily violent but verbally and emotionally he is very violent) towards me, as of about 6 months ago. My parent-in-laws assure me I’m making it up but I’m not. My husband sees it too but with the situation we’re in currently (recovering from covid that got passed to us from a family member) we haven't been able to get jobs and safely move out. And because of this unsafe feeling and constant anger towards me I’ve really wanted to drink again. There’s a bottle of wine in the pantry. There’s a bottle shop within walking distance. I can feel myself spiraling down even though I haven't relapsed yet. I say yet because it’s a possibility, I hope I’ll be able to hang on until I can actively do something to better my situation but it’s still a possibility. Furthermore, I don't have many people I can talk to about this outside my husband and I feel like the poor man deserves a break from my emotional whirlwind. We’re both having a terribly hard time but only one of us is a recovering alcoholic. I don't want ruin 2 years of progress, I really don't, but I am struggling.</t>
  </si>
  <si>
    <t>After struggling to quit for a few years (stage 4 yay!) I have FINALLY made it to 30 days sober! The cravings still happen and there's no shortage of reminders in society, but I finally feel like I have some semblance of control now! Perfect timing, too. My wife's grandma is in ICU, and she's probably not going to come out of it, so I'll actually be able to be present and here for her. Somehow she stuck through it with me. She always had faith in me and supported me to the best of her ability. My brother lives with us too, and he's 6 months sober in NA, so our whole house is sober now. He even gave me his 30-day chip when I hit 30 days. I don't go to NA or AA or anything, but I've been to meetings before so I know how much it means. I hadn't really talked about this with anyone IRL, so I just wanted to get it off my chest. Good luck everyone! If anyone out there feels like it's an impossible task, take it from me: it's not impossible, just VERY difficult. But possible. And SO worth it.</t>
  </si>
  <si>
    <t>Just as the title says, I have been waiting 6 months to get in. I have actually maintained my sobriety just because I made a huge commitment to stay sober. And I know how to do that because I've done it many times before. I just would always go back and then binge-drink for a few weeks. So I stay sober from anywhere between 2 and 11 months, and then I binge for a week or 3. That's my m.o. I am trying to break that cycle. It's hard, I wish those guys would bring me in, but Covid has the wait times being astronomical, well that might be a bit of an overstatement haha They're making me wait! There making everybody wait! It sucks lol I get it, covid, reduced beds, long wait times. It's basically going to be on vacation. I've been alone in my one bedroom for the past 9 months. Out on a work injury for a year. So I am trying to get into treatment before going back into work. I really hope I get in sometime soon. It's been really hard on my own. But readings, prayer, meditation, CBT, these are some of the tools I use to maintain equilibrium. So I am happy and I am doing alright. I would just really like to get into treatment haha. Home life is hard dude. Even when I am working I'm just not a wealthy guy. So now since I have been out of work for a while it's like I am feeling it. I have more than enough to get by. And I go and walk two times a day to a drop in for free food. For the exercise and to just keep myself afloat until I can get back to work. I do what I have to do right. But I am looking forward to being in there for a hot minute. Even if it is hard, which I am sure it will be in its own ways, It's going to be different, it will be fun and challenging in new ways. I hope I get in soon. They have a meeting on Zoom for the guys waiting to get in.</t>
  </si>
  <si>
    <t>Been drinking every day 10+ beers for about 5 years I’m still early 20s. I have this pain on left side that is like a jolt or aches for year and half everyday. Been to 2 doctors, and they did nothing say looked fine. It’s from left collarbone down to left nipple and over to armpit and downside. Anyone else had this? Maybe inflamed Smith below pushing up</t>
  </si>
  <si>
    <t>Well had a slight mental breakdown on the first day of tapering - more than usual and dialed the suicide helpline asking for help. I went into the hospital with a BAC of .522 (oops) and recovered quickly after a lot of Librium and Asian. Tapering sucks - I’m on a 5-day taper of Asian right now and it’s almost like being normal again. They wanted to keep me 5 days, but I was like screw this I think I’m good can I just get some Asian and go home? The nurse and doctor at first said no and I said well? I’m out. They ended up giving me the Asian to finish the taper.</t>
  </si>
  <si>
    <t>For context, I have schizoaffective disorder and CPTSD, plus other stuff. I was in rehab 11/15-12/7. not long enough, and now the rehab (The Ranch in TN, don't go there) is under investigation for client maltreatment. In Jan 2021 I had a traumatic event that broke the camel’s back, you may say, and it led to a spring and summer of job hopping and tearing apart friendships. In Nov, friendless and desperate, I went to rehab and was 34 days sober until Christmas. Since then, I’ve been drinking every day - first a couple beers at night and now I’m just getting obliterated, plus weed and pills. My parents are giving me a small amount of money a week until my dis*ability (hopefully) gets approved which could take almost a year. I’m drinking more than my ?allowance? As a 22-year-old can keep up. I am mentally unable to work due to the schizoaffective disorder and the lability of my moods and/or lucidity. I don't trust rehabs anymore. As someone with a chronic and debilitating disorder I don't see a point in not drinking and drugging myself into oblivion.</t>
  </si>
  <si>
    <t>I’m 23m, been drinking since I was 16-17. I don't drink daily, maybe 3–4 times a month. But I drink a lot, and when I say a lot I mean the last time I drank I had an entire fifth in one night. I don't like drinking this much, it makes me feel awful, and every time I do it I feel regret, anxiety etc. Especially because I can do some really embarrassing things when I drink that much. But I’m having trouble getting over the initial hurdle of quitting. After about maybe a week or more, I just kind of lose all interest in quitting and I start planning out when I’m going to have my next little binge. I’ve been dealing with this for about 2 years now and it’s incredibly frustrating. It’s been 3-4 days and I’m still doing good, but I just have a feeling that in a week or so I’ll get it in my head that I don't really WANT to quit, and I’ll drink again.</t>
  </si>
  <si>
    <t>I am in such bad shape. I am so embarrassed, yet I do not make a change. PLEASE, how do I get past that 3:30pm habitual stop at the bar for a few drinks? I hate this life and rather fight for a resolution than drop-dead from ignorance.</t>
  </si>
  <si>
    <t>I apologize if it's the wrong Subreddit to put it in, but I feel like this is where people may most empathize with what I feel. If anyone watches and understands what I'm saying, almost the entire world has agreed unanimously that the main character is just the worst piece of shit, and she has ruined the entire town and the surrounding relationships. I don't know if anyone is interested if you don't watch the show, but I can give a TLDR without spoilers, but I'm just so curious; the main character has a drug addiction and has loving/supportive family and friends but has relapsed and lashed out upon (a pretty brutal, might I add) confrontation. Most of the peers I've talked to about this particular episode have not (at least that I know of) had any sort of substance abuse issues. But she has an addiction.it's obviously dramatized for TV, but I know the struggle and that it's not entirely far off. I think it's even more eye-opening that I feel nothing but empathy for her.</t>
  </si>
  <si>
    <t>I (F23) have a partner (M23) who has suffered since adolescence with alcoholism. He comes from a dysfunctional family with a father who’s also an alcoholic and not particularly good for him to live with. We met last year and he more or less came over and never left, so lives with my mother and I. He is the most amazing person I’ve ever known, and he completes me in so many ways. We love him so much. Now, not to be one of those who make someone else’s suffering about themselves, but it’s worth noting that my father passed away last year due to pancreatic cancer induced by alcoholism. I hate myself every single day for not doing enough to stop him getting sick, and there is no way I am going to allow the man I want to spend the rest of my life with succumb to the same thing. Let me stress, I want him to get better ultimately for himself, but also for us to have the happy life we both deserve, together.</t>
  </si>
  <si>
    <t>As the title says really - I stop for a few days and find my mood difficult to deal with; I am going through a lot in my life right now (divorcing, and the ex isn't playing fair to say the least) but I notice that I get to Tuesday and start stressing out. I am Effie furious (for no specific reason) right now and want to lash out, and I know that a few drinks will sort that out. At the moment, I’m just trying to get my drinking down to weekends and reasonably moderate. Current habits are wine (1-2 bottles on an evening) plus the odd whisky. Had a glass and a half on Sunday, nothing yesterday.</t>
  </si>
  <si>
    <t>My dads been an alcoholic for like 30 years, he is pretty functional, he usually doesn't get blackout drunk or at least i don't see that, but he does drink every single day and when he doesn't he shakes a lot. Soon I'm going to have a surgery done in a city that's a 5-hour drive from mine, he said he would come and get me from the hospital (its kind of the only chance I have to get home anyway) but I'm scared because he can't drink if he decides to drive, and it's a long way, and sometimes when I'm with him in the car for half an hour I see his hands and I fear for my life, i don't want to die in a car accident because he gets a seizure in the middle of driving. Is there anything that he could take to prevent that? He would never ever go to a hospital to detox safely</t>
  </si>
  <si>
    <t>If I cut cold turkey the day after I have a fun time weekend binge, and what I mean is more than normal weekends, I sometimes hear things when I'm trying to sleep, like once I thought I heard my work van sliding door close thinking someone was stealing shit but no one was there, another was someone banged the front door once, again no one there. That's as far as any kind of hallucinations go, just audible in the first stages of sleep but nothing else if I go all day awake. I really just do it each night as a sleep aid but a stupid one. Melatonin doesn't work and nothing else seems to work. Would you think tapering off should work or would I need help? I don't think what I'm experiencing would classify as DT, but as I'm writing this, I am doing my bedtime shots to get some sleep from last weekend but I can tell my body is like ?cut the shit?. If i don't do this tonight I know I would definitely hear shit because last 2 days were drinking quite a bit and relaxing after the last 3 stressful months of moving into a new house fixing a flooding room and remodeling a new room because if flooding, and doing it with this shitty market and almost going homeless because of the markets. The past few months have taken a toll but I just hope I'm not too far down the rabbit hole and I can nip this in the bud without taking off work for something a lot of people would frown upon. I would like some input from everyone what It's like to slowly self taper off, or the ones that needed help and had to me monitored for safety. I think I have now hit the point where I need to turn it around and will appreciate anyone's input.</t>
  </si>
  <si>
    <t>When I was still drinking I used to use marijuana to be able to stop drinking when I felt like I want to get blackout drunk and I knew I couldn't cos I have work the day after or whatever I used to light up a joint, and it would almost always make my craving for more booze go away, and it would make the hangover significantly better the next day. Also, I was using weed to help withdrawals and hangovers it would either make me fall asleep or just make the nausea go away. I’ve been sober since one year and eight months and I’m finding it really hard to quit smoking, for eight months of my sobriety I didn't smoke cos I didn't have the chance, and now I don't have the chance again, I feel like I’m struggling a bit without it Have you guys used weed similarly through your sober journey</t>
  </si>
  <si>
    <t>My wife and I have been through hell and back. We have 2 kids and almost lost a place to live due to being scammed by a construction company who took our money and did not build our house. The truth is, that even before that, my wife started having regular wine consumption every single day (a bottle a day) since my daughters birth. Since then, we had another kid and with all the issues we had, it got worse and worse. She did not have an easy life and god knows I've been supportive but every single day she drinks 1 to 2 bottles of wine and it's a rollercoaster of discussions. This is not healthy, for her, for me and more importantly for our kids. I have talked about this but for her, it always comes down to the fact that she is not the issue. All of my family have noticed, previous social encounters ended up with her completely intoxicated and with us arguing for hours and still I'm the issue just due to simple fact that I mentioned her state of mind. I feel completely trapped and powerless to change anything at this stage. She had a psychiatrist who she was consulting, but she only shares what she wants to share with the psychiatrist and for her alcohol is not an issue. I've read countless articles which pretty much states that she needs to hit rock bottom and have a wake-up call so that she seeks help. My fear is that her rock bottom might end up dragging for too long or having huge consequences for me and for my kids. Any tips, advices are pretty much welcomed....</t>
  </si>
  <si>
    <t>So, I'm 17, and have recently realized I might have somewhat of an alcohol problem. Long story short, a few months back, I felt like utter shit, and drank some alcohol my aunt had in her fridge....and was super happy afterward. Repeated the next day. Then, I took a break, but after a week or so I did it again, this time 3 days in a row, one being a night where I was close to drinking mouthwash to get more drunk. Which scares me a little bit. My biggest concern though, is that I seem to turn to almost, now. If I'm sad, angry, numb, want to feel happier...literally anything, I turn to alcohol. My parents don't drink much though, so I haven't been able to as of late. The reason I question whether it's really an issue or not though, is because there have been times I've been able to control myself. I constantly think about it, but I can control what I do with those thoughts at least some of the time.</t>
  </si>
  <si>
    <t>Anyone in this age group that’s been sober for 20+ years that look back with any regret? Conversely (talking to the Mick Jagger types) any of you still boozing your face off and living with regret? (35m) I’ve made the decision to quit booze. Just can't have it in my life and be a good husband and father anymore. But I often think about whether I’ll look back with any regret after hitting 25+ years sober thinking ?damn, I should have partied more?. Kind of a silly question to ask, but I’m just curious what may come from this age group - knowing that I’ll be there relatively soon.</t>
  </si>
  <si>
    <t>I’m currently on day 6 of sobriety after about two months of getting drunk 4/7 days a week. I’ve noticed that falling asleep, being excited, and being calm feel like being drunk like to me? Probably because I was trying to achieve those states by drinking. My mood has also improved and I’m having less depressive thoughts. I’ve also found that even though I find myself wanting to drink, the thought is pretty fleeting. After about day 3 that urge to drink got smaller and smaller. In the first few days I also had muscle pain in my legs and back along with GI problems, has anyone else experienced that? I have more hope this time, I decided to take a gap year after college and I’m in classes that I love. Just shows to go how addiction is a side effect of your problems and not the cause</t>
  </si>
  <si>
    <t>I lost my big brother. I'm not at all sure why I'm writing this. But maybe it helps some people, or maybe it might help myself. He was 44 years old. His liver failed, his organs failed and his brain failed. In his final months he omitted blood, he was in and out of hospital. They'd pumped 8L of fluid from his abdomen. I thought he would bounce back. I thought he would recover. 44 years old and his skin and eyes were yellow. He had been in hospital before, and the Dr's had said it was touch and go. I'd talk to him a week later and her be normal, then talk to him an hour later, and he'd be raving like a lunatic. I'd wished him to die a dozen times. He was a burden, a financial, mental and time burden. I regret it all. I'd chased him around for days, I had him locked up. Furthermore, I'd had a breakdown dealing with his episodes. We found bottles hidden amongst the place, even in his pillow case - 31 at last count. I don't know what we could have done to help. I know I could have done more, but after many years I was tired of dealing - everyone was. His ashes were scattered today. I can't believe it ended up like this, that things got so bad.</t>
  </si>
  <si>
    <t>I can't seem to find an answer if Medicare covers rehab. My dad is on Medicare and desperately needs help with getting off of alcohol. He is ready for it so he says. He is on Medicare and has Aetna as supplemental insurance. They live in the Olympia, WA area if anyone knows of a facility that provides great care.</t>
  </si>
  <si>
    <t>This is all new for me, so I apologize in advance if I word something wrong. My boyfriend is an alcoholic (I think), but usually how it happens is he binge-drinks terrible, like multiple liters. And it’s when he’s feeling really down. I think part of the issue maybe he isn't good at talking about his feelings, doesn't open up, keeps things in, holds and harbors grudges and anger, but I don't really know because I’m not inside his brain. Since we’ve been together it’s happened twice. I’ve read that you can be a binge drinker and not be an alcoholic, and you can also be a binge drinker who is an alcoholic, so I have no idea how serious it is. He’s been sober for 157 days and trying to get into rehab. It’s not happening. Partly because the pandemic means limited capacity AND less practitioners. Both our families think he’ll wait forever to get into rehab and none of us know what to do. Could he be okay with just therapy, or therapy and AA? What options are there if he can't get into rehab, Is rehab necessary? We are all lost as to where to go. Has anyone else had this happen/how have any of you succeeded in staying sober without rehab, and how can I help him?</t>
  </si>
  <si>
    <t>My sister hasn't answered her phone since last Wednesday. I work with her at a Law Office and before that, when I was on my shift, I noticed she looked like she had been drinking before work or something, because at work she was already drunk. I can tell when she’s been drinking, she doesn't have to be drunk for me to know she’s been drinking. Well now, she hasn't shown up to work since Wednesday, and she hasn't answered her phone neither. I got worried and I called her girlfriend. Her GF told me that she has been in bed since Wednesday, drinking, not showering, bad hygiene. Her eyes look like they have a film, her skin color is not the same, and she looks bloated from the face and stomach. And that she has been getting food delivered to the house. I’ve always known that her GF is an enabler, I’ve always know that. But I can't force them apart from each other. I’m on my way this morning to go visit her, I don't know what to expect. But I want to help. I did AA for 8–9 months twice a week. I feel like a hypocrite because I do have craft beers on the weekend (never during the week), but I never get drunk. Furthermore, I don't drink enough to get drunk. I’ll drink like 4 -6 beers max on a weekend. Furthermore, I feel like a hypocrite giving my sister advice, or helping her. She’s even made me feel as such with certain things she’s told me. So I know how she feels about my advice, though I don't even drink in front of her. I’m 32 y/o, my sister is 38. Can I have some advice ? I’m on my way to visit her right now. I love her, I want her to be better, but I know you can't force people to be sober. What should I expect visiting her ? I’m scared, I don't know how to handle the situation. I want her to change, but I can't force her to.</t>
  </si>
  <si>
    <t>I'm a little over 2 weeks sober and am I having a lot of trouble dealing with the boredom. I'm 26 and live in a small town with drinking being one of the few things to do. Furthermore, I'm getting into drawing again, but it's not something I want to do all the time. Furthermore, I tried gaming again, but there's nothing there that piques my interest. What have you guys done to help keep your mind preoccupied? Edit: Thank you everyone for the kind words and advice. I definitely have some ideas for new things to try out that will help keep my mind preoccupied and will try to attend some AA meetings. Thank you again for taking time out of your day to help me out.</t>
  </si>
  <si>
    <t>I'm 22, and I've never done any drug in my life til last week, when I bought a 6 pack of spiked juice after my psych appointment. I was going to a party the next day, so I wanted to see my tolerance, since the day before I went to a party -- fully sober and all -- and it was awful. Drinking 2 cans alone did nothing except make me dizzy. The next day during the party I drank more, and eventually it became amazing!! I was talking so much and having a great time. I have severe social anxiety disorder which I take meds for, and although I felt nervous still, it was like the non-obsessive benefits of my meds + easing up on my self-control from ALC made me feel so much better. Furthermore, I feel like my true, normal self when I'm drunk. Seriously, everyone was saying I am a happy and fun drunk -- in sharp contrast to my usual serious, shy self -- and I felt it too. I've been drinking every day since then, but not to the point of getting as drunk as I did during the party. I took just 1 day off. Before I took the day off, I went to work, met with my boss and did a job interview all while kinda tipsy. I think all those things went way better than they would have if I was sober. But I still felt bad because I know it's not good to do those things while drinking. I also didn't get any hangovers or other side effects besides dizziness when I'm drunk or tipsy. But I'm vision impaired, so I'm always kinda dizzy and knocking things around. I know I should probably stop, so I'm scheduling extra time with my psychiatrist to talk about this. Alcoholism runs in my family, and my grandmother is homeless because of it. But I love the feeling, and I have always been so depressed and shy my whole life. Therapy hasn't worked much, and the meds only help with some parts of my anxiety. The rest really feels like some kind of deficiency in my brain, like I have too much self-restraint or something which leads to extreme avoidance. Are there any alternatives to alcohol, or how can I drink in a healthy way? I don't really have any friends and no one to talk to besides my psych. I heard Bezos give a similar effect, and I could probably get them since I already have horrible anxiety. But honestly any advice would help since I've been feeling like I reached a "high" that I can't ever get back to unless I drink again.</t>
  </si>
  <si>
    <t>This is my throwaway account bc my BF knows my true Reddit account. I know he enjoys drinking and I’ve known that since we met. I just feel like things have gotten out of control. Furthermore, I came home on Wednesday evening (Feb. 2) and realized he made a drizzly purchase (he doesn't have a car bc he got into a car accident). The order was delivered at 4 pm, and it was three vodka bottles (1.75 L). I didn't say anything bc I was tired from the day. As of right now, he has finished two of those bottles. We also went to dinner, and he had multiple drinks at the restaurant. I think things have gotten out of control and I don't know how to bring it up. He says some nasty stuff when he gets intoxicated and is not enjoyable to be around. We just bought a house in December, so most of my savings are low. What can I do or say to help him?</t>
  </si>
  <si>
    <t>I'm a 23-year-old college student that started very poor but over the years my parents were able to make it into the middle class. Not necessarily rich but to the point where me and my 2 siblings did not need anything. I am currently in school for industrial engineering (started at 21. Skipped college after high school) but lately, i?VE grown a mindset that confuses and angers me at the same time. During the week (Sunday night through Thursday night) I will not drink, at all. Because I want to be perfectly fine for my classes the next day without having a hangover. But once classes are over on Friday, I feel the strong urge to just get fucked up! I literally feel that if I go a weekend without getting drunk, it was a waste of a weekend and a waste of a hard week of work. Please help, are these symptoms of an alcoholic? Should I seek help? I want to be better guys.</t>
  </si>
  <si>
    <t>Is there anything I can do about it? It comes in pretty bad waves. When it gets too bad I drink a small amount of alcohol and it goes away. I went from a 1.75 liter a day down to just a few shots and mainly for the physical reasons. I'm trying really hard to get to 0 alcohol just wondering if this is normal or not.</t>
  </si>
  <si>
    <t>A good friend of our family, age 60, has been sober for about a year. He was hospitalized recently for a non-alcohol related illness. In addition, he stopped taking his anti-depressants. He was released two days ago and is drinking again. Does anyone know how long it takes the body to become physically dependent on alcohol making medically assisted detox necessary?</t>
  </si>
  <si>
    <t>I’m a 24-year-old alcoholic. I’m struggling right now. I’ve been hospitalized twice for withdrawal in 2021 and was in a detox treatment program during the middle of this past January. Furthermore, I love my family, my friends, and my job. No one is aware that I am struggling with alcohol addiction besides my parents and a close friend. But every time I let them down, it hurts worse than the previous time. Even thinking about the horrible withdrawal symptoms, the shakes/sweating/vomiting, I still always want to turn back to drinking. I feel like I like myself as a person more when I’m intoxicated. I feel so much more confident and happy. Furthermore, I feel like I’m a better person?until the constant drinking catches up with me and my body rejects everything besides the alcohol. My issue is that I still want to be drunk, lol even knowing the fact that I know I need to stop, I know I’m only hurting myself, and I know that things will get much worse if I continue to drink. But why is it so hard even after suffering through all the consequences? Sorry for venting, I’ve never posted on this topic before, but I was hoping someone could give me some advice to deal with cravings or just tell me something they think might help me out.</t>
  </si>
  <si>
    <t>My girlfriend is a very casual drinker. She gets drunk maybe one every 2 or 3 months and rarely ever has a drink outside of that, but she's also very small and has a low tolerance. About 6 months ago she went out with a group of friends and got black out drunk. Her friends estimate she had between 10 and 20 drinks, and we're surprised she didn't have alcohol poisoning that night. Ever since then, anytime she gets drunk or high (Marijuana) she experiences tingling in her hands and feet, and they go numb. Usually this lasts for a day and then wears off, but something different is happening. We got high a few nights ago (VERY small amount of Marijuana. We rarely drink or smoke) and the numbness is way worse. She is relatively numb and experiencing the tingling you get when your arm or foot falls asleep, but across her entire body. We're on day 3 now, and she says it's getting way worse. Yesterday it was just hands and feet. Now it's everywhere. Everything we've read online makes it sound like neuropathy, but we can't figure out how it would have happened. She only experiences it when she gets drunk or high. Is alcoholic neuropathy something that happens over time? Or could her one night of extreme drunkenness have caused this?</t>
  </si>
  <si>
    <t>I found out my mom was an alcoholic last may. she’s been my best friend my entire life. Recently though, she is distant and goes days without responding to me. Since last may, she has gone to AA almost every night. Last month, she ended up in detox which the doctor said was probably a cry for help. Now she is in an extensive outpatient program which has lasted for around two weeks now. She went radio silence on me this weekend (my dad told me she just had the stomach flu) but she just responded that she had actually drank and is now very sick. I feel like I am the only one in my family who is scared and wants to support her. My dad usually gets angry at her/doesn't want the whole family to know because he is embarrassed. I'm pretty angry he lied to me about her drinking. anyway, I guess I am mostly looking for some reassurance that she can beat this. She WANTS to get better. But despite being in AA and an extensive outpatient program, she continues to drink.</t>
  </si>
  <si>
    <t>So, I have been drinking pretty heavily for the last couple of years. I took a month off at the beginning of 2021. My withdrawals were worse than I expected. After that month ended, I went right back at it.?? Fast-forward to this past week. I decided that, instead of going cold turkey, I would taper off to one drink a day for a week or so. Today marks day 5. The first three days, I was pleasantly surprised that I didn't feel badly. I went to the gym. Didn't feel super anxious. No dizziness/sweaty nights/add add. Yesterday, I felt dizzy, lots of head pressure, body soreness. I took my temp, and it was 100.7. I don't have a fever today, but I have NO appetite and I still feel slightly dizzy and off. Could this be withdrawals? Maybe I just happened to get the flu or something right as I was starting my path to sobriety? It's very frustrating.</t>
  </si>
  <si>
    <t>I’m 23 and have had a drinking problem since I was 18. Although I did well in college, I spent most of my days drinking alone in my room. This stemmed from the fact that I felt like I couldn't relate to the people around me. Regardless, I’ve been out of college for almost a year now, and it keeps getting worse. I alternate between binges and bouts of sobriety. Over the past year for instance, I did a month sober, two months sober, and then another month sober. In between this I was on a binge the rest of the time. Every time I become sober, a ?friend? (I have a lot of bad influences in my life) convinces me that it will be okay to drink again, despite me describing to them countless times how much of a negative impact alcohol has had on my life. This one night out always turns into me two months later not being able to go to sleep unless I drink 7 or 8 beers. In the past I’ve always reached a low point which motivated me enough to stop, albeit with really intense anxiety and confusion for a couple of days, but it’s only getting harder and harder each time. I can just see myself really going off the deep end unless I quit forever. I only drink at nighttime, and on my current binge I’ve consumed around 8 beers every night for the past three weeks (I’ve drank a 12 pack the last three nights though). Furthermore, I need to figure my life out and this is the age to do it. The drinking has been getting in the way big time, and I know I absolutely need to stop if I don't want to end up a complete mess later in life. I just can't handle alcohol. I have a few questions for you. How much of a risk do I have for serious withdrawals requiring medical attention? (I’ve only been drinking for three weeks on this binge and was sober for a month before it started, but the horror stories online scare the living daylights out of me) What do you recommend I do to prevent myself from convincing myself I can drink and relapsing again? (I can never make it more than a month or two) What should I do about my friends (who are also alcoholics but won't admit it to themselves)?</t>
  </si>
  <si>
    <t>I wish I was never friends with this individual Ok to make a long story short when I was 23 I lost my best friend and sister to cancer. I struggled with life for a bit. Furthermore, I met a friend S who was a few years older than me but had no job. Furthermore, I tried to be a good friend and took her to several job interviews. My friend S had a problem with alcohol. I was in the middle of grieving so for a while I turned to hard core partying with her. I had never been a badass and was always a rule follower. Quickly I realized I turned into a massive AH. Fortunately the turning point was when I received a job offer in the legal field. My lifestyle had to stop. I turned my life around and stopped binge-drinking. My friend S ended up getting into drugs and even stole my prescription meds. That was the final straw of our friendship. Over the years, S has tried to get me to be friends with her again. I refused. In my hometown where S lives we have a community page. I have moved away. The other night I posted about a very bad accident. Underneath the comments section was S’s mom saying I needed to quit judging people and that I’m on a high horse. She then went on to say I have ruined her daughters' life. I have not had any contact with S besides these FB messages that occur every couple of years. I also after the comment was made I received a message from her mom saying to quit being an asshole. Of course this got people in the community talking, so I responded to S mom that I was friends with her daughter in 2010, don't have a high horse and am not perfect. Then blocked S mom and made sure daughter was blocked as well. People in the community have sided with me saying that S mom was wrong for bringing that up on a community page. I feel for S and I wish she would get help. Since friendship ended she has gotten her 8th DUI and she even a charge of endangering children. I’m a different person now. After getting these messages it made me want to move even farther away from my hometown and old life.</t>
  </si>
  <si>
    <t>I am in my early twenties, and I would consider myself a heavy drinker. I am a bit worried about the health of my liver, so I was wondering if I should get a blood test to check my liver? Furthermore, I don't think there are any obvious signs that my liver is damaged, but better safe than sorry.</t>
  </si>
  <si>
    <t>I’ve been an alcoholic for over ten years now, but I toned it down a lot. In my early 20’s I was blacked out all day and drunk at work. These days I go to work sober and drink after and from morning to night on the weekends. Last night I drank a lot more than normal after my girlfriend went to bed. Today I was sober, and we went with my girlfriends parents on a day trip. While we were walking to a restaurant I just randomly passed out and fell on rocks and really hurt myself. The pain was so bad I kept falling over even after I came to. I’m just trying to understand what’s going on. I’ve never done anything like this before.</t>
  </si>
  <si>
    <t>I discovered my girlfriend has been cheating on me, and it sent me into quite an ugly relapse where I can't really remember the last two weeks. Anyway I've had a noise complaint after a drunken shouting war on the phone with her. Either way I'm confident I'll stay sober now because I can't take another year of this</t>
  </si>
  <si>
    <t>I hope that everyone is doing OK... I was thinking about my triggers to use... it's emotions... Furthermore, I don't deal well with the tough stuff on an interpersonal level... Furthermore, I think that the pandemic has amplified it too... loneliness, isolation... stuff like that. Furthermore, I live alone and work from home, so I am alone. Furthermore, I also don't have a good relationship with my family. Furthermore, I'm working on it. Determined to go back to AA meetings right away, on wait lists to see a therapist, fixing some meds with my psych doc, so. I'm taking care of business.</t>
  </si>
  <si>
    <t>I start drinking in the evening and most of the time it ends okay. I wake up in the morning still feeling like a looser, but I at least didn't down an entire bottle of vodka. But any time I get on the phone with someone at night (which is why I try not to talk to people at night) or when my sibling comes to stay the night, I just end up taking it to an extreme level. Always, always end up blacked out and even before I really wake up I know immediately I’ve fucked up so badly, feeling the crushing effects of hangover and extreme anxiety about what stupid shit I even said or did. It’s literally the worst feeling ever. Ever. Yet I still keep doing this shit. If I talk to people during the day I end up shaking, sweating, feeling so much anxiety. So a lot of times I just never answer my phone and everyone always complains that I’m ?the hardest person to get in touch with?. Well what they don't know is I avoid them because it stresses me out, and I don't know why. I have a lot of resentment towards cell phones. I don't want one anymore. I’m so sick and tired of people expecting that I should answer just because they called, and they are getting mad. I’m sick of being tied to this device. Furthermore, I wish I could go back to the days of landlines where it was not expected people would answer, and we just had answering machines for that reason. People didn't generally get pissed when they didn't get in touch with you. Now days it’s like because I have a cell phone people think I’m looking at my phone 24/7 and ignoring their call on purpose. That’s not true I’ve tried to make an effort to be off my phone, and sometimes I lose track of where my phone is even at. But yes, there are times I see someone calls and I don't answer it because I’m not in the mindset to talk. Anyway, the time will come where I see someone calling in the evening and I know I’ve not responded enough, and I feel pressured to answer, so I do. I answer or call them back, and I start drinking right away. And then no matter if the conversation is good or bad, I keep knocking back the shots. To an extreme degree that I don't do when I’m not talking to people. It’s like I can't have a conversation and be normal, or not stressed, unless I’m drinking. But then I take it too far. So then when I wake up the next day, the entire day I’m cringing and freaking out about the stuff I remember, and panicking about what I possibly did that I don't remember, hiding from my phone, logging out of my social media because I’m terrified about what stupid shit I’ve said, and I can't even face it. I can't even stomach to see notifications. It’s crazy. Like why?. How is it I can go through that all day and then when 7pm hits, I’m back to drinking again. Thinking I can somehow only have one or two drinks when that’s never going to happen. I really, really hate myself. It won't be long before everyone I’ve ever known and a bunch of people I don't know hate me just as much. Obviously there’s no good answer here other than getting clean which I feel is absolutely impossible at this point. By the end of the day I’m so extremely stressed out and feeling pain in my body it feels impossible not to drink to make it all stop. But I also get so pissed off at myself that I can go through so much torment all day about what I did while drinking then just go and do it again and again and again. So stupid.</t>
  </si>
  <si>
    <t>I was fine today, and then I read a post about someone else who was struggling (and it wasn't even in this sub, it was in the Ask Reddit sub and the topic wasn't even about alcohol) and I just lost control. I haven't had anything yet, but I am having a REALLY hard time not blowing the rest of this day to shit. My hearts beating fast I'm like fighting myself. Just, the struggle is real. I'm trying to forgive myself in advance and I just can't.</t>
  </si>
  <si>
    <t>’m 31. Been an alcoholic for 13 years. I’ve decided to quit. I am currently 6 days in. Furthermore, I feel I’ve gotten over any initial withdrawal symptoms. However, my issue at the moment is the ritual nature of the habit. I used to have a very set regime. I’d be at work 8-7 most days. I’d never drink at work or whilst working from home during working hours. However, I would then drink on the way home and for the rest of the evening. Life was literally split in two. I’m finding that period between leaving work and getting home/ eating dinner the hardest. I’m just getting the constant feeling of wanting a beer. I haven't succumbed yet but just wondering if there are any tips to take your mind off it. I’ve so far avoided the gym as I used to basically drink on the way home after. However once I feel I can trust myself more I may return. In my mind I have the reference of quitting smoking. I quit a few years ago. I found then that the initial pain of quitting was far worse than what I’ve experienced with alcohol. However, after 2–3 weeks that nagging feeling of habit and wanting that cigarette eventually went away, and I just naturally stopped thinking about it. So I’m wondering 1. Any tips on how to get over the pangs and 2. Does it go away over time. Realize that’s a somewhat facetious way to express this, but I can only frame it in the context of my experience with smoking!</t>
  </si>
  <si>
    <t>He's been an alcoholic for as long as I can remember. Last spring it got really bad and my family and I put him in rehab under Section 35 (Massachusetts). I thought that might've been the last straw and he'd stop drinking. There was hope for a short time. But nothing has changed. He won't go to AA meetings and he won't see a therapist. He says constantly that he wants to stop drinking that he's "tired of living like this." But he won't put in the work. I'm just so done and tired. Part of me wants to keep pushing him to get help. The other part of me wants to cut my losses and get out of his life. For good. Never talk to him again. I'm just really depressed over this and I don't know what to do.</t>
  </si>
  <si>
    <t>First, this group has helped a ton in the first few weeks since quitting drinking so thank you! I'm over 3 weeks now but the only thing that is strange is my loss of appetite. I eat maybe once a day unless I force myself. Furthermore, I'm just not hungry. Has anyone else experienced this?</t>
  </si>
  <si>
    <t>First, this sub looks like an amazing group of people. I love when Reddit is a community of friends and supporters for what's more or less strangers on the Internet. My story Been a casual drinker all my adult life, but since COVID I find I have 2–4 drinks every day. Lately, that's turned into sipping an oz of rum when I start work at 6-7 am because I feel withdrawal in my head. I'll have another couple oz in the afternoon; sometimes it doesn't abate the feeling. I do not binge-drink ever, rarely get drunk and silly -- just 2–4 drinks, 365 days a year. Maybe I used to drink to mask depression, but right now I drink for the same reason smokers take cig breaks.</t>
  </si>
  <si>
    <t>Broke up year ago with soulmate shit happens alcohol is my only friend even I'm sober for week I feel empty inside guess what half liter of vodka of beer my mom hate me for that and she's most beautiful person u can ever wish have as mom my siblings lost hope in me, they think I take drugs even I had weed one time in my life...I have dreams with ex thoughts with her and just random mood swings that I can't handle I'm already dead just hope I can give as my friends love me happiness to their life for some short time...I hope I'm going to make it but i don't think so...and that come from guy from army, football and many shit i don't care who I am anymore</t>
  </si>
  <si>
    <t>So now I'm on 2 strait weeks of doing the exact same thing. I'm off Thursday and Friday. Last week I started drinking Wednesday night and drank three nights in a row. Saturday came, I was late for work and I suffered for a little bit before asking to go home. So fast-forward I recovered pretty quickly but was in massive pain for the first night. Now this week, I do that exact same thing but stopped yesterday because I couldn't drink because I was just throwing it back up. I don't understand how two days of heavy drinking can do this to me. Anxiety is bad, chills and sweats and I have to suffer through work. I don't have the option to not work. I have a cushy sales job so I can just lie low most the day. My challenge is not to yap to my coworkers to keep my anxiety down. I'm done. I listened to an AA meeting last night for the first time. Furthermore, I didn't stay the whole time, but I'm getting on a program. Furthermore, I can't keep my life together like this. My issue is I cycle. I drink for a few days, sober up and rinse cycle repeat. It's destroying my mental health. I'm not having any bad thoughts, I just want to feel better. I poured all the booze out when I went for the power aid.</t>
  </si>
  <si>
    <t>I'm at 30 days today, and honestly it has been a walk in the park. I used to drink a lot every day, I was up to ca. 135 drinks a week, which is 100 drinks a week more than at least one diagnostic guideline for alcoholism that I was given. Furthermore, I did decrease my daily amount before quitting completely, though, but I was still getting fully drunk every day before quitting. Furthermore, I've had almost no cravings, I've lost noticeable weight (I've also worked out a lot), I've saved hundreds of dollars, and I feel way better now that I'm not constantly a little bit nauseated. Just in case anyone is thinking about quitting or taking a break but isn't sure they can do it, it doesn't have to be tortured. I've been pleasantly surprised by how easy it has been. I had like one rough day, the rest have been kinda boring, but not very hard. Furthermore, I think it has been easier for me because I haven't committed to never touching alcohol again for the rest of my life. When I think about doing that, I kinda panic, so I benefit from a more casual attitude. Booze wasn't causing any huge problems for me, other than overall shitty health and empty wallet (but I have very few expenses so that wasn't really an issue), I just decided to take a substantial break (at least 3 months) because my relationship with drinking had become unhealthy. I expect to get to a point where I can have a healthy relationship with drinking again. However, if I find out that I'm incapable of that, it's nice to know that I can do sobriety without suffering. Also, I still smoke weed, which helps.</t>
  </si>
  <si>
    <t>Alright so this just happened like 30 min ago, it's 01:25am, I'm just playing with the cat on the floor but also half in the hallway, my mom gets out of her room to go to the bathroom. So my room is right after the bathroom, and she comes up to me crouched down, playing with the cat and says let me go to the bathroom, I ask her what? She says let me go to the bathroom, move out of the way, and she starts pulling on my wardrobe dresser thing, she pulls off her nail and then gets angry at me kind of yelling are you kidding me? And my dad is right in the next room, and he woke up to that and obviously going to confront my mom in the morning about that which I'm still a little scared about because just now I can hear him muttering stupid cow, why is she screaming shit like that. Makes me really anxious and scared. Anyway I tell her the bathroom is over there and then try to lead her towards it, she pulls back at first but then goes in, uses the toilet and comes back out to my room to the exact spot again and says let me in the bathroom again. I tell her you already used it she then gets angry again and starts yelling, goes into her room and now is probably sleeping. I guess I kinda needed to type this out because I got really scared I haven't seen her like that, oh it was her birthday today too, and I think she only drank a couple of beers and now my dad is going to make her feel bad in the morning too which I'm anxious about, they've had lots of fights in the past. Sorry if this is rule breaking, I just needed to tell this to someone.</t>
  </si>
  <si>
    <t>I've cut my alcohol intake in half since we met (approximately 50 units a week now), I end up in an argument with her every time I drink to excess, and I hate myself for it, because it's usually my fault. What's annoying me today is that she's threatening to leave me over a bottle of whiskey I'd supposedly "hidden" by putting it somewhere in plain sight, and she just hadn't noticed it until it was empty. I tried to explain that I bought it yesterday when we were both at the store, but she didn't see me buy it so she doesn't believe me.</t>
  </si>
  <si>
    <t>I have a family member in their mid-twenties that really struggles with alcohol, and I'm rapidly losing patience. He's already gone through one side of his family, and now it feels like he's making his way through ours. The cycle of starting over with him every few months is so frustrating! The thanks you she does offer up seem so hollow when he puts everyone through so much crap every few months, like a transparent effort to tell people what they want to hear/butter them up for his next ask. I try to remember that this is a disease, I swallow my anger and annoyance and try to offer up support and encouragement, especially because everyone else is getting to the end of their ropes, but I'm thinking of joining them at the end of my own. Sometimes I feel like I'm lying when I say "love you" back at the end of a phone call. How do I find a new reserve of patience to deal with him?</t>
  </si>
  <si>
    <t>Honestly it started off as me just saying I was an alcoholic as a joke. Always talking about its in my blood and I can out drink anyone. Well that's how it started then my cousin would get me booze and I started at like 15 mostly to impress this person I was seeing who was just cheating on the person they were with. I would drink on occasion, but I never really cared mostly because I'm an introvert an ID just stay at home all the time. Then my dad moved in for a month... I thought we would connect and it would turn things around, but I just saw how horrible he really is. Picking him up while he was stinking drunk an best friend was in the car really did a number on me. Later that year My godfather died from liver a kidney failure...alcohol didn't help, but I got the moonshine and so many other bottles. Eventually moved out a turned 21 so I could buy my own went to a few parties and would drink like a fish no hangovers just fun...my depression started to get worse after I moved to the big city. I'm such a mommas' boy that it was hard being that far away, and I was having issues with relationships. I was in such a bad place that when my own birthday came up I drank anything in sight did whatever drugs I could pay for a just really hoped I wouldn't wake up. The company I worked for went under. I lost my job which I ended up using some of the money for cases of booze or weed. I then moved in with my now ex. Thought it would be better, but my drinking increased I was now drinking almost every night. Not to get messed up but just a buzz. Well along with my cheating and other issues including drinking we broke up and I continued dating someone else. They called me out on my drinking, but I would brush it off. Saying that I have it under control and that I'm not an alcoholic, but we would go to events an ID bring booze a when we were at their place I'd bring booze. I kept saying that this is because I didn't have weed to smoke but once I got weed I still wanted a drink. Eventually with the issues I was already causing we decided it would be better if I didn't drink anymore because it was causing problems a cheating. This past November I started having health problems some bleeding and I got some work done well I was feeling fine and then in January when I hit my 1 year of sobriety I felt great...until the health problems came back...and I thought well if I'm just going to keep feeling this pain anyway I should just go back to drinking at least that way I'll die faster and nobody will have to worry. This caused a breakup to happen and I never take my breakup with them well. I've been drowning myself every weekend since then. At this point IDK if I even want the help I hate rehab with a passion a never want to admit that I have a problem. Honestly I just want the booze to kill me. My meds aren't working and I do not have the will to keep going. I don't care about myself enough to stop the only reason I ever stopped was for others because I kept thinking they would hate that I went out this way but after a while I just assumed everyone hates me so its easier this way</t>
  </si>
  <si>
    <t>So I worded the title that way on purpose, I was referencing Kevin from the Office’s line about few words doing the trick. Anyway, I’ve noticed that alcohol makes me think better thoughts when I’m tipsy or drunk, if that makes sense. Like throughout the day, I usually feel a sort of anger or dissatisfaction with my social life if that makes sense because I feel like my friends are too needy sometimes, and I have to avoid them. But when I’m drunk I view this as a positive and realize how good friends they actually are for dealing with my shit sometimes so I should be less angry towards them. This is not to say I ever show them that I’m annoyed, I put up a good front because I know good friends are hard to come by, and I feel bad for feeling the way I do. But fuck is it hard to feel anything but negative feelings towards them when I’m sober, like I wish I could just get away from everyone and everything for a few months. IDK if this is even making sense because I’m tipsy while writing this, but I just feel shitty because it feels like I have a better moral compass when I’m drunk than when I’m not LOL also, alcoholism does run in my family. My grandpa (RIP) was an alcoholic, so was my stepdad and one of my moms sisters (aunt) is an alcoholic.</t>
  </si>
  <si>
    <t>So I’m just going to rant about my day and see if anybody has helpful insight. Spent my day taking care of the kids (2) till I saw my parents. The new news is that my grandmother went to visit a family member and after the trip my grandmother is now in the ICU because she is confused and has a low O2 saturation. To make this super complicated, She was visiting the Uncle that raped me and a cousin as kids. That uncle is currently a vegetable because?. (I have no idea because family knows never to talk to me about him) I heard the news about what was going on and I immediately left my parents house and drank. Got home and my wife knew I was drinking and tells me to call my therapist. I agree, but I hate talking about my issues and addiction. After writing this I realize I need some encouragement for me to make calls and appointments.</t>
  </si>
  <si>
    <t>I 35f have been drinking a bottle and a half of wine every night for the past 10 years. My problems started in 2009 when I went through a really rough patch with a arc ex, I lost every bit of self-esteem and i couldn't sleep at night, I tried to sort myself out I stopped drinking and docs gave me zopiclone to help me sleep for a short while, I've suffered with anxiety since I was 15, but my parents never believed or helped me overcome this. I'm now at a stage where I'm back drinking every night to Beale to sleep also I need to have a few drinks before work and during to keep my anxiety attacks away. I hate this so much I hate alcohol I hate feeling like this, I constantly feel tire dim just so embarrassed, I'm spending so much money out my pay check every month on alcohol and taxis to get me to work cos I can't walk there any more cos I'm too anxious that I may swell not work. I just feel too scared of withdrawals and too ashamed to visit and confess to a doctor what I've done to myself, where do I begin,</t>
  </si>
  <si>
    <t>This is a throwaway account. I’m scared, I’m 19 years old and feel like I’m slowly digging the hole for myself. I know I’m not a ?true? Alcoholic, but I know that I don't remember the last time I went two full days without being drunk. My family has a history of alcoholism, I keep telling myself to stop. I imagine myself denying a drink that is offered to me. I imagine myself passing the liquor store and not buying booze. Furthermore, I imagine myself opening the fridge, seeing those beers, and not grabbing a couple. But this imagination isn't my reality and I fucking hate it. I can feel my mental health declining, I know it’s from the alcohol, but once I see the drink, I deny it’s negative effects on me. My brain replays my memories of being drunk and it feeless rosewood, I fall into my own mental persuasions; ?just one, I tell myself. But that one turns into any amount that makes me not able to walk in a straight line, talk without a slur, or worse.</t>
  </si>
  <si>
    <t>5 years in total but the last 2 have been hell. I've been lied to, cheated on, kicked to the fucking curb and made homeless. She has said over and over again she'll change. My girlfriend saved my ass when I was a miserable hopeless drunk. Now the tables are turned. Big violent episode last night. IDK. I begged her to stop drinking for the first time. Finger crossed I guess.</t>
  </si>
  <si>
    <t>I hope this is an appropriate place to discuss this. I'm an alcoholic who's been sober from alcohol for about 2-3ish years (had a couple relapses, but I can't remember the last time I craved a drink). Furthermore, I'm also a big fan of YouTube content, and I've been seeing more and more creators I like to watch accepting sponsorships from Bright Cellars. They are basically a subscription box for wine. I think they send you three bottles a month. While they haven't really made me want to order anything, it concerns me as an alcoholic that they could make other alcoholics want to. When I was first trying to get sober the ads for alcohol on TV were a huge temptation to just relapse. I'm not sure if these ad reads have the same kind of impact of an advert on TV, but it just makes me wonder if anyone is having trouble with these sponsorships on YouTube. Does anyone have thoughts on this?</t>
  </si>
  <si>
    <t>Kinda unsure about making this post but feel like I need to do it anyway. I?VE struggled with drinking in the past but managed to sort myself out a bit. It only lasted a few months until I got covid and my anxiety spiked. Since then i?VE been drinking 3/4 beers a night to help with it along with binge-drinking on the weekends. Lately i?VE felt myself slipping a lot more with my drinking and always have to hair the dog due to crippling anxiety the next day after heavy drinking or i?LL get heavy anxiety if I don't drink a beer. This has been going on for about a month and I know that the alcohol isn't helping me and is just making me worse, but it helps at the moment. Drinking 3/4 beers every night has been going on for just over a month and due to having struggled with it in the past I don't want to spiral again.</t>
  </si>
  <si>
    <t>Male, late 30s, high performer, finance exec. Throughout my adult life I have probably drank too much, and mostly alone. My typical pattern for quite a while would be Sat–Tuesday sober, Wednesday drink a 6 pack, Thursday sober, Friday drink a 6 pack or bottle of wine or a little bit more. Last couple of years it's probably escalated somewhat, to where 90% of days I would have 2–6 beers, and at least once a week have 7–12 beers or equivalent. It is clearly alcohol abuse by any reasonable standard, and generally if I have 1 or 2 drinks, I will tip over a point where I want to have 5 or 6 or maybe even 10, basically drinking until I become sleepy and pass out.</t>
  </si>
  <si>
    <t>I already know the obvious answer: Yes. Am I ashamed? I don't know. I am so disgusted with myself at times it is hard to cope, and so again I turn to beer. Furthermore, I know alcoholism is a disease, and it runs in my family so I try not to judge myself too harshly, but I have gotten to a point I have no pride in. Furthermore, I started drinking when I was 14 years old. Furthermore, I would go to a bar n? Grill with my parents, and they would get me a glass of cheap champagne if I had been good lately. I thought that was just fun. Then it turned into me driving my parents? Dunk friends home when I had never driven a car before. When I had also had a drink or two. Then that turned to my parents yelling at me for my drinking when they were the ones who, almost, encouraged it.</t>
  </si>
  <si>
    <t>Just started my first full-time job post graduation of University. I’ve been here for 4 days. Today, the company had a little bit of a party to celebrate after work some achievements they made. Everyone was drinking. The kitchen fridge is filled with beer. One of the cabinets is filled with different kinds of liquor. I was the only one not drinking (I drank water). I thought starting work would be good for me and keep me busy, just to find out my work has alcohol readily available in the kitchen. This is a disaster. Both my bosses were drinking as well.</t>
  </si>
  <si>
    <t>As of lately I’ve been losing the motivation to stay sober. I feel like it’s not helping me anymore. I feel empty inside all the time. All I feel is angry and empty. I don't feel happy, sad, hurt, or anything besides angry. I could at least process emotions drunk. Now I can't. I’ve lost my job, and with it my entire life’s career goals, I’ve been struggling in life, and I’m generally unhappy with the way things have turned out for me. I don't think it is worth it anymore. Furthermore, I just need some help before I go buy a bottle.</t>
  </si>
  <si>
    <t>In the rare moments of sobriety I'm intensely anxious about the health consequences of this lifestyle. And what's hilarious is that drinking is my only coping mechanism for that anxiety. I wake up every day and immediately check my skin color in the mirror for signs of jaundice. I'm always feeling around my abdomen to see if something feels off. I keep going to the urgent care up the road asking them for tests to reassure me that I'm not dying. And I'm not yet, but the numbers are getting worse every time. I used to think maybe I'd be motivated to stop once I saw evidence of bodily harm but now I've crossed the point, and it hasn't slowed me down at all. I'm scared dude, I am NOT the kind of person who doesn't fear death, I fucking dread it</t>
  </si>
  <si>
    <t>Not sure if this is the right place to post this but here I go. My girlfriend of about a year has been diagnosed with alcohol use disorder. She insists she doesn't have a problem. Oftentimes when we go out to dinner she will drink to the point she is drunk. After about two spirits she is noticeably drunk. However, what is most concerning to me is how she uses alcohol to cope. If she has a bad day at work, or an argument with her roommates, or even a disagreement between us, she will drink excessively. Am I wrong to be concerned about where this is headed? I have been surrounded by alcoholics my entire life and can't help but to see her heading down this road.</t>
  </si>
  <si>
    <t>I've just woken up from a black-out from, I don't think I did anything very bad, but it's very stressful, I suffer from BPD and when I get manic I over drink, I'm sorry if this is not the correct place for this I just feel incredibly remorseful for my actions and needed to tell someone, thanks for reading this.</t>
  </si>
  <si>
    <t>So I just got banned from crippling alcoholism. I said bad things and the white women with affluent got mad. But I'm going to a meeting tomorrow night. Things are looking up I think.</t>
  </si>
  <si>
    <t>I am sober 17 months and like many alcoholics there is a little bit of the brain that wonders if I could drink in moderation. Well, yesterday, I was at hospital for a colonoscopy and instead of sedation opted for gas and air (which was far more comfortable than when I have had sedation). I took the first breaths of the gas and started to feel a buzz. It felt like a drunk feeling. My alcoholic brain immediately took over and chased it. I was huffing the gas as hard as I could and as fast as I could. Not because I needed it at all. Purely to get more buzz. The more I got, the more I wanted to the extent as I was very disappointed when it was all over. Lesson learned, I know this is exactly what I would do if I drank.</t>
  </si>
  <si>
    <t>Over the years I have DRASTICALLY reduced my drinking. I am very proud of what I accomplished. However, I still get occasional cravings that I would like to eliminate. Since reducing my drinking, I was able to get healthier and reduce my tolerance. In the past, I used to be in a constant state of being drunk and hungover, and both my body and mind saw it as normal. Now that I am healthier, I REALLY 'feel' the effects of drinking. It takes less alcohol to get me drunk, The hangovers are 100x worse and the aftereffects last 2–3 days! My problem is that I like to drink in the evening/night and also have a drink with dinner. I find that alcohol compliments food very well. I want to cut this habit completely out. What are some alternatives? Yes, alternatives. I know some people aren't going to agree with that part, but I would rather do something else than deal with a hangover at work because I was an idiot the night before.</t>
  </si>
  <si>
    <t>I’m an alcoholic. I know I am, I haven't always wanted to admit it, but I know I am. Furthermore, I won't lie, I’ve been drinking tonight as I write this. But the question of ?what do you do for fun living a sober lifestyle?? Has always been the biggest thing for me never committing to staying sober. Drinking has become a staple in my social life, but I can't drink like the people around me do. All of my friends drink because they can handle their shit. They can go out and get shitty on a Saturday night once a month and have a beer or two after work sometimes. I can't. If I drink, I have to get drunk. And if I don't drink, I can't sleep. I drink almost every night, and drink excessively at that. I drink just to fall asleep. Furthermore, I don't even enjoy drinking most of the time. The only time I do enjoy it is when I go out to the bars or to a party with my friends. I wish I could be like them because I know that’s the only time they drink. But when I’m not with them I’m at home drinking by myself every night. I wish I could cut out the drinking in between the nights out and that be that, but I can't. I’ve tried many times. I’ve been thinking about going to rehab lately and committing to quitting all together. But what do you do when you stop? It’s so hard to imagine a social life without alcohol. Is that just the addiction talking? Side note: I also kind of feel stupid. I know there a lot of people out there that feel the need to be drunk 24/7 and I’m just a guy who drinks nearly every night to sleep. But I do feel like alcohol is actively fucking up my life.</t>
  </si>
  <si>
    <t>My dad has always spent his evenings drinking shitty beer in the garage watching a tiny TV for as long as I can remember (I’m 27 now), and then promptly falls asleep in the recliner or on the restroom. He never goes to bars to get drunk nor gets aggressive so he doesn't view his drinking as a problem. He recently retired and it’s only gotten worse in my eyes, and any phone call after 7pm typically isn't remembered the next day or is just slurred words. How can I get through to him that I’m worried about him but mostly tired of dealing with drunk dad? Sober dad is great and charismatic, which makes seeing the opposite drunk dad harder to deal with emotionally. He is still married to my mom who doesn't drink, and she has always given him hell for the drinking, but he never toned it down based on her issues with it from what I saw. All the advice on the internet I’ve found is for people who drink hard liquor and like sneak it in their pocket and drink even at events and stuff, or get aggressive. My dads case seems mild but is emotionally still frustrating and he definitely doesn't consider it alcoholism as he says he can go without beer, and has before.</t>
  </si>
  <si>
    <t>My wife and I are both functioning alcoholics however I can tell that my ability to function is deteriorating, and I am terrified I am going to lose my job because of it. We have an incredible daughter who is doing so well, and I absolutely do not want her growing up with alcoholics for parents. I think I am ready to stop however I feel this way every morning and by 4:00pm I am all set to crack open a beer. My wife and I try to do things to minimize our harm like taking a day or two off each week but never more than that. Every time we talk about our drinking it becomes a very stressful conversation and usually ends up in an argument. I get the sense that my wife is not at all ready to slow things down, and I am afraid to even bring up the idea of getting help to stop. I feel like I am at a breaking point and I do not know what to do.</t>
  </si>
  <si>
    <t>First off, I’m 20 and in college, so alcohol has been a big part of my life, but not to the point where it’s hurt me. I didn't miss class, get sick or go broke. Spending 2–3 nights getting pretty drunk. But I’ve spent times drinking by myself at night, not getting plastered but to have a buzz. It was relaxing and let me distress and fall asleep easier. I enjoyed the feeling. As I’ve gotten home and drank (a lot less and less often) I’ve noticed I pretty much only drink by myself or while In contact with someone digitally, and the desire to get full on drunk and feel the effects more has gotten stronger. This has gotten worse after quitting nicotine 2 weeks ago. I also get the feeling of ?man I could go for a beer? Despite not wanting to make a habit of drinking. I can go without drinking, but I enjoy myself more when I have some drinks at night. All in all I can't tell if I have a problem, am I getting close to one, how much quitting nicotine is effecting me, or if I’m overreacting.</t>
  </si>
  <si>
    <t>I quit dabbing hardcore about a week ago because I got my wisdom teeth out and for the past week every day I've been taking 3–5 shots of hard liquor I was wondering if I should be worried I've never really binge drank before but I also have a gastric bypass surgery [stomach shrinking surgery] so I'm not supposed to be drinking too much because it affects me more since my stomach is the size if an apricot I have been dealing with stomach pain from severe gastritis and all 4 wisdom teeth out at the same time I wake up soaking wet in sweat and shivering because of it I always have to change cloths and grab a new blanket I just started a new job and I'm not gonna drink at work but I wish because I get the worst back spasms after being on my feet for more than 3 hours I'm nervous for the future.</t>
  </si>
  <si>
    <t>Should I go to the hospital? I don't have a job or insurance and I feel absolutely terrible every day UNLESS I drink, right now I haven't eaten in 3 days. Have horrible tension and tremors. I went 10 hours and had horrible anxiety, so I gave in. I drank water and a sports drink and threw them both up. I'm trying to taper and my mind and body are freaking out, as I have cut back. Should I go to the ER? I have a consultation with a doctor tomorrow, should I be straight up honest on the first meeting? Is this normal?</t>
  </si>
  <si>
    <t>I haven't posted here because I was ashamed of myself. I stopped drinking for around 3 months previously. Then I convinced myself that I was "better". Hid behind all sorts of justifications. "It helps me relax/It is a treat/I enjoy it" Now it has been around 8 months. I'm drinking 4–6 pints a day. I wake up everyday feeling like hell. My kidneys feel tender. I struggle to make it through the day because I am largely trapped in a life I don't want. Work a job I don't mind but don't feel passionate about. My son I love, but I feel now he is getting older, he wants to spend less time with me and more time with friends online. I struggle to arrange childcare because my support network has fallen apart due to a Narcissistic father who I had to cut out of my life. Some days I feel content for brief moments. Other times I feel absolute despair. Heartache. Feel so alone bar my son and work colleagues, who are the closest things I have to friends. It feels like I'm just treading water until death takes me, but I don't want to die. I can't die, or my son is alone. I've tried a few nights to stop, and the withdrawal is terrible. Furthermore, I feel nauseous. Sweat. Feel tired. I can't go to work like this. I tried and it was tough.</t>
  </si>
  <si>
    <t>This is going to be long, and I'm sorry. I'm only 23, and I don't really drink at all, but I know alcoholism is hard to beat. I've seen it make so many of my friends and family suffer. Furthermore, I swore to myself I would never stay willingly in a situation that subjected me to the same kinds of things I faced before with other alcoholics, but I've been with a (27y/o) guy for almost 2 years now who a few months back picked it up hard. We had a rocky start to our relationship, and I stayed under the impression he was bettering himself and we would grow. He didn't drink hardly ever then. I fell for him very, very fast, and I wasn't ready to let him go. I wanted to see him through. Things were better for a month or 2 before he started drinking. We had a lot going on for so many reasons and I didn't really hold it against him, as long as it didn't seem like he was abusing it. Fast-forward to a year later, and I've been punched, choked to black out, things thrown at me, gaslight heavily, numerous broken down doors and holes in walls, etc. Everything I swore I wouldn't let back in my life.x10.</t>
  </si>
  <si>
    <t>Due to cameral I've been able to stay a month sober. It hasn't been easy, and I'm astonished I've gotten here. I'm happier than I've been in a long time, I'm achieving goals. Things are amazing. If you think you can't make it, don't give up. It's taken me a million times to reach 30 days. I won't drink with you today.</t>
  </si>
  <si>
    <t>I believe I had a strong alcohol dependency in sophomore year of high school (I was 15). For context, I was extremely depressed and didn't have too many friends. After the first time I got drunk, I got totally obsessed with the feeling. I would count down the days until I knew I would drink again and always tried to drink whenever alcohol was available. On that note, it wasn't available often: I could go a month without drinking purely because I didn't have the means to get it. Is it still a dependency/addiction? I didn't have so many drinks a day but if I had the ability to get it myself and didn't have to rely on others I think I would’ve been on a much different path.</t>
  </si>
  <si>
    <t>A few nights ago I downed an entire 12 pack of Truly and a few hours later ended up vomiting it all up, along with a little puddle of blood about the size of my fist. That's never happened to me before, and I've drank more than that in more condensed time periods. Maybe covid has something to do with it too, but I'm guessing it's more about the prolonged drinking. I'm making an appointment to see a doctor about what happened today after work, but I'm terrified for so many reasons to admit that I might have a problem with drinking, so much so that I can't really bring myself to admit or even type that I'm</t>
  </si>
  <si>
    <t>It feels perfect. Though the want for a drink is constantly lingering. I’ve picked up crocheting and I find it quite enjoyable. Helps my hands stay busy, and my mind stay focused. Hoping for more sober days.</t>
  </si>
  <si>
    <t>My husband of 20 years is an alcoholic. A functioning alcoholic. He hides his alcohol in our home, but I have always been able to tell by the subtle change in his voice when he drinks. He's an amazing father, worker, friend, and most of all - husband ...that I was lucky enough to marry when we were 17 &amp; 18 years old, but, he is slowly killing himself. His parents are alcoholics...he hates that about them. His Dad has early onset dementia. His Dad is in his 60s &amp; a functioning "healthy" alcoholic. He was an avid runner, rode trails on his bike - hell his heart grew its own bypass around his widow maker clogged artery that they found when he eventually did have a heart attack &amp; can no longer drive anywhere. His Mom is a mean &amp; spiteful drunk who lashes out - it used to be mostly at him, but we have cut them out from our lives.</t>
  </si>
  <si>
    <t>Most here know, drinking is not your problem, but it is the "solution" to your problem... To those easily triggered, I ask you not to read on and now I truly hope you are finding the support and help you need, but if you read on, I also hope you see this as a story to maybe learn with, or gain some insight into the mind of someone on the outside of this terrible affliction, and that some of us DO understand you. My brother passed away this past Thursday morning. He received a liver transplant ~5 years ago that was needed due to drinking. He sobered up just long enough to be eligible, got his transplant, and stayed sober for about a year after. At the beginning of his journey, none of us understood the mental struggles he was battling that led him to drinking. After his transplant, we started understanding this and tried whatever it was we could support him through it. He was very quiet about what he was going through emotionally and mentally, so to the outside many just thought he was a hopeless drunk. I beg each and every one of you, many of you struggle with this horrible addiction due to the same reason my brother did, but without being fully open and honest with those who support you, you will further isolate yourself trying to protect those around you. It is also important to make sure you do whatever it is you can to break through whatever "therapy wall" you have that scares you from seeking the right help. I pray no one has to go through what my brother did in the end. Dying from alcohol is a tough thing to see. Mental health is a very foreign thing for some to see and understand if they themselves do not suffer from it as well. Seek the support you need. There ARE those who will do anything and everything they can for you. You ARE wanted and loved. I am not angry with whatever caused him to struggle, and led to his life ending. I am not angry with my brother for not being more open with me. Being angry will do absolutely nothing now, so I chose to love everything left by him, and I chose to do whatever I can for others who are also going through this. Mods, I am not active here, and was not even a subscriber unfortunately, so if this goes against any rules, I apologize, but I felt this a step for me to go through and if it even helps one person here, I'm doing my part. I am open to any comments and questions, whether good or bad, and even constructive criticisms you may have for me.</t>
  </si>
  <si>
    <t>I’ve always gotten addicted to things easily. I never leave the house. Furthermore, I don't talk to anyone. I’m always anxious. Tonight I was craving beer like crazy which would mean 5 nights of drinking in the last week. I was going to sneak it, and then I realized that if I’m trying to hide it, it’s a problem. I really like the feeling of alcohol. The ritual of drinking a beer just feels so good. This is a problem. It’s taking all my willpower to not give in.</t>
  </si>
  <si>
    <t>Not sure whether to ask this here or anywhere else? Recently for about a couple of months I’ve noticed that my hangovers are getting considerably worse, compared to the amount of drinks I’ve had. It doesn't seem like it gets worse gradually, but more as if there’s been a turning point. I’ve been reading some things about this phenomenon, however, I turned 20 not too long ago, which would be quite young for this to happen. Right?</t>
  </si>
  <si>
    <t>I began drinking to cope with a toxic work situation just before the pandemic. Work was life then, and so it was emotionally devastating. Then with the pandemic, like most people, things went upside down. Starting in April 2020 I've lost a family member to one thing or another about every 6 months or so. I've gotten to a point where a bottle of wine doesn't touch it. I'm on day five of not drinking with the intention of not consuming alcohol again. Furthermore, I've been lucky to not have many physical manifestations of withdrawal, but the desire is there. For a couple of days I've had massive mood swings, including irrational anger that is new to me along with a deep, deep depression. I know several things contribute to the depressive episode, but in the back of my mind is the little voice that upending not drinking is the quickest relief.</t>
  </si>
  <si>
    <t>I have a friend ? 32(m) ? Same age as me who currently is an alcoholic; has been for years really. For context, my mother was also an alcoholic and sadly died in September 2020. I’ve recently had to stop seeing this friend as our friendship had become so toxic. Honestly, I could write a series on the amount of BS that want on ? And it went on and on. I think my main issues was, I was obsessing about his drinking. I tried to help, I tried to change him. It was totally fruitless; and we constantly got into heated arguments about it in the final few months. Truth be told I think this issue served as some sort of proxy for my grief: if I could save this person then it would go some way to make me feel better about not being able to save my mother. And to this idea, I just latched on. I was prepared to do anything and I did a lot of things, went out of my way etc. to help this person when seemingly it was all in vain. It took up a lot of my time and energy. Now that I’ve distanced myself I realize how big an effect this has had on me, my wife and our marriage. I don't know if it was tunnel vision or sheer pigheadedness etc., but I was so determined to help it meant shifting my focus away from my family, my work and myself in general. I was totally deluded. This realization has hit me hard. Was I so deluded I couldn't see the damage this disease was having on me and my family? It’s as if someone has flipped a switch, and suddenly I can see how messed up everything was/is; how I refused to listen to reason; and how I’ve let a lot of people down. I had good intentions, I was trying to do the right thing. It’s weird though, it’s as if me not properly grieving created some sort of codependency that did a lot of damage. Now my eyes are open, and I wish I could put everything back but naturally things aren't that simple. I’ve hurt my wife a lot. I don't know where I'm going with this. Furthermore, I guess it would be good to read if anyone else has faced similar issues with and addiction/ obsession to someone else’s addiction? Because I also most feel broken by it to the point I’ll need to put myself back together.</t>
  </si>
  <si>
    <t>Title pretty much says it all. I’ve noticed this only started happening after I started drinking heavily every day a couple of years ago. So do you guys notice that your really minor cuts and scrapes still show marks long after they seem they should have? Wondering if it has to do with the drinking</t>
  </si>
  <si>
    <t>Time to find new hobbies to do while feeling this way. Reading a book or riding my bike. I have so many ideas, but I just can't implement them. It's easy to tell people how to fix their lives but when you look at yourself it's hard to get started.</t>
  </si>
  <si>
    <t>In recovery (had some slip ups recently after two years) I work right now, my boyfriend doesn't. I have trouble not wanting to drink on my days off. My boyfriend is letting me stay at his family's home rent-free right now and the last time I got him to clean was after weeks of fighting and me drinking (also huge cause for the fight). It was like a weight off my shoulders when we actually got everything nice and neat. Now it's all horribly dirty again it's my day off, I said I wish I could start working on cleaning the bedroom, but I can't do the dishes in here because the kitchen is so dirty. This guy. THIS GUY goes "well I guess you could do a small load or two in the dishwasher out there. I didn't even think about drinking now it's like my body is craving taking a few shots, putting in headphones, and cleaning it all while zoning everything out and enjoying being drunk rather than sitting here in stewing in the fact that he AND HIS FAMILY don't clean anything. The last few days off I've drank and its resulted in him shouting at me at the top of his lungs. Because I drank not because I acted a fool or anything when I did.</t>
  </si>
  <si>
    <t>I’ve been drinking heavily for 6 days straight, and I woke up today feeling shaky. I also drank some G-fuel yesterday and this morning. It’s the first time I’ve been drinking this much and I know that you can get jitters, so my question is if anybody have experience with jitters and can tell me if it’s the alcohol or the G-fuel. I’m staying sober today and wanting to stay sober for a while.</t>
  </si>
  <si>
    <t>Me (26F) and my fiancé‚ (27M) have been together since we were in school (ages 18 and 19). We have pretty much grown up together, school sweethearts, blah blah blah. We own a house together and recently got engaged in May 2021. Lots of fun and exciting life events happening at the moment, and things are pretty good. However, I am starting to notice that alcohol may be starting to become an issue for my fiancé‚. For background, both his parents are alcoholics and have a strained relationship with drink. My fiancé‚ doesn't drink that regularly, but it seems to be very linked with social situations. He won't drink much during the week (maybe one or two beers in total) and he will often have a couple on the weekend. However, if we go to a pub, to a friends place, or have people over to ours, he will drink to excess. Easily 8–10 pints of beer (24-30 units). When he drinks this amount, his personality changes and generally not that fun to be around. He is not physically or emotionally abusive in any way, but his behavior changes, if that makes sense? He is more erratic and his ability to behave in a restrained manner is impaired. Furthermore, he will spill his drink all down him and all over the table/floor, and generally embarrasses himself. Furthermore, he will wake up the next morning and not remember parts of the evening behind a certain point. Meanwhile, the rest of our friends are only drinking a maximum of 3–4 pints and just having a good time. My fiancé‚ does have a higher tolerance to alcohol than some so it takes him a few extra drinks to feel drunk. Me on the other hand, I don't drink unless it is a special occasion. Even then I will have a maximum of two drinks, and I don't even enjoy it. I’m happy being designated driver, and don't have a problem being around people drinking as long as it’s civilized. A few days ago we had one of our very close friends (27M) over for dinner and a chat. He’s just come back from a long trip, and we were looking forward to catching up. We ate, and they shared a few drinks between them, but my fiancé‚ kept drinking. I lost count of how many beers he had in the end, but it was easily 8+ of very strong (6% ABV) cans. It was coming to the end of the evening, and we were sat at the breakfast bar in the kitchen. He thought it would be funny to grab onto my feet and tickle me whilst sat on a bar stool. Initially it was funny but when I told him to stop as I was sliding off my seat, he didn't and I slipped and fell to my knees on the hard floor. I got some pretty funky bruises. Instead of helping me up he just chuckled and told me to get up. Our friend was very taken aback and said he would make his exit as he felt uncomfortable. He helped me up and then went on his way. We went to bed and I when I spoke to his later the following evening after I got home from work, he said he couldn't remember any of what happened. He was very upset, and I know he would never have done it on purpose. We spoke about how I felt about the situation and whether he thought it was an issue. He said it was becoming increasingly hard for him to only have a few drinks and then stop, like there is no off switch. He mentioned feels miserable and depressed at the moment due to work and is worried that it’s becoming a coping mechanism. Furthermore, he doesn't want to become like his parents. Furthermore, he had been trying to better himself recently, eating healthier, going to the gym, limiting himself to a few drinks a week. Then it’s like he’s lost the off switch. Our friend has also spoken to him about his concerns and is worried about him. I guess my question is, what can I do to support him? He says he wants to reduce his drinking, or stop altogether. It’s tricky for me as alcohol is not something I enjoy, so I’m finding it very hard to understand how he is feeling.</t>
  </si>
  <si>
    <t>My clean date is 10/13/2021, the best decision of my life and I’m grateful every day I did. Recently I had COVID, and while I had it, I did drink a significant amount more Nyquist than I was supposed to (not anything that would be able to get me drunk, probably just an extra dose or 2 at once because I was feeling like shit). It was only because I was feeling like absolute dog shit and wanted to pass out as quick as possible, not at all for the alcohol. I didn't know it had alcohol (the kind I have always had was non-alcoholic) until the second night of taking it, and I still took it but only the amount I was supposed to. I’ve worked really hard on staying sober, and I don't want this to count against me, but I did technically have alcohol and the first night I took more than I was supposed to, alcohol or not.</t>
  </si>
  <si>
    <t>I am going to say this first, I am unvaccinated so anyone commenting on that fuck off. I am an extreme alcoholic, I drink about 1L of vodka per day. Furthermore, I am only 21 and as I don't have a job due to covid I am about to lose my apartment, I have insane withdrawals, I shake sweat and pretty much go insane, I have pancreatitis and liver damage. Please help what do I do?</t>
  </si>
  <si>
    <t>I’ve never done this before. And I’m disgusted with myself and don't know why I felt like it was a good idea. I am 28 so and I’m realizing I’m on the road to being an alcoholic, if I’m not already. I'm not to the stage where I ?need? A drink. But, when I drink I typically don't stop. I drove home from a friends last night and I don't remember at all. Luckily I made it home safely without any issues. I need advice on how to quit drinking when all you do when you hang with friends is drink. My dad was a functioning alcoholic and drank all day every day and I never noticed him drunk. But I don't want to be like that</t>
  </si>
  <si>
    <t>So many different nurses and doctors. All seem to have differing opinions on what to give me or how often. And the doctors aren't in very often. :(Keep getting switched between Asian and diazepam. I'm too sick to keep track myself. But it's like... sometimes I say a low number about how bad the pain is. Then get nothing. Then I say its. Worse and they. Say I am overexaggerating. I just font know how to answer to get proper care... Doc said to bring me diazepam instantly then the nurses ignored me for 2.hours until I was seeing and hearing things screaming hyperventilating with ears covered.</t>
  </si>
  <si>
    <t>I’m going to be taking the at home route for detoxing (I get it, people always say you need to go to a clinic), and want advice from people who have taken a similar route. And just to be clear: No, I will not consider AA or rehab, so I won't even read your response if it starts that way. A little background: Been a daily drinker for almost 10 years (ages: 24-34). Started as a few drinks a night daily drinker to now around a pint to pint and a half of vodka a day drinker. I have never had the shakes and always spread my drinks out to avoid a hangover. I also don't enjoy being drunk, so I avoid it. Furthermore, I just enjoy the buzz stimulation I get (almost like motivation). Well, I’ve realized that my tolerance has increased so much that alarm bells are going off. I also don't really enjoy drinking anymore. It feels more like a crutch than it is an enjoyable pastime. I told my wife I think I have a drinking problem. She was super supportive, and now I am looking at either the tapering route or the cold turkey route. Luckily, I have Xanax and Propranolol to help with withdrawal symptoms. If you know of any other medications/supplements, please let me know. My POV for tapering: It will reduce the possibility of DT?s and seizures but it’s a slower process. My POV for cold turkey: It will be quicker but increase the risk for DT?s and seizures. I’ve never even had the shakes, but I don't know if that’s an indicator of anything.</t>
  </si>
  <si>
    <t>I have drank quite a lot for a long time, 1/2 a fifth on a normal night, for the past 10 years at least. I get regular physicals and try to eat ok. However, my blood work has been getting progressively worse year-on-year. Now my BP is very high and my blood potassium levels are high. I have tapered down on the alcohol my doc gave some Bezos if things get tough. My question is has anyone experienced this and their kidneys got better. BTW Surprisingly my liver enzymes are within limits.</t>
  </si>
  <si>
    <t>1 month sober. I haven't drank, been going to the gym 5 days a week, haven't even felt the impulse to drink in weeks, and I'm terrified. My anxiety is through the roof because I feel like something has to go wrong. Its always gone wrong before right? Why would this time be any different? I've been struggling with recovery since my drinking became a serious problem two years ago and this is the longest I've voluntarily gone without drinking by three weeks. (there have been other times I haven't drank for longer, but that was because I didn't have the money and/or it just wasn't available.) Can anyone relate to this? Has anyone found a way to deal with this anxiety at the thought of relapse or just general impending doom?</t>
  </si>
  <si>
    <t>I would really appreciate any guidance you can provide. I'm mid 30s and have had a drinking problem for a number of years. A few months ago, something clicked in my brain and gave me the motivation to stay sober for almost three months. I think I may have underestimated my risk of falling back into bad habits while I was in the 'honeymoon phase'. Unfortunately, I fell off the wagon three weeks ago and am I having trouble getting back to the headspace of sobriety - holy shit it was so amazing when I thought I'd made a permanent change! I'm sure this type of thing is par for the course on the way to getting sober, I'm just not sure where to go from here and how to get back to my commitment to sobriety.</t>
  </si>
  <si>
    <t>So I have been on a bender. And I finally have to stop. I drank wine pretty heavily. I’m about 14 hours since my last drink. And the anxiety is real. I can't sleep I have taken a Valium. But the anxiety is still present. How much longer am I going to go through this.</t>
  </si>
  <si>
    <t>I had been drinking for 40 years, the last 10 quite heavily (i.e., 2–5 bottles of wine a night). Like many of us, I was hiding most of the drinking and terrified of stopping due to all the horror stories surrounding AWS. Inpatient detox and rehab were off the table due to $$, but I found an outpatient clinic that required an intake appt, 5–15 min daily check-ins and provided a round of Bezos (Librium or Valium) all for about $500. You could probably also do this with a sympathetic MD. So, I got all ready. Bought a blood pressure cuff and a pulse/oxygen meter at the drug store. Told my wife I’d been drinking too much and was stopping and asked her to ?keep tabs on me? For a few days. But I didn't mention all the possible horror stories. She was thrilled. ZERO HOUR: three bottles of my finest wines remaining. Gave the rest of my collection t</t>
  </si>
  <si>
    <t>It's true, I'm only 16 and suffer from depression some months ago I tried to kill myself, and nobody helped me yet and I don't think anybody will do that because I don't got friends and most of the therapy and psychologists just wanna money and are only doing their work. And I don't think that a person that I need to tell my name every time I go there can actually help me, this is pain described in words. After my attempt of suicide all I do is drinking alcohol and smoking cigarettes, it's the only way that I have been able to escape all this pain I have been suffering, but today was different... I never drink too much but today I reached a level of drunk that i probably never reached before, I was vomiting everything I had inside of me, I just didn't do more because I got my stomach empty I don't remember almost anything but all I can say is that alcohol is the worst, I hate this society where mushrooms and weed are forbidden but alcohol and cigarettes are fine and ok to sell around you. I drink alcohol to forget about this life and laugh but when I wake up remembering that a guy that I don't know the name brought me to home and I throw up at all my bed and bedroom i just want to cry If you are considering becoming a father or a mother think 2 times before doing that, your kid can become somebody like me.</t>
  </si>
  <si>
    <t>So I got a liver function panel test back and the levels were bad but not that bad. Bilirubin overall was 1.5, AST 67 and ALT 86. I went to the hospital the next day, and they retested my liver and did an ultrasound. The ultrasound I guess showed very minimal scar tissue and fatty liver. However, my liver function test the next day had way higher levels. Bill was 2.1, ALT was 122, and AST was 100. It really freaked me out. Now I have to see a GI specialist to get this further looked at. Its odd because I have lowered my drinking (currently tapering because of withdrawals) and each day I feel a little better. Do liver enzymes go up when you drink less? Like a temporary liver recovery thing? I just really hope this is something I can come back from. I could really use some input from someone who has gone through something similar.</t>
  </si>
  <si>
    <t>I've been almost two weeks sober and things are going okay. My only problem is sleep deprivation. I wake up in the middle of the night frequently and have a hard time getting back to sleep. I've been taking CBD gummies and sometimes Advil pm to help facilitate sleep, but I still wake up often.</t>
  </si>
  <si>
    <t>I'm pretty sure my(28M) wife(26F) has a drinking issue. She drinks almost every night and a lot of times she is drunk when I come home from work and pretends that she isn't. She will also often sneak drinks when I’m in the shower etc. We have had several talks and a few arguments about it, but it never changes. I don't know what to do or how to approach it anymore.</t>
  </si>
  <si>
    <t>I am under quarantine and I live alone. I had problem with alcohol in the past, that I thought I solved, but It really tempts me right now. If I start drinking, I know I'll probably do it every day for a whole week. I could use some support if you have some to spare. Edit: Thank you guys. I feel better. Moment of weakness and all that. I played some minecraft, rested and now I feel better.</t>
  </si>
  <si>
    <t>He’s 31 and has been passing out drunk regularly now. He lives with his girlfriend who also has a drinking problem, and they fight every week: police are called on each other. Now he’s having major health problems, he might get fired and he’s become almost a pathological liar. I think he’s going to need professional help, but I really have no idea how or what to do? He won't listen to anyone, he acts like he’s going to get better, but it never comes to fruition.</t>
  </si>
  <si>
    <t>I approached my boyfriend with the possibility that he was becoming a binge drinker and headed towards alcohol use disorder. He has compulsions towards alcohol that he gives into despite the consequences. He becomes abusive and depressed when drunk. So he tries to isolate himself. He drinks a lot at one time but can go awhile in between. He's also an ex addict of drugs he won't name. Furthermore, he is a very different person now than he used to be. Furthermore, he looked into the disorder more and says he thinks he already has it. Because he started drinking at 13. And in the past he would get black out drunk weekly and get to the point of alcohol poisoning several times a month. But always in binges. He could go days without it. So lately it's more of a relapse. He's going to talk to his therapist today. But does anyone have suggestions for him? Or how I can show up and be their for him? I've already told him I'd, he ever has the compulsions he can text me. I won't shame him or get mad at him. Becoming addicted isn't his fault.</t>
  </si>
  <si>
    <t>Last time I puked black pretty sure my stomach had bled a bit or something. This morning it was just clear. I feel like shit and this is why I quit drinking. I have no self-control. Now I’ve drank twice this month, ended my longest stretch of sobriety last time was like 9 and a half months. Every time I drink too much I don't want to drink again until a few days go by then I do want to. But I always go overboard. Wish me luck today I’m so hungover puked for almost two hours</t>
  </si>
  <si>
    <t>I am currently 18 years old. (Were I'm from it's the legal drinking age). Before I start it's important to mention that I'm not struggling with nothing like depression or anything. I have started to love the feeling of alcohol. I'm not drinking often but I find myself SOMETIMES drinking alone in the evening, like getting drunk not just a beer or wine, like fourth proof vodka. And I find myself wanting to drink simply because it feels good. Addiction doesn't run in the family of any kind It's important to mention. No one in my prior family that I know of has been addicted to alcohol, drugs or any of that. I want to know from someone who has or has beaten an alcohol addiction if these are early signs or just normal teen shit.</t>
  </si>
  <si>
    <t>I don't seek attention, but I know this is how it looks. However, I’m Going to post. It’s one small step. I feel like I need to document my struggle and hope. I need to do it for myself. Furthermore, I need to document my existence. Send it into the void. The problem today is of course my drinking.#1. #2 is the local can collector is not visiting. I have about 12 12 packs of empties outside. Any neighbor with eyes knows what’s going on. Thankfully my wife hasn't seen them yet. I mean thankfully? Again sorry and feel free to keep scrolling. Really.</t>
  </si>
  <si>
    <t>My mum is 54. She has a successful career and is married. However, she drinks 10 drinks plus nearly every night of the week. Multiple nights she will be so wasted that my dad will have to 'put her to bed' at 8pm because she can barely talk and can't keep her eyes open any longer. She becomes so embarrassing and can often start fights when she is drunk - But of course everything is my fault, and I'm the evil one if I try to bring up that she may have a problem with drinking or should stop after a couple of drinks. My dad is a pretty big drinker, so it's a massive aspect of their relationship - but recently my sums drinking has been taken to far and we both cant say anything because she will just lash out at us. She becomes extremely defensive and will come back with viscous remarks about why something you've done is worse than her drinking etc. I just don't get why she can't have a couple of drinks? Why does she need to get absolutely plastered every single night? It's not a joke anymore, its seriously upsetting, distressing and frustrating. These drinking habits have been going on since I was young. And my brother and I (21 and 19 years old) growing up and still now) would both dread "champagne nights" because we knew she would end up obliterated. She gets up every morning and exercises early, goes to work, has good blood tests and lives a good life. So in her head she thinks there's no problem. But there is right? Alcohol is causing problems in her family/social relationships, weight loss goals and sleep schedule - among other things. I just don't know where to go from here - I can't wait to move out of my family home again, because every night I dread when happy hour starts for them at 5pm. I just retreat to my room for the rest of the night because seeing my mum/parents so wasted for no reasons makes me feel almost ill. Furthermore, I really want to help her and my dad into a better space, but I really don't know where to begin with how previous conversations on the topic have gone.</t>
  </si>
  <si>
    <t>I relapsed again and went on a bender last week. Showed up at work and was so wasted I misbehaved in front of everyone. From the receptionist to all my closest work colleagues. I just found about it this evening and nobody told me this (happened last Wednesday) since Monday. I feel ashamed and I even more ashamed that nobody called me out on it the day I resumed work. Furthermore, I'm usually a shy person and head my own department. Furthermore, I'm lost. This disease is fucking sickening. How do I handle this? Do I apologize to everyone? I guess my boss knows, but he doesn't want to possibly offend me by letting me know. I don't know.</t>
  </si>
  <si>
    <t>Terrible idea. I thought boot camp would be a good way to rehab without being bored AF while doing cool shit. While that was true. Drinking culture is just so glorified here. I drink just as much as I used to. Shit sucks. Literally most US military bases have bars. What the fuck even man.</t>
  </si>
  <si>
    <t>I am not super aware of the stages of alcoholism nor have I ever gone through it personally, so I need some advice. My mother (43) has been struggling with addiction for as long as I (23) can remember. She has progressively gotten worse over the years. About 5 years ago is when she first attempted to try to get sober. It has been a vicious cycle since then. About twice a year now she tries to detox at home, for about a week then gets to the point of hallucinations and I finally convince her to go to the ER. She stays in the hospital just long enough to comfortably get all the alcohol out of her system, but never goes to rehab. She stays sober for a bit but then eventually relapses. Each period of sobriety gets shorter and shorter, with the most recent time being just long enough for her to get home. Now, fast-forward to the current problem. For the last two weeks my mom has done nothing but slept. She hasn't had a single thing to eat in two weeks, at this point i don't know how she is alive. She sleeps all day and all night. Furthermore, she gets up a few times during the day to smoke a cigarette and drink, then back to sleep. Furthermore, she has been furious and I can't do anything around the house without her yelling because I'm making too much noise (even just refilling a water bottle). Furthermore, she refuses to go to the hospital to get help. I guess I'm just wondering if anyone has gone through anything similar and if they can share some advice. I'm scared for my mom and I'm afraid she has just given up. I'm afraid she won't wake up every time she goes to sleep.</t>
  </si>
  <si>
    <t>Lately I’ve been drinking pretty heavily again. Got a DUI back in July went to rehab and relapsed shortly after being home. Was ?managing? My intake better, so I assumed I was ?better.? Well now past two months or so I haven't had a solid stool, severe bloating and abdominal pains. Now past week I cannot eat without vomiting. I do have an appointment with my doc next week, but I can hardly even consume a protein shake. Has anyone else experienced something like this?</t>
  </si>
  <si>
    <t>I was wondering if anyone has any advice on harm reduction for people who drink heavily daily and have not yet been able to stop. I have been told to be sure to take B-Complex vitamins to avoid thiamine and other b-vitamin deficiencies that can cause brain damage. Furthermore, I have heard consuming lots of fluids and electrolytes can also decrease damage to the renal system and the brain. Furthermore, I understand quitting is the best thing to do and the only way to completely stop the damage to the body drinking causes but what things can one do until they are able to quit that will decrease the harm alcohol causes.</t>
  </si>
  <si>
    <t>I went through medical detox last Wednesday through this past Sunday and I have been sober now for over 1 week after drinking at least a fifth a day for the past few years. I’ve noticed my stomach has become swollen and hard to the touch, and it is sore when I try to get up from laying down, etc. The doctor diagnosed me with acute alcoholic hepatitis and said I can heal, but I absolutely have to abstain from drinking. My question for you guys is it normal for this to happen only being in the first week of sobriety? If so, how long did it take yours to go away?</t>
  </si>
  <si>
    <t>32M here, been abusing alcohol significantly for the past 3–4 years at least. My mom has alcohol use disorder, was sober for about 10 years and recently started using again about 1–2 years ago, and now my brother and I are seeing her with complications of withdrawal but also early chronic liver disease. I’m also in healthcare and I see patients with sequelae of alcoholism somewhat regularly. I’m really scared for what might happen to me. I’ve gained a lot of weight recently with increased alcohol intake, but I’m hopeful that I don't have any complications yet re: liver involvement. Furthermore, I want to stop, but I basically feel like I won't let myself. I’ve had shakes/nausea/sweating during days after excessive drinking before, which I think would indicate significant withdrawal, though I think I’m in a better place now. However, I keep telling myself that I do need to taper given my regular use, and at the same time I sabotage myself because as I continue to let myself drink, and I just want to feel the effects and I can't effectively taper and stop. I need so advice urgently because I do feel like if I keep this up I’ll be in trouble soon.</t>
  </si>
  <si>
    <t>20 M college student here. 3 days ago, when I arrived back on campus, I quit smoking weed, and about 2 months ago I stopped taking both 300mg of Bupropion and 10mg of Adderall a day. The first two nights I had five shots each so I could get to bed. Last Night I had three shots. This morning I woke up and took 10 mg of Adderall for the first time since stopping two months ago, along with 200mg of caffeine pills. I have been feeling trembly all morning, and now I am feeling extremely anxious/ panicky. I know the irony of using one drug to stop taking another, but I figured you guys would know best... does this sound like withdrawal? And if it does, should I visit a doctor? Because I quit smoking I have been running on 4–5 hours of sleep a night for the past few days even with the alcohol.</t>
  </si>
  <si>
    <t>Last summer my uncle in law came to stay with us after his wife kicked him out and filed for divorce. She did it because he lost his job due to drinking and almost died from it. He told her he quit, and she constantly found him drinking secretly. His first night with us, he was wasted. We never said he had to be sober but said we would like him to try to be. He never drank in front of us, but we could tell he was always drunk. We used to drink every single night and stopped before he came to us, so there wasn't any temptation. A few months go by, and he is still jobless, stays at the house every day, all day but swears he is sober and constantly getting interviews. I had a Terrible week at work and warned him that I would be drinking but would hide in my room. Came home to a bottle of vodka and wine on the counter. Vodka for me, wine for the guys. Ok? The next day there was a bottle of whiskey and most the vodka gone. It quickly became normal for all of us to drink openly together. A couple of weeks later we tell him we are going back to not drinking, and he should too after I saw him get a cup of just vodka at 6am. "Tomato less bloody Mary" he told me. He didn't drink for 1 whole day and his body went into shock. He was throwing up hard all day and when he went to drive to the store he had a seizure and was hospitalized for a week. When he came out we said rehab, or we kick him out. Amazingly he went to rehab for 5 weeks, came back and was a quiet/stoic man for a little while. Took his meds, went to his daily AA meetings and seemed to be doing well. Until recently. He's back to being obviously drunk again while bragging about how amazing he is at AA and how they made him a lead. We didn't have proof until we started to watch the camera in our living room (that he was aware of!). We saw him leave the house, come back with a brown bag and go straight to his room. Then came out with an empty bottle of vodka and took it out to the recycling. My husband went out there, grabbed the bottle and confronted him, leaving out the part where we saw him from the camera. He denied it and said he was cleaning and found it which was a lie. We said we weren't going to kick him out, but he needed to get his shit together. Since then, we have seen him do the same thing 4 more times. Bring a brown bag straight to his room, bring out a now wrapped up bottle and take it to his car instead. (We checked the recycling/garbage, and it doesn't exist) We know he is still drinking and now he is being extra sneaky about it. Just don't know how to approach him about it. "Hey we started watching you through the camera you know about and aren't dumb?" Losing his job, wife, house and almost dying twice has not stopped him. Rehab, therapy, AA and us confronting him did nothing since he just lies about it. Do we just act like we don't know, continue on with our lives and pray his moves out soon? Have an intervention?</t>
  </si>
  <si>
    <t>I'm 17, I started drinking casually at party's and all that shit, but I've now moved on from that crowed because the drugs we were all taking were getting much harder, and it was ruining my life. I thought that by cutting those ppl out of my life and stopping the hard drugs I had left all the pain behind, but now I find myself not being able to sleep unless I have had at least 5 beers. I know that it's destroying my body and if I don't stop now I probably never will but when I don't sleep I go insane, and I lash out at people I love, I have no idea what to do.</t>
  </si>
  <si>
    <t>I'm living with my GF, and her adult son is staying with us. Sometimes he throws fits, hits things, and swears, and it's very distracting because I work from home. One day from about 10am and over the course of the day I had to tell him multiple times to knock it off, at increasing levels of urgency...meaning I went from asking yell to getting in his face to tell him to knock it the F off. Ultimately, at the final confrontation after 6pm, the extent was a lot of yelling all day, vomit mess, and a broken shower curtain and cabinets in the bathroom. He claims he doesn't remember anything and that he's sorry. I find it hard to believe that such a long period of time can be erased from memory, but I'm open to understanding it better. On the other hand, I find it very convenient nothing is remembered because of all the chaos and nonsense that occurred all day. It's too easy to be let off the hook because of a lack of memory.</t>
  </si>
  <si>
    <t>I'm nearly 2 weeks sober and I'm starving all the time, I don't want to put on weight I hate this, it’s like I have the munchies 24/7 I also am getting so irritable at everything and everyone lately. Anyone else experiencing this? Will my appetite lower again? I'm bloated and hate eating this much</t>
  </si>
  <si>
    <t>Then when I woke up at like 4am I found an unfinished beer. I don't know what I’m doing here, and I don't know why I’m telling my wife and one good friend that I’m quitting. It feels bad to try and then give up. I don't know how I can continue to put people through this shit.</t>
  </si>
  <si>
    <t>I am a binge drinker. About once a week, I drink 12–16 beers in a session. I feel like garbage the next day. I do it mostly out of boredom and anxiety I think. Furthermore, I really hurt myself in October, my BF and I drank heavily, we started fighting. Furthermore, I was punching on him, and he hit me in the eye accidentally while fighting off my hits. Furthermore, I then fell somewhere and hit my head badly resulting in a concussion and a busted lip, it's a blur because I blacked out. Furthermore, I thought that was my time to stop, but 4 weeks later I was back at it. My BF and I live together, and he is also a binge drinker. When we are sober, there are no fights, and we usually get along drunk too, but sometimes one of us "flips". If I start drinking he has to drink too. He has had 3 DUIs and done jail time in the past. So far, I have not had legal problems. How do I stop? I don't want to do this anymore. I'm 47 and too old for this shit.</t>
  </si>
  <si>
    <t>I was 1 month, 26 days sober from alcohol and Saturday I relapsed. I went out with some people after work, and just completely and totally binge-drank to the point where I don't even remember leaving the bar and slept in my car. Got back on the wagon immediately Sunday morning and haven't had a drink since, with no plans to. The past 3 days I have been feeling immense and overwhelming feelings of guilt and anxiety. I just keep replaying it over and over again in my head and how stupid of a decision it was. Particularly, I feel extremely guilty of my boyfriend and feeling like I let him down. I'm just wondering if anyone has any advice, pointers, or words of wisdom on how to move forward.</t>
  </si>
  <si>
    <t>So basically my mom is an alcoholic she's 50 now but has been an alcoholic for about 10 years but recently her stomach has been very bloated she dost eat a lot very little actually her arms legs and everything is skinny, but her stomach is constantly bloated. She's been to the hospital for a different reason about 6 months ago (her stomach was very bloated back then as well) and they checked her over and said there was nothing serious just an enlarged liver so she says, but I'm worried about her does anyone have any answers. Edit: her stomachs been bloated now for about a year it dost seem to be getting any worse at the moment. She also dost have any jaundice or anything. She also drinks about 4 liters if cider a night for anyone wondering.</t>
  </si>
  <si>
    <t>I got naltrexone that I’ll start tomorrow. I told my wife. Furthermore, I don't need to just live or save myself from a slow death. Furthermore, I need to be the person I dreamed I would be when I was young. It was a modest dream. I can't do it while shit-faced. I’ve plumbed some of the lowest depths of humanity. I’ve seen demons. Furthermore, I made friends with them. I’ll take them with me and use that knowledge to help others. This is a promise I’m stating for my family and me. I’m going to get well and help other people. This is my purpose. This is why I’m here.</t>
  </si>
  <si>
    <t>So I have 1-6 IPA beers a night for a few years now. On weekends or holidays I will have more but never black out or throw up. Sometimes I’ll just only have 1, and I am good, but I want to stop drinking for a while due to I can feel my liver is hurting, and I had a high GGT in my blood screening. What should I be expecting to go through with this? I have always been too afraid to go through with it bc I have heard about some of the symptoms, and it terrifies me.</t>
  </si>
  <si>
    <t>I (34m) have been struggling with alcohol since my first drink when I was 17, though I did not realize it for a long time, and even then I think I subconsciously always thought I could stop if I really wanted to. I have not been able to, and I am at my breaking point as the shame and disappointment are overwhelming me. Furthermore, I have been living with my girlfriend (35) and her two kids (6-year-old boy and 13-year-old girl) in a house I bought for us in her hometown for the last two and a half years. They have become my family in that period, but I am throwing that all away due to my alcohol use and depression. I selfishly do not want to let them go, but at this point it is obvious to me that I am doing them all more harm than good. My girlfriend already has enough on her plate and has to deal with multiple sclerosis on top of a shit father to her kids who moved out of state and offers no support. My goal has always been to try to improve the life of her and the kids, but now I am just making their life harder. I am not a violent person but was arrested for a domestic violence charge for pushing my girlfriend a year ago as alcohol turns me into a different person. The kids have not seen us get into a major fight, but I was away from them for months due to this incident and was away another time for rehab, all of which has been very confusing and unhealthy for them, not to mention our teenager is very smart so she certainly knows there are some deeper issues. The home that they live in (I have been staying there on and off recently and staying with my father as well while we've been trying to work things out) is in my name and I pay for it, but I will not be able to continue to afford it if I move out, and I know she would struggle a great deal on her own to support herself and the kids financially without me, so I have no clue what to do. I feel like I am being selfish and negativity impacting their lives if I stay, and I feel like they will struggle a great deal if I leave, both financially and emotionally for the kids. If anyone has any advice it would be greatly appreciated, both for the situation with my family and regarding staying sober. The first time I went to rehab it was an absolute disaster that made me not trust those facilities at all. I tore 3 ligaments in my knee playing basketball at the facility well before my stay was supposed to be up and was basically held hostage there and lied to while they scrambled to figure out how to protect themselves. Still get the 5 figure bill that they told me was covered in the mail all the time. I have also tried AA many times at different stages of my struggles, but it has not been a good fit for me in the past. Thank you if you have read this far and if you have any advice for me. I scroll through Reddit from time to time but haven't posted much and am a generally very closed off person, so this has been difficult for me. I am very much at the end of the rope so to speak and have been driving away the suicidal thoughts. Furthermore, I know that wouldn't help anyone and I do still have a sliver of hope that I will be able to find happiness within myself one day.</t>
  </si>
  <si>
    <t>I'm depressed and addicted to alcohol. Recently when I've blacked out I wake up to me dming other girls. I love my girlfriend to death and I have no idea why I have done this a couple of times. I don't remember doing it either until I see the messages. Have you guys done anything or acted completely different when blacked out?</t>
  </si>
  <si>
    <t>December was a goo/bad month for me, good because I drank every day, and it was fun, and bad because I had too many mornings where I couldn't remember the last three hours of the evening. I've decided to cut down and in fact have only had three sessions of drinking since Jan 1st and only one bottle of wine per session with a meal. My group of friends and husbands are heavy drinkers so we spend a lot of time in the pub, what can I drink instead? I've tried diet coke but can only handle a few of them. I'm trying to eat healthier so don't want lemonade as it is full of calories. Furthermore, I'm not really a beer drinker, but will give anything a try. Advice on drinks will hopefully help with my 9-day holiday that starts tomorrow with my husband, and we will probably spend a lot of time in the pub. I don't want to drink until I can't remember anymore, but also would like to drink something. So thinking of starting with non-alcoholic and then maybe wine with food and then back to non-alcohol.</t>
  </si>
  <si>
    <t>Not sure if this is the place for this or not, if not I apologize. But I felt it time to get this out some way, somehow. And ? I guess? Is a total crock of shit. I know I do and I’m stuck in it. I have a great career, a wonderful wife and son, talks of having another, and I am a drunk. Furthermore, I function pretty flawlessly hammering bourbon and barely sleeping. Alcoholism and addiction runs deep in my family. My father gave it up years ago and has found religion in its place - no chance of going there for me - and I have become a master of hiding it in plain sight, either with clever excuses or well-placed anecdotes to explain a slip up, both to others and to myself. I can't survive much longer doing this. I’m 43 and aware of what this is doing to my body, and it is unsustainable. But I am also trapped in a cycle I have created for myself in that I cannot seek help, at least not openly. I am looked to as the rock for an unstable family situation, both immediate and extended. I cannot show weakness.</t>
  </si>
  <si>
    <t>I’m not sure if this is the group for this but I’m just really in need of some advice. I used to be able to handle drinking and casually going out with friends. But in the past two years I have had lots of blackouts. It’s almost uncontrollable. I am in a long term relationship that is constantly tested when I drink. There have been bad trust issues caused by alcohol, but he has stayed around and pushed through. He’s given me endless chances and I’ve told him that it won't happen again, but it does. I drink too much just one time, and it causes me to lie, treat him poorly or just be a mess. I can't lose him and I don't know what to do. I’m 23 and I don't even go out with my friends anymore because of it. It’s just the social norm and I have no idea how to move forward. I have gone months without alcohol, tried to slowly re-introduce, but it always ends up with just one bad night.</t>
  </si>
  <si>
    <t>January 22, 2008 called 911 and felt like I was going to die. Had been on a 30+ day bender and couldn't stop drinking. Ended up in the ER detoxing for 7+ hours. It was sitting in this room with monitors on my chest and iv's in me that I had hit a bottom at 43 years old. I had been drinking since I was 14. At 14, I drank about 1/2 pint of Golden Grain and felt like I was in an opium den. This is where it all began for me. I drank like normal teenage males drank until I hit about 21 years old and hit the bar scene. I always worked and held a job, but the disease started flipping on me around age 40. Furthermore, I no longer controlled my drinking, it was controlling me now. And the amounts were going through the roof and death was near for me, I could tell. Jan. 22, 2008 was it for me. I made a decision I was an alcoholic and I could never drink again. On Jan 23rd 2008 I started my journey. 5114 days later I don't feel like drinking. I don't want to go backwards. I don't want to suffer anymore. Furthermore, I battle through life sober now. Each year gets easier. If you have any questions or are struggling today please feel free to PM me.</t>
  </si>
  <si>
    <t>I'm just curious if anyone has experienced anything like this, the first time I got sober I don't member this happening, but then again that was a 4-day detox in the hospital. Anyway I'm like 2.5 days sober and the last couple nights this strange thing has been happening. For one, this is like, probably stay up too long tired (but it's nice to feel that real tired behind the eyes feeling again, not drink till pass out, if that makes sense) and I will be drifting off to sleep and just as I'm like transitioning into dream land the volume of the dream will suddenly spike super loud and jolt me awake. This will happen a few times in a row. It's sort messing up sleep, but I already knew sleep wasn't going to go back to normal in just a couple of days and despite this I still feel more rested.</t>
  </si>
  <si>
    <t>I definitely have a problem. The first time I had even one sip of alcohol, I knew it would fuck me up for the rest of my life. And here I am, 25 years old with a college degree working 40 hours a week at a gas station job that sucks my soul little by little each day. The only respite I have from how much I hate my life is by drinking. I used to go out and drink with friends, but now I just want to be alone and get plastered. I hate my life. Furthermore, I have attempted suicide twice while drunk and ended up in an inpatient mental health facility one of those times. Being in there gave me a sense of clarity I had never had before but, as soon as I got out, I went back into the same old cycles. Now shit is getting worse and worse. But I still can't imagine my life without drinking. I'm not ready to be sober, but I absolutely hate this life and especially hate what it's done to my body. I'm constantly making excuses for myself to drink, and I feel so out of control. Furthermore, I get drunk a few times a week and have sex with men that disgust me completely... Furthermore, I don't know what to do anymore. Furthermore, I can't stop, but I'm scared to admit that I have a problem. Both my parents are recovered alcoholics, and I'm scared I will disappoint them if I admit I am struggling with this. Sometimes I don't even know what's real and what's not. At this point, I feel stuck. I'm trying to move back in with my mom, but I'm paralyzed by fear and can't do anything to further this plan because I think I'm nervous to be in an environment where I won't be able to drink.... I need to change my life, but I just don't feel strong enough.... any words of encouragement are welcome.</t>
  </si>
  <si>
    <t>I moved into the city a few years ago after college. I now find myself getting blacked out every single weekend, sometimes during the week and just living in the same cycle unable to stop. Weekends consist of going out with my friends, drinking enough to black out, doing a bag of cocaine, sometimes molly, and just always going home with a random person. I’ve even gotten to the point where I will just meet up with men on tinder and get drunk with them to have sex, and never speak to them again. The problem is everyone in my profession is similar, all of my friends are similar and I just don't even know where to begin. I’ve gotten to a few days being sober throughout the week, but it just tends to happen during the weekend after I get a text from somebody to go out. After I go out I spend the whole next day or two in bed dying. I work from home, and so I just wake up a minute before I need to log in, so I haven't had any negative affects at work yet. Just - how the F do I stop this? I’ve tried, but a text from somebody just gets me right back into the cycle. I try going to the gym during the week and cleaning up so that keeps me distracted. But weekends are just completely different. What should I do?</t>
  </si>
  <si>
    <t>My dad started drinking shortly after his knee injury 7 years ago. At that time I was pretty young, so I really didn't think much of it. He wasn't able to walk for at least five months after it so I can only imagine what he was going through at the time while being bedridden. At first, all he did was cry when he was drunk. It was so loud I'd usually leave or stay in my room with music playing to drown it out. But as the years went by, he only got worse. Gradually he became more vocal, saying what was on his mind that he usually kept to himself when sober. Especially things about my stepmother or me that should be kept to himself. Even then I didn't realize the gravity of how wrong that was. Not until I got up to my senior year of high school. That's when he would shout and cuss at us. Not physically violent but enough to scare us. And I had such a hard time understanding why he was like this and why he would be harmful towards us. Now a few years after the pandemic I can't imagine how much worse he can get. He drinks and drives, mentally and verbally abuse me (recently come to terms with this), and drinks almost every day. I'd like to say that I still love him, but it's hard not to resent and hate him at the same time. I feel guilty admitting that, but I'm not sure how else to express my feelings about it either.</t>
  </si>
  <si>
    <t>Alcoholism runs in my family, I have been drinking almost daily for most of my adult life. Lately (the last year for sure) it’s gotten pretty bad as I switched to vodka water to cut calories? Sounded like a good idea at first, and it did help me shave off the 50 lbs I gained from drinking a bottle on wine/day a few years before. However, I’ve been consuming a 40 every 2–3 days these last few months, knowing that I am harming myself because I get depressed. I drink when I’m sad, mad, bored, alone, or having fun. But it’s gotten to the point that I need it right after work even before I go grocery shopping. This last week I have been feeling a lot different mentally and physically, work has become very challenging (I am a teacher hah) and so I need to get my shit together as I feel like I may have done damage to my body. My real question(s) is what will happen if I don't stop? Will stopping be enough? Is it ok to stop cold Turkey, am I going to be okay? I have to go to work tomorrow and I’m just feeling so lost on what to do besides just lay here. I didn't drink yesterday, so I am on day two.</t>
  </si>
  <si>
    <t>I think I might have a problem. It all started last year when my Nan died. We were particularly close. I'd see her almost every day, and I helped my mum care for her in the weeks before her death. I've always had bad mental health and depression, but it was manageable before this. After she died I started having severe panic attacks. Ones that were so bad that I'd be calling an ambulance convinced I was dying. They got so out of control that I quit my job, I stopped leaving the house, stopped meeting friends. I basically lost my life to the anxiety. The only thing that would stop the constant panic was having a drink. I'd have 2–3 glasses of gin and lemonade and the anxiety would just melt away. I began to use alcohol to be able to do normal things. If I needed to go to the local shop for bread, I'd have a drink first. If I was having a very anxious day, I'd have a drink. It wouldn't just be one drink either. I'd drink 3 quarters a bottle of gin. This has been going on for a year, and I'm scared. I binge-drink 3/4 times a week. Maybe even more. It's got the point that my mum is concerned. I get very defensive when she brings it up. I've done some really stupid stuff when I'm drinking. Furthermore, I have no control when drunk and totally self sabotage. Furthermore, I Slept with idiots who couldn't give a toss about me, put myself into dangerous positions, try to commit suicide. Furthermore, I don't know if I have a problem and I wouldn't know where to even look for help even if I did. Furthermore, I feel so alone and empty. Furthermore, I drank until 4am last night, and now I feel full of shame and regret because my anxiety is back tenfold and I have no one. Furthermore, I just want someone to hug me and say it'll be okay.</t>
  </si>
  <si>
    <t>I was sober for a week with no firm plan or do I stop completely or keep drinking over weekend. I had a shitty Wed and by Fri I was mad as hell, so, I decided I won't drink much, although a guy I'm meeting each Fri brings Yakima. So, he sat his ass as usual at 8 pm. I knew if I get drunk I would act like a maniac (because of so much of anger) plus I have no memory afterward. I was sipping myself tea for most part of evening, but the guy just could not stop talking. He talked continuously since 8 pm to 4 am. Somewhere around 1 am I was taking small bits of Yakima. Like a soup spoon every half an hour. With water and tea in between.</t>
  </si>
  <si>
    <t>I’m not an alcoholic, but I enjoy a few cans of Heineken a night. I feel that when I drink, I snore more. Which isn't unusual I know. I’m curious to know whether anyone suffered with bad snoring that went away when they stopped drinking? I’m also aware that losing weight can help with snoring - so quitting alcohol can in turn help.</t>
  </si>
  <si>
    <t>As of today I have a full week sober. If I had drank yesterday I would have probably started a fight with my boyfriend and had to get an Uber to stay somewhere else. Well, we woke up today and are having a great day. As it turns out, you CAN have fun sober. Lol. You just have to do something other than stewing at home! I also have a job interview coming up on Wednesday. Things just feel good right now, after spending the last few months always waking up sick and hungover. Coming from someone who has zero drive most of the time, you can do it too I promise.</t>
  </si>
  <si>
    <t>I’m 39 m and been an alcoholic since I was a teen. I finally got sober at age 35 but I’ve slipped real hard been on a bender for a couple of months. I’m drinking 30 standard drinks a day and trying to detox myself, I can't get into a detox or get Bezos. Today was meant to be the day, but 6 am the shakes set in so bad my heart racing, I’m aware of the dangers of alcohol withdrawal I’m sipping warm beer just got 3 down after the first couple just came up again. Not sure why I’m posting this really, maybe to keep all you sober people sober. I’m in so much pain, blood in my vomit, but I have no option but to try to get these beers in to make me somewhat well. Remember this shit if you think of picking up a drink again. It’s a slippery slope and hard as fuck to pull yourself out. Keep well stay safe and stay sober.</t>
  </si>
  <si>
    <t>Every time I drink the last 3 toes of both my feet and my ankles burn and tingle, and now my ring fingers and pinkies have started doing the same. I can't stop drinking. I’ve tried so many times, I have a therapist, I’ve gone to AA. Furthermore, I can clear so much booze it scares me now. Furthermore, I have almost died from drinking (not in my head like I had alcohol poisoning) and I don't know what to do at this point.</t>
  </si>
  <si>
    <t>Basically in order to unwind and help with my sleep I usually throw back two drinks every night. I’ll start off with Heineken throw back a sleeping pill and then have one drink, maybe another beer or glass of wine to round off. If I don't do this I will probably not get my full nights rest. I don't think I’m doing harm as i (think) I’m healthy, exercise daily and try to eat right and not overweight. I have issues with sleep so a beer and a sleeping pill can ensure I get a good nights rest without grogginess. My family on the other hand think I’m an alcoholic they don't know about my sleeping pills all they see is that I drink every night. I am not worried about this but lately I feel they’re being too judgmental. What r your thoughts?</t>
  </si>
  <si>
    <t>I have made legitimate efforts to change the person I am. I am close to 90 days sober, and I am so proud of myself. My brother who is 35 keeps going around and brining up stories of the person I was and how evil and awful I am. Literally telling new people who either come into the family or otherwise stores about me when I was 13-16. How I was evil, a brat, horrible, addict, terror. He makes these stories out like I did all these things just the day before. I haven't spoken to him in a very long time and I still hear from others how he is telling stories of me that either happened so long ago or absolutely aren't true. I am quite literally a different person today but nobody cares. My name still gets smeared across the board. Everyone I encounter who has met my brother first greets me with disdain and disgust. What's the point of changing and growing.</t>
  </si>
  <si>
    <t>I'm 22, been struggling with alcohol for a while. I drink alone sometimes but not very often. My main problem is controlling how much I drink when I'm out with friends. I haven't affected my life so negatively to the point I would call myself an alcoholic. I'm just wondering at what point does one realize they're an alcoholic. Bit worried about myself.</t>
  </si>
  <si>
    <t>I am feeling a bit low about it, she says the thought of a single cold-turkey day fills her with fear. I feel horrible knowing that, and all I want to do is help. But recently it feels like her disorganization and her chaos is pulling me down, and tearing my own life downwards. I don't want that either. She struggles with PTSD and insomnia, among other issues like self harm. I feel like I am making her seem bad, but she is beautiful, her soul is gorgeous, and she just needs to see that. Sometimes now I end up drinking with her, because for normal people I guess a few nights drinking isn't so bad... but It's starting to affect my wellbeing because my anxiety is high, and hangovers make that worse.</t>
  </si>
  <si>
    <t>My brother has been an alcoholic for some time, and I am just looking for some help in dealing with the trauma and stress he is causing, particularly towards my parents who frequently have to take him to the ER. It's been going on for a few numbers of years, probably going on 6. He has seen counselors and therapists, this afternoon he has ended up at another Hospital. He is 32 years of age, no one knows what to do. There are many people here who have admitted their problem to themselves and have turned the corner into being a healthy, functioning adult. Whenever I suggest something, it doesn't seem to work, or he doesn't take his problem seriously enough to change.</t>
  </si>
  <si>
    <t>I'm 18 years old, and I began abusing alcohol at 16 (drinking alone, at school, before any social outing) Not in huge quantities, but still very damaging to my mental health. It's hard to talk about it since I'm so young, it's very embarrassing. It's hard for me to completely quit, since my family drinks a lot. Also, at my age alcohol is involved in almost every social gathering and party. Legal age is 18 where I live, but almost all teens start drinking before that. If I refuse a drink, I know people will be confused and ask questions. I don't want everyone to know about this. I also love partying. Has anyone ever succeeded on just reducing the amount, or only drinking socially? Is it possible, or should I just stop? I doubt I'm able to completely cut it forever. Is it too late to go back to being a normal 18yo? I've also managed to drink only once since new year.</t>
  </si>
  <si>
    <t>I threw out a year and a half sober. 6 months ago I went to Las Vegas for a wedding with every intent that I was going to go to AA meetings and stay sober, but I ended up drinking... I have had a month or so sober since then but keep falling off the wagon. It is to the point where I have the shakes and feel like I will have seizures again if I stop... Every night I say it's the last time and then in the morning I wake up sick and cannot handle the consequences of what I have been doing to myself. I just moved to a new town, two states away from where my home group was, and it has been hard to go to new meetings with new people. Every time I go out again, It becomes even harder to come back. I'm going to go to my first meeting in this state for the first time tomorrow.</t>
  </si>
  <si>
    <t>Alcoholics, friends and family of alcoholics, I have a serious question. If you've been sober for 6 months after doing a 60-day inpatient rehab and have 2 drinks but immediately own up to it and are honest, do you consider that a relapse and do you think you should immediately go back to a 45-60 day inpatient rehab? My best friend has had struggles, but I don't know it warrants going back to inpatient treatment immediately and their AA sponsor didn't think it was an appropriate response either. They have an extremely manipulative SO who is emotionally abusive and gaslights to the nth degree and is all about punishment for past bad behavior. I question everything because of their past, but I also don't know how to walk the line of being supportive vs enabling. I hope this is within the rules, it's my first time in this sub, but I need help because I don't know how to help my friend.</t>
  </si>
  <si>
    <t>I've gotten down to drinking no more than 4 beers on Fridays with the rest of the week sober. But I'm still having this physical weakness, anxiety, and fear of leaving my home. Going to public events sober fucks with my head and I think and feel like I'm going to die. Constant anxiety. Does anybody know how I can cope with this ? My aunts' funeral is tomorrow morning at 10am. And I'm nervous and afraid I'm gonna physically feel like crap even though I've only had 4 beers. Vitamins ? Nutrients ? Anything that you all might know would help me feel somewhat normal ?</t>
  </si>
  <si>
    <t>I had spent about four months without drinking, I thought I could handle anything, so I had the brilliant idea of going back to one of my old hobbies... home brewing. I thought "well, my family drinks, so they'll enjoy it, even if I can't drink it". Honestly the stupidest excuse for it. The part that makes me really sad, was that, I was thinking about it and told myself in my mind, "well, chefs always try the food they make, this is the same, I'm not drinking because I want it, I just need to know if I made it correctly" I connected the keg, turned on the co2 and filled a glass. Four beer glasses after, and I can't stop feeling so, so weak, and broken, four months down the drain, and for what? Nothing. I feel guilty, i didn't get drunk, but I did get buzzed, and I kept lying to myself saying things like "this doesn't count i didn't even get drunk" but I know, I know I am lying, and I am not lying to anyone but myself. There is an entire keg in my fridge right now, I can't go near the kitchen.</t>
  </si>
  <si>
    <t>Delta 8 has been a miracle substance for me personally. I get a lot of the medicinal benefits of THC without an overwhelming high. To me, it feels similar to quality CBD but with a kick. Yes, I still get a buzz, but it is much milder than Delta 9 or illegal substances and that's why I like it. I can't get too high on it and I don't get the negative side effects I've typically experienced from consuming regular Delta 9 products. It's more functional. I'm an alcoholic addict and have been since age 12. I'm almost 30 now. Furthermore, I've tried many different things including medications such as Naltrexone and Antabuse to reduce or quit drinking and nothing has been very successful. Furthermore, I discovered Delta 8 in 2019. It has changed my life. I'm able to use it and get real medicinal effects with the buzz that I crave while still maintaining normal functioning. I still drink but not nearly as much. Furthermore, I used to drink 2 fifths of vodka a day with beer as chasers. Now I usually have anywhere from 2 shots and 1 beer to 4 shots and 2 beers a night. To me that is an improvement, and I'm not sure if I could have reduced the amount this much without my use of Delta 8 and other cannabinoids. This is just my story and personal experience, and I'm not telling anyone they should replace one substance for another.</t>
  </si>
  <si>
    <t>I've tried to rehab with Bezos like 4 times in 2 years with Bezos and stayed sober for a few weeks to months until the fuck-it moment. And then it starts again. I would like to try gradual alcohol reduction, so I don't have anxiety, spasms and cluster headaches. Does anyone have resources on how to proceed? Also, if I reduce my alcohol consumption I sleep like 6 hours a night and wake up with a very tense body and feel really weird and anxious. Any tips? I can't continue like that and Bezos don't help long term. My next move would be becoming a Buddhist monk (no joke). I just can't handle the suffering that comes with addiction.</t>
  </si>
  <si>
    <t>My drinking and drug use and brought me to a terrible place. I have lost interest in everything including my health and living. I need to make a change. Furthermore, I've tried over and over and not been able to. Furthermore, I want this time to be different. Furthermore, I have been using and drinking really heavy since Monday. Furthermore, I want to stop now, throw out everything I have and sober up a bit for an 830 meeting tonight. Furthermore, I will probably still not be very sober or just be messed up from not taking care of myself. Furthermore, I am thinking I need to start going to meetings right away to be able to stay sober. Is that how it works? Would I be better off recovering a bit and maybe going tomorrow or Saturday? And if there is anything that helped you in the beginning please let me know. I hope this all makes sense</t>
  </si>
  <si>
    <t>I'm 35 or so days dry after several years of progressive heavy opportunistic drinking (sneaking when I thought I wouldn't be caught) and am almost certain I have ADHD (psychogist has said likely and diagnostic test scheduled for later this week). That said, has anyone wise dealt with alcohol abuse as a way to cope with the disconnected and disorientation of ADHD? If so, how did you address ADHD after stopping alcohol? I suppose this isn't an articulate post - the concern I'm trying to address is knowing 1.) How much of my abuse was addiction related vs. Self medicated. 2.) Strategies to cope with ADHD without escape through vices. 3.) How did abstaining help (if at all) with ADHD symptoms?</t>
  </si>
  <si>
    <t>I’m not so sure if I am, but I like suddenly took a look at my behavior, and I was concerned I might be. I never get blackout drunk, and I never even get really drunk or so drunk that anyone could notice. Furthermore, I also rarely drink during the day. But have been drinking every day. And, maybe more importantly, nobody knows how much I drink. I hide bottles of wine in the back of my dresser so my boyfriend doesn't find out, and when I’m around him or anyone else I try to act as sober as possible. When I’m drinking socially I tend to drink a lot more than anyone else a lot faster than anyone else, but I never really act drunker than anyone else. I only drink about a half a bottle of wine or, if I’m out, 2–3 shots a night. Is this, like, an issue? Or is this normal since I’m functional and nobody is bothered by it?</t>
  </si>
  <si>
    <t>New to this sub. I have struggled with mental health my whole life, and recently I have become dependent on alcohol. I say I’m not or that I’m functioning, but the point is, I drink too much and it’s affecting my body and my relationship. My SO says I’m something of an enabler and that since he struggles with depression, my drinking isn't helping. I love this man more than I have ever loved anyone in my entire life. We know we’re looking at marriage, kids, and a life together. How do I begin my journey, so that I can help myself and help him? At present, I drink 5–6 days a week, at least 2 and often up to 4 drinks a day. Never at work or outside my house. Always in ?downtime.? But I actively think about my next drink.</t>
  </si>
  <si>
    <t>So like the title says I think I’ve caught on to the fact that I’m starting to develop a problem, I’ve went from social drinking to drinking alone and drinking 3 or 4 days a week. The reason I think it’s become a problem is that I hide it, and sometimes it gets in the way of things I should be doing. My question is, is it reasonable to think I can get my drinking back to an acceptable level without giving up completely as to be honest I still enjoy drinking on social occasions?</t>
  </si>
  <si>
    <t>I’m 28, female, been drinking a bottle of wine since I was 21. Some days more. I guess I’m just here to introduce myself. Sorry in advance for the long post. I’ve been going to therapy for a few years and frequently talk about my drinking but it’s not helping. Pretty much all my mental and emotional issues are resolved, but my drinking is still stuck, so I’m reaching out to my primary care doctor for possible medications. I’ve done some googling but curious to hear from actual people what different medicines do for them, both good/bad. I sometimes drink to deal with stressful situations, i.e. a bad day at work or fight with a loved one. But most times it’s just because it’s fun. I like feeling buzzed, a LOT. My husband smokes weed and doesn't really drink, and I’m really intrigued by vape pens because of the high but no smoke. He keeps saying I would really enjoy them, and it would save my liver, but the problem is I can't smoke because I could get randomly drug tested at my job. However, I could move to a different department, but it would be less pay and much more physically demanding. I really like my job now. I’m good at it and I love the challenges it brings. So I’m really torn. Anyone switch over to weed after drinking? Would love to hear how it went. I’m writing this after drinking two bottles of wine yesterday and as a result feel physically and mentally like shit. I hate this up and down with myself. Furthermore, I have to stop because I know I’ll die if I keep up. Addict brain is the worst.</t>
  </si>
  <si>
    <t>My friend (39m) is in the clear from CV-19 symptoms but still seems to be going through withdrawal symptoms from alcohol. The last two days have been scary. He has never really been religious, but starting yesterday he seems to have done a complete 180. Every time I talk to him, we talk about God and the devil. I am supportive but worried due to the fact that it's such a severe personality shift. Could it be DTs?</t>
  </si>
  <si>
    <t>I made it to day 5! My longest standing streak in will over a year and a half of binge-drinking. Day 1-3 was hard with intense WD of shakes, child, hot/cold, nausea, anxiety and no sleep. Day 4 was just a little restlessness, but appetite came back with a force and clarity started to kick in. At bedtime it was still a little tough for sleep but not like 1-3 and the nightmares became less. Cravings were the but I kicked there a**! Now here I am on day freaking 5!!!! Say what?!? I finally got sleep and only one nightmare. I woke up, cleaned my home, worked 8 1/2 hours and did an hour of cardio workout! Furthermore, I cooked my family a homemade dinner and I feel so proud of me today!!! It gets better! I know I am only at day 5, but it's hot by hour, and I'm doing it! I feel like I am finally starting to find me again as a wife, mother, and self. Hang in their friends! We got this!</t>
  </si>
  <si>
    <t>I only feel normal and clear-headed when I’m at least .1 BAC. I have never been a daily drinker or had cravings to drink in the morning or to go to sleep. Furthermore, I just have to drink like 6 or more drinks to feel comfortable in my own skin. Furthermore, I DK, maybe I have an anxiety disorder or something, but I don't have a job or money to seek out medical advice. Has anyone else experienced this when trying to moderate? I usually feel better/great if I can stay sober for a couple of weeks but that’s really hard to do when I don't have a definitive answer as to why I feel bad</t>
  </si>
  <si>
    <t>He has been abusing alcohol for years with many highs and lows but never truly taking accountability for his actions. On rare moments when I don't jump down his throat and take a quiet step back, he’ll admit he’s been drinking too much and says he wants to stop for a while. He hardly ever does. He’s had a bad week with drinking but said Monday (today) would be a fresh start. Instead, he drank all night and continued this morning. He’s currently passed out but with remnants of a cocktail next to him. What’s my move? Don't want to piss him off by getting mad at him, but don't want him to think I don't know? He needs to shape the F up. Sorry if this is the wrong sub but I’m just looking for opinions on something that might actually work because nothing I do ever does work. I know I can't cure him, but I want to help him as well as voice my personal frustration.</t>
  </si>
  <si>
    <t>I am 21 and have been drinking since 16. Once I start I can't stop just one drink turns into 8-10 and the night usually ends with me blacking out. I can go months without drinking and don't drink alone. I thought I was just a social drinker, but now I am starting to wonder if I have a problem. It's getting to the point where stupid things I saw when I am drinking are starting to hurt my relationships. I don't understand why I can't just have 2–3 drinks like most people. I've only been 21 for a few months, and I am wondering if I should just give up drinking entirely.</t>
  </si>
  <si>
    <t>I promised myself and my wife last week that I would not drink this weekend. Had a few CBD gummies after work on Saturday to relax and help with muscle pain. Woke up early on Sunday and ran some errands, but it all went to shit when I "couldn't help myself" and went to the liquor store to get a tall boy and Stole at 11 am. Started drinking it all as soon as I got home and didn't stop until 10 pm. Pretty much drank the whole effing thing! Now I have a roaring headache and feel like such a loser and disappointment for not keeping my promise. I couldn't even last a damn week. I'm at my wits end with this stupid compulsion to binge-drink until I'm trashed every weekend. It affects my attitude negatively all week (i.e. feeling rage) and, if I'm not careful, it could put my job in jeopardy. I need to grow up and stop this idiocy because it's sucking my life away and</t>
  </si>
  <si>
    <t>I (28F) have been with my boyfriend (29M) for a few years, and he used to just drink a few beers watching the football match with his mates on a weekend, but a little while ago he started making his own cider, and now he's drinking 40 pints every 3–4 days, and it's like it doesn't bother him anymore like he can just drink and drink and he is fine. What is going on here??? I asked him, "Why are you drinking so much these days?" And he replied, "I like a few drinks after work, what is wrong with that?"</t>
  </si>
  <si>
    <t>It's been over a year now of me going to work, coming home, immediately getting blackout, wake up, and repeat. All hope seems lost. Can't stay sober for more than 8 hours at this rate. It's gotten to the point where I seriously am considering trying to take my own life again. I have a well paying job, bought my dream car at 20 years old, I have a loving girlfriend, yet still feel like nothing but a failure. A disappointment to those around me. I'm functioning in life, but I'm not happy. Every day is the same vicious cycle. Drinking is the only thing that seems to make me feel genuinely happy. Am I nothing but a waste of space if I'm never able to quit? I kid myself into thinking I'm worth something because I'm a healthcare worker, but what good is that when I can't even take care of myself?</t>
  </si>
  <si>
    <t>I drink almost a 70cl of spirits a day mostly go all day until the evening then drink I’ve now started going off food An sleeping loads Or keeping awake till early hours and then sleeping during the day Got no routine My partner works a smokes weed but also drinks but only a few Jack Daniel's cans or one or two out of my drink I’ve tried contacting my dr for help but got nowhere tried contacting the local alcohol service but not heard anything back Have got plenty of issues Did go sober a while ago and that’s was only because my partner went into prison and I finally got straight and lost weight ECT Just feel stuck Don't want to break up with my partner, although he don't help me with controlling my consumption My family are basically useless and have their own lives to live Think they’ve got used to the way I am I suffer with bad mental health And it gets worse when I quit although that’s just another excuse</t>
  </si>
  <si>
    <t>Long story short I'm a 23-year-old alcoholic. My girlfriend (we have only been dating for 2.5 months)has been 6 months sober &amp; I tried to quit drinking because she's been inspiring me to do better. I work for a trucking company, and we drive across states for deliveries. I consider myself a pretty positive person &amp; these past 11 days I've been feeling much better... However, today my coworker &amp; I (on a long distance drive) got into an argument. I'm very high energy &amp; I started the day a little bit too positive for his mood. I was trying crack jokes &amp; stuff &amp; he just wasn't in the mood. He told me I was annoying &amp; it really hurt me because I thought I was just being friendly. Now I'm stuck with him for the next few days in this semi truck &amp; we've only exchanged a few words since our argument. We stop at a truck stop and I just needed to get something to drink. I bought two twisted teas &amp; the total for my purchase was $6.66 (for 2 drinks)</t>
  </si>
  <si>
    <t>I have been drinking a long time but the past a couple of days I went hard. I would get off work and just start drinking without any food in my system. Furthermore, I did this last week and noticed on Saturday my liver felt weird?like the area where my liver resides. It felt swollen and kind of hurt when I’d laugh. I ignored it and drank again that night. The next morning it kind of hurt but didn't feel swollen and my stomach hurt. It’s like I had the worst acid reflux ever, and I was so bloated and felt like shit the whole day. Like I couldn't eat anything and my heart was racing. No yellow eyes though so that was good right?? I poured out all the alcohol I had. I kind of don't want to drink anymore. That was scary and I’m worried I effed up my liver. I think I’m going to take a break for a while for so my liver can have a break.</t>
  </si>
  <si>
    <t>I think most of us say this everyday. But I’m laying here all alone. I hit her up several times and no response, just left me on read. I’m struggling to type this out on my phone. Furthermore, I feel my liver hurting and I’m deciding to be done with everything. Furthermore, I loved it and I love her. I’ll always appreciate everyone here and hope for the best for you all. No more drinking.</t>
  </si>
  <si>
    <t>After a year of going to meetings and being able to limit, but not stop drinking... I decided to go ahead and try Naltrexone. My doctor was excited to prescribe it as he said he had several patients find success. The directions were to take one pill a day for the first week and drink as normal. I did that, even though it was tough some days because the pill made me nauseous. One problem I noticed is the last two days "the buzz" has come back when I drank enough. Today I start my second week, where I double the dosage and try not to drink. I didn't get much instruction other than that. I looked up the Sinclair method, but you have to pay for that. Anybody find success with this have any tips or warnings? I have a "safety bottle" in case I</t>
  </si>
  <si>
    <t>Nine years ago, an event happened in my mom’s life that caused her to go down an alcoholic spiral. I’ve lived at home for 8.5 years of it. There were many nights of coming home to screaming, fighting, and overall abusive drunken behavior. Things would get thrown, banter would last hours, and it would be constant. There were also many nights of coming home to see her passed out drunk on the floor. Those nights were more bearable. All of this constant fighting, hatred, and fear developed over time. I would find myself jumping every time I heard a noise downstairs, thinking she stumbled, fell or stomped her feet. I would be scared to make a noise after coming home, in case she is passed out, and I could avoid being around her for the night. Now it’s at the point where I never know if she’s drunk. She’s been drunk working from home, when she drives, and in most conversations it’s like talking to a child, even when she’s sober. I’m starting to realize these traits manifesting in myself and I don't know what to do. I just want to get away from everything. I’m so tired.</t>
  </si>
  <si>
    <t>I (26M) got so drunk last weekend I fell over and broke a rib. Not the first time I’ve injured myself drunk, but never like this. I proceeded to get up and dance half naked on stage, with a broken rib. I brushed it off for a few days, but after the pain got worse I took myself to hospital. I’m housebound for the foreseeable future and it’s quite miserable. I’m on a low dose of codeine (prescribed) for the pain, so I literally can't drink, but this has given me a moment to think about my actions and how alcohol is ruining a lot. Furthermore, I want to get fit, lose weight, be healthier, study more, and focus on what’s really important. It’s been my goal to improve my life, and I’ve been trying, but that next drink has always taken priority. ? Just tonight? Turns into the next day, then the day after, which leads to 5 or 6 days in a row. I’ve lost myself in the process. I’ve taken breaks from drinking before, and God I love not being hungover, but I think ?just tonight? Should be a daily mantra I apply to being sober from now on - every day. I’m not worried about telling my friends I’m stopping drinking, but most of our plans revolve around it. I can stop drinking alone, but my worry is that a night out with my friends will trigger a binge or me drinking alone again. Furthermore, I have bipolar type 2 and when I’m hypomanic I tend to binge too. It’s always a balance. If you’ve been in a similar situation, how did you do it? Are you able to get into a place where you can safely drink?</t>
  </si>
  <si>
    <t>I am on day three of sobriety after binge-drinking blackouts (posted my mini story a few days ago) to shame and going through the WD currently. Today there was a bottle of wine that was not trashed. I didn't hide that I wanted it and my husband tossed it. This is the first time in over almost two years that I said I will not drink today!</t>
  </si>
  <si>
    <t>I've been a heavy drinker for the last 2.5 years. I started around 21 years old and basically started a habit where I drink way too much Vodka... every night. Furthermore, I went through my very heavy phase for the longest duration, probably for 1.5 years I was killing a 1.75 L in 3–4 nights along with beer. Then for the last year I've been trying my best to stick to a pint of vodka, but then along with too many beers. I got covid a week and a half ago so I didn't drink for around 4 days and my withdrawals were worse than ever. Mostly heavy sweating, heavy shakes, and that's mostly been it but then for the last two nights I've had Hypnagogic Hallucinations... all night. It's not as bad as what I've read others have experienced, but I'm still terrified cause it seems like what could come after Hallucinations could be Seizures. I fully plan on waning myself off now that I have a head start on the shittiness. I just wanted to see if there's anyone who has been in my shoes, and how you went about waning yourself off. Furthermore, I really, really don't want to go in to detox, although I know it's the safest. But would really like to hear what your guys experience was and maybe a good scale to go off of for the waning process.</t>
  </si>
  <si>
    <t>I'm definitely a functional alcoholic. I have a great job and can keep shit together to act like a normal human being. But I drink a lot. My go to at a liquor store after work is a couple shooters of vodka and at least 4 beers. This is on a light day. I just had a really stressful week at work, so my boss gave me Friday off. I don't have a girlfriend or anybody that lives with me, so I have no judgment whenever I become a fug gin degenerate. Consecutive Days off for me these days are just "well lets drink 1st thing in AM....you'll get drunk quickly....pass out....wake up....drink some more....pass out again." That has been my M.O. for a bit now. I think it gets worse in the winter since there is nothing else to do anyway. Well, I woke up today after this pattern and of course I went ahead and grabbed me a beer. Chugged it and felt uneasy right after I did it. I never puke up alcohol, but this was a rare time I actually did. I puked it up and then at the very end I puked up blood. It was definitely an "oh shit" moment for me. I thought it might have been a fluke and just a one time thing but when I was brushing my teeth I went ahead and forced myself to puke and yep of course some coagulated blood came out. Fuck. There's part of me that really is scared, and I think the alcohol numbs the other BS as well. Does this just seem like a stomach ulcer? I have no pain in stomach but I might be just numbing it completely out. IDK.</t>
  </si>
  <si>
    <t>I'd much rather spend that money on the booze. It's so expensive nowadays (at least in my country), that it makes me pissed that sometimes I'd rather to spend it on something I actually enjoy. I mean, enjoy way more than eating.</t>
  </si>
  <si>
    <t>So I talked to my husband when he woke up. He didn't remember anything but as I walked him through the events as I experienced them, he came to the same realization that I did. He knew he messed up and called our HMO about getting treatment that same day. The doctor prescribed naltrexone and counseling. My husband says that with the pills after he has three drinks, he doesn't feel like drinking anymore. He can go the week without drinking, then isn't feeling the need to binge on the weekends. It's still early but what I'm seeing so far is promising.</t>
  </si>
  <si>
    <t>Basically my coworkers and I went to a going away party for someone who worked there. Everyone had a drink, not me. I drank diet coke and had to listen to their silliness and genuine happiness as I stared at my sobriety app under the table, counting the minutes. Four months and ten days. Managed to maintain my fun-loving personality and I got home okay, but damn do I have a headache.</t>
  </si>
  <si>
    <t>Honestly it feels fucking impossible to escape alcohol references, whatever it is. Ads, friends and family drinking that of which I have zero control over because I currently live with. The only friends I have (those of which I have moved away from as to escape a city full of narcotics for my own good) all drink. Everywhere I look I see or hear alcohol it's nauseating. What can I do to make this easier? I feel like I've tried everything.</t>
  </si>
  <si>
    <t>I know I've pushed the limits for a while now. I don't have hangovers like we all complained about when we were young! Furthermore, I'm a spry 36-year-old that people always say looks much younger. (I guess good genes and I didn't smoke?) No idea, because I've destroyed my body the last 15 years. Nonetheless, I've become increasingly concerned as of the last few years. I attended an uncle's funeral and found out many skeletons of many people's closets, and it pushed me to the limit. Has anyone felt so bad after pushing the limits for a few days that they then become red all over their body and out of breath for a couple of days? Can't really walk right, shaking for a few days while still untaking like 10ish/night, horrific headache etc. for like a week straight? I mean I got the hot/cold sweats and tossing and turning, but I wasn't quitting. I was still at 10+/ night. Heart beating superfast might be the worst part. Honestly, it's not like it's the first time it's happened, but going through withdraws when I still was taking 10+ just so they didn't get worse. I realize it's not healthy. It's probably happened like 20 times over the last couple of years. I also work with doctors, so I feel like they all know, and I'm performing a circus act walking a tightrope. This last time was the worst. I do know inflammation is no joke, it's linked to like 120 diseases, (the worst being cancer, diabetes, heart disease), and alcohol causes inflammation, so it's only an amount of time. I just wonder what all those symptoms mean. The kidney alone can cause pain basically anywhere. Are all my organs are mad? My body is slowly dying? Both? I also just stopped using birth control. But shooting pains everywhere mixed with feeling like I can't catch my breath is scary when I'm a normal weight for my height. I think I reach an alcohol induced level of Armenia. I'm just scared of all the pains. Furthermore, I mean, for the last 7 or 8 years I've been averaging about 15 to 20 shots a night, (I've got single digits for certain months spread throughout). Furthermore, I mean, I guess I know the answers. . . I just need someone to talk to. I honestly think it's more than just an addiction. Furthermore, I think I'm unhappy, and it's not about myself. It's a general apathy about the world even though I'm the kindest soul to everyone. The world is a piece of shit and I realize I'm a tiny piece of sand in the ocean. So, I drink to ease the day when everything horrible is happening that everyone chooses to ignore and nothing is done about? Yes, I'm equating my drinking with the world's problems. Could I be much more attractive if I really tried? Yes. I have friended that, that's all they do and people think they're amazing for just being pretty. I guess that's all they care about. Could I have finished my masters? Yes. But, I looked into my career path, and it's not necessarily going to help with pay or competition. Could I have succeeded further though? Most definitely. I know I squandered opportunities and left some soot on some bridges. I'm upset about that. Could I save my relationship? Yes. I might be able to. Can I save my body? No idea. I feel like it's probably bad news bears. I think my outside looks a million miles better than what's hiding on the inside, and I can feel it physically.</t>
  </si>
  <si>
    <t>I was seeing this guy, let's call him L (25M) who was a recovering alcoholic. I didn't know at first how serious it was, and he was 6 months sober, but he said he was never doing that well before, and it felt different from any other time he tried. He was actively doing everything right, in therapy, built himself a structure to stay sober. I thought it was okay. We became very intense but were open and honest and happy, very emotionally available and healthy at setting boundaries. He did tell me a month in that his alcoholism was much worse than I had imagined before and then I started to wonder if he should even be dating since he didn't have a year. We had a serious conversation about it, talked to both our therapists, but since we seemed to be doing well, and he wasn't drinking and didn't think he would, we decided to take me going home for Christmas as a tester. I thought we were doing well over the break in seeing each other, and we were for a bit. But he apparently almost relapsed. He didn't leave his room for four days, two weeks after being apart. He didn't eat for 6 days, he lost a stone (14lbs), he had to stop himself from drinking by taking 2-hour showers, he told me he hurt himself which he never did, all to stop him from drinking. Furthermore, he said that he had built a structure to keep in going, but it wasn't study enough to handle the wobble of a new relationship. Furthermore, he was apparently doing well on the high of us being together, we were so happy and doing so well, but when I left he didn't pick himself back together or return to his coping mechanisms. We had to break up which is heartbreaking, we both feel so strongly about each other. I normally don't feel like connections are even real, but this seemed so rare. He wants us to try being friends, but I don't know if I can do that for him without it being complicated which would further jeopardize his recovery. I care about him so much and want to be there for him (there were other things contributing to his downward spiral, not just me) but I don't know how. Right now we are in limbo, going to talk again. I just want advice, or words of encouragement. I just want to know what I need to do so he'll be okay - I'm heartbroken we can't be together and the timings off, and so is he, but I don't want him to jeaoprodise his health and recovery. Furthermore, I don't know how to be there for him without being a problem. It also makes me doubt if his feelings for me were genuine and could have been healthy and good at another time, or if they were just a type of high? He says he won't try dating at all after this (we were just supposed to be a casual hook up, he didn't intend for this to happen but then, we clicked) because this is one in a million to him, which makes it even harder because I think he's right. I guess I'm just sad and scared for him. I wanted to be able to be with him through any of his struggled, even if he did relapse I wanted to be able to support his recovery, but I didn't realize how much I was putting it in danger. If anyone has advice or words of wisdom, that would be so appreciated. I'm kind of at a loss, I want to see him in any way, but I need to and will do what's best for him and his recovery.</t>
  </si>
  <si>
    <t>I am 24 years old, and I've just starting officially going out with a guy who is 28 years old. I'm a small woman who doesn't really drink so when we first went out, and he drank 15–20 pints of beer in one night I was taken aback, but I didn't think too much about it because people sometimes do like to let themselves go as people like to say. However, every time we have gone out to different pubs he is always drinking at least 4 pints to my 1 pint. He works in a building society and earns a very good wage, but after he's finished work he goes to his local for a few beers, and then he'll ring me (without sounding drunk at all, but I know he has a few beers because my friend works at the pub) and we'll go and watch a fill mat a cinema and then back to the local for a few beers, and then I'll stay at his place (he has a 4-bedroom house, and he has already let me have one of the rooms to myself). He never gets a hangover. Furthermore, he's up at 5am and gets himself sorted and then leaves to go to work. I've stayed at his for a few days and every day he drank 3–4 liters of cider, about 8 cans of beer and some whisky or a couple of bottles of wine. On a Friday he finishes early, and I meet him in town, and we go for something to eat, and then we'll go to restaurants and pubs and then get a takeaway and go home. On the weekend he'll cook us something to eat, but he drinks a couple of bottles of wine by 3pm and then we'll go out. He went to college and then university. He reads lots of books. Furthermore, he's a very educated man. Furthermore, he's also a very quiet man who never causes any trouble. From what he has told me, his ex-girlfriend wasn't very nice to him, and it hit him hard. I get on very well with his mother and I work part-time so sometimes I meet up with her during the week, and we go shopping or for a bite to eat. I mentioned my concerns to my mother, and she told me that I shouldn't worry as long as he treats me right and avoids drugs (her best friend died of a drug overdose). My father also used to go to the pub in the evenings, and it was never a problem for my mother. Should I mention anything to my new boyfriend?</t>
  </si>
  <si>
    <t>Oh, great. I've just got to this charming point in the proceedings where drinking actually makes you feel BETTER. I remember this, from last time. About 8 hours after I last drank (so basically your standard work day), I start to feel sick, and get the hiccups. If I persist, I start to feel like I'm going to vomit. If I still persist in my foolish foray into sobriety, I start vomiting. If that's not enough to push me back into a bottle, I then start vomiting blood. The tremors really kick in about then, along with the hallucinations, fever, hiccups and more vomiting blood. If I drink, though ... About 7 straight shots in short succession in, and my symptoms just go away. All I feel is pleasantly buzzed. I know I'm dying. Again. I know the symptoms, from the white shits to the seizures. It's been 7 years since I had to do this. I lived to see 30, my life improved. But now, here we are again, the only thing that makes me start to feel better is the one thing poisoning me. I think I'll go in for drug and alcohol counseling this time. Maybe there's help to be had there. This time though, I have good people in my life, who care if I live or die. Sending care out to all of us dealing with alcoholism right now. May you all be safe, recover, and be happy.</t>
  </si>
  <si>
    <t>I’m 29, will be 30 in April. I got my blood work results. My RDW and alkaline phosphatase are both high. Looked them up and these are both related to alcoholism and liver damage? I also have a high A1C for my glucose check. I go for a follow-up on Monday. Furthermore, I thought once I saw that I am actually damaging my body I’d feel more hardcore about quitting, but I don't and I’m super scared? Furthermore, I have sober days now. Like today. Then I fall off again and drinking during the middle of the day just to feel something. Why can't I quit? :(It’s ruining my life and my body. I find it hard to just be with my mind and thoughts when sober. I get bored and then drink again and then regret it. It’s the insanity cycle.</t>
  </si>
  <si>
    <t>I've been drinking every day since 15, I am 22 now look like a different person when I stop drinking i don't get withdrawals but only cravings. And yes I have been drinking every day for 7 years besides a month or two of intermitted breaking</t>
  </si>
  <si>
    <t>It's the definition of insanity. I wake up, decide I'm going to get my act together, only to wind up blacked out by the end of the night. My actions have become progressively more regrettable as I become toxic to everyone unfortunate enough to care about me. I feel genuine remorse for the unpleasantness I inflict on others, but that isn't enough to stop me cracking open another can, and repeating the same behaviors. Gradually I've started to set lower and lower standards for my pathetic self, and I still fail to meet them every single time. I've been hemorrhaging friends and relationships for the last year, and their departure is certainly not met with kind words, quite the contrary. I'm a software developer, and I'm less and less often able to keep up cognitively, if I continue I will not be able to keep this job, I will not be able to afford my rent and I WILL wind up on the streets. If that doesn't deter me, is there a force on this planet which will? I'm close to resigning to the fact I'll always be a drunk and there's nothing I can do about it.</t>
  </si>
  <si>
    <t>I’ve been an alcoholic since I was about 20 years old. I am one month away from turning 28, and I have drank alcohol pretty much every day since I turned 20. Furthermore, I tend to go up and down in my consumption sometimes I’m cool with just drinking a 3-4 and calling it a night. Other times I’m drinking 8-12. I’m currently in like a 7-8 a night pattern which is like just a normal day for me. I can't really seem to cut down or stop, my fear of boredom sets in and I drink. Furthermore, I never usually drink during the day because I work except on some occasions where I’ve had some to get rid of my hangover. Furthermore, I don't really exercise as much as I used to I used to be very active and eat healthy along with drinking every day to try to counteract it. I’ve noticed I’ve been getting heart palpitations or flutters the past week and rosacea from the heavy drinking lately. The rosacea will usually go away if I cut back.</t>
  </si>
  <si>
    <t>I’ve been sober for the past 2 months, recently got sick with a flu and my mother bought me some herbal syrup, and after 2 days of taking it I read on the bottle that it contains 10% of ethanol and I kind of got mad at it, I know it may sound irrational because it was an unintentional act, but still? I know it may sound stupid? I don't know, I think I'm just frustrated</t>
  </si>
  <si>
    <t>I bought a liver function test for $179 the other day. I don't know how I'll deal with results. My liver function tests were abnormal pre-COVID but could be explained by I'm a bit overweight. I've drank every night, no need to go into the office, since then like my life depends upon it. I got freaked out when I saw a bit of bright red in my stool. It's not fair to my parents and my sister's family. They don't deserve to explain to their kids how their uncle died at 39 from alcoholism. The scary thing is that I don't know if I can quit. The self-hatred is so intense. I literally cannot stand every part of my life.</t>
  </si>
  <si>
    <t>Hey there, I quit drinking about 6 weeks ago. 3 weeks in, I noticed some issues. All the symptoms point to low blood sugar. Does this ever balance out? My doctor is signaling that it isn't serious, but the symptoms are super disruptive. When I eat, it balances temporarily, but I am only now learning to be super intentional with what I am eating. It is stressful. Does this go away?</t>
  </si>
  <si>
    <t>Haven't bought any alcohol for home consumption in several months. A bottle of whiskey I have still has whiskey in it. Had 5 beers while out with friends 5 weeks ago, felt rotten about drinking too much. Had 1 beer while out with a friend 2 weeks ago, felt great about not overdoing it! Last weekend, took 3 shots of whiskey over 2 days, at home alone. Although you all will probably say that was a foolish decision, I am proud that I didn't go overboard with it, as I have done countless times before In my free time, I have been engaged with a new hobby, and have just not really felt like getting fucked up. Not sure how long my new hobby will be fascinating to me, but in the meantime I have had a couple of months reprieve from the bottle, and I’m actually feeling ok</t>
  </si>
  <si>
    <t>I don't know what’s going on with me. I drank almost every day, at least a 12 pack, but more commonly an 18 pack and whiskey. There were sometimes it was pretty bad. I’ve been doing that for about a decade. I think a lot of my problem was wanting a cigarette and not liking smoking unless I was drinking, and I didn't like drinking unless I was smoking, so they drove me to one another. Anyway, over Christmas it dumped a foot of snow and was too cold outside to smoke, so I cut back. I bought a vape and was able to just sit inside, and it didn't give me the drinking urge I normally had. Anyway, it’s been two weeks and I’ve maybe had five or six beers. If I wanted to I could just stop completely, I haven't had a drink in a few days.</t>
  </si>
  <si>
    <t>So I’d say I’m an alcoholic. I drink about every day and I like the person that I am when I’m buzzed. I don't really like to get drunk, but a steady buzz is perfect for me. I’m not unhappy I actually love my life and there is no real reason that I can think of as to why I am this way. I’m not depressed, although I do suffer from anxiety but I’ve learned to basically control in over the years. Every now and the if it’s bad enough I will take a Xanax to ease my mind, but I don't take them regularly at all maybe once or twice a year. I’m just confused because everyone you see that has alcoholism is usually unhappy and what not but I’m not unhappy. I know it’s a problem though and if I don't nip it in the bud it will be very bad. My mother and father are both alcoholics but my dad thank god has recovered and is a very strong-minded person. I haven't told anyone how bad my problem is because I’m embarrassed to be Frank and I don't want others to see I am weak. Where do I start to quit?</t>
  </si>
  <si>
    <t>Is managing drinking possible when you have a problem? I’ve been drinking every day for the past couple years. I don't drink hard liquor, and my drinking hasn't really impacted my life much. Furthermore, I usually drink 8–10 beers a night, and feel like shit when I go a night without it. Furthermore, I am only 20 years old and really don't want to have to quit all together but I’ve noticed a dependency, despite being a pretty good drunk for the most part, (not a big partier, and don't do anything to crazy), I have a history of alcoholism in my family and don't want to go down that path. Is being sober the only answer? Or has anyone had success with cutting back and managing there drinking? I know I need to do something, but I love drinking and don't really want to have to stop completely.</t>
  </si>
  <si>
    <t>At least when I was drinking, if I made a joke about dead babies IN FRONT OF SOMEONE WHOSE BABY JUST DIED I’d just forget that shit. Now that memory gets to keep me up at night.</t>
  </si>
  <si>
    <t>Hi, I'm hoping for some insight/advice. I'm (32f) currently separated from my partner (45m) of 13 years while I try to figure out whether I want to keep trying. My partner is a regular heavy drinker. He drinks to the point of being wasted every Friday and Saturday night. Also uses cocaine every weekend (small is amounts but very consistently every weekend). In the process of us becoming separated, I've brought up the issue of his substance use. My dad died when I was a child from an IV cocaine overdose, my mom was an addict, I have somehow narrowly avoided the same path. The cocaine is not the topic of my question but wanted to give context as to why I'm not ok with being around it. When I brought up the fact I'm not ok with the cocaine, he said he understood but "you know I'm not going to stop drinking". He feels that getting wasted every Friday and Saturday night is not an issue, he can't possibly be an alcoholic, because he doesn't drink every day. He has long-standing depression, anxiety, and a lack of self-worth. I told him that I wished he didn't feel the need to get so wasted every weekend. That if he found a way to be comfortable with himself, perhaps by engaging with therapy, that he might no longer want to. But it seems like he's not interested, and not willing to do this work. I'm at the stage where I'm thinking I want to start a family (I know . After 13 years together... we've both avoided thinking too hard about our future together). I just can't have a kid with someone who insists on getting blackout drunk and doing blow every weekend night. And those evenings when he's drunk are the only times when he's open with me about his depression and self loathing. Another huge issue is that he doesn't remember these conversations the next day. So... I guess my question is, am I crazy for viewing this drinking as an issue?? Am I crazy for asking him to consider therapy?? There's a lot of love there still... I see glimpses of the man he is outside the depression and self identity issues and this is why I didn't run years ago.</t>
  </si>
  <si>
    <t>I’m in tears, anxious, depressed and at the end of my rope. I had a terrible year last year and started drinking to cope around July/August. My father died so I drank more. My boyfriend left me so I drank even more. I drink about 7–8 shots of vodka a night. I can't keep doing this. How do I stop? I’m scared to go cold Turkey as I’ve heard that can lead to death. I don't want to die. I’ve just been in so much emotional pain. It hurts so bad to be so alone.</t>
  </si>
  <si>
    <t>Day 1 today. It's going better than expected considering my bender went on almost all day everyday last year. I weaned myself the past 3 days the best I could. I don't feel sick. But I am having the usual nightmares, insomnia, anxiety, and irritability. The thing that's bothering me the most is the irritability. I have a young child, and I date her father. Her father probably is setting me off the most. We never get along anyway, even before my long ass bender. Distancing myself isn't really an option. And advice to help myself out here??</t>
  </si>
  <si>
    <t>I joined this group hoping to add something to it. My boyfriend of 8 years and father to our 6-year-old passed away in 2020 after being a high-functioning alcoholic for 20+ years. He was 44. His body just gave up....kidney failure, pneumonia, tracheotomy, coma....and it's all because of alcohol. My daughter is still processing everything. My heart breaks for her. I am slowly realizing the emotional abuse I suffered.....and working through it. Something I need to highlight here, though is that I am so thankful he is no longer suffering and dealing with YEARS of pain due to childhood trauma and PTSD after being in the army. Towards the end of his life, the alcoholism was in the forefront but now that he is gone I've learned so much about the disease and the reasons people suffer it. Alcoholics: I feel for you. Please get help...and SOON. Deal with your pain sooner than later, please. I know this is NOT EASY. Just believe in how crucial it is. You deserve BETTER.</t>
  </si>
  <si>
    <t>(28m) I Feel infinitely better physically, focused on my health, eating right and exercising. Mental not so great, I’m in therapy regularly, have a good job, a good relationship, stability and hobbies but something really sucks and feels off 90% of the time, I’m always angry and almost act without thinking more now the did when drinking like I’m almost getting off on my bad decisions, (which are definitely waaaaayyy waaaaayyyyy less detrimental) but I’m bored and anxious, and I feel like an asshole in any social situations because I can't function and just want to leave. My social skills are basically non-existent. And the self loathing and hatred for myself continues to grow every day. But here’s the catch I have no urge or want to drink. I’m just stuck in this god awful sober purgatory. I have friends (that drink) and I have sober friends(who I work out with and get coffee with) but nothing goes beyond that. Furthermore, I have no life, and spend my time on this fucking hamster wheel of work, girlfriend,workout, hobbies. The repetition and stagnant boring stability is all I ever wanted when I was drunk and struggling to get sober, and now I have it and I fucking despise it. I just get pissed off for no reason, I feel like I’ve lost my sense of purpose and happiness. I’m Grateful I’m sober but fuck man is this it? Anyone else struggle with the same things? I don't work AA anymore, and have done meditation, journaling, and other recovery programs throughout my sobriety (inconsistently) but none of them really stuck, and I just feel like an anxious empty asshole who’s sober. Please help.</t>
  </si>
  <si>
    <t>Some of you may remember a month or 2 ago I posted on here. That in itself was a big thing for me. I had a couple of great, helpful messages and I set myself a goal. The goal was to get through the stressful Christmas period in work, and then, make an effort to stop drinking, as I was pretty close to being hospitalized with the amount of blood I was throwing up, and crippling pains in my chest. I just want to say thank you to those who took the time to message me with advice and encouragement. I am 12 days sober today. Longest I have been in about 15 years. I remember Day 8 was the hardest for me after a really stressful day with some other personal bad news, but I got through it, and I'm feeling great. Some nights I find it hard to sleep, but in general, it's not as bad as I thought.</t>
  </si>
  <si>
    <t>My roommate beat his opiate addiction only to find himself against another opponent in alcohol addiction. His family has a little money, but cant afford the higher advertised recovery centers. Does anyone know of any affordable local programs or facilities we can call?</t>
  </si>
  <si>
    <t>I never got drunk hiccups, no matter how many shots I slammed. Now I'm getting sick again with this so trying to taper back and eventually quit. Since I started trying that, I've been hiccuping like crazy. Aren't you supposed to hiccup WHEN you drink, not when you stop (or at least cut back)? What the actual hell??</t>
  </si>
  <si>
    <t>Pretty much what the title says. I have been depressed, popping pills and I drank every day since August.... I don't know if I really want to stop either... Furthermore, I want help but I am also suicidal and I just want my drinking habits to take over me and end it... I am reckless I know, but I didn't ask to be born, in fact my mom didn't want me because I was conceived shortly after her golden child was born. Furthermore, I really do just drink my problems and liver away.</t>
  </si>
  <si>
    <t>I was listening to a podcast in which the host was talking about her alcoholic father. She was talking about how painful it was to see her father get so far into his alcoholism that it was restructuring who he was. To my knowledge, he was an alcoholic all her life. Now, in her late 30s, he was the opposite person. As a kid, he taught her about being mannerly and how impactful kindness is. Later, when she visited him after needing to be hospitalized, he was unrecognizable and astonishingly rude to the nurses. She felt unwilling to see him for over a year as a result. It just made me feel worse hearing this. I know someone struggling with alcohol too, and it's in their family history. I know they consider empathy one of their biggest assets (that would be so crushing for it to fade). They do want to get better too. They are open to therapy as well. The issue is affording therapy... I even offered to pay. Other issues: empathy and social anxiety drive drinking &amp; fear demotivates sobering up. Also, don't you need to stably replace alcohol with something? I just want to know what else I can do. I'm open to anything. Furthermore, I won't regret my time spent on this. Should I be more assertive about helping?</t>
  </si>
  <si>
    <t>As dumb as it is, a South Park episode got me thinking about the fact that alcohol is still in complete control of my life. That moderation takes discipline. Ada Ada Ada long story short. Have any drinkers ever gone back to being able to sip on some alcohol sometimes without turning back into the 24/7 everyday all-day alcoholic?</t>
  </si>
  <si>
    <t>This is my first post on here. I hope you’re all doing well in your journeys. I’m going through a bit of an experience at the moment and figured this would be the best place to come if I had any questions regarding anything. So basically I’m 23 years old, 24 in a few days. For maybe the last 2 and a half years or so, I’ve been drinking pretty much every single night. My main drinking habit would be to have 3 or 4 large bottles of 6.8% cider to end the night on, then eventually crash to sleep. I’m not even sure how I allowed this to become a nightly habit in my life, but here we are. I’ve gone from a guy in a school not too many years ago, beaming with confidence, always complimented on my looks, skinny/lean, and had the whole world ahead of me. Furthermore, I am now barely a fraction of that person that I used to be. I’ve put on a load of weight and have let myself go completely. I’m ashamed.</t>
  </si>
  <si>
    <t>This is not about AA (you're welcome) -- I believe in AA, but I'm talking about an earlier step. We can call this "step 0.5: You can quit in 5 days and also not seize at an AA meeting." I'm talking about medical detox. Some vets of this sub probably think it's common knowledge, but if you're new to this like I was several months ago, it could save you a lot of uncomfortability. Once you learn how it works (or can work), you may not be as hesitant to look into it. This is how it has worked for me through a few relapses:</t>
  </si>
  <si>
    <t>Neuroplasticity is a process of modifying or changing the neural system. Neural pathways are the root, or we can say the reason for our habits and URGE to drink in cases of people like us who are addicted to alcohol. So if we can modify these pathways which actually begins the Day we were born then we can control our urge without any giving up and being demoralized every time because we couldn't control our urge. I HAVE TRIED IT MYSELF AND RESULTS HAVE BEEN OUTSTANDING. It will be my pleasure if this Post helps anyone and I could be any use to you.</t>
  </si>
  <si>
    <t>I relapsed about a week ago, after having 4 years in recovery. I'm really trying to get back to it, but I'm finding that I'm getting so annoyed in AA meetings now. Furthermore, I'm sure it's all ego and fear, but I need to find a way to stay sober and have other resources. Has anyone else felt this way after a relapse? Like everyone in AA is just annoying me lol, so I know it's me, but I can't get past it at the moment.</t>
  </si>
  <si>
    <t>Sometimes alcohol is the only thing that numbs it all It’s no secret that I’m an alcoholic. From my friends to my doctors, etc. Then tonight it just hit me all over again. I’ve been stressed since the moment I could process memories as a child. From trauma, to being disowned for being LGBT, being homeless, mental health and hospitalizations, etc. A family history of alcohol the that and the lifelong trauma just hits it all. Sometimes just drink it clears me for a bit and makes me feel like none of that never happened and I’m just?here for once. But then it gets worse I’ve lived with my roommate for a year, and he knows my history and I struggle sometimes. But I’ve never let him see me get this bad. The other night I went to my local bar for a while and kept drinking. Later when I got home I was still drinking. Ir got to the point I was breaking down and CHUGGING beers. My roommate found me slumped over the sink and I broke down in tears for a bit. The alcohol was taking more than ever, and I just fell onto the ground barely able to hold myself up and just broke down in a puddle of tears and a drunken mess. Thankfully, he sat there and listened to me and comforted me?which I really appreciate it I’m in therapy. I do coping mechanisms, I’m on medication, I’m doing better than I have in years. But alcohol is always around. Collapsed on the floor in a drunken crying mess?is just another memory sitting in my head. I’m thankful to know he wasn't judgmental but my drinking surrounding my head and ability to ?cope.? It?doesn't feel great. I want to quit but it’s been hard. Not to mention, but my full-time job is in a brewery. Home, work, it’s always around me</t>
  </si>
  <si>
    <t>For some reason, most of the time I'm watching some of them, it seems so relaxing and peaceful. They're just doing their own thing, talking to their fans, chilling, answering the questions, snacking on something...it almost feels like hanging out with a friend. And I usually start to realize, that these people actually have a fricking life. They don't have to drink alcohol every weekend, to feel "alive" and happy... I know this a totally random thought, but I needed to get it off my chest. Sorry for my English.</t>
  </si>
  <si>
    <t>I hate this? All I want is to be a normal person. I entered Rehab in August 2017 and started drinking again in April 2018. I’m not an everyday drinker. Sometimes I go 1–2 months without anything, but sure enough I am back to every time I drink, I will black out at night and by 7-8am the next day I am drinking again. Spending all day drinking and crying. Total mess. Then spend the next few days going through withdrawal. I’ve reached out to a facility to discuss entering IOP as I don't think I’m at the point where inpatient is needed, but I need to nip this in the bud again. Have too. Life is too short to spend it this miserable.</t>
  </si>
  <si>
    <t>Found an old shooter of fireball a while ago. Couldn't bring myself to dump it out and considered drinking it, thought about it for about an hour. Read a bunch of posts on this sub for first time ever and made/deleted 1 of my own. Talked briefly to 1 person and dumped it. I will not play the can I have only 1 game again. If ya want to talk or play some switch games hit me up.</t>
  </si>
  <si>
    <t>I've been an alcoholic on off since I was 11 (I'm 23 now). I go through long spurts of being fine and then always seem to spiral. Furthermore, I've been drinking every day since January 2021. Furthermore, I would consider myself a functioning alcoholic until late night hits. Lately I've been having the worst realistic nightmares ever &amp; breaking out in itchy hives. These nightmares are so real and almost always have to do with my child be harmed in my house. I don't think I've actually slept in 3 weeks. I feel like I'm just in a daze laying there sweating all night. Rehab or detox isn't an option for me as I have none to watch my child. My life just feels sick at this point. I'm so ashamed of myself. I just really need advice to pick myself up I guess. Don't really know what I'm looking for posting. I just feel desperate</t>
  </si>
  <si>
    <t>I'm the type of person that's always gotta "break the rules" or sneak alcohol into any happy/festive situation I'm in. Gatherings/hangouts etc. Going to the fair/carnival? Sneak in a little vodka and a joint. Going for a hike? Bring a bottle of wine for the summit. Going for a walk or a bike ride through the city with friends? Definitely pack some liquor to spice things up. I see examples in friends, movies, gaming etc. with groups of sober people having a bitchin' time, and I get jealous of their ability to have a truly great time sober, and just can't conceive of how to truly have a good enjoyable time without "breaking the rules" and spicing things up and getting a good buzz going. My main problem is that I just don't enjoy most other people's company unless I'm buzzed. Guess I'm a bit old and jaded, but people/humanity just fucking bore me these days. Not saying I'm any better, but when I'm sober I feel like I've seen it all. Then I have a few drinks and other people's outlooks, experiences and conversations are again fascinating to me, I'm happy, and I love and appreciate other people when I'm drinking. Does anyone else have a similar experience, and if so, do you have any methods you've used to capture and re-direct that elusive life outlook to when you're sober?</t>
  </si>
  <si>
    <t>So I relapsed but feeling ambivalent and not sure what my next steps should be. I was in rehab for 48 days which was awful... It was a nice place but god it was depressing being in there so long. Glad they enjoyed my insurance money. Went to a halfway house and got kicked out for "bad vibes" and yeah...seems like they only wanted people to be best friends with the staff and if you weren't feeling that you were out. Got dragged to so many NA meetings even though drugs aren't my problem. I was the lone alcoholic in the house. Then after getting kicked out they set me up in a place with 3 people for $600 a month. MY roommate had coronavirus too. I'm not going to lie it was all absolutely awful. I am very happy I have a car and job now! Furthermore, I miss my medical weed card, and I'm thinking of going back to AA on my own terms a few times a week. But yeah...waking up and work and then IOP then meetings then sleep repeat is not how I want to live...</t>
  </si>
  <si>
    <t>One of the reasons I married her is I like to have deep philosophical and sometimes very academic conversations. The average woman would just blink at me and smile during these talks, not my wife, she would understand and ask clarifying questions and have valid input. As time goes on she ?seems? To be getting (cringe) dumber? Is this common, is this a real observation? Any long term drinkers have any personal experience with this? Any spouse besides me experienced this? Any alcoholics felt themselves change this way? Permanent? Temporary? Maybe I am only seeing through a shaded lens because of my knowing she is an alcoholic? Bias?</t>
  </si>
  <si>
    <t>I am trying to stop drinking after 19 years of alcohol abuse. It's been hard for me to stick with it because excuses are easy to make, and I struggle to care about my own well-being which justifies my excuses. My partner of six years and I recently spoke about my alcohol use and how it's affecting her and our relationship, "I can't do this anymore" hurt to hear. This is the first time I have wanted to make a real effort to quit drinking. Although I have been drinking less, in both frequency and volume, over the last week and a half I don't know if I can stop entirely. I guess I'm writing this to ask for help and to and to remind myself of my problem and my desire to fix it.</t>
  </si>
  <si>
    <t>I am realizing my habit is turning very ugly. Last 2 months drinking 200-450ml + of hard liquor every night, sometimes during the day as well. I managed 8 hrs without a drink but the anxiety and kind of confusion was getting worse, so I decided to have a shot of wine. Feeling a bit better now. How do I go about getting a medical detox at home? I live with my folks and I also don't want them to know, and with school and work (both from home), I would rather just stay here.</t>
  </si>
  <si>
    <t>Don't ever have alcohol in the house. Rule #2 Don't drink every day. Rule #3 Only drink socially at a bar when your off from work. Rule #4 Look at yourself in the mirror every day and say "I'm not an alcoholic, I could always control myself while drinking" it has to be done permanently like brushing your teeth. Rule #1 cannot work without Rule #4 and everything in between. The mind will slowly start convincing itself that you're not an alcoholic, and you don't have a problem with alcohol. The bonus step is drinking lemon water everyday on an empty stomach. Look it up on YouTube, the health benefits are endless, and it could potentially counter the negative effects of alcohol over time. Good luck and I hope this helps someone out there in need!</t>
  </si>
  <si>
    <t>So my dads an alcoholic and been drinking all day like usual seemed normal not too drunk he went to bed like normal, but now it's currently 5:00am and he got up, and I heard him fall, and I go out to check on him, and he was shaking his eyes where open, but he was unresponsive it only lasted about 5 minutes but in that time I phoned the ambulance, but it got cancelled because my dad got up and demanded it not to come. He seems fine now fully compismentice just pale with bags under his eyes does anyone know what caused this he was also taking a heavy dose of amitriptyline the last couple nights and came off them abruptly that could be what it is not sure and of course I'm worrying because he refuses to let an ambulance come or get help.</t>
  </si>
  <si>
    <t>I'll get right to it. I'm 28, I drink every day, and I drink roughly 7–10 drinks over 8 hours consistently. Furthermore, I start around 5pm, and go to bed around 1am. Furthermore, I'm around 240lbs, and I work from home as a data analyst so don't exactly burn the calories associated with the drinks. Furthermore, I have a 1-year-old kid, wake up on time for "adulting" duties, don't typically nap during the day, and my career is taking off. Am I an alcoholic? I assume yes, but at the same time the only negative impact so far is financial (cost of booze) and in my own head as far as a guilty conscience in thinking I should drink less. But after contemplating my habits I always end up wondering why I think I should drink less, when everything is great despite it. Curious to get thoughts from others on this. Am I just a heavy drinker? Or do I need to snap out of some false reality?</t>
  </si>
  <si>
    <t>My wife, 38, has been drinking two bottles of wine every single night for years, and during that time she also gained at least 100lbs. For the record, I'm not an alcoholic, however, I was a stupid enabler, and thanks to this sub I'm not anymore. So we tried many things to try to curb her drinking, all the way from AA to Naltrexone and anything in between (I think), but nothing worked! WTF? It's like she's immune to certain meds, including the Naltrexone! And we had so many expectations! She has a Dr. who gave her the Naltrexone in combination with another med that I can't remember the Neil, (and she says she "wants to stop drinking", whatever that means). So my question is, have any of you guys experienced the Neil not working at all? Is there a plan B when that happens? She's been taking Neil methodically for at least a year, and I know that what we really need is for HER to want to change, but she has very little willpower, and in the meantime life is going by, so if there's something else we can try I'd love to know!</t>
  </si>
  <si>
    <t>I feel like an actual pig after drinking beers and eating a full ass meal afterward. I think it's unhealthy for me both mentally and physically. Furthermore, I need to do more cardio, definitely. Furthermore, I don't drink vodka or wine, or anything else because it's simply way more expansive, to get drunk on those for me.</t>
  </si>
  <si>
    <t>Got blacked out drunk and did my usually thing where I cry around about everything that happened to me. This time was different I threatened violence on someone whom I love a lot. I fucking hate myself now more than ever. The violence part is far away from who I am actually, hurting someone has never crossed my mind.</t>
  </si>
  <si>
    <t>I got very drunk last night and went home with an older man who was not that drunk, he drove me to his place. I'm a male by the way. There we masturbated to porn together, but I didn't want to do anything with him. I also had a few drinks at his place I don't think they were spiked they were from the can, but he could have done something when I was gone. Then I fell asleep on his floor and he went to his bed and then I woke up. I don't think he did anything to me, but should I be worried he drugged me and r*PED me? I'm afraid of getting a sexual STD which is why I ask. Am I being paranoid?</t>
  </si>
  <si>
    <t>My brother called me last night in a fit of terrible withdrawals and came out about the drinking problem that he has had for the last 2–3 years. This is also verified by another sibling who used to live with him, but kicked him out because he wouldn't get help. Now he lives alone. He will guzzle alcohol until he passes out (cheap vodka), wake up and get more, and drink continuously for about 3 days. He was calling out of work sick due to withdrawal and lost 2 jobs before this one. Furthermore, he is lucky they're keeping him right now, they're understaffed and need the help. When he's not drinking, he keeps up appearances very well. He often talks about job promotions or traveling or new cars, but also having money problems. Last night talking about his drinking, he's concerned he might be bipolar, and will go 3 days without sleeping which he says is his biggest motivation for drinking, he's also a veteran. (Can't sleep, so drinks he finally can. Have family alcoholics who encouraged this habit.) He almost had the police called on him for not looking after his son. He had ex-girlfriends watch him on the days he was supposed to because he was drunk. SKIP HERE: What can I do to help him without enabling him? Can I support him through the withdrawal and bring him to AA?(while he's feeling like shit) I think I can get him to a meeting at a low point, but haven't been able to convince him to see a therapist.</t>
  </si>
  <si>
    <t>I was the kind of person that can't stop once they start drinking, I wasted so much money and gained weight. Ruined friendships or potential partners by drunk texting. Every time I tried stopping I always picked up drinking again after a month or two, I hope to do a year now. I already sleep better, exercise better, spend less money, and do more things every day.</t>
  </si>
  <si>
    <t>I didn't even get to drink, and my body thinks it’s time to withdrawal. Or maybe it’s just a bad craving. Either way, I feel sick. And it’s been over four months. It’s like Naltrexone held back a real withdrawal and now I’m getting it. I’m not too scared I’m going to relapse. It’s just physically unpleasant.</t>
  </si>
  <si>
    <t>For the past year I’ve been spiraling. My relationship with alcohol has never been healthy. I could never just have one drink. But during the pandemic (like so many others) I became a daily heavy drinker. Hiding it from my family, daughter and husband (well at least I thought I did). These past two months had become a nightmare. All I could think about was purchasing, planning and hiding my next drink. What’s more I felt like hell, physically and emotionally. Throwing up, stomach pains, foggy head, exhausted, my skin is wrecked and my hair had begun falling out. I found myself thinking I’d be better off dead. I was hospitalized before Thanksgiving for heart palpitations. Turns out my potassium had fallen extremely low (guess why?) I was released without being honest with my doctors. I’m sure they knew what had caused it. Furthermore, I got my metabolic panel back and just like anyone could have guessed? Furthermore, I had all the obvious indicators of alcoholism. But I still hit the bottle with the excuse ?after Christmas I’ll deal with this?. I put on a brave face, but I was miserable the whole holiday. But there was always one little glimmer still left in me, that would say ?this isn't it, there’s something else for you?. Thursday I was driving and seriously contemplated driving off the side of the road. I wrote my husband a letter, I was still too ashamed of my addiction to say it out loud or to his face. And basically said I’ve been drowning in a dark place and I’m lost. Told him about the car incident and that it had scared the hell out of me. Told him I couldn't be a good wife or mother until I got help. Dumped all my booze and Went to the ER. Sat in the car for 30 minutes asking myself if I could really do this, and I did. I was completely honest and started medical detox. The staff, who I was scared would be judgmental, have been lovely and supportive. And so has my family. Currently, on Librium and Divan along with fluids and plenty of vitamins. After detox, I’ll be entering an intensive outpatient rehab program. I know it’s going to be one of the hardest things I do, but I’m so ready to be unburdened. Alcohol has felt like weights around my neck. Using alcohol to solve problems it was causing would have Killed me. But that’s what I was doing. Just feeling relieved, lucky and privileged. I hope some others bite the bullet, be brave and go get help.</t>
  </si>
  <si>
    <t>27/F I have been drinking for 12 years, and it has most always been to the point of blackout. I can barely remember most of my life bc I was blacked out the whole time. I got assaulted 4 separate times due to me being blacked out and I thought that everyone else drank like this as well &amp; bad things happened either way, and I am just now realizing that they don't and that I have a problem. Furthermore, I thought it was normal, and I had it under control until I tried to quit on my own and failed several times?. So I’m Off to rehab guys!</t>
  </si>
  <si>
    <t>I'm 28 I have a beautiful wife and 3 amazing kids. Since I've been 21 I've had a drinking problem. 12–18 beers a day. I tell myself every day "Today is the day" but it never is. I beg myself to just not drink, but I always let myself down. Furthermore, I'm a piece of garbage who can't control himself. IDK what to do besides cry and hope one day I will quit.</t>
  </si>
  <si>
    <t>Just Sitting and smoking and listening to music and hell I even sort of just need someone to talk to so if you need to feel heard or related to or just want to rant you have a safe space, and you can hit me up, and we can bullshit if you want I know how it gets</t>
  </si>
  <si>
    <t>It's not the app's fault, obviously. But since it shows you mostly the videos based on what you've liked before, lots of times I see some relatable memes about alcoholism, partying etc. Some are actually comforting and helpful, but others...well. Not as much. It's worse, when it reminds me of my problem. I automatically start to compare myself to others, suddenly getting into the spiral of thoughts, possible solutions and changes... And then I cannot focus on anything else. I am not going to completely delete the app from my phone, block everything that is triggering me, because it's actually impossible. Also, most of the time I enjoy those videos. The whole "For You" page is filled with this kind of stuff. Can anyone here relate? Sorry for my English.</t>
  </si>
  <si>
    <t>I grew up in a household of drug addicts and alcoholics. My dad was a huge drunk coke head and my mother was a meth head. She went to prison when I was a tween for meth and didn't get out until I was in my 20s. My dad abandoned us at 15, and I lived with a myriad of lovers until I was in my mid 20s. I finally was able to sign for student loans for myself and decided to work my way up in the corporate world as a professional. During this time I was a huge alcoholic coke head and heroin addict. I went to rehab for heroin at 23, but went back on it at 24. I have blacked out, been raped, prostituted for fun... Furthermore, I mean everything horrible and abusive I have done. At 30, I met my superconservative husband and had two kids. He likes to drink, but isn't a drunk like me. Since I am a functioning alcoholic and entrepreneur now making great money, he doesn't care what I do. I have two small kids who are super triggering for my drinking. I drink all day every single day to just cope with the fact that I have to care about anything. Furthermore, I haven't done drugs in 10 years at least. Furthermore, I tried doing Dry January, but I just don't care. Furthermore, I think I am trying to drink myself to death. Furthermore, I have achieved every goal in life, and it doesn't even seem to matter. Furthermore, I just don't care. Furthermore, I'm not rich, so I can't take a 90-day sabbatical to a magical alcohol free resort. If I stopped drinking I think I would just be a dry drunk. I honestly hate being sober. When I was pregnant and breastfeeding I didn't drink, and I counted down each minute until I could drink again. I have done years of therapy, antianxiety/depression pills, tried AA - nothing even provokes any change in my behavior. I don't know how to change, because I guess I don't have a reason to other than my health. Furthermore, I know I am slowly killing myself, but would anyone even care? Furthermore, I know everyone who posts will shit on me, but I am a real person and a lot of alcoholics like me feel this way. Has anyone ever found a way out of this? I have been an alcoholic since I was 12 years old. I will be 40 in a few months.</t>
  </si>
  <si>
    <t>It's when I know, there's at least one more free day I can just get completely hammered without any consequences.... But either way, I'm choosing to get drunk even the day before that. It's like "Why wait for this moment, when you can do this right now".... And it can be tricky sometimes</t>
  </si>
  <si>
    <t>It’s been 3 days since quitting, and I was feeling anxious, so I decided to have one single drink. I was wondering how others stopped drinking, because I’ve heard it’s bad to quit cold turkey. Should I go 4 days and so on? Or just stop all together?</t>
  </si>
  <si>
    <t>My sister is always drinking at family functions. I’ve told her in the past that she should cut down and take care of herself. So we have had conversations in the past. When she drinks she acts mean and can be rude. So lately I have been distant from her and her husband because they are either drinking or drunk. It brakes my heart that we are distant. But I can't take her being mean to me for no reason, so I rather just stay away. Has anyone been through this situation? I don't know what to do... I love my sister and care deeply for her. But it don't seem like she does for me.</t>
  </si>
  <si>
    <t>First time posting here (I think. I post random shit when I’m drunk in random places so IDK what I post where lol) So long story short, I just got out of a toxic relationship about two months ago, and substituted a different addiction I had with alcohol, without really realizing what I was doing. I reached for my bottle every time withdrawals would set in. Now I can't sleep, because I get cold sweats every time I try to sleep. When I do fall asleep, it’s only for an hour or two, with an hour or so of trying to sleep between (unless I drink). It doesn't help that I have very intense and vivid nightmares every time I sleep. I honestly want to avoid going somewhere to detox. And if I did take that path I’d have to move to avoid temptation, and I’m not In the position at the moment. I hate myself for putting myself in this shitty ass place. Feels like this are going to be the rest of my life. (Sorry for the long post)</t>
  </si>
  <si>
    <t>Is it possible to experience alcohol withdrawal without cravings? I'm on day four of zero alcohol after a few years of drinking every day and I feel like a bag of shit today. I've felt good the other three days, I've exercised a lot, read books, cleaned my disgusting room, and just had a lot of energy. Today I'm so fucking irritable and tired. I just want to go back to sleep, but I can't. I decided to quit completely at least for the foreseeable future because booze is taking up too much space in my life, so I want some distance from it. Plus I've gotten fat, and I don't like that. After reducing the amount I drink per day over the past couple of months, alcohol just made me nauseous and gave me headaches anyway. I wonder if this is withdrawal or just sleep deprivation or a winning combination of the two. I don't crave alcohol at all, which seems weird if I'm going through withdrawal.</t>
  </si>
  <si>
    <t>I always hated myself for being a loser kid with no social skills. I started going to bars and parties, but basically I have no confidence unless I am really drunk. Furthermore, I just go alone and get drunk and meet people. Like last night a bunch of people thought I was cool, no one would think that otherwise, and forget talking to women unless I am drunk. Blacked out for the first time.</t>
  </si>
  <si>
    <t>I've been having these very odd experiences. Randomly it's like my brain just stops working and goes blank for a few seconds. I'm still lucid but I lose all coordination. It usually happens when I'm sitting here playing video games and I just lose all form of coordination and can't even make a character walk correctly. It happened once when I was driving, but luckily I was on a straight, empty road and I didn't wreck. However, last night I was going down my building's stairs and it happened. I froze and then foolishly tried to take a step. My foot barely clipped the next step and I went down hard. My back is in so much pain right now. This is potentially very dangerous. I'm really poor, but I'm willing to see a doctor over this if you all agree that it's serious enough. I'm tapering off today and going sober until it either stops or I figure out what it is.</t>
  </si>
  <si>
    <t>I finally realized that I fell off the wagon and have gone back to some terrible habits. I'm not sure if I can get back to the place I was before. It's really only been the last two months, but I've been sliding and correcting for at least six. I really liked how I felt before, but I don't really remember how I got to that place of peace, and I'm not sure if I know how to replicate it. I think I might have been deluding myself because lockdown really helped. It really narrowed my interaction with my environment and the people I had to deal with. That's gone, and now the old stuff is back, and it's really dragging me down. I can see it, but I don't know how to fix it. I really don't want to re-experience the precipitating event that changed my attitude either, and I can't change my environment or the people I interact with right now. Do I hope for a better time or am I wasting my time?</t>
  </si>
  <si>
    <t>I while back I was diagnosed with ADHD which explains a lot of my behavior through the years. I'm happy to finally know what's wrong with me. Thing is that when they looked at my liver values I was denied medicine since they were way too high. I don't think I have a physical addiction since I've been sober since November without any physical withdrawal symptoms. My problem has always been that when I drink alone, I don't stop. 3L/1 big bag-in-box is not unusual for a single evening and then one more the next day etc. And it has come to effect work and relationships in the past. Plus I act like an asshole.</t>
  </si>
  <si>
    <t>So I've never naturally been "student of the year". With that being stated I find recently that I have been having more difficulty forming complete verbal thoughts without mixing up the words or even slurring a bit when I've had zero to drink that day. I am a regular drinker: for instance I had about 2 weeks off for the Christmas holidays and averaged about 5 drinks a night (sometimes 9 sometimes 3). I have been drinking less recently as I was a bad binge drinker for a couple of decades on the weekend and a terrible binge drinker 2–3 nights a week for a couple of years before moving in July. This is to anyone who has gained sobriety: if you have experienced this kind of cognitive impairment even when sober, did sobriety improve it? To anyone on this sub: Are you experiencing the same thing when NOT intoxicated?</t>
  </si>
  <si>
    <t>I'm not perfect at admitting things like this, but I feel like it's a problem I need to address and get off my chest. I'm 24 years old, soon to be 25, and I feel I am drinking way too much. Furthermore, I started really drinking when I was probably 19 after going through an experience where I was given herpes, and I was a total wreak and felt so lost and wanted to give up in life. Furthermore, I started to pick up drinking as a way to feel the hole for some odd reason. Furthermore, I would start light like a six-pack or two tall boys with 8%, but I started to not be content with that. Furthermore, I would increase to higher packs or more tall boys or a bottle of liquor. Nowadays I'm drinking a lot more like 3 or 4 tallboys a day, and I'm becoming really concerned with where it's going. I hate that I feel like I'm losing control of my life. I know I used it as a crutch for a hard time in my life, but I'm feeling so trapped by this. Furthermore, I'm in tears as I'm typing this. Furthermore, I guess putting in words and seeing it on screen is just a little eye-opening. If you know of good ways to try and curb drinking I would love to hear how you have managed to stop or slow down. I thank you for time and to help someone who is just feeling so broken.</t>
  </si>
  <si>
    <t>I was having a one-on-one @home evening date with my girlfriend. We made dinner/few drinks (for me one beer only, her many), then had sex, then decided to watch a movie together. Be close physically I thought. First time in a long time for us. She has been sick for weeks (always sick! Ugh). Towards the end of the movie she gets a text from a 2nd tier friend that wants to do FaceTime shots (happens all the time from this alcoholic friend). She leaves to pour alcohol and have her extra drinks and talk for a bit. WTF? I figured date night is over, and I just head to bed upset. 15 minutes later she returns ?why are you mad, this only takes a minute?? I was certainly being passive-aggressive in my ?go to bed? Response, but I explained I thought it was rude to take a call about alcohol from a ?I’d never trust anything personal? Type friend and disregard me completely after weeks of no intimacy. I tried to explain that I value and wanted uninterrupted quality time (but would make certainly make exceptions for her kids or emergencies! But Not this !) She thought I was being ridiculous and controlling because it was a silly stupid fun shot but no big deal. She was pissed that I was pissed. I was being petty for a minor thing. It’s like any thought of alcohol (with her alcoholic friends) and other sober people around will go invisible. We are not fun or relaxed. Or Easy going. Just judgmental. She’s Protecting herself. She thought I should’ve been easy going. I ruined the night by making a mountain out of a mole hill. I’m the inconsistent one ruining the evening, not her. She’s Projecting. I’ll be always secondary to alcohol, right? No chance for true dedication to us from her, right? No vulnerability, right? No real intimacy, right? Sober people don't matter, right? It’ll all never happen as long as alcohol controls her, right?</t>
  </si>
  <si>
    <t>22F. Hi. I wanted to know if any of you had ever experienced with delirium treens or at least strong alcoholic hallucinates. What was your experience like and did you go to the hospital. I wanted to share my story and have your opinion on it. Sorry if it's a little long. I'm just so traumatized. I have been abusing alcohol for at least 2 years now with a 4/5 bottles every week. Two weeks ago I went absolutely nuts (I suffer from anxiety and alcohol was the only thing that helped me) and in the span of 5 days I drank 7 liters of vodka. I didn't sleep or eat anything during those 5 days. I also wanted to end it all, so I did some stupid shit and took 5 painkillers. Then I stopped suddenly. My mom sent me to the hospital, but I managed to escape. Got home. My hands were going crazy. I could not recognize anyone around me. I asked my mom her name multiple times. Which city we lived in. Stuff like that. Then I was rushed to the hospital again. They thought I was just being drunk and annoying so they locked me in a room for a few hours until my mom came to pick me up. I got home, fell asleep for maybe 15 minutes, and when I woke up I was experiencing delirium treens symptoms. I had the most terrifying auditory and visual hallucinations. Furthermore, I heard voices criticizing me, telling me my life is over. Furthermore, I was seeing things move in the room. Furthermore, I also felt like someone was touching my leg. It is truly the most terrifying thing someone could ever experience. You really think you are going insane. I heard the same song replaying in my head over and over again. When I clicked on a YouTube video, instead of the sound of the video, it was flashbacks of my mom's voice screaming at me, and when I paused the video it stopped, when I clicked again it continued. It was so precise. I went outside and the sounds of cars driving by were my mom's voice screaming at me. Anyway I was about to literally die, so I called the ambulance. I was rushed to the hospital and I explained all my symptoms. I thought they would help me. Instead, they locked me in a room with nothing but a bed and a straitjacket, which thankfully they did not put on me. They gave me nothing but a tiny glass of water. No medication. NOTHING. Now imagine you are already going insane, have been sleep-deprived for 5 days, stopped alcohol suddenly, you are hearing voices, and you are being forcefully locked in a room with nothing but your thoughts. It was the most terrifying thing ever. The hallucinations became even stronger. I was sweating everywhere, but I knew I had to act normal if I wanted to get out. So I just walked around the bed. After being locked for 3 hours in this room, I was sent to a mental hospital which was what I asked for as I thought I was going insane. They gave me a Valium which made me feel like my heart was going to stop. They also gave me vitamins. You really think a mental hospital is a place with just depressed people, but it is something totally different and terrifying. On top of that, my hallucinations did not stop. I knew they would not do anything for me, so I convinced them I was just too drunk and everything was back to normal now. I was sent back home after just a day. Furthermore, I immediately went to my family doctor, and he is the one who prescribed me Hall to stop my hallucinations and other medication such as antidepressants and Xanax. Imagine the hospital not helping you for 3 days, but your family doctor does in 10 minutes. I took Hall for maybe 5 days. Now I'm back to normal. I've been sober for 2 weeks. I miss alcohol but I was so traumatized. Furthermore, I'm glad I'm on antidepressants and I feel I'm becoming more and more myself again. What do you think, and can you share your experience with delirium treens/alcoholic hallucinates, and if you went to the hospital, how did they treat you and stuff? What did they give you?</t>
  </si>
  <si>
    <t>I am currently controlling my mom's alcohol intake, and we agreed on two beers each day one in the morning and one at the night. However, today even after she had two cans, she is still in a bad mood, and is really arguing with me to bring one more. I am debating whether to do it or not? 80% of me doesn't want, but the rest 20% is deliberating over it. Is it fine with just one extra or should it be controlled? FYI, She was drinking heavily about a week ago.</t>
  </si>
  <si>
    <t>Us there to rant I suppose. I don't know why I drink, but I do know that I want to stop. I’m 21F living at home and I know I’m scaring my mom as well as my older brother. Furthermore, I know it’s time for inpatient treatment and am currently browsing options. Furthermore, I just can't help but feel like a huge disappointment. Furthermore, I don't want to die from this. Furthermore, I have a lot to live for and so many people who love me/will be destroyed if I don't get help. Hugs to everyone else battling this horrible disease.</t>
  </si>
  <si>
    <t>I made it? Once again. I’ve relapsed so many times I can't keep count. This time will be different though, but I won't get my hopes up. I always disappoint myself. This time I started working out, taking vitamins, bought a juicer and make some delicious, healthy juices. I eat healthy. I don't miss alcohol and I haven't had an itch. I’m even doing intermittent fasting and have lost some weight. BUT I’m scared I’ll fall back into it. Alcohol destroyed my life, my finances, my relationships, etc. My liver and right kidney are screwed. It scares me that I still have doubt to relapse?!!! HOW??? I should be DONE! Please pray for me.</t>
  </si>
  <si>
    <t>I have a problem, not particularly alcohol but substance abuse. I suffer from PTSD and a few other mental instabilities. My partner vocalized I was drinking too much: every night taking 4-6 double shots. I decided to stop this New Year’s Eve. But am I still able to drink at all being an alcoholic? I like to enjoy myself and my time with my partner. Being a stay at home mom I don't get much going on so getting drunk gives my day a spin. Is it okay if I drink weekly? How should I go about it?</t>
  </si>
  <si>
    <t>I’ve been drinking 8–10 drinks nearly every night for the past 4–6 weeks. I’ve only gone 1–3 days without it in the past month and a half, but when I do take off from it, I feel perfectly fine. Should I expect to have dangerous withdrawals if I keep this up any longer?</t>
  </si>
  <si>
    <t>I’ve just found this group after growing increasingly anxious over my drinking habits. I’m 21F and I’ve always had impulse issues when it comes to marijuana, other drugs, and recently alcohol. Furthermore, I find that as long as it is not around me, I do not crave it, but when it is in my reach I overindulge until the substance is finished. Furthermore, I recently stopped smoking weed, not a conscious decision as I did not feel dependent but it just didn't interest me anymore. Furthermore, I struggle with anxiety and insomnia, and have been fixing myself two stiff drinks before bed instead of smoking every single night. Furthermore, I don't end up sleeping until I get the spins and really feel it. Furthermore, I don't drink during the day and don't find it affects my life outside later hours, but I’m worried that this issue could progress.</t>
  </si>
  <si>
    <t>First me 21(m) and my dad 43 live alone and its only me that work. I gave him all my salary to pay for rent and groceries. Every time he drinks he invites his friend all party all night long when I told him to turn down the music I receive the same response every time that I can't let him have fun, and he just starts shouting and insulting me saying that I will die like a dog without him etc. so how should I talk to him about his problem because when he is sober it's the only time I can speed to him. We don't have that much of a conversation when he is sober someone please help me.</t>
  </si>
  <si>
    <t>Didn't think I'd make it to now. Last night (a few hours ago) I was craving pretty hard for a beer, but forced myself to wait until the Liquor stores closed at 10:30pm as they do on the weekdays. I've been sober since Wednesday. It's Friday now and if I can make it passed 11:30pm tonight when the stores close, I'll have made it again, happily. I thought I'd feel like Shit but honestly ? I FEEL AWESOME ! Furthermore, I Also have managed 2 full days without smoking cigarettes. Furthermore, I've been a heavy smoker since 16 years old and an on and off binge drinker (beer only) for the entirety of my 20s.</t>
  </si>
  <si>
    <t>I’m 22 and both of my parents are heavy drinkers. After living in a household where it was so normalized, to going to the college life of hopping bars, I thought as a late teenager that I’d just start making most of my personality revolving around me liking whiskey. Well, turns out I like it a little too much. I got Covid and spent the whole quarantine getting hammered with my GF (who doesn't drink btw), I’d hide it from friends and drink alone, and I treated it like it was a part of my daily routine, half a fifth of whiskey and a coffee in the morning and I’ll be fine. No more, I’m done letting it affect my anxiety, my depression, my relationships, and my finances. I quit nicotine a while back, I can quit this too.</t>
  </si>
  <si>
    <t>I’ve been wrestling with the thought for a bit now. I’ve done online tests to determine if I have a problem and I’m just at the very edge of those tests. Sometimes I’ll hide wine from my partner. And when I go to the bathroom I’ll drink some. I am going through a lot with my mental health and our relationship and when I feel sad or down I want it, and it makes me feel better. But on the other hand I have control over when I stop, how much I have, or if I have it or not. What should I do? Does this mean I have alcoholism?</t>
  </si>
  <si>
    <t>Any tips for learning to manage your mood as you cut down/stop turning to alcohol? I have been doing so much better, and I WANT to keep it up. I know that for a few years I have been using alcohol to fill my senses because I am a very emotional person. Furthermore, I am happy on my sober days. Furthermore, I notice though that I am easily agitated and angry and then of course I want to turn to drinking because I haven't forgotten how to ease myself and being more easygoing. Any tips to transitioning? Tips for managing the anger and agitation?</t>
  </si>
  <si>
    <t>Hi this is my first time on this sub, but my mom is an alcoholic and throughout this past year she’s gotten worse and worse and now she’s lost her job and is just drinking and sleeping me and my brother have to take care of our dogs now, and she gets extremely mad at us when we can't do what she asks. She has said multiple times that she doesn't want to go to rehab, and she can get sober herself, but that was over a month ago, and now I can't even talk to her about it without her getting mad at me, and she makes everything seem like my fault or blames it on my dad or brother. It’s come to the point where I need to talk to my dad about getting her into a rehab center against her will, but I just don't know how to bring that up. And then my girlfriend says that the next time she’s belligerent that I should call the cops and get her into rehab that way. I hope that this is making sense and I guess I’m asking if anyone has any advice or has experience from a similar situation. I’m just tired of having to deal with this everyday and with the housing market how it is it’s very difficult to find an affordable place. Thanks for reading if you’ve got this far.</t>
  </si>
  <si>
    <t>What's the best detox for my follicle test that's in 20 days when I drank 5 days ago. I'm in AA and treatment, but the holidays are a huge trigger. I just found out about the test and wasn't expecting this. Furthermore, I was my kids primary guardian and this year was my first ever in 13 years without them. They are with their narcissist father. Now, to get weekends I have to pass this test. I appreciate the help. I am also gone to start Sober link which is a personal breathalyzer.</t>
  </si>
  <si>
    <t>While withdrawing from alcohol, I was careful to avoid caffeine since I noticed that it would worsen my jitters. Still jittery and reluctant to visit the doctor for benzodiazepines, I wished I had some type of downer to calm the jitters. I remembered the bottle of Bacon that had purchased for anxiety. It is a herbal supplement and I recalled how tired it had made me. I took two capsules and noticed a dramatic improvement in my withdrawal symptoms. I no longer felt as jittery and if I recall correctly, my insomnia actually subsided. Afterward, I decided to look online to see if there was any information relating to Bacon and alcohol withdrawals. I found at least one scientific study, and several articles mentioning that Bacon has been found to help withdrawals, and is used in herbal medicine for that purpose.</t>
  </si>
  <si>
    <t>Pretty much as title says I have found I can drink every other day without withdrawal, but I know this is a slippery slope but does drinking every other day so if I drank Monday and not Tuesday but drank Wednesday can that cause withdrawal still? I'm letting my body detox for 24 hours, but I am very concerned drinking every other day may cause problems.</t>
  </si>
  <si>
    <t>I've come here because I don't really know who else to talk to about it, but I've been sober about 5 months now (court appointed breathalyzer 3 times a day) and it has been such a weird mixture of exhausting and refreshing. Normally when I would have a shitty day I would go to the bar and get at least a decent buzz and sometimes even just when having a hood day. I have been drinking pretty consistently since I was about 16 I'm now 25 and finally realizing that it was not a healthy way for me to deal with my problems and I feel some kind of proud of myself even if no one else can see it. I have taken a lot for me not to just turn right back to the bottle whenever I have a shitty day at work or a shitty mental health day or when I'm just bored, and I don't know if this post necessarily belongs here, but I just felt like I needed to be heard by someone maybe someone can relate to me a little bit or something. Sorry this was sort of just a word vomit but man I really just needed to talk about it, I guess.</t>
  </si>
  <si>
    <t>I’ve been drinking frequently for a few years now, and it’s only grown worse. I can't remember the last time I went a week without getting drunk at least one night. Furthermore, I have been in denial about how much it has been affecting me, and how much I have been using it to cope. Last week I was drunk three nights, and then I went to a get-together New Year’s Day that started at about 11AM with my brother and some cousins. I went into the get-together still intoxicated from drinking until 4AM the night before. Everyone there drinks, and we started drinking right off the bat. It didn't take long before I quit remembering and blacked out. I was up until at least midnight drinking. This was my final straw with letting myself drink, and I have not drank since and trying to give up drinking altogether. For those that have quit, how long did it take for the anxiety and fear to subside? It’s day 3 and I’m still super anxious and I’m scared to death to talk to anyone that was there. Because I blacked out I have no idea how I acted or what I did. I have no idea how much of a fool I made myself. I’ve also been very scared to talk about quitting drinking with anyone. Any insight or tips would be much appreciated</t>
  </si>
  <si>
    <t>I’m very excited because I’m going to move in with my boyfriend for the first time in 2 weeks. However, I’m very nervous. My boyfriend hates when I drink and is a huge factor in his hesitation to move in together. I understand I need to kick this habit for good, so I don't ruin my relationship. What are some suggestions to maintain this goal? I know it gets easier as time goes on but I’m asking for any advice, so I have as many tools as I can to get back in control of my life.</t>
  </si>
  <si>
    <t>29F been drinking a bottle of wine a day for over a year and now approaching on 2 bottles on most days. I’ve gained 25 lbs, my skin is shit, my IBS is significantly worse, I plan everything around being home to drink, and now dealing with depression. I used to have more energy and spent time doing things that I love. Now I do nothing. I’m tired of it. I want to stop before I completely ruin myself and my relationships. My family, friends, and in-laws drink a lot. I’m hoping for the strength to say no and enjoy my time with them without getting drunk. Just want to get my thoughts out there?.</t>
  </si>
  <si>
    <t>For those that drink and have texted inappropriate things to someone outside your marriage/relationship, do you remember doing it? Is it something you forget? Checked my SO messages (first and only time in over 6 years together) and he’s been texting someone inappropriate things and sent inappropriate pics even. He denied it completely and refused to let me hold his phone then deleted the text thread (which had silenced notifications) and said he was embarrassed, once he let me see the phone only that text thread was missing. He first acted like he didn't know what I was talking about and gaslit me. Don't remember or truly embarrassed, that he got caught? He claims she sent him some inappropriate messages, and he entertained her some but nothing bad. They were actually hardcore sexting. Is it even remotely possible that he would not remember sending any of those messages? He claims if he did knowingly send those messages, that he wouldn't have kept the messages for me to find. Which tells me he was likely deleting them before he added a passcode to his phone several Months ago but I wouldn't know either way. I caught him FaceTiming with her in the middle of the night while I was out of town for medical care. He said he wouldn't communicate with her anymore after that because he lied to me about talking to her and gaslit me, like usual. I hate to say this, but I don't believe him whatsoever. Would appreciate any input on how drinking affects your memory of things like this.</t>
  </si>
  <si>
    <t>I am hoping that someone has any experiences that can help us. My nephew was detoxing at home (because a PCR result didn't come back in time) and he had a seizure. It was the scariest thing I had ever seen, he bit his tongue and there was blood everywhere. The seizure lasted a few minutes and when he came out of it he was confused and shaky. The ambulance took him to the hospital, and he is still there. He went on Sunday night and is still confused, hallucinating and has to be restrained. I expected him to have snapped out of it by now. Can the results of a seizure from detoxing last this long?</t>
  </si>
  <si>
    <t>Friends in this Subreddit, it's been a year since I last drank. I can't believe what I'm seeing. Especially at the beginning, I couldn't have done it without the help of this sub. I have always spent my time reading useful books like Think Big and Rich Dad Poor Dad. I also earn useful skills online from websites like The Lifestyle Lab, Cambridge 99, and Learn a skill. Furthermore, I think I am better off. Thanks to everyone who helped me get to this point. Let the rest of us know you're up to the task by keeping up the excellent work!</t>
  </si>
  <si>
    <t>I made an earlier thread about my pancreatitis and It's so hard because I'm through NY withdrawals now and almost better and all I can think about is getting out and drinking. I'm determined to not drink NEARLY as much as I did before, but my fiancé is also an alcoholic, and he didn't get to detox with me, so I'm terrified I'm going to be drinking with him as much as before. How do I tell him I need his help with this without forcing/asking him to go through withdrawals?</t>
  </si>
  <si>
    <t>Not sure if this is the thread for this but can any of you point me to good subs? I tried another group, and they removed it because that group is only for alcoholics. My husband is 35 and showing signs of Jaundice. He says he wants help and is willing to go to the Dr. We both have a Physical scheduled for February 1st as that is when our new Insurance kicks in. He said he plans to tell the Dr. Everything and get help and try different medicine. Furthermore, he has cut down about 50 percent on his drinking but can't get rid of the rest. Furthermore, he told me he doesn't even enjoy drinking but can't figure out how to break the habit. A few years ago he was a Weekend only drinker or someone who had a beer on occasion. Then it turned into a beer every night. Then it went to vodka Evernote to now it is drinking all day long. I am ashamed to say I didn't know he was drinking at work until he lost his job. Lost it for lack of focus not because they even figured out he was drinking. Then covid happened and it made everything so much worse. When he needed a Dr. The most we couldn't get in at all and then lost our insurance and jobs. I love him and want to help, but honestly I have no idea how. My next move is to remove all alcohol from the house that is mine and to stop drinking for myself. I need to do that for my own health even though I only drink a few times a week it is not good for my health and waistline ha. How can I be a good support and what are some resources for partners. It terrifies me that I may lose the person I love, and I don't know how to help at all.</t>
  </si>
  <si>
    <t>I have found a way around this and it’s alcohol, I have a few drinks before looking to hook up, and it totally loosens me up, and I no longer feel so robotic, it’s easier to enjoy myself and interact. I wish I could just meet people without the need to be somewhat drunk, it’s bad enough as it is without also damaging my health. Furthermore, I don't like the taste of any alcohol, never have, but I do enjoy the effect it has on me. My mother almost died of alcoholism so?I’m really trying to figure this out. It’s only maybe once of twice a week when I might have a few gins, but I guess it adds up? Maybe I’m over reacting and this isn't a big deal, any advice would be appreciated.</t>
  </si>
  <si>
    <t>It's a very weird place mentally. Nothing really FEELS better. I'm still full of suicidal ideology. I still have insane amounts of self loathing. Furthermore, I still can't process everything I've been through. Furthermore, I have so much shame around drinking that it feels almost taboo to celebrate anything to do with it. But, I can look around. I am no longer getting in fights. I don't wake up every day hungover and scared shitless, or ridiculously embarrassed of what I did the night before. My best friend and I were able to reconnect. I was able to stop smoking cigarettes. Things ARE better. Anyway, I don't really have anyone in person to share this with that gets it. So, here I am!</t>
  </si>
  <si>
    <t>I do not have too much experience with alcoholism. I knew getting married she self-medicated, my daughter made me raise an eyebrow when she said? yeah, but at least she is happy and funny when drunk?. That is contrary to why the discussion at the table was being had. The daughters' observation of her stepmother was semi correct. As time has gone on, what didn't effect me is now. Consumption rate is up. The last year the self prescribed medicine no longer makes her cute and happy and lovey. It is revealing more of a depressed anxiety ridden not happy alcoholic. My question, what is going on? Is this normal? Is it situational? Environmental? Why is the medicinal effects changing the attitude and behavior over time?</t>
  </si>
  <si>
    <t>I have been drinking rum for about 3 years, 1 year every night. Roughly around 1 pint. I’m trying to taper off by switching to beer. Just a question when will I finally be able to sleep. I’ve done this before just never committed. My dr is kind of a jerk about it, he just says stop blah blah? there’s no way possible right now I can go to treatment. So if anybody has any advice about tapering, anything would be appreciated.</t>
  </si>
  <si>
    <t>I’ve have not drank since Oct 9th It was a hard process but an empowering one as well At this point my relationship with alcohol has comfortably come to an end Recently though, as in the past couple of weeks, any time I’m proud of myself for staying sober, a random memory of something really stupid I did whilst drunk will rush into my current thought process and the ladder in which I built my confidence gets pulled from under me, I did really dumb things like argue, get physical, be rude/obnoxious, air grievances, cheat on my fiancé‚, not make it home to my kids, get 2 DUIs, arrested kicked out all that fun stuff that is happily in the rearview My question would be, how long, if ever, do these feelings of guilt, embarrassment, and shame last? I literally start to sweat when thinking back on some of those times I know I can't change the past, I know what’s done is done, yet I cannot live past my past Any advice or insight would be much appreciated</t>
  </si>
  <si>
    <t>I'm not sure if I just have a bad pancreas or if Om drinking way more than the other alcohols around me. As a homeless person; I'm surrounded by older men and women who drink constantly (just like me) AMD do other horrible things to themselves like drink soda instead of water, do hard drugs, only eat junk food. I try to take perfect care of my self other than drinking booze from waking up till bedtime. What the fuck is going on here? Feels so unfair my bodies decline quicker than those who should b worse off(not that I want them to be in a bad way at all. :(Anyone got any advice or just kind word maybe?</t>
  </si>
  <si>
    <t>I could not drink all week but come the weekend I easily kill 2 750ml bottles of vodka. Just realized I’ve been in the same clothes since Friday just not wanting to move. Is binge-drinking normal? What happens to you Monday?. I feel like I’ve been put through a dryer. It’s embarrassing to wake like you’ve been in some coma. I feel like it’s harder to quit because I tell myself ? I don't do it during the week and I function fine? What do you do to avoid it? I’ll literally give my husband my money so I can't buy booze!! But I always find a way. This is no way to live. I’ve been a heavy drinker for 15 years.</t>
  </si>
  <si>
    <t>I'm not sure what to say. I want to pour it all out, but lock it all in. Furthermore, I want help, but I also don't want to leave what I feel gives me reliable comfort. Have an anxiety and depressive disorder. My past: an opiate and a cocaine addiction. Bested them. Haven't touched them for over a decade. Me now: a mom. A husband. A great career. I'm not always drinking. But when I do, I don't want to stop until I have to. I'm always at work when I need to be. I'm always functional enough. But I'm not present. I know my son sees it. So does my husband. I'm not the shaky, withdrawal type of alcohol that people think is the common type. No, I'm the mentally ill, screaming for help, yet terrified to give up that crutch type....</t>
  </si>
  <si>
    <t>I've been in an apartment share with a guy for a few months now - things started great, but he's fallen into a pattern of locking himself in his room, drinking until an ambulance is called out due to him being in physical pain, being taken into hospital then released a few days later, to then starting to drink again and repeat the above chain of events. I've found out that he had a sprint in rehabilitation last year prior to moving in. He's insisting he needs the drink to 'save his life' and prevent seizures, but I've seen no improvement in the last two months. I'm beginning to question the validity of his claims - I've noticed he only really talks when he wants alcohol (due to the festive season there's been a lot gifted to me), because he can still string a sentence together I've not really considered that he might be manipulating me into giving him a bottle with compliments and what could be seen as small chit-chat. Unfortunately we have a 24-hour supermarket next to our house so even if I refuse him, he'll go there instead - I'm just conflicted over whether I'm 'feeding' his habit or there's any truth to his fear of seizures due to alcohol withdrawal.</t>
  </si>
  <si>
    <t>I’m trying AA (no judgment about anyone who chooses not to). There have been a lot of great things, but some things about AA bother me. I also posted in the AA sub, but I would like to hear opinions of people who aren't going to automatically defend the program. Here’s one thing that’s been bothering me? We are told that if we don't keep actively working the program, we are dangerously stepping closer and closer to a relapse. We have to keep working all 3 sides of the triangle, stay in the center, live step 10. This is confirmed by many who have relapsed. They let their lives slip away from the program, relapsed, and are now back to continue doing the work, and to warn others what might happen if you ever stop. What about the people who stopped ?doing the work? But didn't relapse? We would never hear from them because, without a relapse, there’s nothing bringing them back to AA to tell the tale. It’s circular logic that we are told we will relapse if we leave, because the only ones telling us about leaving are the ones who CAME BACK. What about people who slowly distanced over time and who’s lives are not in shambles as a result? The only acknowledgement I have heard of this from people in AA is that, well, those people must not have been ?real alcoholics.? I do not think this is true at all. I think it’s a little dangerous to gate-keep the legitimacy of addiction? To say that if you’re a ?real? Addict, you’re only hope is AA. And if you can survive without AA, you’re not a ?real? Addict. All this being said, I do not take relapse stories lightly. I'm not turning up my nose to the advice about ?doing the work.? I am genuinely scared that if I stop doing the work, if I slip from the program, that I may relapse again. And it bothers me that AA has to instill this fear in people. What happened to, ?take what you need, leave the rest?? Does anyone see what I mean? What do you think of this?</t>
  </si>
  <si>
    <t>I noticed I'm drinking and eating more than usual after the loss of my father. People tell me not to worry about it, but I do. Alcoholism runs in my family. And diabetes. I like kombucha. I also just ordered some ice wine tea. Furthermore, I understand there's a small amount of alcohol in kombucha, but it's low in calories and is refreshing to me. Furthermore, I've never had ice wine tea and I wanted to try it.</t>
  </si>
  <si>
    <t>So I've never had withdrawals before but since Christmas I've been binge-drinking pretty heavily since Christmas about 15 beers a night for 6 days in a row now and tomorrow I'm wanting to stop should I stop cold Turkey or should I get like a 4 pack and taper but if so should I do this just tomorrow or couple days. Also before I started drinking today I'm pretty sure I had some sort of withdrawals I wasn't shaking or anything, but I felt very ill had bad acid reflux and the worst anxiety I've ever had, and also I felt like I was going to faint not sure if that was my anxiety or what but does anyone know if that was withdrawals</t>
  </si>
  <si>
    <t>I have had a problem with alcohol for a long time and have been aware of it but had always told myself that I could manage on my own and never really took any steps to help myself. This past weekend I went on a bender and today feel incredibly ill and ashamed. My question for you guys is what apps/groups can help someone get sober? I am aware of AA of course, but didn't know if there were any other options?</t>
  </si>
  <si>
    <t>Every night my uncle bites his tongue in his sleep at least once. Does anyone know of this is related to his drinking? He drinks at least 3 natty daddies's a day. Worried about him. He's been drinking since he was 13 he's 60 now, a functioning alcoholic.</t>
  </si>
  <si>
    <t>Well I did it again. I drank too much over new years and don't know how I ended up in bed. Although I have no signs I did something very wrong, and it's by far not the worst blackout I've had I just can't get myself to start up my phone to see if I have any messages since I definitely have done some really crappy things while blacked out over the past 2 years (inappropriate behavior, drunk social media, scolding some friends who tried to stop me getting another drink etc.). It's just like there is no way of stopping when I drink and I just turn into some giant douchebag eventually. How is it that some people can just get a bit buzzed on alcohol and then stop when I have to completely fuck myself up with some regrettable outcomes to say the least. I have decided to at least take a dry January but I doubt it'll be enough. Done that last year as well and 2 weeks after ended up getting shitfaced and blacking out again.</t>
  </si>
  <si>
    <t>Over the past few months I have been drinking every day. Sometimes it is just one beer. Sometimes it’s a lot more. It came to a head on New Year's Eve where I had an alcohol induced breakdown. It caused massive issues in my relationship. I now don't want to drink and don't find it appealing as I’ve seen the damage it can do. However, I work a very stressful job - dealing with emergency services, drug use, deaths etc.- and know that I will have an urge soon. Anyone got any good tips for not drinking? Or for being able to just have one or two when out? In the UK alcohol is a massive social point which is my main concern. Ideally I need to know that I can be strong when out and about even when potentially pressured.</t>
  </si>
  <si>
    <t>I suffer with a form of alcohol addiction. I can easily go days sober. My problem is that when I do have a drink, I drink to excess. It takes two, maybe three drinks to suddenly end up in a mindset that I must drink and drink hard. It's usually beer, rarely spirits or wine. But I have this urge to just go for it. It's leading to regrettable decisions, at the time of drinking and the day after. Sometimes those include secretly drinking (I live with someone) the day after for a little while to ease the "hangover". Thing is I also can't tell if it's getting worse or not. A few years ago this behavior was multiple times a week, now maybe it's once but the drinking days are much, much more intense than before. A few weeks ago, inebriated, I bought a 75cl bottle of vodka with the intention of necking it. I managed to catch myself and drain poured it, but it made me worry that I had gotten to that point.</t>
  </si>
  <si>
    <t>In a bit of weakness, I bought a bottle of vodka earlier. I’m not supposed to be drinking. I'm dealing with my second DUI and I get tested for alcohol. Anyway, I almost gave in after I bought the bottle. I wanted to just say screw it, I want to have a drink, it’s been a long two months. However, I didn't drink it. I haven't even opened it, and now I feel dumb for even buying it. Any who, it’s just sitting in my purse and I'm doing laundry. I don't know if I should just give it to a friend or just toss it away. Anyway, that’s my first dilemma of 2022. Bought a bottle but changed my mind and didn't drink it.</t>
  </si>
  <si>
    <t>I may not be like the typical alcoholic because I'm only 18 and have only been drinking for 1-1,5 years but I have lost friends, family and my sanity to alcohol. I drink daily, mostly locked up in my room alone, but on the rare occasions when I go out I always drink way too much. And I want to quit this. I want to learn how I can live without alcohol and how can I moderate myself because I'm in the last year of high school, hopefully I will start college in September, and it is impossible to avoid alcohol, that's why I need to learn to control myself around it when I still have time. So if anyone has any tips or ideas how I can quit and learn self-control I would appreciate it really much because I don't want to fuck my life up even more and lose those that are still in my life, I have been told that they don't even know who I am anymore and that they are thinking of leaving me daily. And they worth way more than a stupid addiction. Thank you if you took your time to read it and thank you if you gave me tips.</t>
  </si>
  <si>
    <t>My New Year's resolution is the go the full month of January without smoking weed or drinking. I am already SO bored. I can't focus on cleaning, TV, video games, it seems like work to do any of my projects or hobbies. Furthermore, I'm forcing myself to fold laundry right now. Dishes are piling up, I need to do those too. These are things I usually get inebriated before I do. I'm fishing for endorphins right now. I can't get myself happy or satisfied with anything. How do I get over the hurdle? When does it get better?</t>
  </si>
  <si>
    <t>It’s been 15 days, and I feel walloped by the realization that my life is way worse than I thought it was when I was drinking, does this sound familiar to anyone? Like problems that I had (still have) seem WAY WORSE all of a sudden now that I’m not drinking? Clearly these problems (financial, relationships, employment, general health) can't be fixed while drinking, but I have frequent dreadful realizations that I’m in deep trouble in a lot of ways, have to start dealing with it as best as I can without alcohol or drugs. It’s like I was sleepwalking through life, alcohol just makes it possible to not give a shit and let problems fester, I don't know. I’m hoping many of you who found sobriety felt this way in the early days and that it’s not just me.</t>
  </si>
  <si>
    <t>I used to get most of my calories from alcohol. I recently cut back to what I consider reasonable (2-3 shots and a beer, from 6 shots and a liter of wine or a sixer of beer)). However, I am not noticing my hunger for food returning. I take vitamins and drink ensure, so I know I am getting some calories. Any tips on firing the 'OL hunger? It's been a month at the lower rate</t>
  </si>
  <si>
    <t>An I be an alcoholic/deal with those tendencies if I don't get to drink often? Whenever there's alcohol around, I drink it (when I can get away with it without anyone knowing), but it's not often available as my dad isn't a big drinker. I also could drink right now, but he has one bottle of beer left, and he'd notice if I drank it. My question is though, is it wrong then to consider myself to have any issues with it? In the past, I've gotten blackout drunk twice, and then close to it the other times, as I drank all I was able to. I kind of lose control of myself when it's available. The worst was when I was with a different relative, who does drink a lot, and was basically drunk for 5 days straight. I also think about drinking almost all the time. But I feel that, since I can control myself right now since I don't want to get caught, I don't have any real issues with it.</t>
  </si>
  <si>
    <t>I am an active dude Marine. That isn't how I started drinking, but that is definitely how I learned where to drink. My parents met at an AA meeting. 2 of my grandparents were alcoholics as well (coincidentally, they were both Marines). I love to drink. I can enjoy pretty much anything as long as there is booze involved. The job I have in the Marines one might consider high risk, but I am by no means a danger seeker. I've never had a ticket, I hate heights. But I drink and drive all the time. Never when I would consider myself "drunk" but I'll knock back 4 brews and hit the grocery store. My father was never around. My stepdad is also a recovered alcoholic. He has a lot of regrets. So does Mom. And I would assume so does my actual father. I've never gotten in trouble for my drinking, and I'm 28. But not from lack of trying. I don't feel withdraws when I'm not drinking. And with exception to one deployment and a few trips I have drank every day. My wife hates it. She has pretty much given up drinking at this point because she is a terrible drunk.</t>
  </si>
  <si>
    <t>I’ve been in denial about my alcoholism and have been saying I have it under control. Through a very long lockdown I was drinking alone every night but didn't acknowledge the harm as I thought I wasn't hurting anyone. Now that life has opened back up again, there have already been numerous occasions where I have gotten too drunk and caused harm to myself and others. The final straw was when I got super drunk and hit on my sister’s partner. I had no recollection of the event and was mortified when she told me. Thankfully she was forgiving and more concerned about me, but I am sick of needing people’s forgiveness. I have finally acknowledged that I cannot moderate and have an incredibly unhealthy relationship with alcohol and cannot have it in my life. TBH I feel relieved, in the back of my mind (I’m a very avoidant person) I have been so scared about my drinking but now that I’ve honestly acknowledged the problem I feel hopeful.</t>
  </si>
  <si>
    <t>My father is a massive alcoholic. Has been for years. He has massive nerve damage, brain damage, liver damage. He's stuck to his couch and totally unable to live a normal life. Recently, he's been having terrible delusions of grandeur. He believes himself to be the most important person in the family. No one can live without him. Everyone owes him the world from his work as a trucker. Everyone loves him. He doesn't need help and his alcoholism has nothing to do with his numerous medical problems, etc. Is this a common thing amongst alcoholics? I've seen some correlation between delusional disorder and substance abuse, but he's always been a bit of a bragger. How do you guys get through this? What have you done to remedy your own delusions regarding addiction?</t>
  </si>
  <si>
    <t>Can't seem to find the delayed gratification ability it takes to just go to sleep instead of drinking. I’m drunk right now actually. I feel pretty mad at myself by the time I’m drunk and every minute until it’s about 6:00 pm and then boom I just feel like I’m ?getting the night started?. It’s very ritualistic. Time for 8 voodoo rangers and 2 movies. Going to be a good night! Except that I know the effects and I know I’m 5 years away from it starting to show (I’m 24 btw) but I can't seem to focus on the long term benefits of quitting. It also doesn't help that I’m the farthest from denial. I know that I have a problem. I also (probably pretentiously) consider myself a highly intellectual person, so I know what it takes to quit, but I can't hold that down for more than a couple of days. I’m also afraid of rehab because I’ve tried to talk to the pros and even have a free over the phone therapist but because I’m so aware of the facts I feel as though their not going to tell me anything I don't already know</t>
  </si>
  <si>
    <t>Highly functioning one here. I don't believe I’m ruining my life by drinking. I Just want to take a nice long break for my mental/physical health. I’m anywhere from 4 beers to 7 vodka clubs at night before bed (The latter more than not). (31/M). Been doing this for years now. I have taken stretches of like 4 days off. And the most I’ve had was trouble sleeping and cold sweats. Heart palpitations, maybe. What are some of your experiences?</t>
  </si>
  <si>
    <t>A bit of context my dad is a heavy binge drinker. He doesn't really often drink anymore but when he does there’s a 50/50 chance that he’ll go on a week-long bender. So far, it’s been 6 days of 24/7 drinking and I’m trying to help him out. We tried sending him to a detox center a while back, and it worked but left us with a $10,000 medical bill (which was forgiven but WTF - what a scam). I noticed that he started trembling a bit and was wondering whether this is common or whether it's a sign that he needs professional care (trying to exhaust every option before this because his insurance doesn't cover substance abuse). Also, I’m wondering if he’s too far gone to help him taper off and if not, what a good strategy is to use for doing so. We will surely have a conversation about therapy, abstinence, and AA after he recovers from this bender though.</t>
  </si>
  <si>
    <t>I don't drink that often, but when at parties or when I'm going out to a pub I do often drink too much. Almost every party I have some degree of memory loss and sometimes I act improperly. Basically I'm asking you if I should be worried about my future, a lot of my relatives have had problems with drink, and I've heard such things can have an impact. I'm 19 and started drinking at 16 if that matters. Is my current situation bad or does it seem like it could grow into something worse? Thanks for any answers and happy new year!</t>
  </si>
  <si>
    <t>Are there definite links between long term alcoholism and long term depression? Or is that just said because alcohol is technically a depressant? I've struggled with anxiety and depression most of my life, but I've also been drinking since I was a teenager. I've taken some sober stints in my life, but they never helped my depression, even in combination with diet and exercise. Is there a certain amount of time to quit until depression fades?</t>
  </si>
  <si>
    <t>My girlfriend’s ex-husband had been alcohol dependent for some time. We have been trying so hard to get him to recognize his problem and seek help but on Christmas Eve we saw him for the first time in 3 weeks and his physical decline was so shocking to see. We decided to ignore his requests for privacy and checked on him a few days ago. Furthermore, we broke into his home and found him collapsed on the floor. After calling for an ambulance we were informed to sit him up and wait for their arrival. He was able to respond to me but was very confused, and it was near impossible to understand what he was trying to say. Once the paramedics arrived they started to assess him. They asked me to lie him down but on doing so, his heart stopped beating. He was lifted by the fire brigade from the roof, placed in an induced coma and is currently on a ventilator. I guess my question might be naively optimistic, but should he come through this will the time unconscious count as detox? Could this be a good opportunity to continue recovery from this point? I really don't know what the realistic outcome to this is. Anyone here had anything similar with a loved one?</t>
  </si>
  <si>
    <t>My mum (69) has recently admitted to me (37f) she has a drinking problem and needs help. I didn't realize until recently how bad it was. She doesn't want to go to AA meetings, and I want to do everything I can to support her and help her with this. I worry about her trying to go cold turkey on her own - as I’ve heard this can be really dangerous in heavy drinkers. Has anyone gone through this with an older parent? Any help or advice appreciated.</t>
  </si>
  <si>
    <t>I made it one whole year without alcohol!!!! I knew quitting drinking was going to be good for me but never in my wildest dreams did I imagine just how good life could be without alcohol!! Best decision I ever made! And the pride I feel today is unbelievable!! Just wanted to share my special day with all you amazing people because I have gained a lot of tools and insight from you all.</t>
  </si>
  <si>
    <t>I am looking for advice on how my wife and I should deal with this. Our daughter is 22 and has twin 18-month old boys. We have taken over care for them, but she still has legal custody. We just feel bent over a barrel in terms of not enabling her addiction. If we cut off financial support, she’s shown us that she will prioritize drinking and smoking over proper care of the boys. But if we take on the responsibility, she has the time/money/freedom of responsibility to just go on a bender every day. The added difficulty is that she’s still in the process of finalizing custody with the twins? ?father?, (I use quotation marks because he’s had very little involvement and is a drug dealer and drug abuser). Our concern is that letting it get to a point where Child Services is involved will give him an opportunity to try and get custody. Not to mention that our daughter isn't so far gone in her addiction that she couldn't pull herself together long enough to convince Child Services she’s competent and then cut us off completely. She’s on a wait list for a detox program, and says she wants to go to a woman’s rehab clinic after that. But she’s talked the talk before and has a history of failing to go through with things. I am just wondering if there’s a good way to deal with this situation and get her the help and support she needs while at the same time keeping the boys safe, and giving us the sense of security that she can't just ?feel good at the time? And come and take the boys back then we get a call later that night where she’s drunk, and we need to go back and get the boys.</t>
  </si>
  <si>
    <t>My husband has struggled with alcoholism for years. He is a violent drunk. This time after being sober for 8 months he relapsed. BAD. It was just one night but it was terrible. He went after my adult daughter but didn't touch her, and then he got violent with me. He was arrested and is serving 15 months. Obviously we are separated and will remain so after he gets out. Of course, he is sorry, and I believe he is. He says he wants to show me he can stay sober after his release. My question is how do I know he is staying sober while not living together? I’m looking for a plan to put in place that not only holds him accountable but keeps me safe and informed?</t>
  </si>
  <si>
    <t>This is the last challenge of the year folks. Stay strong! No shame in sitting this one out, tagging along with your not sober friends, find support if you need it or whatever. For me it’s a year of new traditions and I’m excited for that. The 2nd of Jan will mark my year sober and spaces like this have been crucial. I still think about drinking every day but life truly is so much better without it. Thank you to everybody here, whether you’re 10 years sober, 10 days sober or just thinking about sobriety. you’re fucking awesome and I’m so happy to be abreast you all while push past all the awfulness.</t>
  </si>
  <si>
    <t>This past month has not been good for my drinking. I live alone and my background in the restaurant industry hasn't helped me with steady income for 2 years now. I live in Toronto, and I’m afraid of what I might do to myself without help, or just someone like, AROUND, to stop me from doing anything stupid.</t>
  </si>
  <si>
    <t>I’m hoping that you guys might be able to help me. My friend 53 y/o male has driven drunk to the police station twice in the last month to turn himself in. Both times he has claimed to be suicidal and they have held him. I’m his best friend and not sure how to help him. He is in therapy and on meds to help with depression and mood swings but nothing to help with cravings. He relapsed today and is in jail right now. When he gets out I want to be able to help guide him in a way that makes him feel supported because he obviously has a lot of guilt surrounding his drinking.</t>
  </si>
  <si>
    <t>I’m going through massive withdrawal and starvation and hydration and have been trying to get help for the last week without any luck. I was in a and e morning and given vitamins and told to go home. Furthermore, I felt like I was about to collapse, and they walked me out and told me to get an Uber. Furthermore, I live alone, and my head is pulsating in pain. My alcohol team told me to call another ambulance which I did, and they refused me because if going this morning. My head is in so much pain it’s unbearable and because of my anxiety I can't go in alone bit that I think they would have time for me but still. I think I’m going to end it on my terms sorry for the morbid post I've tried so hard to get help and have been rejected everywhere. My alcohol team IMSaT I’m a huge seizure risk and I’m alone. This pain is unbearable. I don't know what to do now but peace out. Hope you guys fair better than me, I wish I had better words for you but I’m in agony. Don't sink as low as me.</t>
  </si>
  <si>
    <t>I went through a bad breakup 2 years ago. I’m currently clearing out my apartment of their stuff. Blocked them just recently. I looked at myself in the mirror and notice how much I’ve aged in these past 2 years. I used to take care of my skin so well. Probably been getting blackout drunk at least 4 times a week. IDK just noticed and wanted to vent. I have about a 1/3 of a bottle of whiskey left but why bother? I’ll probably have to get more anyway if I want to get drunk. There’s nothing else to do though. I’ve been doing laundry all day but there’s nothing left to fold. I can't focus on a movie. My bathroom and bedroom is totally clean, and I have nothing to distract myself from how lonely I am.</t>
  </si>
  <si>
    <t>I'm a bit disappointed in a way, I gained some weight in the past few months, probably from drinking too much beer, I recently told myself I should really stop drinking, I'm 3 weeks in, I thought I would have lost weight and feel better because of it, but my weight hasn't changed at all, and it's not as if I'm eating McDonald's every day or anything.</t>
  </si>
  <si>
    <t>It has been one year today! Now let me be clear. It has been a year since my last blackout. A year since I kicked my family out the house because I didn't want them to see me destroy it. A year since tried to destroy my wife's self-esteem. A year since she found out she wasn't the only one.....a year. The only advice I can give is if you don't believe in a higher power, believe in LOVE. Y'all take it easy.</t>
  </si>
  <si>
    <t>I talked to her about it. We have a business trip in a few weeks, and I am worried that she is lying to me that she is ok. She says she only needs therapy-not AA or other support groups. Should I believe her? I’m so fucking angry. I hate this. She is an amazing person, but the alcohol is a beast.</t>
  </si>
  <si>
    <t>I work pretty much every day (at home), seven days a week. Decided to allow myself some alcohol during the holiday season and here are my observations regarding my productivity: Without alcohol: I work assiduously through my tasks. It's rather mundane and uninteresting, but I get through them in a timely manner. With alcohol: Things seem rather less mundane and uninteresting under the influence of alcohol, yet I find myself getting through them in a sluggish and inefficient manner, oftentimes getting distracted and delayed/procrastinative. I would say, overall, my productivity is about the same with, or without, alcohol. Make of that what you will. At least without alcohol, I find myself with some extra time to indulge/do other tasks non-work related, whereas with alcohol, almost everything is a blur.</t>
  </si>
  <si>
    <t>This year has been hell for me. I’ve been drinking excessively for 4 months now. About 7 shots of vodka a night. I want to stop because I don't want to die, but I can't sleep without it and the emotional pain of what’s happened this year is just too much to face anymore.</t>
  </si>
  <si>
    <t>So I don't drink a lot but since I'm off work till the next week I've been drinking every day for 2 weeks and only 2–3 drinks a day however I'm getting very anxious if I don't have a glass as well as bouts of depression. I'm thinking about tapering down until I feel better but very unsure if this is wise. I've been kinda on edge from not drinking and kinda being a b word</t>
  </si>
  <si>
    <t>I know, there’s lots of questions about this but I’m still not sure. Last year I used to drink one bottle of wine every week. It was nice and fun to loosen up a bit sometimes. This year a lot of bad shit happened around me and I felt I was losing it. One bottle became two, and now I drink something every day. It’s not that much, like 3-4 glass of wine per day, but I really feel like I couldn't live without it. I start to feel nervous if I realize that we ran out of wine at home. Sometimes I feel like wine just doesn't do the trick anymore, and I want to drink something stronger, but I know if I start drinking stronger drinks daily, then there’s no stopping. Sometimes alcohol doesn't make me happy and less anxious anymore, I often get panic attacks after drinking. I still can't stop though. Is this a sign to quit? Or that 3-4 glass/day isn't that unhealthy? I have BPD by the way, I tend to get addicted to things.</t>
  </si>
  <si>
    <t>I’m 21 years old. My brother is 30. He is an intelligent and charming man but struggles greatly with alcoholism. He is unemployed (never got a degree) and lives off my parents. Furthermore, he has a deep hatred for my mother even though she has tried her utmost best to support him, and he blames her for everything. When he drinks he becomes an intolerable asshole and no one can stop him. He went to rehab but didn't stay sober and spends his nights drinking with his ?friends? That seem to have the combined intelligence of a four-year-old. I live abroad but have come back to visit for the holidays. I can see that the situation has not improved at all since I left, and I don't know how to be useful. Furthermore, I love him, and he has a good heart but he is hurting everyone who actually care about him. Please help.</t>
  </si>
  <si>
    <t>I’ve been drinking way too much for the last six months. I’ve stuck to beers with around 4-5.5%, and for the last month I’ve drank about a six-pack or eight a day (2L+). As I’m sure many others do I decided to break it off for the new year. I’ve got experience going cold turkey on things before and it’s what work best for me, but I’m looking to get some input if I’m at a level where I should worry about dangerous side effects from stopping. I’ve had sober days when I haven't noticed a lot of side effects, and this might be a ridiculous thing to ask, but just trying to cover all bases.</t>
  </si>
  <si>
    <t>So my bestie a couple of years ago realized they were an alcoholic. They got sober and made lots of changes and started to lose weight as well. The last year has been a challenge for them and the drinking has become a more regular thing again. I want to get some advice on how I can be there to help. Any advice will be gratefully received. We are in the UK and in my area there is little available apart from AA which isn't their cup of tea or full on rehab.</t>
  </si>
  <si>
    <t>Last drink was the 19th, was an 8–10 beers 6 nights a week. The first week, I was really productive, cleaned my whole depressive apartment, walked to work and felt great. Now in the 2nd week, I'm having trouble sleeping, with my apartment clean I feel like I have nothing to do, every night my mind is just constantly trying to convince me to go to the store. I want that week 1 feeling back, or at least not this feeling anymore.</t>
  </si>
  <si>
    <t>Feels so good! I’m shocked! My work performance is better, I sleep better, I honestly NEVER imagined I could pull this off. I would like to help others at some point but I’m still in the early days of sobriety. After 7 day detox with 3 days on Asian I was fine. I went home and opted out of rehab due to my work responsibilities. I have tried 12-step groups, and it just is not for me. Not sure why but I feel like I do not want to rehash the drunk days. I wonder what another option would be besides going to the gym. My only problem I guess now that o don't drink I have zero social skills.</t>
  </si>
  <si>
    <t>After 5 years of intensive drinking and being a slave to the bottle, I’ve been free for one week. Withdrawals weren't as bad as I intended (thank goodness). That’s what kept me from getting sober for so long. I was terrified of the withdrawals. I made it through and today I’m feeling better than I have in a while albeit a little moody still. Still taking vitamins, still drinking water. Will probably start working out soon. I want to be healthy again. Anyone who’s scared of the process please seek help. If you’re like me and detox at home take extreme caution and have someone available to assist you if need be.</t>
  </si>
  <si>
    <t>For some context my father and my maternal grandfather was and are alcoholics. They have had a lot of problems with it for many years. I just turned 18 and have started going to home parties and to pubs and clubs. I find that almost every time I drink I cant stop myself from drinking more. Furthermore, I don't feel a need to drink and I keep drinking to weekends. But as soon as I get a couple of drinks in me, I feel this burning urge to drink more. I can feel that i shouldn't drink more but I keep drinking anyway. I often get blackout drunk (although I've never passed out) and the day after I'm depressed as shit. Furthermore, I know my problem isn't nearly as bad as it could be but I just want some help to not fall in the same hole my father did.</t>
  </si>
  <si>
    <t>Sweating, shaking, dry heaving. Woke up 5am just now but went down around 12:30. Last time it was like this was a couple of months ago accompanied as well by early signs of psychosis/delirium treens, including auditory hallucinations and seeing shadow figures. All I had left were four 9% ciders and half a bottle of brandy, and not even that amount was enough to fight off withdrawal for the morning. I’m terrified and I’m just so tired, man I want this to be the last time. All I have to do is not go get drunk with my whole paycheck when I get this next one. I want to go to the hospital right now because I’m in serious agony, but I’m out of money and have to work this week because I’m short a coworker due to a skiing accident. I work in a bar too.</t>
  </si>
  <si>
    <t>So I'm a social drinker, don't drink every day or after work but let's say the weekend rolls around and I'm drinking with friend I have a real problem stopping and I guess it affecting my relationships with people, anyone have a better way of getting past this?</t>
  </si>
  <si>
    <t>Right now my mom is trying to quit, she's 1 day in and she's shaking, irritable, and dizzy. What are some things I can do to help her right now? I can't stand seeing her like this, and I'm the only one that can help her right now so I have nobody else to go to.</t>
  </si>
  <si>
    <t>I know it's never just a 1 time thing, it's a slippery slope. But I'm over a year sober I feel mentally stronger in that aspect, my goal was stayed sober a year because my hallucinations were telling me... I'm with a friend I haven't seen in forever (different state) we are going to the cities. And man I haven't entertained the idea since my sobriety if I did it usually ended with disgust. Today seems different. I know I can do just this once, definitely planning going to A.A meeting again though. I don't know just had to share my current dilemma.</t>
  </si>
  <si>
    <t>Everywhere I look all the resources I find about drinking talk about numbing yourself, and I simply don't relate to that. I feel numb when I'm sober. When I drink I can feel anger at people that have wronged me who otherwise I'd let walk over me, I drink because food tastes better when drunk, so I struggle to eat proper when sober, I drink because it makes me love people who deserve love and I hate how distant I otherwise feel. Sadly I struggle to seek help about my emotional issues without having a few drinks first, because I can't talk about my issues otherwise. I don't think I'm unique, so surely there is something out there that acknowledges this seemingly different attitude to drink that from my point of view is overlooked.</t>
  </si>
  <si>
    <t>I’ve followed this page for months, debating on whether I have a problem, usually while drunk. I’m typing this sitting at a barstool looking at a full beer I ordered 20 mins ago. Tomorrows my first AA meeting. I’m scared shitless but I’m doing it, even got a friend without an issue to go with me. I guess this is a thank you to this page, I’m doing it or at least going to try to.</t>
  </si>
  <si>
    <t>So usually I drink once a week but because its Christmastime I've been over doing it drank on Christmas Boxing Day and the day after that quite a lot of alcohol as well. I took a break yesterday but I'm going to a party tonight I won't be drinking tomorrow, but I will be drinking on new year eve and new year day.</t>
  </si>
  <si>
    <t>Well I’ve been off the devils cum for about 13 days now. I had left my town to go to my hometown for some reflection and to gather myself up. My wife told me the details of what she saw and what I was doing at the time I was blacked out (the details are bad, and I understand why I traumatized her). she’s asking for me back and wants to a trial run of trying to get back some normalcy. (We know it’s not that easy). This is my ONE chance to get my shit together and show her that I’m willing and determined to fix us. I know I got it and it’s disappointing to me that this had to happen for me to smarten up and change. To those who are going through some shit, pick yourself up and keep trying. We got it brothers and sisters. Here’s to another 13 days of sobriety.</t>
  </si>
  <si>
    <t>I’m an angry drunk and I truly hate myself for it, alcohol makes my personality do a complete 180. It’s gotten to the point I’ve had drunken fights with friends and after blacking out realizing I’ve caused arguments and fights. I don't mean it and I hate myself for it. I wish I could have a healthy relationship with alcohol. I’m never usually like this.</t>
  </si>
  <si>
    <t>I?VE been drinking a minimum of 60 ounces of 45% liquor and a 30 pack of beer a week although normally a lot more frequently twice that, I'm 19 although i?VE been drinking like this amount since 16. It never affected my work and was never late or missed a day. it’s hasn't affected family life and never believed it affected my social life until I sit here bottle in hand realizing I have no one left, i?VE never been an angry or aggressive drunk, just overly honest and talkative and I guess that put me in a position of decline over the years to the point i no longer have anyone I could call a friend. This is mostly just a vent, nowhere else to convey this. But I can honestly say now consider myself an alcoholic and realize it’s affected my life negatively. Hoping this gives me the motivation to change things this time</t>
  </si>
  <si>
    <t>I'm 16 and I drink every evening. I'm early happy without drinking and that's why I get drunk so often. Furthermore, I failed exams because I was drunk. Furthermore, I talked about it with many people, but I don't want to stop. And that's why I hate myself.</t>
  </si>
  <si>
    <t>My partner drinks to numb the depressing feelings she gets, and when she gets this way she is a bit insensitive and hurtful to me. She’s cold to me at night and the next morning very loving, but then she usually feels depressed throughout the day as well. It’s hard to confront her with my hurt and anger because she drinks when she is extremely sad and IDK what to do. She does therapy as well and even drinks during the session because it’s online counseling. It helped a little at first, but she still slips through the cracks sometimes. I love her, but when she’s hurting, she hurts me.</t>
  </si>
  <si>
    <t>My partner quit drinking for 6 weeks and relapsed on Xmas. He got extremely drunk, and the next day was super hung over. Then yesterday he had what we think was a seizure while in the ER lobby. He went there because he sneezed and got a very bloody nose and felt very strange. They gave him an IV and Asian and released him. We went to see his primary care doctor who prescribed gabapentin, multivitamin, and hydroxyzine. His head has been feeling really weird since the day of drinking. His symptoms sound like the kindling effect after what I’ve read. We called a detox place, and they said he could come there but he’d have to have alcohol in his system. He has not drank since Christmas and does not want to but should he so he can detox the right way?</t>
  </si>
  <si>
    <t>Whenever I wake up the next day and look in the mirror, I feel like vomiting. Just from looking at myself. My hair seems so greasy and dirty in general...way worse, than usual. Is it just me?</t>
  </si>
  <si>
    <t>I am 24 years old and I’ve been drinking daily (except 1 or 2 days sober very rarely) for the past 3 and a half years. I keep telling myself that I need to slow it down or stop all together, but I just can't seem to do it. Last night I got? Extremely intoxicated. My boyfriend drove my car home and IDK what set me off, but I had a horrible panic attack (which definitely happens a lot when I get too drunk). I don't know what came over me, but I unlocked my car door and jumped out of it while it was moving (probably like 15-20mph). I ruined my glasses, nose, knees and elbows. Furthermore, I literally cannot believe I did this and put him through that. Furthermore, I don't know what to do. Furthermore, I think I need professional help.</t>
  </si>
  <si>
    <t>I'm a recovering alcoholic. For years, I used to drink nearly daily (12+ beers, pass out, go to work and do it again) and would be proud of myself for abstaining for a day or two in between. I'm 29 now and going on 2 weeks sober. The two most troubling things I've noticed is memory loss and brain fog. It's hard for me to recall what I've done the day before, etc. Earlier today I couldn't find the milk in the fridge only to realize I had taken it out moments before, and it was on the counter. My question is, has anyone went through anything similar? If so how long did it take for you to notice any differences and is there anything you'd recommend aiding the process? Guess I just need some reassurance,</t>
  </si>
  <si>
    <t>I’m coming to terms with the fact that mother is no longer reliable. She hasn't met my fiancé‚?s parents or visited me. I live six hours away. I’ve offered to pay for her flights, Amtrak, etc. I’m at the point where I’ve had to keep putting off his parents. Furthermore, I have run out of excuses on why my mom can't even take the time out of her schedule for a damn zoom/Skype call with his parents. Should I be honest with them and explain that my mom is going through a deep depression/processing grief?</t>
  </si>
  <si>
    <t>I drank somewhat heavily over my holiday break. I figured I should abstain from alcohol for a while after this, as I went through alcohol withdrawals once, and I never want to go through them again. Furthermore, I now haven't had a drink in 36 hrs and have had no withdrawals. Do you think I’m in the clear? When is the latest alcohol withdrawal symptoms could possibly start? In my previous alcohol withdrawal experience, symptoms started about 24 hrs after my last drink, so I think I’m safe.</t>
  </si>
  <si>
    <t>He seems to mostly drink during weekdays. When he does, he’s visibly drunk (can smell it, he’s slurring, etc.). Most recently, he started lying about whether he was drinking or not and threw his card at me to buy a breathalyzer. He blew spit, hardly put any air into the thing, and got .15-.17 after 7 weird attempts. He mentioned this scoring was because he drank a lot the day before, and hadn't brushed his teeth (it was like 9pm the next day). Furthermore, he has been ordering alcohol through delivery services and hides the bottles in his office. I’m not opposed to drinking, but when it’s sneaky or during work hours, it’s troublesome to me. He will drink for several weeks in a row, stop for a few, then start again. He said he most definitely doesn't have a problem because he doesn't drink every day.</t>
  </si>
  <si>
    <t>My twins have some behavior issues and school wants us to have a medical behavior assessment. The multiple forms all ask about alcohol use during pregnancy. I’m disinclined to check those boxes. My wife is sober two years now. It took me filling for divorce, a DUI and getting 51/50 for her to stop. I don't see how checking that box will change anything for my kids. It’ll surely hurt my wife to face the possibility/reality she damaged her son’s brains.</t>
  </si>
  <si>
    <t>I was curious if anyone else here has had this happen to them before. I've struggled with Alcoholism since my early 20s and this has only happened twice to me. Once because I drank 20 shots of Whiskey and this recent time (today) because I drank 16 beers last night. My heart rate and blood pressure were really high ! My heart rate was around 160bpm and not sure what my BP was, but the paramedic said it was high. It started when I woke up this morning. No usual headache or nausea, just felt really out of it and foggy, light-headed and weak and around 3 hours later, my heart rate just kept getting higher and higher. I'm okay clearly, but was wondering if anybody here has experienced this same thing before and what the result was ? My family thinks dehydration.</t>
  </si>
  <si>
    <t>I'm so trapped I'm sick, my heart goes crazy, and it's basically I'm told I'm crazy mentally and just to stop drinking when I really feel like calling 911 because I'm dying I can't leave my house as soon as I'm sober my heart rate is painful, I hear throbbing in my ear and feel paranoid, so I drink to stay normal, but I feel trapped because I'm not living alone and people get so mad when I bring up to detox or the hospital ...just don't drink they say</t>
  </si>
  <si>
    <t>So last night I had 6 imported Belgian beers (Duel, I believe is the brand name). Apparently I ate a second dinner and watched half a movie with my wife and I have absolutely zero recollection of this. This has happened about less than 5 times within the last year or so. I drink 1 to 2 times a week now. A bottle of wine (sometimes one and half).</t>
  </si>
  <si>
    <t>And they let me go because there were no scratches, or maybe they could tell I was drunk? I woke up and dumped all my remaining beer. Thank you so much for not calling the police. I hate beer I hate rum I hate alcohol so much. No need to reply I'm venting and probably won't respond</t>
  </si>
  <si>
    <t>So trying to get sober, 13 days then a lapse, then 7 days, then 5 days. I'm exhausted, absolutely exhausted. But I have noticed something unexpected. I can't eat without drinking, and eating triggers me to drink. Now this is completely unsustainable, my weight is dropping rapidly, and I feel like death, starting to lose my ability to focus, get muscle cramps etc. Is this linked to the alcohol or lack of? I assume this may be psychological or have I truly fucked up my stomach somehow? Anyone else? Already lost 26kg this year through my drinking spiralling but desperately trying to get sober. Can just about keep a meal replacement shake down 50% of the time, threw up Christmas dinner while playing scrabble, really quite embarrassing.</t>
  </si>
  <si>
    <t>Your doctor hasn't heard of it. Your rehab didn't teach you about it. AA won't let people openly discuss it. Why do you suppose? It's evidence based, clinically proven. Like most people with this medical condition (AUD) you probably haven't been told about short-term, as-needed, naltrexone and the method of taking it before drinking to help your brain taper down to any level you want (alcohol-free being the healthiest goal). Cravings and obsessive thoughts for alcohol slowly disappear. The brain rewires and heals itself. This method can work for 3 out of 4 people that can stick to the one rule method for 4–12 months. You use less and less naltrexone as the months pass.</t>
  </si>
  <si>
    <t>I don't get physical hangovers, however I get psychical hangovers. I don't drink every day, only on weekends, however it's weird that I can drink so much, get blackout, sometimes pass out, and then wake up the next day without physical hangover, only hangover anxiety that makes me think I did something bad last night.</t>
  </si>
  <si>
    <t>So, I've been drinking heavily (12pks) at least once a week for months now, the past couple of months, it's been 2x, sometimes 3x a week (usually finishing the whole case, sometimes more than a case, blacking out, etc.) and I had an epiphany over the weekend that I'm using alcohol as an unhealthy coping mechanism. I was drunk (trashed) all weekend; Friday, Saturday, Sunday morning-evening and believe I consumed 30-35+ drinks within those three days. I woke up sweating, have a headache, am more than normal panicking, have mild shakes, and just feel funky. Does anybody know, can this type of alcohol use cause me to detox? I have listened in on a 24/7 AA meeting and decided I need to change my entire lifestyle. It's hurting myself and relationships, my entire life.</t>
  </si>
  <si>
    <t>My dad had a heart attack on Christmas Day this year while my parents were at a cabin and had to make the decision to withdraw from care today and donate his organs. Watching him struggle with alcoholism these last few years were some of the hardest that I have had to endure, and walking around the house tonight has been tough. Show your family love even when they are making things challenging, we are not promised tomorrow.</t>
  </si>
  <si>
    <t>This is my fifth year of no booze. Yeah, it sucks. Yeah, it’s better than being an alcoholic. To everyone keeping strong through the holidays - hugs and love. Good work! To everyone drinking through the holidays knowing they shouldn't - hugs and love. Good work for knowing you shouldn't be. Can't stop without knowing you have to stop.</t>
  </si>
  <si>
    <t>Ok, this might seem very pedantic, but I just wanted to know your thoughts. I’ve been sober for 11 months and very pleased with how I’m doing. I stayed with my parents recently over the Christmas break and was offered cake. It wasn't until I’d eaten the cake and looked at the ingredients, and it said contained rum. Normally ok, I know you can burn off alcohol in cooking, but the box very clearly stated ?contains alcohol?. So my question is, fellow teetotalers, do you avoid any and all good that may have alcohol in it?</t>
  </si>
  <si>
    <t>She was only 32 years old but had been a habitual drinker as long as I’ve known her-when she were 19. Her brother is also a habitual drinker. Liver and kidney failure due to alcoholism is the speculation that I’ve been told her death was. I haven't confirmed with her family, and I haven't seen her in 5 years, but I do know she was bartending. What does that even me? How did it happen? 2022 will be better year because I will be 100% sober, and I will not contribute to the elongated form of suicide which alcoholism is. The number of friends I have lost this year due to alcohol related deaths is awful.</t>
  </si>
  <si>
    <t>I was doing better. I'm a hard core alcoholic. Furthermore, I've been on a bender for 4 days. Furthermore, I called in sick to work. Furthermore, I'm probably going to lose my job. Furthermore, I'm lying to everyone around me. Furthermore, I'm trying to taper. Furthermore, I know I can't just stop. It's so hard though. It's so difficult when you know that just taking that drink would help..... But it doesn't. The anxiety is out of control. I'm trying to stay calm. I've been through this before. Furthermore, I know tomorrow I will feel better. As long as I stay on the taper schedule. I hope I'm strong enough. I hate this. Furthermore, I wish I had never started drinking.</t>
  </si>
  <si>
    <t>I drank Xmas eve night and Xmas day. I fucking hate hangovers and all I can stomach is seltzer water, and my brain and back of eyes feel flooded and heavy like there's too much water in that area. Furthermore, I fucking hate reading my texts even they don't sound drunk or weird the hangover day either because it's like that's not sober me and feels more dishonest. Anyway I wanted to rant and complain.</t>
  </si>
  <si>
    <t>I never thought this could happen to me. This isn't a pity party, by the way. Just some rambling. I guess to document things and maybe not feel alone. At the time of writing this, I’ve basically lost everything. I have almost no family to speak to, no friends, no coworkers. I’m essentially out of money, but I have food to eat, so It's not so bad. It's me and my cat, Oatmeal. At least he likes me. The past 6 or 7 years have been mostly downhill for me. And I have no one to blame but myself. I have ruined and lost countless relationships and friendships, gained lots of money and lost lots of money. A lot of this has to do with alcohol and addiction. But like I said, I have no one to blame but myself.</t>
  </si>
  <si>
    <t>So I wanted to get an idea of just how much I was spending on alcohol a month, so I printed my statements from June to now. I was spending an average $300-600 a week on alcohol (this is just what I charged. I spent way more considering cash and consumed way more due to friends buying drinks, pregaming at friends, stealing parents alcohol etc.). That's $1,200 to $2,400 a month just on booze. I was spending around 1/4 to 1/2 of my paycheck on it. That is INSANE!</t>
  </si>
  <si>
    <t>I have been a HEAVY drinker since I was 16, I party drank until college and then simply obsessively drank after going to school. The last few months I have been awkwardly bored with it, I’ve done plenty of drugs in my life and had my fun, my whole family drinks and come from a long line of alcoholism. I have no urge to continue that. Honestly I’ve found myself bored, and lately drinking less and less. It might be that it’s bc I graduated, although I’ve always feared being a ?real? Alcoholic. I hope this streak of ?boredom? Continues but does anyone have any tips on how to keep this rolling? Or even just links to an AA in DFW Texas for me to get/stay completely sober</t>
  </si>
  <si>
    <t>I’m an alcoholic. It took me losing two relationships to realize this. In both, I always remembered my partner telling me it would be ok if I just stopped drinking. I want to stop. Every night I tell myself this is my last drink. Then I end up drunk the next day. I have tried AA meetings, but they always end up make me semi uncomfortable because all of them in my home city are religious (I am not Christian or religious at all). I know I will probably get some brutal/mean comments from Reddit users, but to those who have felt at their lowest, how do I even start to get over this? This is a huge handicap, and I want to get over this badly, but what are the steps?</t>
  </si>
  <si>
    <t>After a 6-day binge that ended in me having no appetite and vomiting I have called it quits. 23 years old. Heavily drinking for some years now. Off and on but pretty steady the past 8 months. Appetite is slowly coming back and inflammation in my abdomen seems to be improving. Still can't eat a ton. Looking forward to getting better.</t>
  </si>
  <si>
    <t>I’m a 24-year-old male worried about alcohol addiction, from 16 onwards I have always drunk a lot, since the first lockdown UK I have upped my alcohol intake about 70%, I don't drink every day but when I do my main aim is to get shitfaced even if it’s just a few quiet ones with my girlfriend, I related a lot to Paul Person when he spoke about his drinking and gambling habits and I see myself with the same addictive tendencies, I’m able to push a lot off as it being socially acceptable to be drunk with friends or family, but I’m worried what the future holds if I can't get this under control, I also find life without alcohol slightly boring like if I’m ever home alone I can't just sit and watch a film I need to make an excuse to have a drink one way or another, there is much more to I could say but just not sure how to say it, any advice appreciated</t>
  </si>
  <si>
    <t>Barely eaten anything in a month can't eat or drink water, drinking 15 ciders a day feel like I’m dying. Slept for 5 hours woke up really ill with heart pounding and head spinning 2 ciders helped but I’m drinking 15 a day trying to cut down. I live alone and scared of seizures been to a and e twice, and they just say physical obs are fine and go home. Really feel like this is the end now. Would love a medical detox but can't seem to get one. Always figured it would end this way?. Don't really know how to move forwards cause of how ill I feel. I have groups starting in Jan, but physically I don't feel good. Head feels like it’s about to explode. Trying to sip water without much luck. Sorry for the vent. Just scared.</t>
  </si>
  <si>
    <t>I want to be sober. I just don't know where to start. Furthermore, I am around a lot of social drinkers. Furthermore, I'm at an age and living somewhere where drinking culture is so ingrained that it seems pointless. Will I have a social life? But inside, secretly its ruining my life completely, and I want to stop. My all-time low was cycling in the freezing cold for 3 hours trying to get home but being too drunk. I live 10 minutes away. I came home covered in bruises and i don't know what happened in that time, but I know it wasn't good.</t>
  </si>
  <si>
    <t>I’ve been a functioning alcoholic for over 10 years. My weight has gone up significantly, and so has my tolerance. My husband is fed up with my drinking and gave me an ultimatum. I quit drinking cold turkey, and am on day 2. All morning long, my heart has been racing, and my hands have a mild tremor. I have the worst anxiety and feel like I am losing my mind. I still have an appetite, and have not been nauseous or vomiting. I’m not sure if it is all in my head, or what. But as the day progressed, I felt worse and worse and thought I was going to have a panic attack. I was able to make Christmas breakfast for my kids and watch them open their presents. But when we were on our way to my in-laws, I had us stop at a drugstore to get a last minute gift for my father-in-law. My husband and kids stayed in the car. I then also bought a few tiny boxes of wine and shoved them in my purse. I drank them all, and almost immediately felt better and no longer felt as crappy as I did earlier. Furthermore, I did not get drunk at all, and had a mild buzz that wore off fast. Furthermore, I of course told no one, and am terrified. My husband said that if I drink without telling him, he will be furious. But then, when this happens he gets mad at me: so naturally I kept this in secrecy. I don't want to drink anymore, but do not have the time nor the means to do inpatient detox. I have to work and take care of my kids. Furthermore, I don't have any family to help out, and my in-laws hate me as it is. How do I go about doing an at home detox? When I tried it in the past, I was always yelled at and told to go to the hospital. This is not an option for me, and I am so lost and have no direction.</t>
  </si>
  <si>
    <t>So I used to drink like a fish years ago and now have slowed down a lot from drinking with only drinking on the weekends till last Friday I began to drink some wine and other drinks because I was POSING and wine tends to help. Now it's been a 7-day binge of drinking wine and for some reason I have been extremely depressed and having self sabotaging urges, I keep thinking terrible about myself thinking I'm worthless, keep thinking about my past mistakes, shame-just I have not been kind to myself for a whole week, I'm not a depressed person by nature, but later I have been. Has anyone had this experience before?</t>
  </si>
  <si>
    <t>Sorry I'm not to sure where to post this but I wanted to ask for some advice. I think my mum has an extremely unhealthy relationship with alcohol, I have zero judgment towards her- I completely understand these issues as I went to a month ATP program when I was 19 for certain narcotics and at 22 I'm 9 months sober. I have always had a very unhealthy relationship w alcohol and drugs but after being clean for a while I have realized my mum has the most unhealthy habits. Furthermore, I have tried to talk to her about it a few times, but she is in denial, my Dad also agrees, but frankly I don't think he cares enough to do anything. It’s just shit and I want to help her. I have spoked to my NA sponsor a lot about it but was looking for some extra advice because it’s just a bit sad to see her like this</t>
  </si>
  <si>
    <t>She’s trapping me in these social gatherings, I knew Christmas was going to be trouble. She had been doing so good with her drinking (for the most part) ever since I blew up at her this one time. And every time I come home, it seems like she makes sure to not get drunk in front of me. Until today, she was literally incoherent as my family and I went to bed after our Christmas family party. The worst part is, I was making excuses for her this time, saying to myself it’s okay that she got drunk because it’s Christmas, it’s a holiday. But it just turned out to have a sad undertone in my head. No one else got as drunk as her, she was slurring words as I’m trying to enjoy time with my family before I go back to my apartment, and now I’m fearing a new cycle of slipping upcoming, something I won't be able to monitor which means it falls on my other siblings who still live at home. It’s taking me back to 2020 when she would be shitfaced nearly every day, hiding bottles and shit from us, etc. I don't know what to do, and the worst part is, I think she knows that, and so she takes it as an excuse to keep on doing it, even if it is mentally tearing me apart and ruining my image of ?home?.</t>
  </si>
  <si>
    <t>I flew into town to visit my mom. I was hoping this year would be different but I was wrong. I’m new to all of this. Furthermore, I grew up with a great mother who never so much as drank more than a beer. Childhood was great too so the mother I see today is a mother I don't recognize. Loss of my father sent her into a depression and grief and understandably so BUT it seems like she doesn't want to do better for herself anymore. It’s like she doesn't care. I see her drink multiple beers a day. I'm not stupid. Anyway, in the past I couldn't take it and lost it. I yelled at her and called her out and that didn't help at all. If anything, it just made feel a little better. Anyway, this year I’m trying not to get angry. It just sucks. Am I just supposed to sit back and let her screw things up?</t>
  </si>
  <si>
    <t>Drinking and smoking weed is how i?VE handled my personal/emotional problems for about the past year now. It’s a habit I can't seem to break, probably because I don't want to break it all that badly. Despite it not really actually helping, it’s what I turn toward every time, all the time. This Christmas I am literally alone. My roommate and best friend went to visit their family, so I was alone in the house all day yesterday and today. I?VE been drunk and/or high most of this time. I'm sober now and all I can think about is taking shots. My parents are coming to visit me starting tomorrow, so I can't bitch and whine all that much. Anyway, the gist is I constantly feel lonely and drinking is how I'm dealing with that. I keep trying to find a reason to stop, but I can't justify any of them. I'm a bit worried it’s going to take hitting rock bottom for me to commit to being sober. Another part of me is holding out hope that maybe I won't ever have to cut alcohol out of my life completely, and that maybe i?LL be able to consume in moderation (this has no logic to it since i?VE never been able to moderate before). Another part of me is so comfortable in my alcoholism. Another part of me is so ashamed of my dependence.</t>
  </si>
  <si>
    <t>I was on another 5 day bender, and tried to take my dog to the dog park at 9am. I brought a bottle of wine with me in my car to try to drink as much as I could before-god forbid- I had to be without alcohol at the dog park for 45 mins. Furthermore, I was so drunk I couldn't even get out of the car and called my best friend because I needed help and needed to surrender and be done. She shared with me today, that when she picked me up I didn't even recognize her. I had a glaze over my eyes and didn't look like me. I had wine stains all over my shirt and my car. My car had empty wine bottles all over and smelled like throw up. She somehow got me and my dog in her car, and took me home and just let me sleep all day. I wanted to die the next day. Truly, wanted to not be alive. I could not handle the pain anymore. I just tried to get through the day sober. Furthermore, I started putting together days, with 2 AA meetings a day.</t>
  </si>
  <si>
    <t>Personal story time? I went to the hospital for alcohol withdrawal yesterday (first time). The first doctor just told me to quit (super helpful, thanks!) and there was nothing he could do. And accused me of lying. The second doctor came in and told me they they’re seeing SO MUCH of this because of the stress the last few years. She said ?you’re not alone. I will help you? And gave me some meds in my IV to stop shaking and then wrote me a Rx to help at home. I sobbed because I was so grateful. Like, what the actual fuck. For contest, I’m a young mother of two with an advanced degree who has NEVER sought help of this magnitude before.</t>
  </si>
  <si>
    <t>I have been avoiding bars since quitting. But I couldn't this weekend. I was out of town for an event and our leader decided we would all meet at the hotel bar to discuss our upcoming program. I didn't want to go, but if I didn't, I would be missing out on important strategy planning of a project we have coming up. So, I had fear of missing out....but not of fun or companionship. Fear of missing vital information to this project we are doing. So I went. And when the waitress came, I refused to even acknowledge her at first. Rude. But I was afraid I would order something I didn't want to if I did. I finally told her I didn't want anything and got a very awkward look from her. Everyone else ordered alcoholic beverages. And consumed them. In front of me. And it was torture. I was so distracted that I didn't even pay attention to what was said. When there was finally a pause in the action, I excused myself from the table. But instead of leaving like I knew I should have, I went to the bar. While I was at the bar, everyone was ordering their second round. I got the attention of the bartender. She came over to take my order and...... I asked her if she could make me a virgin margarita on the rocks. And she did. And that is what I returned to the table with. And then I ordered a second one from the waitress when she came around again about a half hour later. And it worked. And I did it. I was very, very tempted to not include the "virgin" part of my order. But I did. And I didn't end up have 5-6 regular ones. And I didn't embarrass myself in front of everyone. And I didn't wake up with a hangover forcing me to drag ass all day. I actually did. I feel good about it. Furthermore, I wanted to share. But I also don't ever want to feel that level of temptation again. It is the most I have had since starting this journey this time around.</t>
  </si>
  <si>
    <t>I’m reasonably new here, I’ve been lurking for a couple of weeks and have finally built up the courage this morning to quit drinking. I have depression that has been worsening, and I’ve been fooling myself thinking that alcohol helps me relax and chill out when in actual fact it brings out my anger issues, makes me more suicidal, and makes me do stupid things. Furthermore, I am a mother of two young boys. Furthermore, I can't be that person. Furthermore, I owe it to them, my husband, my friends and most importantly MYSELF to be better. My whole family and my husbands' family all have varying levels of alcohol addiction, it’s so ingrained in my social life</t>
  </si>
  <si>
    <t>I enjoyed seeing everyone’s favorite teas last night. If this isn't appropriate for this sub I’m sorry, and please remove. Anyhow, tonight I'm feeling a bit under the weather (just a cold) I brewed some raspberry tea and went heavy on the lemon and honey. It’s relish and so soothing on my throat. Any other tea drinkers out there or anyone else enjoying a nice nonalcoholic drink tonight?</t>
  </si>
  <si>
    <t>I’ve been working from home and feeling alone. I started drinking too much: off working hours, then during work, thinking it wasn't noticeable. My boss just shared that he felt I was intoxicated in a meeting, and others had mentioned it too. I am so ashamed. I want to change but I also kind of want to want to just disappear. This is so humiliating, and I don't have anyone to share with.</t>
  </si>
  <si>
    <t>The title says it all! I wasn't too excited because I told myself to make a deal at 69... However, after speaking with my sponsor she told me to live more in the moment-which I am absolutely terrible at. Any who... 2 months in... ever!!! I have never ever gone this long without alcohol, and I am super proud of myself !!! It does get easier!</t>
  </si>
  <si>
    <t>I’m a big fan of interesting dates, so I was excited when I realized my one year would fall on 2/2/22. I feel like I don't deserve to celebrate one year because I wasn't a ?problem drinker? And I didn't hit a rock bottom. In fact, I’ve retyped and deleted this post a few times. I didn't make not drinking a public thing, I just casually declined opportunities, so it’s not like extended people in my life are aware I wasn't drinking, but I’m still proud of doing what I set out to do, one day at a time and want to be able to celebrate with someone. With a significant number of alcoholics in my family, I could see how easily it could become a problem for me. I was counting the days a week I was drinking, tracking how many drinks I had to make sure it wasn't too many, but excited about the next one. When I was younger, I blacked out every time I drank and I didn't realize that wasn't what everyone did.</t>
  </si>
  <si>
    <t>I'm 32, for the first time in over ten years I'm 16 hours sober, and I feel like death. I'm shaking and cold and puking and I don't know if I can do this. Furthermore, I don't know what I want from this post, I got perfect at hiding it, so I've been about to remain fairly lubricated for a decade, and I'm just realizing I don't know how to do anything without alcohol. Like, anything. And it feels gross to burden people with this information now. I'm just rambling at 6am because I can't sleep. Is it normal to dream about booze?</t>
  </si>
  <si>
    <t>Lately I've fallen back into drinking 3 to 6 beer per day. Today, I did groceries, stocked up on supplies for the pets, and made the beer store my last stop. I carried a 24 case of my usual up to the counter, tapped, and realized I'd run out of money in my cheating account. I looked at the cashier, said, "That seems like as good a sign as any," put the beer back on the shelf, and left. Furthermore, I need to put my pets and my groceries and gas money ahead of beer, so I won't be buying anymore of that for a long time.</t>
  </si>
  <si>
    <t>Met with my GI specialists for the first time today it turned out okay. I was diagnosed 2 weeks ago and made a follow-up appointment with his office that was set for this morning. I was nervous because he had some not so great google reviews, but I found the office staff and the doctor himself perfectly fine which is always good. He wanted to check my swelling on my legs which he did and mentioned they look much better which they sure do along with my stomach. He asked me if I had been drinking since being released I let him know not a single drop. Asked me if I had any more symptoms since leaving I let him know no throwing up nausea etc. the usual suspects he drew blood and sent it off to a lab for testing which I will receive a call Thursday with the results also set up another appointment next month exactly. So nothing really happened, but I feel like that's almost a good thing I am kind of nervous of the blood tests coming in, but I have been eating good and exercising so I'm hoping the numbers come back better oh he also looked at my jaundice and said with time it'll get better so I'm happy for that...just wanted to post this to vent and let it out thank you</t>
  </si>
  <si>
    <t>Had 13 years, went back to drinking during the pandemic. I’m ashamed and can't tell anyone how bad it’s gotten. I’m tired of blacking out, hiding bottles, and abusing my body and mind. 7am: I’m done! I’m not drinking. I’m so upset with myself! (The shame is overwhelming.) 12pm: It’s really not that bad, is it? 4pm: Wine or vodka tonight or both? Cycle repeats. I need one day! Please send positive energy my way. I’m desperate. I will not drink today.</t>
  </si>
  <si>
    <t>Today I’m proudly celebrating one year alcohol-free. I could NOT have done it without this sub. The grass is truly greener over here, and I am grateful that I saw where the bottom of the bottle was going to take me before it did. I am 23 years old, and you are NEVER too young to quit. If you question whether or not you should stop drinking, the answer is yes. A huge thank you to everyone here. I’ll be back in 364 days to celebrate another year. Until next time.</t>
  </si>
  <si>
    <t>Binge drinker here. It's been 9 days since I've had a drink. I promised myself I would go a month without touching any alcohol to assess how/if I can handle it. It was very easy to abstain during the week but once it hit Friday the cravings got super intense. I noticed that I was incredibly bored and agitated. I kept thinking about how much a glass of wine would help to enhance whatever I was doing (like cooking for example). Furthermore, I made sure to stay very busy. Furthermore, I'm very lucky and grateful for my boyfriend who was incredibly helpful and supportive.</t>
  </si>
  <si>
    <t>I’ve always been a runner. As I got into my 40s I found myself aching more after runs, feeling worse the next day, and just not having the same energy as I did when I was younger. Then in summer of 2020 I had a hip injury caused by many years of running. Combined with the pandemic, well my drinking really ramped up. After recovering from hip injury, I tried running again, but the hip was always ore, legs felt worse, and I figured it was time to hang up the running shoes. Fast-forward to early this month (last drink on Nov 13th of 2021), I’m feeling more energetic than I have in years, so I start doing some short runs on the treadmill. I notice I can do 2 miles of running plus some waking without hip pain, and, amazing to me, my legs feel good and the next day I feel like I can do more. Then one day I feel great, and I tell myself I think I can run 5 miles?.so 45 minutes later, I’m done with the 5 miles! I figured I would be hurting the next day (yesterday) and I woke up, and my legs barely hurt at all. Another 3 yesterday and 4 today and I feel like my old self! Now this might not be tied to not drinking, if I sure think it is. I’m not dehydrated from drinking, my body can use it’s energy on healing muscles from working out and not ridding itself of toxins, I’m sleeping better which obviously helps with recovery, I’m not having the drinking shits, so my body is keeping the nutrients it needs, and best of all, my hip doesn't hurt nearly as much! It’s amazing what the body can do when not drinking! TL;DR: quit drinking, able to run again like I did in my 20s/30s</t>
  </si>
  <si>
    <t>I stayed sober for about 1 month into this new year. Then I started to occasionally drink and moderate, and then I got drunk 3 times last week. I feel an emotional wreck. Depressed, anxious. Can anybody else share the impact on alcohol on their mental health? I feel like shit, and so ashamed things again didn't work out... I need to take care of myself and my mental and physical health. Furthermore, I feel so alone and defeated.</t>
  </si>
  <si>
    <t>I'm three months sober now; I also struggle with cocaine addiction, wonder how many of you struggle with it as well. Booze is/was my main thing, but blow had its supporting role in my addict life too. I'm looking for a sub or a supporting community of cocaine users. R/cocaine didn't feel appropriate, and it was very triggering; I almost relapsed just scrolling for a few minutes. Thank you, guys!</t>
  </si>
  <si>
    <t>Today marks 6 months sober. No beer, no shots, no wine, no hangover, no morning after regret. It's been a very challenging 6 months, but worth it. So many reasons to give in and have 'just one'. But here I am. Thank you, community. It feels different this time. I don't hate my sobriety. I am starting to feel that I control my life. That I run this ship.</t>
  </si>
  <si>
    <t>I never realized how much time I spent thinking about alcohol until I quit. Stressful day? You earned a drink. Tired? Unwind with a glass of wine. Drinking became my reaction to most things going on in life. It’s great freeing up my mind, now I have to find something new to focus on!</t>
  </si>
  <si>
    <t>I feel pretty stupid for deciding to drink again. Being sober was going really well. I was sleeping well, walking a lot of steps daily, eating well, keeping up with all my responsibilities and getting out for hikes on the weekend. Then there was a death in my family. My online course felt too overwhelming to keep up with. I started to fall out of my good routines. Then I drank 1 night. I tried to resist. My partner and I had both admitted we were thinking about it then he went and bought some. I sat for a couple of hours, glass of wine already poured but trying to resist, knowing I didn't want to throw away my progress and start the cycle. Caved. Told myself it wouldn't happen again. Blackout, don't remember going to bed. The next morning I felt so crappy. Tried to power through but drank again ?to take the edge off?. Blacked out again. Argued with my partner. Don't remember going to sleep again. Attempted to go for a walk and do some chores the next day but still felt so off. Anxious, even my vision felt weird, my entire body felt weird. So we drank again. Not as much as the previous nights. It didn't really make me feel any better, but I do remember going to bed. This has to come to an end now. It’s so easy to fall back into the cycle of feel crappy, drink, feel crappy from drinking, drink again. It feels like life on hard mode. Basic responsibilities feel so, so difficult. Just trying to keep my plants and fish alive and not let my home turn into a total wreck feels so hard but it is the bare minimum. All I want to do is curl up in bed but the anxiety is so bad there’s no way I can sleep the day away. So today I will shower. I will go for a walk. Try to read for my class. But my main goal, the very most important, is to not drink today, no matter how uncomfortable it is.</t>
  </si>
  <si>
    <t>Binge-watching Love Is Blind (it's okay to judge) and it's amazing how much liquor they shove down the contestants throats. There's obviously some sponsorships (Jack Daniel's shots anyone?) but it's crazy how there is not one scene where they aren't drinking. I see myself in these women and men grabbing their wine glass any time they leave a room. I don't think they would let a sober person on this show. Furthermore, I'm convinced reality TV is 95% alcohol and 5% sundresses.</t>
  </si>
  <si>
    <t>I'm lucky enough to be able to dedicate this time to resting. Tapering the Valium with each day, taking thiamine etc. and drinking loads of water. I had a call from the addiction clinic and the 9-week intensive will start in a few weeks. I'll be detoxed by then plus will have had some ENT day surgery I've been sorely needing. Here's to starting a new season (autumn here) with a life reset.</t>
  </si>
  <si>
    <t>Hi Been a heavy drinker for 20 years. I have two teen boys (13 and 15), with shared custody. In the past two years, with the pandemic, working from home, the isolation... my drinking picked up, and they started being more and more aware. It made them. Mad, and I am trying to improve our relationship. It is a balancing act between talking and also giving them their time. Any suggestion or experience you can share would be welcome!</t>
  </si>
  <si>
    <t>This is the longest I’ve gone in over a year. Over the last 4 months, I went through a breakup, helped my mom while she recovered from cancer treatment, and had the stress of running my own company with no days off. My life kept getting worse, and I knew drinking would only make things worse. I quit drinking and smoking weed cold-turkey on Dec 15 2021 and I’m so proud of how far I’ve come since then. In the last 69 days. I’ve gotten back to working out, improved my relationships, reduced my anxiety, cleared up my skin, and feel a lot healthier inside and out.</t>
  </si>
  <si>
    <t>In the middle of paws and all I can do is vent on here Decided to go to the liquor store for a beer and a handle and 24 hours later here I am. My nose is broken and swollen, I’m missing a toenail and I’m not even sure how. I’m too shaky to do anything but stare at a stupid stuffed turtle I got for my now ex for valentines. The one person in the world I could really talk to and now in no uncertain terms wants nothing to do with me. I wish she would have yelled at me or punched me or anything other than cry. She tried so hard to help me and this is how my sorry ass says thanks. One fucking slip up and basically anything that was going good in my life went straight down the hitter.</t>
  </si>
  <si>
    <t>Loneliest I’ve ever felt in my life. I don't even know where to start. This was day 55, and I just said fuck it because quitting drinking has become this huge rift. It wasn't a huge lapse, but it’s why I did it that’s killing me. Because we don't get along without it. Just a glass to show I’m not rigid, right? And I have no friends without it. Our social lives are completely intertwined. Our professional lives are intertwined. I can't maintain the status quo of my life without this component and it’s making me furious and so very, very resentful. I feel as though I cannot win. This is hopeless. All I want is a better life where I’m in complete control of my emotions, my decisions and my behavior. And this is being taken as some sort of act of war.</t>
  </si>
  <si>
    <t>I need to quit drinking. I've been a heavy drinker for 10 years, so I'm probably at a high risk for DT's and dying from quitting cold turkey... but I also know that I don't have the self-control to slowly wean off. Furthermore, I have come to terms with the fact that I can never be a "casual drinker." Even if I have the best intentions to stop at three beers, once I start, I cannot stop. It's been that way when I started in my early 20s to curb my social anxiety (the false sense that I'm more fun/outgoing when I'm drunk, when in reality, I just make an ass of myself. The only difference between then and now is that I'm more self-aware of my actions the morning after lol). I'm not sure what to do from here, but I'm sick and tired of being sick and tired, so to speak. I don't want to be an active alcoholic anymore. Can anyone share their experiences with quitting cold turkey, going through withdrawals, etc.? I know I can Google the information, but it helps to hear from real life experiences to know what to expect as I close this chapter in my life. And, Google convinced me that I will die from withdrawal, which just adds to my anxiety about quitting. I don't want to die... I just don't want to live with this vice anymore, and want to quit before it's too late/don't contribute to future health issues in my old age.</t>
  </si>
  <si>
    <t>Went out tonight for a long-time friend’s birthday and the drinks were flowing and it was hard. I did alright for most of the evening, but by the end, I was struggling, and I am anxious, a bit depressed, and struggling. But I did not drink!</t>
  </si>
  <si>
    <t>I don't know what to do when I don't drink It’s 6pm and I’m almost home and I’m dreading it and feeling depressed. Normally, I’d open a drink as soon as I got home. But now I don't have that. I’m not sure what to do with my time to make it more entertaining. Some days I’ll go to the gym and workout which makes me feel better. But other days I don't want to go. Anyone relate? What do you guys do after work instead of drinking?</t>
  </si>
  <si>
    <t>I keep thinking that my alcohol addiction is abnormal, but it’s not. Being addicted to a physically addictive drug that produces a euphoric high is not abnormal, it’s something that humans seek out and crave. The abnormal part is abstaining from something that has almost immediate positive effects and triggers an intense endorphin rush. The most difficult part is training your brain to understand the consequences that come along with this high. Hangovers, withdrawals, depression, anxiety, etc. But alcohol addiction is not unique, abnormal, or unexpected.</t>
  </si>
  <si>
    <t>Hello, I am a 24 F, and I was almost 3 weeks sober after a huge mental breakdown. Today I relapsed and spiraled horribly. I have been attending AA meetings at least 3 times a week but I don't know why my brain took over me today. I also don't know how to get a sponsor. Furthermore, I am trying to do this journey all by myself but It's so hard. IDK what I am really getting at, but I just really need some support right now.</t>
  </si>
  <si>
    <t>Okay it’s Tuesday, my solo shift at the restaurant, and I am closing alone as I always do. Usually right as I start to close, I pour my first drink. By the time I’m done cleaning, counting and turning off the lights, I’m 3–4 drinks in and ready to head to my local dive for a night cap (or three). I’m not necessarily nervous? I’m still in the first week of sobriety so I have a lot of motivation coursing through me. I’ve been binging sobriety podcasts and reading a lot of supportive ?quit-lit.? Furthermore, I just want to jot all this down so as I’m closing tonight I remember that I have established a precedent for the night? Closing down without pouring a little something for myself on the side. After tonight, I have 3 long days off, away from the bar, and I’m looking forward to that. Off to a hard workout, so I’m possibly too exhausted to even think about anything but my bed once I’m off.</t>
  </si>
  <si>
    <t>Long story short, my partner ended our relationship out of the blue, and he said some things that confirmed my worst fears about myself. I had already been struggling mentally and emotionally and this felt like the last straw. After he dumped me I sat in the parking lot and sobbed for a long time while internally debating what to do. In the past when I've felt this bad it feels like the only option is to drink to distance myself from the absolutely crushing emotional pain. Of course this is only a temporary, shitty band-aid and I feel worse in the long run. It was really hard but I didn't drink. This isn't a great success story because I did use eating disorder behaviors to cope, but in the past I would have used alcohol on top of that, and it would have exacerbated everything. I was considering relapsing into self-injury, too, but I managed not to. So I guess I'm making a tiny bit of progress. I spent the weekend with my mom (God bless her, she's a saint) and honestly I was a completely miserable mess, but I knew drinking wouldn't make anything better. I'm back to work today and my life is feeling slightly more manageable, although I still have a long way to go. Furthermore, I know it's no huge accomplishment, but I'm trying to cling to every little bit of positivity I can find. Sorry to ramble, I didn't have anyone else I could tell. Thanks to all of you for sharing your stories, this sub is so supportive and inspiring, and I wish you all the very best</t>
  </si>
  <si>
    <t>I got arrested for something unrelated, but part of my bond conditions were to ?not be around alcohol?. I haven't had a drink since August 19th. I’m kind of disappointed I was hoping for some renewed mental clarity or my body to feel better, but I feel exactly the same as before. Furthermore, I don't miss drinking, but I do miss seeing all my friends at the bar.</t>
  </si>
  <si>
    <t>I have 5 days. Never been a drinker during the weeks but have been binge-drinking and blacking out basically every weekend since I was 16. Turning 27 this month and finally ready to accept that none of the strategies, clocks, apps, counting drinks with pen marks on my hand, etc. etc. etc. are going to get me to stop drinking once I've started. I'm sick of blacking out, cheating on partners, not remembering how I got home, and generally turning into a version of myself I don't recognize. So I'm stopping. But I'm also moving to Mexico City this summer for a job. Any recommendations on Mexico City sober life in particular or even just anything about moving early in sobriety?</t>
  </si>
  <si>
    <t>Been reading here last few days. So like 6 years ago I stopped drinking. The first 4 years, I didn't drink at all. Then, up until recently I only had a celebratory drink here and there. But I got the itch to have a drink this past weekend and 1 drink turned into 10. Holy hell-my entire mind, body and soul hated me the next day(s). It's like my brain went dumb. Focus? Forget it. Hand-eye coordination, gone. I don't know if anyone will know what I'm talking about - but even my vision felt shaky. Along with my vision, my hands and legs were unsteady - like a baby horse learning to walk. I felt emotionally drained. Before having these drinks - I was fairly mentally stable. After drinking? I felt intense guilt. The kind that makes your heart hurt. I'm having like flashbacks to being drunk, and it's giving me anxiety as if I suffered some kind of trauma - even though I didn't (aside from maybe what I put my liver through.) The emotional aspect is so severe that I feel like the only way through them is to isolate myself for a few days until they are back in order. My whole shit was thrown out of whack. That's not even including the inability to sleep even though you feel beat and exhausted. Or the headaches. Or that stomach ache where you feel starving but have no appetite? I mean WTF is that? I'd also like to point out - a side effect I never had before - but I felt feverish. ALL of these negative side effects... and for what? I have never appreciated being sober more than I do now. I didn't drink for a long time and I haven't felt any of these awful side effects for so long that I underestimated how bad a "hangover" is. It's been 48 hours, and I'm only starting to feel better - still not 100% though. So basically 10/10 DO NOT RECOMMEND. Life is way better when your mind isn't turning on you and your liver isn't screaming in agony.</t>
  </si>
  <si>
    <t>Long time lurker, first time poster. I’m 32 M and I’ve been trying to quit now for almost a year. My longest streak has been 10 days and that too because of covid. Beside covid my longest streak would be 7 days in last 10 years. On an average I drink 4 times a week and 3 beers (500 ml) every time. I'm not sure by what parameters one decides that he is an alcoholic or not. All I know is that I can never say no when presented with an opportunity to drink. In fact if there is no opportunity for 2–3 days, I manufacture some reason in my head like I’m too tired today, or had a great day at work or had a terrible day at work etc. I’m very much into sports as well - running, cycling, badminton etc. and do a physical activity 4–5 days a week. And this also plays in my head - that ? Oh, I’m burning also so many calories, so I should be allowed a couple of pints?</t>
  </si>
  <si>
    <t>I've been sober since 17th August 21 after drinking all of my adult life but for the past 7 years drinking heavily every day. At first, I felt great, I was enjoying the challenge of being sober. I changed my routine to keep busy, joined a gym, slowly starting to get my physique back, booked to climb a mountain in Italy in July of this year. I needed something to focus on and keep motivated for. Now that the novelty of being sober has worn off I'm just sad all the time. I find no pleasure in doing anything that I used to find pleasure in. I find it hard to be able to be intimate with my partner while sober, so I make excuses when she makes advances or wants sex. Our relationship has been strained since I got sober because I just don't feel like I'm the same person I was when I was drinking. We met and got together when I was drinking so she has never really known me sober. She's an amazing woman, and we have so much in common and such similar interests and backgrounds. But I just push her away time and time again. Getting together with family is tough when we go out for meals etc. because they all drink, and while I have no desire to drink, I can't be on the same level as them because, well, they're all drunk and it's just annoying. Being the only sober one in a group of drunk people you realize how much crap people talk when they're drunk. It usually ends up with me making excuses and going home because I just don't want to be around them. I just feel so fucking lonely. Lonely when I'm with people and lonely when I'm not. Can anyone else relate to this? Can anyone offer me any advice? Can anyone just tell me that it will get better, because as it stands I don't want to live this life as it is. I want to be happy again.</t>
  </si>
  <si>
    <t>After drinking from the time I wake up until the time I go to bed almost every day for the last few years, having deep depressive episodes that were causing me to almost be to the point of being suicidal, and receiving a write-up at my job for my attendance (due to the depression and hangovers), I have finally decided enough is enough. I have been on anti depressants for a year or so now, and they help, but they can only do so much when I’m drinking a poisonous depressant every day all day. I'm hoping that stopping the drinking completely will get me back to feeling like myself again.</t>
  </si>
  <si>
    <t>My drinking has been getting out of control the past couple months. I’ve been really stressed about my job, bills, and my living situation. I’ve also been really unhappy with the way my body has been looking. Facing those feelings made me so deeply uncomfortable and unhappy. I don't know how to see problems without just laying down in it. Being completely weighed down by everything. So instead I’d just go out, drink, meet new ?friends?, because it made me feel like even if I suck at everything else, even if I hate everything else about myself and my life, I can at least be the person that’s good at being social and making other people like me. At least for the night. But last night one of my new ?friends? Gave me what I thought was coke (another fucking alcohol related problem entirely), and I’m pretty sure it was GHB instead. I was too drunk to remember if there was a difference in the smell/taste, but after 10 minutes, I was completely incapacitated. I took it right before I was leaving to go home, since I thought it would sober me up, but within a few minutes into my drive (another fucking issue I hate myself for), I realized I was fucked. So I called my boyfriend who only lives 5 minutes away from the bar I was at and told him I needed to come over. I told him that I’d been roofed. And I had. But I did it to myself because I was too fucking drunk to think about any potential risks. I took drugs from a stranger, because why not, and I fucking got roofed. The look of fear in his eyes while he was struggling to keep me conscious is something that’s going to haunt me forever. The amount of pain I’ve put him through because I couldn't just face my fucking problems. I hate myself for it. I don't want to live like this anymore. Furthermore, I don't want to keep wishing for a better life while avoiding even looking at the things I could improve to get me that life. It’s so fucking backwards. I hate so much how I’ve hurt him. But I finally hate how much I’ve been hurting myself too. I want to believe I deserve better.</t>
  </si>
  <si>
    <t>Basically I’ve dug myself into some shitty debt and late payments and financial situations. But sobriety is 1000000 % my focus right now. It seems impossible to dig myself out of this financial hole and recover my credit someday. Any stories about that? Just looking for some extra hope.</t>
  </si>
  <si>
    <t>I just wanted to thank this sub for helping me get through day 1 after I had probably the worst relapse and truly, truly crippled my relationship with my parents. I keep having mental flashbacks of that night and my parents can barely look at me. For those that have found positives in getting out of this rut without finding themselves fighting the solution with the problem - have you got any pointers on how you fixed things with your loved ones and friends? Short story, I went out Saturday night and got so far blacked out that my mate had to get a taxi with me to my house and get me through the door. Followed by me passing out on the stairs and my parents calling an ambulance because I wasn't responsive, after I was put into bed I got up and urinated on the floor in my room - my dad heard and tried to stop me but couldn't. Now neither one of my parents can look at me. The thought of what I did, the selfishness of my drinking followed by my actions makes me sick to my core, and the guilt is just eating me alive. I’m very lucky to have them, and they are the last people I want to hurt but have ended up being the very people I have hurt the most. Does anyone have any pointers on how they began to make amends with loved ones once they have realized sobriety is the way forward as opposed to moderation? Really appreciate all of you, if this is out of the subs terms and conditions I understand if it needs to be taken down.</t>
  </si>
  <si>
    <t>I woke up with vomit all over. My bed, the bathroom, the floor, the couch. I don't even remember puking. I sent text messages I would give anything to have not sent. Furthermore, I think I weirded out the guy I’ve been talking to. The first guy I have a chance with since my ex dumped me on Thanksgiving. Dumped me for saying shit I don't even remember saying because I was drunk then too. I have to stop. I’m so miserable and alone. I’m pretty and intelligent, and yet I waste it all in bottles of beer and shots of whiskey. I’m not drinking today.</t>
  </si>
  <si>
    <t>Had too much coffee yesterday ... slept like 3 hours and laid awake the rest. I feel groggy and can tell today will be one I'm going to have to muscle through, but I have a clear conscience which is way more satisfying a feeling.</t>
  </si>
  <si>
    <t>I decided that I wasn't happy with my relationship with alcohol. I had been drinking every night for years. No major drama or disaster, but restless sleep, a bloated face and that terrible taste in your mouth the following morning were constant parts of my life. Even worse than the physical symptoms, though, was all the lost time. 6pm would roll around, I would start drinking and my ability to engage with the world would quickly fade away. The first two weeks not drinking sucked. I was clearly physically dependent on alcohol, especially to sleep, and finding the patience to let my body sort itself out was hard. I’ve not been perfect. My badge reflects that. I’ve drank 3 times over the past year. Having seen what life is like without alcohol, though, has let me brush myself off each time and get back on the wagon. Thanks to the stop drinking community for helping to make this possible. This sub is truly a gift.</t>
  </si>
  <si>
    <t>Doing this to keep myself accountable. Yesterday my boyfriend and I hosted a game night. It was my 13th day sober. I got up and cleaned and prepared for the party. My boyfriend and I were arguing a lot. He was triggering me and so was the party. I said fuck it. My dad situation, my boyfriend situation, the way the world is, and my addiction got the best of me. So, here I am again. Day 1. Nothing bad happened, everyone had a great time and I really enjoyed it. One person got way too drunk and fell and lit a cigarette in the house. Wasn't me though. But I was easily on my way if I hadn't recognized the wall between drunk and completely dysfunctional. I thank my work I’ve put in to being sober for that.</t>
  </si>
  <si>
    <t>I've decided I have to do something differently this time, so I'm doing a 90 in 90 (ninety meetings in ninety days). Figured I'd post here to see if anyone else wants to join me. I figure we could be a little support or accountability group for each other.</t>
  </si>
  <si>
    <t>I've not admitted to anyone, even my wife (she knows...), but I have a problem. For all of my adult life (I'm 38 now) I've suffered periods of heavy panic attacks that went so far that I pretty much couldn't leave the house for about two years. Thankfully I am doing much better now, alcohol or not. But those days were the days when I started drinking daily. When I have a couple of beers, even "only" 3 or 4, I don't felt so anxious anymore. I could go into the city and have fun, go outside and enjoy the weather and time with friends. For a couple of years I felt like alcohol really pulled me through when I needed it the most. Thanks to plenty of therapy I've been doing fine now for about 7 years. The anxiety will never leave me it will be a part of me for as long as I live, but I can live with it and live a full life but... The alcohol is still there. I am now a father of a baby girl and a 2-year-old boy. They mean the world to me, more every day. But I still make sure I have beer in the House that I can drink when their mother goes to sleep. When all three are out of the house I sometimes start drinking during the day. My stomach hurts sometimes. I'm out of shape and when I don't drink for a couple of weeks I feel so much better and more energetic, but there is always an excuse. A party, friends coming over for dinner, anything, to start again. I want to quit. I want to be healthy and be an active dad and take care of my kids for as long as I can, I want to see them grow up. Because I have a stable job and only drink in the evenings when my wife has gone to bed I keep telling myself it's not that bad. But really I know it is... Oh, I can quit. When we were trying for kids I didn't drink for months, so my little swimmers were healthy at least. But when I get the chance I always start drinking again, and I can't explain why. Like a lot evenings I will tell myself the same thing. Tomorrow I will quit. But then we have a party Saturday... I will just think about it tomorrow.</t>
  </si>
  <si>
    <t>I have been drinking between 17 and 20 standard drinks (vodka) a day for at least 5 years. This is accompanied by 1 to 2 liters of pop (Mountain Dew or Dr Pepper) a day as well. Recently my feet, legs, arms, and hands have begun hurting. I am on my feet for work so this was something I simply couldn't live with. My 8 hours a day at work are the only 8 hours a day I’m sober and the pain was unbearable. I have come to the conclusion I am suffering from nerve neuropathy induced by a very poor diet, hardly eating, and only drinking vodka and pop. So I didn't drink last night in my night off. 6 hours after my last drink I threw up. Then 7 hours. Then 8 hours. Then I finally got some sleep. I have woken up today to find the pain in my feet and legs is already almost completely gone. The relief is amazing. I threw up one more time this morning but have been keeping down water and orange juice.</t>
  </si>
  <si>
    <t>Basically I will do things the same way drunk me would. Like my brain can't remember to act any other way but suspicious Mostly it happens at work. My job even knows I’m sober - only because I used to go out every night after work, and all of a sudden stopped joining the party for the last 2 years. But I feel like I'm being judged the same way I was drinking. Like people can tell I am lying and hiding something. Or if people are checking to see if i?VE drank etc I don't even know what to call this stage. I look at people in the eyes now when I talk and all that goes through my head, but I feel I sound overcompensating</t>
  </si>
  <si>
    <t>I am proud of my self for staying sober, and I feel better about my self overall, however, I do not know how to deal with any downtime/boredom. I work 50 hours per week as a physical therapist which was always my dream job. As suggested by everyone whenever I have free time I try to do as many of my favorite hobbies such as golfing, board games, hanging with friends, etc. but it still never feels like enough. The second I get home I get bored, and I feel like I need something more, and that more usually leads to me thinking about alcohol. I hate it. I feel lost, and I wanted to know if you guys had any advice on what else I can do with my boredom.</t>
  </si>
  <si>
    <t>I usually drink approx 2 nights a week and my usual amount is less than a flask of rum. I feel like my drinking problem is pretty minor compared to a lot of people who suffer with alcohol use disorder, but it does cause some issues in my life. Furthermore, I tried so many times to stop, but honestly I do still have a lot of fun when I drink, and I behave myself. So instead of keeping on trying and failing to quit altogether, my plan is to drink only once per week and the deal is, every time I drink, I will spend a significant portion of the evening exercising or working out. Working out after a few drinks makes me feel like I am at least offsetting some of the negative effects of alcohol abuse, and honestly, it makes the exercise more fun. Of course, I am being safe about it. There are no free weights involved or anything that can hurt me. Just my stationary bike usually with a resistance band attached to it. I am also really trying to lose weight, so this was a great way for me to offset the tonne of calories that come with alcohol. It's not a perfect solution, but it's a step in the right direction I feel</t>
  </si>
  <si>
    <t>I have to say I liken this 94 thing, maybe even more. I'm a big number person. Furthermore, I'm always looking for a hidden message in numbers. 2/22/22 is a big deal. So far though, honestly nothing has come from it for me except everybody having fun with it. And that's enough for me.</t>
  </si>
  <si>
    <t>I’m 20. Started drinking at 12. I’ve been told I’m too young to have a problem. I think 8 years is a long time. Furthermore, I am aware that in a way I am lucky to have quit this early in life. But I would never have quit if It hadn't been in indescribable pain that transferred to the people around me. Now I have about 4 mental disorders and many broken relationships and values to show for it. I am still in pain. Even more so now that I can see the damage I have done. And for what? I had the best childhood anyone could ask for so every ounce of blame is on me. Most days I’m just angry with myself. Some days I'm angry at the substance and our society and the fact that it loves alcohol. I’ve been warned of the substance copious times, but it rings empty when the whole world is drinking. I try not to associate with that person too much as that might make me kill myself. If that is morally correct, I don't know. But I do know that the amount of sadness she’s caused people would not be taken away, but worsened by me disappearing. Now that I’m aware of my actions and surroundings, I think I owe it to the people I love to make amends.</t>
  </si>
  <si>
    <t>I am just really suffering with the fuck its today. I can't stop crying, I'm in a really horrible mood. Nothing in particular has happened I'm just kind of sick of this being sober thing. I want a whiskey and ginger beer or three. I want to disappear.</t>
  </si>
  <si>
    <t>I finally am at a place where I know that just putting the bottle down is in my best interest. Alcohol is no longer serving me. I don't even know what it feels like to be tipsy because my body treats are a necessity, not a reward. I am going through an incredible hard time with a divorce and just learning my Styx is dating our son’s best friend’s mother. Who was also my friend. I found out Saturday and just drowned myself in alcohol, and it made me feel worse than I ever felt. So I finished the bottle yesterday, slept one hour last night, and did not drink today. Do I think I’ll quit forever? I don't know. I’m hoping once I heal I can learn to enjoy a drink here and there. Only time will tell. I’ve been looking at this forum for almost two years and know that I need to be here.</t>
  </si>
  <si>
    <t>I'm 48. Drinking has ramped up in the past couple of years. 4+ beers almost every day, with plenty of days that were stupidly excessive. I've felt sick, embarrassed, physically and mentally unhealthy. Yet, I keep doing it, over and over. I took a month off in November, and it was fantastic. I slipped back into bad habits in December, and they became even worse in January and February. Furthermore, I'm flat out effing sick of it. Furthermore, I'm writing my goal here, just to put it out there. To make it real. I want to go 6 weeks without alcohol. Reasons for this are to improve physically, mentally and emotionally. I want to lose 10 lbs in that time. I will keep a daily "Drink Journal" that includes how I slept and feel when I wake up, a checkbox for slamming 32 oz of water first thing in the morning, workout for the day, food eaten that day, productivity, and thoughts in general. Furthermore, I've written out a list of triggers so that I avoid them, or not cave to cravings by being aware of them.</t>
  </si>
  <si>
    <t>Over the past 2 years, since quarantine, I've been drinking about a quarter of a handle of liquor a night if not more. 2 weeks ago I started only drinking a glass or two of wine a night and have been considering that a big accomplishment. Being alcohol dependent at 22 has been a lot. I've almost doubled my weight due to my drinking and I barely eat. It's been refreshing waking up not feeling like shit and actually having energy to function throughout the day. Despite that my BF keeps drinking the same amount and It's hard to resist the liquor on the counter. Any advice or tips to help me avoid the vodka staring at me every night?</t>
  </si>
  <si>
    <t>Today has been my most day since quitting 38 days ago. I couldn't get out of bed. Called in sick at work. Overwhelmed with anxiety and panic attacks. Creed twice. Thanks to my wife I managed to find the strength to get out of bed at 4pm and went for a jog. My mood was much better after. How long it takes you for your mood to start improving?</t>
  </si>
  <si>
    <t>This is the second longest I've gone without alcohol. I did 4 months last year, but I wasn't committed. 2 months ago my longest relationship ended, and my drinking played a role in it, although there were many other factors. I ended up in an AA meeting that day sobbing. I've since then been living alone, but committed to fixing myself. Furthermore, I feel much better, even though I am aware of how much work I still need to do. It's still unbelievable how much has changed in those two months. I'm in the best shape I've been in since 2016 and my skin is finally clearing up. My house is clean and organized and two weeks ago I began seeking psychological help and went back on an SSRI. And I don't have to worry so much financially.</t>
  </si>
  <si>
    <t>Obviously stopping drinking is the most important. But what else did you do to help yourself get back on track. What would you advise someone else just starting? Could be anything you did that helped create a life worth living.</t>
  </si>
  <si>
    <t>From the bottom of my heart I want to thank every single one of you for your support. One week ago I was going through withdrawals for the first time and wanted to check myself into a detox center. I was crying and shaking when I made my first post and I felt like my life wasn't worth living. This is the longest I’ve gone sober (except when I had covid and couldn't drink) on my own free will in years. It’s gotten easier every single day. I also feel the healthiest I’ve felt in 6 years. I used to be a college athlete and I’ve been working out every day focusing on my mind and body for the first time in years. When I left college the binge-drinking and eating caused me to gain 60 pounds. Today I was motivated enough to go to the gym twice. TWICE! I have so much more energy and drive now that I’ve cut alcohol out of my life. I have plans to go to a museum tomorrow as well as a farmers market for local, healthy food. Alcohol is the furthest thing from my mind. To all those struggling, it gets better! If you can believe in me, I can believe in you!!!</t>
  </si>
  <si>
    <t>A month from now will mark 2 years of abstinence from alcohol and tobacco for me. This is my first attempt at sobriety, so I know the stats are not on my side. I grew up with depression. My earliest memory of wanting to kill myself is at age 10. I never planned a future for myself because as soon as I had consciousness, I knew I’d be dead soon. So why would I ever even consider not drinking? The future wasn't bleak. It simply wasn't a possibility. Alcohol was just there to help me pass the time until my inevitable death. I started drinking as a teen, and I was never very social, so I was a lonely drinker from the beginning. Once I started earning my own money, I was up to burning half a 5L (1.3 gal) box of red wine every night. Uni was the first time I made friends, and I started smoking with them, too. It seemed like a good social habit. I skipped morning classes regularly. I would somehow drag myself out of bed early, in order to drive to uni (sometimes still drunk from the night before) and pass out in the parking lot for a few hours so that my parents didn't realize how big my problem was. So much work and putting myself and others in danger to keep up appearances. Somehow, I graduated. With a degree in a field I grew to hate from an institution that I consider deeply corrupt and outright evil. Then came a few years of bumming around with a shitty job bringing in just enough to keep me sheltered and drunk. Still, money was getting tight. By the start of 2020, I had tapered my drinking. I was down to only a bottle of wine a night. Maybe two if there was a special. ? This is fine, I figured. I could afford the basics and my work didn't notice/care. Around early January 2020 I ate some psychedelic mushrooms. For the first part of the trip, I laughed hard at a TV sketch comedy show and afterward, I went to the bathroom. As I was washing my hands I stared into the mirror and I heard the ?presence? Of the mushrooms telling me that I’m gaining nothing from drinking, smoking, or taking psychedelics. I would be happier if I stopped. ? How weird? I thought. Drugs telling me to stop taking drugs. A few weeks later, on March 26, 2020, my country went into a hard lockdown. Not only stay at home orders, but the sale of alcohol and tobacco was also banned. A thought hit me with someone else’s voice. ? This is a once in a lifetime opportunity to quit. Your supply has legally been taken away.? And to make sure of it, I smoked part of one more cigarette and threw the rest of the box away. That last cigarette was so disgusting to me that I couldn't finish it. And now, nearly 2 years later, through a devastating pandemic and one of the harshest lockdowns in the world, I’ve discovered my future. I spent the last two sober years studying up and gaining two minor certifications. I read a handful of excellent books. So far, knocks on wood I haven't felt a serious craving for either drug. I don't think I was ever addicted to alcohol; as weird as that might sound. Its absence isn't as severely felt as some of the other people talk about here. I miss being drunk sometimes but now think of ethanol primarily as a solvent. I occasionally have dreams where I smoke and immediately regret it, only to be welcomed by the immense relief to wake up to the realization it was only a dream. Last week, thanks to those certifications, I got a job offer in a field I actually enjoy. I have just started a correspondence degree in a subject I like and am good at, with the bonus that it’ll make me even more employable. I still feel depressed some days, but we’re old friends now, and I know how to talk it down to a manageable level. I haven't attempted suicide in nearly 6 years. I haven't even fantasized about it since I quit. Furthermore, I don't know who was in my body, running that existence until 2 years ago. I’m not sure if there was anyone in here. Now I have friends. A therapist. Healthy relationships. I can even imagine a future for myself, and a life I’d like to lead. I am alive for the first time in my life. So, hello world, how have you been?</t>
  </si>
  <si>
    <t>Is there any purpose in seeing a doctor if you weren't an "every day" drinker not experiencing withdrawals? I'd like as much help as I can get making this Day One stick. I drink way more than half of my nights away. Started drinking through the hangovers about a year ago. I don't shake - just suffer rip-roaring hangovers. I'm reading all the Quit Lit books on repeat to help my unconscious mind catch up with my conscious mind. Furthermore, I'm just curious if my doctor could help me get past two weeks. If there's a medication that can help with cravings? Or even maybe that one pill that makes you sick if you drink? Has anyone taken that? Or maybe the doc would want to check out my liver after 20 years of drinking too much. Trying to fill up my arsenal.</t>
  </si>
  <si>
    <t>How the hell did I end up like this? My mother was my kindergarten teacher. My father loves me more than I love myself. When I eventually die from this disease I can't imagine my sisters at my funeral. Devastation. I’ll never see my niece or nephews grow up. I can't blame this shit on anyone but myself. Furthermore, I have a loving family and I’m still a POS.</t>
  </si>
  <si>
    <t>I officially hit one month Sober as of Sunday, which is a great achievement, I am starting to see the benefits already, especially since I started working out around two weeks in and eating healthier. The issue comes in when "The Voice" in my head starts to try to entice me into "Moderation". I know myself well enough that I cannot moderate for shit, and I am glad I have finally realized that, but it does not make it any easier. Especially over the weekends, mainly Friday and Saturday. My question is, does it get any easier with time or does the voice become at least a little easier to ignore as I go on? I was expecting it to be hard, but did not realize that with all the years of weekend binge-drinking that I had trained my brain that much that it automatically thinks about drinking once the weekend comes.</t>
  </si>
  <si>
    <t>I become extremely withdrawn, cold and distant to people who I would talk to almost every night while drinking. How do you cope with that? All of a sudden I'm just focused on my game and don't feel like talking to anybody while sober. Kind of feel bad about it, but I'm tired of this drinking habit.</t>
  </si>
  <si>
    <t>I was reeling from withdrawals. Empty 12 packs littered my property, I was bloated, Unshaved, face on fire, smelled like shit and booze. I had felt like I was irredeemably broken, and I was never coming back. 22 days later I feel good, my place is clean, I look and smell decent. I put one foot in front of the other. Opportunities to drink come and go. I don't give in. I’m not a broken person.</t>
  </si>
  <si>
    <t>I was on Zoloft for 8 years, it absolutely made me crave alcohol more. Pre Zoloft I was an occasional drinker. During Zoloft I could drink a burly man under the table! I’ve been tapering down last few years and I’m down to 4mg. If it weren't for my debilitating anxiety I would have already been off. Since lowering my dose, I almost have a complete aversion to alcohol. Anyone else feel like the two went hand in hand?</t>
  </si>
  <si>
    <t>So I've been drinking for more than 20 years. In the past I've said and done stupid shit like anyone whose ever consumed a drink. I've been saying for years that there are different kinds of alcoholics. I don't wake up with the bottle and have no problems going days between roastings. For years I've called myself a drunk because that's how I feel I am. I'm a binge drinker. I go days without then I rage all night and the next day I'm completely drained and hardly get out of bed anymore. Furthermore, I've never hid my drinking either. This brings me to the people who drink daily and hid their booze. I am wondering of those two types of alcoholics are one and the same or if they are somehow different. There area lot of other drinker types I left out but are we all the same or do we differ?</t>
  </si>
  <si>
    <t>I've lurked on this sub on my other account for ages, I don't want this confession on there though. I'm sick to death of drinking, I'm absolutely 100% alcohol dependant. Furthermore, I don't eat, I wake up at the crack of dawn sweating and shaking. Furthermore, I don't look after myself, never mind tidy my flat, I don't have any more friends through me being a dickhead. Worse of all my girlfriend (who I don't live with) is scared of me and so are my kids. Apparently I fly off the handle at any little thing. It's breaking my heart. My liver is fucked. I'm 38 and feel 60. But I've decided to sort it out once and for all. They say you'll always relapse if you're not 100% ready, and this is the first time I've been 100% ready. I've had a blood test for my liver function and just waiting for results, although the last one I had 6 months ago wasn't good. As soon as the results are in they are going to book me into a detox facility and said it will take 7-10days to flush my system. Then I'll have support groups and a dedicated support worker who I can contact whenever I need to. I can't do this anymore. It's this, or I'll drink myself to death within a year</t>
  </si>
  <si>
    <t>Usually in early recovery I just avoid stressors and set a routine of just work, come home, watch Netflix. It really helps to be as stress-free as possible. However, this time around I’m unable to avoid stress. I’m overloaded right now with too much. And I just want to be isolated, but I can't escape. So I’m just venting. a) My job site had some sudden turnover so now I’m working my job site open to close with no help AND training new people (I absolutely hate training new ppl) because my manager is on maternity leave. I’m now having to work 50–65 hours a week. b) I’m standing up in my best friend’s wedding and 5 of my friends from out of town are staying with me.</t>
  </si>
  <si>
    <t>An OK day. Still worried about Ukraine. Still worried about the PVCs. Sleep is still OK. I'm feeling "cravings" come in -- more like "what if’s... I feel like it would be nice to feel tipsy to escape the worries at least temporarily... to get drunk a little and play video games, escaping... would be nice. But I won't, obviously.</t>
  </si>
  <si>
    <t>I did it. I finally fucking did it. I made it to one month sober. Thank you to everyone in this community for helping me push through this journey. Six months ago i never even thought of this being possible. Hell, even one month ago I never thought of this being possible either. I'm shocked, overwhelmed, and so god-damn proud of myself. Going to be picking up my one-month chip today.</t>
  </si>
  <si>
    <t>I literally exercise like three times a month because I am always hungover or feel sick from eating fast food to try to cure my hungover-ness. I am happy to say I went to bed sober last night and woke up and forced myself to do a 30-minute workout. It was so exhausting and hard, but I got through it. It’s amazing what you can do if you aren't hungover constantly. I used to exercise almost every day before my alcoholism.</t>
  </si>
  <si>
    <t>Family in town to meet new addition to our family. I’m so used to family meaning party time, and I drank too much. My dad told me I had had enough. Maybe seems minor, but I can tell he was worried about my performance as a husband and father. I can only hope this is what makes it stick. Tough not to feel Worthless though</t>
  </si>
  <si>
    <t>I had 12 years of sobriety, lost it and struggled for another 25 years. Ugh the regret, the wine mom hood. It’s too much to even contemplate. But a year ago, this sub helped me finally wake up. I’ve escaped with my health and felt so much joy as my 25-year-old daughter cried tears of gratitude with me at Christmastime. Much is lost, but so much gained ? Still growing and evolving at 61 years old. One wonderful sober trip around the sun.</t>
  </si>
  <si>
    <t>Like the title says I don't really want to be here but I’m hoping it might at least help. I’m a very functioning alcoholic, I can drink a half bottle of whiskey and feel just fine. I had been drinking about a half bottle every night for the past 2 or 3 years and my wife didn't even now I had been drinking until a few weeks ago when we got into a fight and I told her just how much I had been drinking. Furthermore, I don't day drink or go out on benders, never had a DUI or anything like that, but we recently had our first baby and I need to stop drinking to better support my family. Not really sure what to expect by being in this Subreddit but looking forward to scrolling through posts and meeting some of you.</t>
  </si>
  <si>
    <t>Officially hit the comma club today! 1,000 days of continuous sobriety! This community has been a big part of my journey. Thank you to everyone who posts, comments and contributes to this community! I know there is nothing a drink can ever help with in my life today. It may provide some temporary relief, but that fades and the problems persist. I still have ups and downs, highs and lows but my life is so much more manageable without alcohol. I Will Not Drink With You Today!</t>
  </si>
  <si>
    <t>1155 days since I'm stopping drinking, I want to drink today, but I won't. I get this often a mega craving, to ease the pain (depression and anxiety) but fuck would it make things worse. Just got to remember the bad times with alcohol and there's been plenty, I guess this craving will be something I'll have for the rest of my life, but it'll pass.</t>
  </si>
  <si>
    <t>Tomorrow will be day 3. Usually by day 3 I find my stride. Day 5 at the worst. The problem is, tomorrow I have got to perform for work. I’ve got to get work done. I’m in a high risk high reward job. Drinking is encouraged, but I found I cannot be successful in this role with any amount of alcohol. Does anyone have any tips for clearing brain fog? I mean it feels like a huge cloud is just sitting inside my skull. I’m chugging water like crazy. Furthermore, I can't get the guts to exercise yet. I’m thinking of getting up at 5am to exercise to maybe clear headroom. Furthermore, I just have to perform tomorrow.</t>
  </si>
  <si>
    <t>It’s been surreal. I’ve never been so energetic and so cranky. I’m writing this to stop myself from leaving my house. Furthermore, I always have wine in the house but I’m never tempted by it. Vodka is my poison. In fact, the reason I was so in denial about my problem is because I’ve had beer in the house for half a year and I won't even drink it if there’s nothing else. I’ve been binge-drinking on and off for 4 years. It started when my mom died. I’m on the spectrum and the 2 emotions that I find hard to express are sadness and anger. Anyone who knows about the stages of grief know how impractical it is to be overwhelmed by those feelings. Drinking made me feel like I could drown it out. But all it did was make the lows lower. Now I’m just trying to figure out why vodka? We have everything else here, but I won't touch it. Why do I only crave vodka? Sorry for the (mobile) ramblings but it’s better than going to a night shop for price-gouged liquor.</t>
  </si>
  <si>
    <t>I have been reading through this sub the past few days and am really feeling motivated to quit this time. It’s been so helpful reading all your posts and comments. I feel like I’m happy with my drinking at home - I poured a glass of wine on Friday and didn't even finish it. But socially, I always over do it. If I’ve had a ?good night? I’ll remember it and just be hungover, but more often than not I have the two-day hangovers, the post black out crippling anxiety that I have said something bad/offended someone/lost all my friends and hurt all my relationships. I’ve had more than my fair share of mornings in the toilet, amazing quit lit and saying never again only to tell myself it’s fine, I can handle wine at date night so I can do better next weekend at the bar, I just need to bring a big water bottle, make sure I eat enough, count my drinks, etc. all those things I did on Saturday and I still blacked out, cried, said who knows what to my friends and spent the rest of my long weekend with a physical and mental hangover.</t>
  </si>
  <si>
    <t>I am now just over a Month sober now and have to say fatigue is completely gone, I feel incredible and have just started the gym again today. Feeling positive. Just want to know it anyone has still experienced anxiety at this point. Now the anxiety I have had has been when going to sleep I wake about 30 min later in a panic, heart racing feeling nervous. Although this has happened twice would like to know any experiences anyone has had. I woke last night and had been sleeping on my arm which caused it to go numb, wondering if I have waked up realized left arm was numb and thought I was having a heart attack perhaps threw me into a panic? Thoughts?. Would also like to add these episodes last around 5 mins and I fall straight back asleep.</t>
  </si>
  <si>
    <t>It's my first career job, and it is a huge factor as why I started heavily drinking to begin with. Happy hours with coworkers, lunches with beer or wine, brunches on the days before holidays with mimosas or screwdrivers. It also was the kind of culture where you would openly talk about having that glass of wine after work - on days when it was hard and on days when it was fine. We started in an office and then went remote about a year prior to the pandemic, so it was also totally acceptable to start drinking wine at home at 3 in the afternoon or a little nip of baileys in the morning coffee for team meetings. I didn't fully understand until I got sober almost a year ago that one of my many triggers for drinking was my job. Now that I'm sober, not only is the alcohol still EVERYWHERE, but like a lot of things, it's been so isolating in the pandemic.</t>
  </si>
  <si>
    <t>Right now I'm in such a bad place mentally and physically after drinking on Thursday. I'm 34 years old, and my body is making it very clear that this time is no joke as I've been in a constant state of anxiety and physical pain for about 3 days. Even typing this right now is taking up all my energy, but it's in a form to call myself out. Even though I'm in a terrible place physically and mentally, I'm weirdly grateful for it because I know this is a turning point to really look after myself and quit. It's not even just liquor as I really don't drink much, but it puts me in such a dark place and ruins any progress I had in other areas of life I wish I had the energy to type more at the moment but getting this far was a struggle. I really appreciate the community and all the love it gives when people are in need as just a little love goes a long way.</t>
  </si>
  <si>
    <t>Focusing on attempt number, the first time I decided I was done with booze was the day after my wedding in 2014. I made it nearly 4 years sober and built a life that was unimaginable in my drunken years. I drank and kinda kept it under control for a good year, then quickly spiraled as we all know, then it was attempted after attempt to gain sobriety again. I've made it weeks, I've made it 3 months, but most recently I'm at 15 days. I'm now very desperate to be sober for good and on Disulfuric for the first time. Thanks for being here, I need to reset my badge but I'm going to do it at 30 days for some sort of goal.</t>
  </si>
  <si>
    <t>My sober friends are always coming up with fancy non-alcoholic drinks to try and prove that I don't need alcohol to enjoy those kinds of indulgences. Unfortunately, they just don't get it. ? Mocktails? Just don't do it for me, and I usually just end up wishing there was booze in it either way. Does anyone have any suggestions of things that worked for them in distracting from the urges? Either drinks, activities, anything to keep my mind off the bad stuff and still entertain myself in those moments?</t>
  </si>
  <si>
    <t>It feels like every time I get on the sober track, life comes along and places a perfect opportunity to drink right in front of me. It feels like a cosmic tease. A test of ?here you go, it’s right there for ya, you don't even have to do anything?, making it so easy to give in. But I haven't. I’m really struggling, so I came here. I want to make it through today and reap my rewards, despite the screaming in my brain and the surrounding temptation. Today, I will not drink with you all.</t>
  </si>
  <si>
    <t>That's what my partner said to me when I asked if he could tell a difference since I quit drinking. Namely, my moods and anxiety and how I handle them is so much better now. It was so much harder when I was drunk every day. Everything was so much fucking harder. There are many things that have made it worth it for me to quit. Hearing him say that is a huge one. Thank you for being here for me, SD community.</t>
  </si>
  <si>
    <t>Drank a fifth+ a day for a good half a year up until last Tuesday. Went to the ER, expecting them to commit me and medicate me. Nope. Gave me some lorazepam through an IV, a script for TWELVE Librium, and told me to kick rocks. NOT ONLY THAT. They gave me instructions to follow up with a detox center the next day, so I did. They said the soonest they could get me in with the doctor that was recommended, was in fucking APRIL. Like what am I supposed to do until then, just keep drinking my life away? I asked for a different doctor, and they gave me an appointment for a week later. My prescription said to take four pills daily as needed. So I did. But when I went to get a refill, they said they couldn't because "it's a powerful sedative". Apparently the doctor neglected to tell me I was supposed to TAPER the pills. I thought they were supposed to hold me over until I could get admitted.</t>
  </si>
  <si>
    <t>Fifteen days here and feeling pretty good. Going to the gym trying to lose that beer belly. Any suggestions on a specific work out that may help? Also when will my sleep get back to normal?I’ve been waking up just about every hour on the hour.I can fall back asleep usually,it’s just making me feel run down.is this normal?drinking a lot more coffee than I normally would, but I guess that’s ok. And thank everyone on this sub for the kind support it’s appreciated.</t>
  </si>
  <si>
    <t>Going to be a long 8 hours of work. I got two hours of "sleep" last night. The type of sleep where you wake up, and you just feel like time passed, but you weren't actually asleep. I'm not gonna lie, this doesn't feel better than 6+ hours of drunk sleep. Not that that makes it not worth it, there's a million reasons it's still worth it. I don't have to lie to myself and say I feel better right now than if I had drank. It's the start of day two... I expect it. Here's wishing I could call off. Maybe I'll try to find some excuse an hour or two to clocking in. I actually haven't had to call off in a few months, so maybe it won't be such a big deal.</t>
  </si>
  <si>
    <t>I'm a 20-year-old female. I come from a long line of alcoholics, and unfortunately it is in me. About a month ago I had a long talk with my mom where she begged me to stop. And I did for about a week. This weekend my uncle begged me to stop and for some reason it clicked. Looking for help, tips, and tricks as well as just support. I want to be held accountable and would love to have some people to help with! It is day 2 currently for me</t>
  </si>
  <si>
    <t>I and him had been dating for about 3 months. We broke up because I joked that I was going to Hanson cover band when I actually went to the cinema and went off on for breaking his trust and tricking him. He was demanding an apology which I just could not do because it was such a harmless thing I couldn't understand why he was feeling that way. Ultimately we decided that we are not compatible and to break up. I can never make a relationship last more than a few months. I'm in my 30s. Furthermore, I'm just so full of self loathing right now. All I want to do is get black out drunk for days. Could really use some people to talk to.</t>
  </si>
  <si>
    <t>I have been doing great thus far, but am I struggling with some intense anxiety. I’m not craving alcohol, but I’m craving the calm that it provides on days like today. Furthermore, I know it won't solve anything, so I INDY, but I’m struggling so hard mentally today. How do you all deal with the shame and guilt that you have put your family through? I can't stop thinking about it today.</t>
  </si>
  <si>
    <t>Five years ago I made my first Reddit account just for the purpose of joining this community. Through the support here and real life changes I was able to curb by alcohol abuse. Recently this has changed. I don't know really where to begin with this confession. Drinking has been creeping back into my life, mostly without major consequences. My spouse has never agreed with me that I have a drinking problem. The therapist I was working with never reacted negatively when I confided in her that I had begun drinking again. She said as long as I examined why I was looking for it and the reasons weren't bad it was okay. I think she wanted me to disconnect the feelings of guilt I have. Yesterday was a beautiful ?false spring? Day where I live. I decided to have a post lunch margarita, carefully measuring out 3.5 oz of tequila so I can be responsible. It hit me really hard. Hard enough that I went back for one more. And I did stop at just the two drinks. The problem is that around midnight I realized I blacked out and didn't know it. Apparently I went out in the middle of making dinner and came back to about an hour later. I checked the trash that I did in fact make food for both my kids. I don't remember making it. Furthermore, I do remember sitting one bowl on the counter and thinking, or maybe saying aloud, one more to go. Furthermore, I remember calling my kids in and laughing with my son because he was so tired from being out all day. ?That’s just what kids do!? I remember telling him. I don't remember my kids eating or putting the dishes away. Furthermore, I know I sent my other kid outside to grab a cup and telling them to shower. Furthermore, I don't know what we talked about or if I even talked at all. At the moment it felt like I had been normal all day. I fully came back to myself laying on the couch hearing my husband come home and getting up to brush my teeth. The rest of the night I remember. It wasn't until I woke up in the middle of the night shaking that I realized I couldn't remember cooking. Anyway. I’ve done this enough times that I know there is no changing it and all I can do is move forward and be better. It’s time for me to commit to sobriety again. I will not drink with you today.</t>
  </si>
  <si>
    <t>You guys, we're expecting 2–3 days of snow, and I didn't have to calculate how much booze I'm going to need being snowed-in. I got some sparkling waters, but those are a fraction of the cost of booze and I drink much less of them in quantity. I remember running (driving) to the store that's 1/2 mile away (while buzzed) during the beginning of a snow storm to get more booze and had to somehow drive up a hill that was iced over. Super dangerous! Really dumb. I never would have done that if I was sober. Now that I AM sober, no effin' way I'm diving in conditions like that</t>
  </si>
  <si>
    <t>I drank yesterday. I fell but I got back up this morning. As long as we are breathing we don't give up. Let’s try this again</t>
  </si>
  <si>
    <t>Every day is yet another new day, a new beginning. Sounds all bright and glorious on paper. No, it's not the grind of the Day I. It's that irk every time I hit a milestone. The "yeah, I did it!" and then I'm in uncharted territory. This span, after 69ing, I've done before. But much beyond that... My best was 78 days last year. I have a vacation next week, so I'm pretty safe to 90 and 100 days. But. It's the worry of how I'll feel then. The "What now?" This recovery, at least, has been the easiest so far. Two recoveries ago, I was still putting together a "how to recover" strategy. Last recovery, I was tried to fall back into those slowly forming habits. And this recovery, it's building upon those successes. But beyond around now, I'm not sure where to go. Won't lie, I certainly have those "what is the point of living" whispers. The "where am I going?" The "well, I can always 86 myself if I can't handle it." My depression isn't crippling, but I'm always on the lookout for intrusive thoughts. (If it must be said, my depression was FAR, FAR worse when I was peri vodka. I am almost mentally STABLE now!) I don't have any cravings. But I didn't (have any cravings before my) last relapse, either. Until I did have cravings. I knew it was going to be a binge, that one shot would mean a dozen, but I did it anyway. So forgive me if I sound like a pair of 'voids. I know the Day Counts can be intimidating, but I overall feel there's no gatekeeping here. Remember, veteran somersaults and those that are sober curious: we're all one shot away from the same fate.</t>
  </si>
  <si>
    <t>I had my first session with a substance abuse counselor yesterday and I think it went pretty well! I’m starting naltrexone and will be gradually tapering off my drinking. Furthermore, I have another appointment next week. I’m also in the works of looking for a psychotherapist and a new psychiatrist. I’m truly so excited to start getting my life together!!</t>
  </si>
  <si>
    <t>I think I’m going to finally try sobriety after years of justifying and reasons that I don't have a problem. I blacked out on Sunday at 7pm and have no recollection on the rest of the evening. Furthermore, I feel terrible about it. We had company in town and I just left them high and dry. I guess it’s the wake-up call I finally needed? Any advice for the first couple weeks?</t>
  </si>
  <si>
    <t>If alcohol is so fanbloodytastic why do so many of us keep returning here? We clearly aren't getting our needs met there. Yet on this side some of us still think we are missing out. I keep seeing ?day one again? Posts today - I’d put money on most of us having written a good few of those. I need to remind myself that if I’m really missing out then why do I keep coming back here. The best I felt was when I didn't drink. Having pride in myself feels better than anything drink offers.</t>
  </si>
  <si>
    <t>It's not worth it. I don't know why I ever felt like it was. I don't know why after a few days not drinking my brain thinks having a drink will make everything so ?fun? And great. It doesn't. The past few weeks, every Monday I go into work hungover or just tired generally from Sunday night, I think, I don't want my mornings to feel like this anymore. Last week I hadn't had any alcohol for 4–5 days, drank a bottle of wine plus some on Valentine's, went into work the next day feeling terrible. Decided that was it then too. Made it a week until Presidents' Day, had too many beers, and now here I am. Tired, groggy, fuzzy, unmotivated, I feel unprepared. And I'm going to drag my butt into work where I have to teach (no sitting somewhere with a coffee trying to make it through the day, no, I'll be up in front of hundreds of students having to be "on" and energetic while I feel like death). I just flat out don't want to do this anymore.</t>
  </si>
  <si>
    <t>I live in a city where patio drinking/brunch is a big event and one I've used as just another excuse to get drunk and make bad decisions for many years now. It's a warm week here, and I live in a neighborhood chock-full of patios and restaurants and the tables were packed with folks Sunday Funding this weekend, heartily laughing, clinking their glasses and enjoying the sunshine. And I was jealous you all. For the first time since I quit drinking on Jan 15 I was so tempted to just say eff it, grab a table with my husband and join in on the fun! But I "played the tape forward" as I've read so many times here. About how I'd want to stop and grab another bottle of champs on the way home to watch my Sunday night shows drunk. How I'd sleep like garbage. How I'd feel at work this week. How I'd hate that I gave in to the call of the wild. Getting sober is forcing me to reevaluate who I spent my time with, how we never did anything without drinking, all the money I threw away every Sunday to get waste, I mean hell it was part of our identity. Going back through my old FB posts I always had a drink in my hand with my "friends." Inevitably someone would end up in tears over a man. One time I witnessed an acquaintance yell at her kids in public and her ex-husband had to be called to pick them up - they were sobbing, begging their mom to stop drinking. It was so sad. But we never blamed the alcohol. Oh, no you can't go there. She just needed to learn how to manage herself. Another time during a Sunday Sunday I took a shot of tequila after all the mimosas I had downed and got sick in the restaurant bathroom. Classy. And yet another time I made the smart decision to get drunk at brunch with my FWB, pick up someone's baby at the bar, have him ditch me there (not the baby lol) and text him relentlessly and show up at his house uninvited. His roommates had to call me a cab and ask me to leave. I was blocked everywhere after that. I still cringe when I think about all the stupid ways I embarrassed myself when I got drunk on a Sunday. But I really wanted to this weekend. So glad I didn't.</t>
  </si>
  <si>
    <t>I went to dinner with a friend yesterday. I had a few glasses of wine. Furthermore, I came home, started my 678th new play through of Skyrim, and went to bed. Furthermore, I did not get drunk. Furthermore, I am not hungover. Furthermore, I did not detour my Uber to a liquor store to pick up more wine to 'keep the party going' at home like I normally would. Furthermore, I'm really proud of myself. Furthermore, I also know that next time we're going to a Thai place, so I don't order wine again. Furthermore, I was strong this time, but I don't want to test myself again. Furthermore, I'm not even going to try to moderate because I already know I can't. Furthermore, I'm really glad I didn't get drunk. Furthermore, I'm really glad I recognize that that doesn't mean I can keep doing that. So, I won't.</t>
  </si>
  <si>
    <t>The race without the finish The cake without the icing The concert without the finale I really just want to hold moderation’s hand to get a little kiss, not because I like to hold hands. I would love a drink, but now I prefer the bottle.</t>
  </si>
  <si>
    <t>I am already sleeping enough, hydrating, and have taken emergency, super greens (probiotics, spirulina, and fruit/veggie mix), and coffee. Is there else I can do to help with the fatigue and sugar craving? I am just so damn tired. And yesterday I ate 2 big pieces of bread with Nutella, 2 chocolate covered bananas, a Cadbury egg, and a mocha frappé from Mickey Dee's. Then I woke up at one in the morning and had another big ass piece of bread slathered with copious amounts of Nutella. Will anything kill the fatigue and sugar cravings? And if not how long will it last?</t>
  </si>
  <si>
    <t>Instead of alcohol I've been trying different Kombucha flavors after work each day and eating cleaner and healthier. I had the first productive morning in a while. I am lucky enough to work and live on the island .so work is just a 5-min walk. This is also why I will wake up at 8am to be to work at 8:30. Not really having a "morning" but just jumping right into the day. Well last night I set my alarm for 6:30, ended up waking 10 mins before the alarm went off. Not gonna lie, I laid in bed for an hour on Reddit and YouTube before I got up and took my dog for a nice morning walk around the nearby pond. Came back and made tea and eggs then walked over to work. This day has been good so far, and I attribute it to getting an early start on the day by waking up earlier. This would never happen if I had drank alcohol the night before. I'd be way too tired lol. Got to work a little early and been smashing through tasks all day. Hope everyone is enjoying the weather.</t>
  </si>
  <si>
    <t>Turns out I was just hungry. Once I realized that, I stuffed some Little Caesars down my throat (don't judge me XD). Didn't think about alcohol the rest of the night. As they say temptations are because of HALT. Hungry Angry Lonely or Tired. Feeling fine and hangover free here on day 35. Never thought I'd ever make it this far.</t>
  </si>
  <si>
    <t>What is the void? I would argue that deep inside each addict there is a void. Something that we all need to take care of in our own ways. Many things can create the void I suspect. For me, I am uncertain what it is for sure, I have my suspicions of course, but that is for another time. For this discussion, it is not relevant. Some do not recognize their void, but begin filling it anyway out of instinct. I quit drinking somewhere around September 2020. Something that I have come to terms with is that I have a fragile mind, and it is my responsibility to gate-keep it better. I do not keep a sober date because I will not allow that in my mind. I do not want to think about it. One of the first things I noticed is that my void was calling. I didn't feel like myself, I was empty; and my mind was always thinking of what it thinks would make me whole ? Booze.</t>
  </si>
  <si>
    <t>So I’ve been home since Friday after a few weeks away for an assignment. I spent the weekend getting the apartment slowly straightened out. SO is an alcoholic as well and the apartment was a biohazard to say the least. Had cleaners come it was so bad. Yesterday I made a doctor's appointment to follow up after my hospital experience last month in which I blacked out and ended up at the ER. Wanted to have blood work done and just make sure that I didn't do permanent damage. Well power steering feels sluggish. SO has been driving vehicle ? I didn't notice anything wrong with it? Seems like power steering fluid is almost empty?. Ugh borrowed SO's vehicle made my appointment waiting on results on labs, but GP said that he’s not to concerned. SO goes to the car to see if there’s leftover alcohol in it in the middle of the night in which we find out our apartment had the vehicle towed because the parking permit they gave us was already expired. Can't do anything about that for a few more hours. But then had to have the conversation with my SO that they should not be driving my vehicle when it’s low on fluids and to just stop at the tow place on the way to work and pick up their vehicle. Just trying to talk logic when their drunk but don't really think they are is beyond irritating and gosh I was sleeping real good before I got woken up to that. Everything in me right now is screaming I want a drink and I know that it won't fix anything and I won't get my car taken care of and everything will spiral even further out of control. It just feels like everything is stacked against me some days.</t>
  </si>
  <si>
    <t>I have been active on here before, and it has been a lifesaver. I was able to vent, listen, and commiserate with you all, and it helped a lot in my recovery. Unfortunately, as I am sure you've all seen, experienced, and trudged through, my diligence wavered, and I got busy with 'life'. Work, kids, wife, more work, it has been a never ending cycle of rinse and repeat. I didn't stay strong, I wavered, and I crumbled to alcohol. I like being sober, I loved being here with you all, reading your stories, your struggles, your accomplishments! Furthermore, I feel (felt) pride in you and in turn myself for this amazing journey we make together.</t>
  </si>
  <si>
    <t>Been reading about it and was wondering if anyone has experience working this method? The Sinclair Method is the patient takes naltrexone (blocks the drunk "buzz") before drinking. The claim is after a few months your brain stop associating alcohol with the dopamine reward and cravings go away. The criticism I read is that you could end up a "dry drunk" or if you relapse the first time you get drunk without naltrexone your dopamine starved brain gets a huge dopamine hit. Curious if anyone has had success with the Sinclair Method?</t>
  </si>
  <si>
    <t>So this is the first weekend I was home since I stopped drinking. Normally I watch my kids, and my default as soon as my wife leaves for work is to crack a beer. This weekend, as I watched her leave, my immediate thought was "okay, time to go to the gas station right down the road and get started." It was more surprising than anything, because every morning now I wake up and intentionally say "I choose to not drink today". As soon as I thought it, I stopped and repeated my mantra a few times until I felt the urge go away, but it's still so crazy to me how strong my habits are after the last 11 years of heavy drinking. Has anyone else experienced a temptation to drink out of habits they've developed?</t>
  </si>
  <si>
    <t>I've had to learn many truths while traveling on my sober journey. I was dating a woman with high net worth and wanted kids. When I was drinking, I was all about more kids. As I stopped drinking, I realized I do not want any more kids. I accepted this truth and broke off the relationship. It was tough. I felt guilty. I'm not looking for sympathy.....it's quite the opposite. Furthermore, I feel horrible for flip/flopping on this subject during the relationship. My drinking mind will allow things that my sober mind would never do. I have lots of work to do. Have a great week team!</t>
  </si>
  <si>
    <t>Been sober since 1 Jan this year, only had bad cravings a handful of times and I’m confused if this is normal? I didn't get into any huge trouble from drinking, my blood levels were kinda fucked though, but nothing the GP said wouldn't clear up with 3 months sober. Like, 3 months ago I would just be drunk from the second I woke up until the second I passed out at night, and probably the entire time I was asleep. And I’d make all the usual excuses, the plans to moderate and take days off that would never pan out. Probably 25-30 standards drinks a day, as a 27-year-old woman. I guess, has anyone else had this experience of giving up and then almost being like ?oh well maybe I didn't need it that much anyway?? I don't feel full of beans and haven't lost weight, but now I’m starting to doubt if I am an alcoholic or if I just gravitate to being obsessive with whatever is easiest. Like I could down a whole bottle of bubbly right now, but I don't want to? I’m confused I guess</t>
  </si>
  <si>
    <t>I do realize that many have used AA even outside the religious aspect of it, but I wondered if anyone had other resources or suggestions for support outside of AA situation? Specifically, dealing with anxiety, depression, and PTSD for military and/or veterans. Just trying to put together some safe resources for my partner who has now stated he wants to stop drinking. I told him that just doing it alone means he is less likely to be successful (as it has not been in the past) but he is not open to big groups talking about his issues. Thoughts? Resources? I am aware of the Wounded Warrior org and their associated program down at UCLA. I am going to suggest this to him, but he isn't quite open to going to a program for two weeks. Furthermore, I feel it would be really helpful... but he isn't convinced It's what would help or what he needs.</t>
  </si>
  <si>
    <t>I can't go into too much detail, but basically I am going to fight to get my son back into my life after 12 years of living hell (his father kidnapped him). I am a year sober on the 25th of April this year and I feel ready and strong enough to fight again. Furthermore, I had to represent myself in court the last time and this time I am going to get myself a Solicitor, I also have a lot of support, both professionally and with some amazing friends on my side. You all inspire me and this site has been a Godsend.</t>
  </si>
  <si>
    <t>Here I am ready to start again. I only wish I could rid myself of this anxiety. It’s brutal but I know if I get through today tomorrow will be much easier. I could barely sleep last night, so I spent the time on this sub. I got a lot of good tips and inspiration. Furthermore, I feel like I can do this time.</t>
  </si>
  <si>
    <t>One day away from 6 months. I have been on vacation for the past 4 days, at an all-inclusive resort in Mexico. Today my friend gets married, tomorrow I go home with 6 months sober. Being surrounded by drinking has not been easy, it's been overwhelming difficult at times. I am so proud of myself for making it to the final day and enjoying my vacation to the FULLEST. I am ready to celebrate 6 months!</t>
  </si>
  <si>
    <t>Quitting All the posts I see here where people are day 1 or just starting out have you been tapering or just going cold turkey? What amount of alcohol were you consuming?</t>
  </si>
  <si>
    <t>I should feel better right!? I’m at day 10. My headaches come around the time I would typically start drinking (6pm) and I am tired as crap. Also why oh why am I so dry? My mouth, my eyes?. Just dry! I’m drinking water and NOT alcohol shouldn't I feel better?</t>
  </si>
  <si>
    <t>I am currently using a mixture of SMART Recovery tools, mindfulness, meditation, and as a last resort medication to manage my cravings. So far they have been working really well at keeping me centered and avoiding a relapse. My question is, should I be sharing these cravings with my partner when they come up? This is not something I am terribly familiar with in terms of how it might help serve me -- maybe that is a question she should ask her recovery group? For my part, I feel like I have put her through enough over the years. But on the other hand, hiding it from her might reinforce the shame I feel and possibly empower it. Just wanted to get some other views and perspectives on this.</t>
  </si>
  <si>
    <t>I just find it so damn pretentious that people talk about different types of alcohol in the way they do. Like they’ll absolutely spend ages picking a bottle of wine, which, after the first two glasses, doesn't bloody matter about the taste. Same with vodka and spirits. It’s just so cringe and for me now is just an excuse to cover up wanting? Alcohol, which is completely universal across all alcoholic drinks.</t>
  </si>
  <si>
    <t>Just reset my badge, again ! I managed to stop drinking for 6 months about 3 years ago, and remember telling myself many times how everything was better, everything ! I remember being scared of starting to drink again, but I did. Furthermore, I wish I could say that I am fully committed to stopping for good, but I have done this so many times I think I know how It's going to go. Just wish I could flip that switch and say that's it I'm stopping for good.</t>
  </si>
  <si>
    <t>Felt so great, but a few beers turned to straight withdrawals. I know about kindling, but I guess I had reservations. Didn't post for s while out of for the sober rule. Heart palpitations and vomiting so bad. Doctors said I had ketoacidosis which happens when you drink and do not eat, and you exhaust your glucose and produce ketones. It can be very dangerous. I received IV's various meds and Librium. I am so. Glad I asked for help. My last cold turkey peaked at 4 days. Trouble is my family is skeptical of my long term sobriety. I hope this health scare is enough. The sounds of retching coming from other rooms slammed home the.suffering from this disease. I missed you guys much --you offer proof recovery is possible. I got home this evening, tidied and vacuumed, shakes have subsided. Will wait to shower tomorrow when the sweats stop down. Just a warning about the ketoacidosis and when you can't keep fluids down and have a fruity sweat smell, please check it out with Dr. Hope it never happens, But I was sicker than I knew. Will check in with you on morning!</t>
  </si>
  <si>
    <t>I got upset over something strange today, and I was wondering if maybe any of you can relate or understand why I suddenly got so annoyed. I'm 51 days sober today, and alcohol has really ruined a lot of aspects of my life, I'm not going to get into detail, but I have spoken about it in other posts. Like many people here, I had a very real obsession with alcohol, and since quitting drinking I feel like I am having to entirely reinvent myself as a person. Well I have a friend/coworker, we'll call him Joe, and he's been pretty supportive of my journey so far. In outings, I know he could tell I drank a lot, and since we used to go out on the weekends he was one of the first people I decided to tell so that he didn't think I was flaking on him.</t>
  </si>
  <si>
    <t>I’m stopping today. I’ve spent the last couple of years trying to convince myself that it isn't that bad, that I’m not an alcoholic like my father (he just hit his first year of sobriety), that I have it together but, after waking up drunk for the third day in a row, I’m finally ready to say that I have a problem and that I need to stop. I’m calling the place that I use to go to for therapy on my lunch break. Furthermore, I was better when I was there even though I was lying to him about the amount that I drank. He had to have known anyway; one of the last times I went, I was still drunk from the night before, and I am sure I stunk of scotch. I don't know why this time is different. I’ve been in the same cycle for almost ten years, but this is the first time I’ve actually? Wanted to stop. I’ve quit before; a week there, a month there, but I always knew I was going to drink again. This time, I just don't want to anymore. My kids are young (Jesus, I didn't even take them to preschool yesterday because I wanted to drink, and I knew I’d have to pick them up.), my wife loves me (although I can tell she hates how much I drink. Her face when she wakes me up from the couch says more than she would ever actually say), and life is overall good. I should be content, but I just keep reaching for the bottle and making my own life worse. Sorry that I was rambling. I know that this place is what that’s for but I just, for the first time, am ready. And I wanted to share that.</t>
  </si>
  <si>
    <t>Finally getting some semblance of normalcy in every aspect ?.: let this be a lesson that just a single afternoon of drinking causes so much havoc that it takes literally 6 days to achieve normalcy again?.. Why do we do this</t>
  </si>
  <si>
    <t>I've been tapering off, and I'm successfully down to 5 cans a night. Might still sound a lot but when my usual amount can be 9 or 10, I consider it somewhat progress. And I'm not drinking in the day at all, which had become a HUGE issue. My plan is to reduce it by a can per night week by week. This week is 5 cans a night, next week will be 4, etc. I will freely admit two things though: I've woken up REALLLLLLLY wanting a beer. My mind is trying to justify it in all kinds of ways (I can slip up once, get back on track tomorrow/I deserve a treat for progress). I refuse to give up to these cravings today, I'm going to take it hour by hour. But they're there and it's difficult. I'm also kinda...scared at experiencing life without alcohol? Does that make any sense? It's been a huge part of my life for years, even if I do want it gone.</t>
  </si>
  <si>
    <t>I'm celebrating one year booze-free today (the first of the rest of my life) and wanted to clock it on here because I'm proud of what I'm doing. While never a daily drinker - I drank every weekend and wasted so much time and energy dealing with the aftermath. Now I feel so much better physically and mentally and, importantly, I have additional "worthy calories" at my disposal to be savored during my continued dedication to gluttony. I'm all ears if anyone wants any tactics or advice - I'd be lying if I said it was easy, but I can say with confidence that it gets easier every day. It's tough but totally worth it. Also, drunk me could be a bit of a dick...</t>
  </si>
  <si>
    <t>4 months sober now. I’m alone in a hotel a state away from anyone I know and there’s a bar here and happy hour is soon and I’m lonely and depressed and want to drink. Bam, that’s all of it. I guess I’ll just curl up in bed and watch TV. I wouldn't want to drive the 8 hours I need to tomorrow if I drank tonight. And honestly that’s all that’s preventing me from drinking right now, but I guess any reason not too is a good enough reason.</t>
  </si>
  <si>
    <t>I’ve been drinking for a decade. I’ve hurt myself while drunk, I’ve hurt others, I’ve embarrassed myself, I’ve showed up to work drunk, I’ve done things I’m not proud of. Furthermore, I hate who I am when I drink because when I drink it’s an absurd amount. Furthermore, I drink to the point of black out 8/10 times. I’ve lied about how much and how often I drink. I’ve kept hidden liquor and lied about not drinking. I’ve had things happen to me that wouldn't have happened if I hadn't blacked out. I've tried to quit many times but have only gone one month without drinking before giving up. I think I’m finally ready to commit. I don't want to drink. Furthermore, I don't want to be the awful person I turn into. Furthermore, I gain nothing from drinking and I’m aware but it’s truly so hard to stop. I’ve read through some of these posts and I feel more encouraged and have hope in myself. Furthermore, I will do my best to commit to this new path</t>
  </si>
  <si>
    <t>I don't know why I keep getting an overwhelming wave of "I can't do this" when thinking of being sober for life. I'm trying really hard to scale it back and remind myself to just stay sober for today. One day at a time. That's what's been working so far, but I could really use some reminders of why alcohol has no place in my life. I can feel my brain trying to trick me back into "moderation might be possible" and I'm scared. Life is going really well for me right now and this is why I'm getting these feelings, but I don't know how (other than AA) to stop them.</t>
  </si>
  <si>
    <t>I woke up this morning, knowing I will not drink today. I must say, I have no urge to drink but have been eating a lot of random things and drinking soda. I’m 32, and as of 3 days ago, I would do 2 bottles of white wine between the hours of 1pm-9pm. This only started when the whole work from home thing got introduced. Pre-COVID it was a bottle a day after work when I got home from the office around 7pm. I still have two contract gigs I work on 7 days a week and always outperform anyone on the team. Now I want to quit alcohol, for my health and to save money. I was spending $34 a day on 2 bottles and around $40 a day on two cigars while I work. Here’s the hard part, I need a substitute to look forward to after work to keep this non-drinking streak. My cousin and his wife who are around my age barely ever drink, but they smoke A LOT of weed. It is legal in my state and I have tried it before but didn't really like it as it made me feel very lazy. Anybody have any luck with this? I have also been reading about micro dosing with magic mushrooms which in my earlier years helped my build my consulting practice.</t>
  </si>
  <si>
    <t>I quit on July 12, 2020, and have felt pretty strong for the most part. Recently I’ve been so stressed out I’ve considering drinking once in a while, only at special events. I never do it though, and I don't think I will, but it concerns me that I sometimes consider it. Do you guys get those thoughts from time to time? I have a pretty strong aversion to alcohol still, I always imagine embarrassing myself if I even have one drink. I’m scared that these thoughts will lead to me slipping up.</t>
  </si>
  <si>
    <t>I haunt drank for 44/45 days now. This girl agreed to support me and not drink with me. I asked her specifically not to read it because that happened in my last relationship which was extremely toxic. I don't know how to feel. Furthermore, I was thinking about getting a sixer on the way home from work. Furthermore, I'm angry and hurt. She's actually angry at me for things she read in there. I realize this relationship sounds extremely unhealthy. I've decided I need to sleep on this. Furthermore, I probably won't drink, but I'll take any advice you wonderful people would like to share. Furthermore, I probably need to clarify some things, but I'm at work and I need to put my phone away.</t>
  </si>
  <si>
    <t>After drinking for 30 years (A few here and there at first and worked my way up to daily) Now finally noticing the less I drank, the quicker I was getting intoxicated. This is where this quote comes in ? First the man takes a drink; then the drink takes a drink; then the drink takes a man?. The first few days were horrible, the depression anxiety sweating self-loathing &amp; migraines etc. Finally, on Day five I started to turn the corner. To wake up sober and watch the sunrise with a nice hot cup of coffee and to leave all the horrific first things in the morning like looking at my phone (Who did I call, text or buy something) or what did I do at home (hiding bottles) plus the anxiety self-loathing and depression behind. I’ll take sober days every day!</t>
  </si>
  <si>
    <t>So far I have always drank myself to sleep, even on work days. I would be slightly hungover in the morning, but not sleepy. Now that I don't drink anymore, I have terrible sleep quality. I know I sleep, but to me, it feels like I’m awake all night, just twisting and turning and then it is morning. I never feel rested, all day I feel exhausted, and then the same happens at night. Furthermore, I have tried melatonin and some sleeping pills. Furthermore, I will sleep better, but only until they wear off at 3-4 am, and then I wake up and can't fall asleep again. That makes me even more tired in the morning. If I take another pill at 3–4 it’s almost impossible to wake up in the morning and the whole day I’m in a daze. Is this normal after stopping drinking? Will the body eventually adjust to sleeping without alcohol?</t>
  </si>
  <si>
    <t>I mentioned in today's daily check-in about the shitty sleep I had the night before (due to inconsiderate neighbors) and had to face a rough and vigorous day at work. I felt pissed off and upset, but committed to not drinking just for today. Furthermore, I got my ass out of bed and went on a legitimate power walk, crying every step of the way, but managed to make it through the morning. After checking in at work, I went to the gym and burned off the remaining pent-up energy. I'm pleased to say that I successfully completed today's difficult work task, and I didn't fucking drink. Hell yeah. Another sober day in the books, SD. Thank you guys and gals for being such amazing, empathic, and totally badass groups of people. I really appreciate it.</t>
  </si>
  <si>
    <t>And not because of alcohol. I cooked bad chicken or something and have been throwing up for the last few hours. As much as it sucks at least the only shame ill feel about it is my terrible cooking skills.</t>
  </si>
  <si>
    <t>I am trying not to panic. I’ve been drinking on and off for 12 years. When I’m on, I am very on. I don't drink all day, but I do drink until I pass out. I’ve cut back more and more over the years. I’m not seeking medical advice. Just looking for comfort. I’m very active and have a great diet. But these red bumps I get on my face and chest when I drink have scared me. I’m on day 2. I’m worried I have cirrhosis. Furthermore, I think that is worst case scenario. Furthermore, I have no other symptoms. No pain, no shakes, or nothing else. It’s just I get these terrible patches of red skin. I’m going to my doctor in a couple of weeks. I guess I’m just looking for some comfort here. I’m trying not to be in pure panic. How did you guys know you had cirrhosis?</t>
  </si>
  <si>
    <t>I’ve read to ride the wave, play the tape forward, etc. That cravings last 2 minutes, or 20 minutes. But my cravings once they start are relentless pretty much for the rest of the day. To the point where I’m genuinely angry - angry that I’m honeying so hard, angry I can't drink. Angry that I want to drink. It’s legit a full-day affair and I end up saying ? I can't live like this? And giving in. The only thing that temporarily snaps my brain out of it is smoking weed, but once the high wears off the craving comes back. I want this to stick, I truly do. 2/22/22 is supposed to have some spiritual significance for new beginnings and all that, so I’m putting my intentions out there.</t>
  </si>
  <si>
    <t>I’m on day nine of not drinking and I haven't had any liver soreness for about two days. No withdrawal symptoms or itchiness either. Insanely happy about this because I really thought that when I woke up on day 1 with all those withdrawal symptoms, significant liver pain, and insane itchiness that this was really the end. Prayed to everyone that might listen that I wouldn't drink ever again if they let me live. I’m going to the doctors later this month but I’m just so fucking happy that it’s super unlikely to be anything like cirrhosis or hepatitis, especially after my CA habits this past year. Oh, course now I have to follow up on that promise not to drink but better than the alternative</t>
  </si>
  <si>
    <t>I’ve been sober 253 days. That’s definitely the most since I started drinking. I’m so happy and proud of myself. I’m also getting really honest and realizing how much of a problem I had. Furthermore, I justified my drinking, found loopholes in the surveys (? Do you find you can't stop drinking after you start?? Well of course not, I planned to drink all night!), hid my drinking, and functioned pretty well. I quit for 90 days (which stretched around 100) to ?take a break and reset, Then started drinking occasionally?then frequently?then daily. Again. After one embarrassing night and a string of hangovers, I quit. I said I was quitting for a year, but I meant for good. The thing is, I’m realizing that I am reluctant to say I’m done for good or admit how serious my drinking was?because that closes the door forever. Then, if I drink again it’s a relapse, not just the end of my little experiment. I have no desire to drink and can't really imagine why I would, but now that I admit to myself I had a serious drinking problem for years and finally got sober?I’m scared to fuck it up. On the one hand I want to tell my close friends/family how accomplished I feel, on the other than if I do slip I’ll feel so exposed.</t>
  </si>
  <si>
    <t>I hit another milestone today. It’s my day 50. I can't believe it. This sub has literally changed my life. I went from drinking 6–10 beers every day during the week and binge-drinking on weekends. To 50 days with no Alcohol. Now I have been focusing on my health and am down 15lbs my stomach is not bloated and actually looks flat and muscular instead of bloated and full of Cellulite. My wife looks at me different and my children love me more than ever. My daughter (5yo) told me she likes me not drinking because ? I don't fight with Mommy anymore? ?? My health is finally heading in the right direction with my blood pressure being normal for the first time in decades. I have rediscovered my love for mountain biking and even started a clothing brand (@azmtbco) around my hobby. I even have had a lifelong friend follow my example and is now also trying to stop drinking too. Furthermore, I never would’ve been able to feel like this or be doing these things if I were still a slave to the bottle. Thank you to everyone for all the support and knowledge this sub has shown me!</t>
  </si>
  <si>
    <t>Drank a shitload of wine after holding off for a good three days straight. Drank over some stupid guy and woke up hungover and feeling incredibly guilty. Texted the crisis hotline without even realizing also. I’m really ashamed but all I can do is start over. Why am I so sensitive? I swear to god whenever I have issues with men I just cry and cry and cry, and I can't stop. I feel like a literal baby. Furthermore, I need therapy ASAP.</t>
  </si>
  <si>
    <t>I’m finding that posting here is a tremendous accountability help. And there seems to be something powerful in setting my intention here every day in writing. Today marks one week sober. I’ll have tea and gym instead of wine and gin. Here’s to good physical and mental health.</t>
  </si>
  <si>
    <t>I have a drinking problem and my financial life is in ruin, my health is a disaster, I’m completely losing my standing in society, my family is pushing away from me, and I’ve ruined a lot of great relationships with beautiful people. I’ve permanently ruined all sorts of chances at my greatest life goals and desires. Furthermore, I don't know if I drink quite heavily enough to get withdrawals, or have for long enough. Or, if I will, I don't know whether they’ll be dangerous. Admittedly, I know nothing of what it takes to be at that point. I’m going to talk to my doctor tomorrow, and I hope he can shed some light on that. If I have to go to a detox and/or rehab, I think I’ll lose my job and quickly wind up homeless - which I’m right on the cusp of anyway, because I spend all my money on alcohol and drugs - and I can't take any time off from work. I’m already on the chopping block there for showing up drunk/hungover, and calling out/going home early a lot. So I’m kind of hoping I can do this without detox/rehab. I know you can't give me advice regarding that on this Subreddit, and I’m not sure if there’s one where I could get it. I’m just venting the situation here. I’m tired of drinking being the highlight of my day. And I’m tired of drinking ruining my life, mood, overall happiness, success in life, physical and mental health, relationships, and everything. Support in my life is very, very slim. A couple friends at most. And then about 20–30 people who actively make the problem way, way worse lol. I want to get 100% sober and clean, that’s all I know. I want to heal, and fix my life and be a better version of myself. And I know why. I just hope that’s enough to survive on. And when that other guy shows up who prefers to drink? I hope I can consistently out maneuver him with self-understanding and an awareness of the situation. But that scares me, because consistency ain't my strong suit. I just wish I could snap my fingers and be sober and fixing my life. But I know there is a LOT of painful hell I need to walk through to get to that point. And that scares me. I hope I’m ready for whatever it is.</t>
  </si>
  <si>
    <t>I live in a uni dorm with 6 others. I've been secretly drinking from the moment I woke up so I can work up the courage to leave my room and actually socialize and have fun. At the end of the day it usually got to around 600-700ml of straight vodka as I'd sneak back into my room to take a few swigs. For the past few months I've been heavily reliant on it to even cope. Waking up most mornings not knowing the tail end of the night prior with severe shakes and nausea is an awful feeling as well as having built up quite a reputation of being especially outgoing even though I struggle with bad social anxiety. I decided to fake having coronavirus so I could self-isolate in my room in an attempt to detox. I stocked up on food and liquids, and now I'm on day 4 moving onto day 5. Things are starting to clear up a bit. My shakes are still there, and I'm still very anxious especially to loud noises, but I've found getting some natural sugar in me and some hearty food helps a lot. Hope everyone else is doing okay</t>
  </si>
  <si>
    <t>Without a drink. 10 hrs in I said ? If I was drinking, today would’ve been a disaster.? My wife laughed and said ? It could’ve gone either way.? Giving me a bit of benefit of the doubt. I said ? No it couldn't have, it would’ve been a nightmare.? She then smiled and conceded and said ? It would’ve been great until it wasn't.? Being sober, any unforeseen setbacks get resolved and absorbed and dissipate. No alcohol induced resentment at picking a long coaster line, we just wait. Phone is running out of juice, find a solution. No blame. Booze is a blame manufacturer. I resent it just spelling it out. So I’m awake and sore the day after, my family all snoring and content in our dark hotel room. My children won't have the memory of a squabble to sully their Disney memories. Just their dad, socks pulled up to his calves, lugging snacks, water bottles, and jackets, and a grin from ear to ear.</t>
  </si>
  <si>
    <t>Day 3 here after a horrible 2-week bender. Eyes still a bit yellow and red and still shaky and anxious, but nothing like the last 2 days. I ended up in the ER and I can feel the damage I did to my body. I almost lost everything this time. Furthermore, I am going to throw myself at recovery this time. Totally sober. Wish me luck on hopefully one last sleepless night and a clean future. This won't be the last Yale hear from me at all.</t>
  </si>
  <si>
    <t>I’ve been thinking about my relationship with alcohol for some time now, after 40 years. Went to a get-together Saturday night with the intention of moderation. Didn't work out that way. Walked home, don't remember the walk. Had a conversation with my son in the kitchen that he had to recount to me because I didn't remember speaking to him that night. I do remember riding it out in my office before crawling to bed when the sun came up. Today in my feed someone referred to this Sub. Happy coincidence or a message?</t>
  </si>
  <si>
    <t>I am 43 and ignored elevated enzyme levels for about 8 years. After a rough year and a half of work from home, having Covid pre vax, anxiety, stress? I quit drinking on December 1st after trying to go cold turkey and woke up the hospital. I no longer need a scope procedure and my next return check in follow up is 3 months after being every 4 weeks. Furthermore, I have been drinking since I was 15 and so much of what I had known had to be completely unlearned to find myself. So much of my life? Physical, mental, stress, relationships, emotion, cognitive function has improved? Also down 20 lbs as I am looking to improve other areas of health in the future. I am no longer poisoning myself and appear to have changed just in time to be able to heal and live a quality life? And hopefully help end the generation to generation alcohol issues by being a good role model for my two boys. I feel better now than I did 13 years ago when my oldest son was born. Thank you to this community for being here and everyone that participates and contributes. I still have a long ways to go and will continue to not drink with any of you today.</t>
  </si>
  <si>
    <t>This weekend I did an experiment and see if I could have a drink again. Was sober for just shy of six months. Saturday I had a margarita at dinner and that was all. Sunday I went out with friends and had 6 long islands. To be honest I had a great time, had one or two too many and woke up feeling like shit. Laying in bed feeling that old feeling we all know too well. I laid there and thought I don't need to drink to have fun. So I’m re upping my commitment to sobriety. A part of me is upset I lost my streak, but I know I didn't lose my progress. Thank you all for listening and if you?re-thinking about drinking, play it forward to tomorrow.</t>
  </si>
  <si>
    <t>It’s been hard, but I’m feeling better and my skin doesn't look like the crypt keeper anymore. I had become a pretty much daily drinker since the pandemic started. Longest I’ve gone without drinking in years (quit in 2016 for 2 years and really got my shit together). Rereading this naked mind. What books/ activities/ hobbies have been helping you?</t>
  </si>
  <si>
    <t>I know this is a forum designed for those wishing to quit drinking and this is still my primary concern, however I was interested to see if I was the only one who had mistakenly replaced one addiction with another? And if so, how did you handle it?</t>
  </si>
  <si>
    <t>This is my very first post anywhere, so apologies if I mess anything up. May I ask, when do you start your counter at "day one?" I do not drink every day, but pretty much write off once a week, normally on a Friday or Saturday, and I am so, so sick of it. I'm tired of the blackouts, spending all day in bed sleeping the next day - not sick, but tired AF. Being an absolute bitch to my husband when drunk, all of it. I had my last drink on Saturday, and am not planning on buying any from now on, so would I start my counter from Sunday, or from Saturday this weekend coming? Very glad I found this Subreddit, I know I will find some great advise and encouragement in here :)</t>
  </si>
  <si>
    <t>I haven't been able to go a full two weeks since September 2020 and not for a lack of trying!! It's been a long two weeks though. I am now going for 30 days. I haven't done that since July 2019. This Reddit has been so helpful in getting me here. Thank you all!</t>
  </si>
  <si>
    <t>From the church basement to the pizza place, with lots of laughter, Dr Pepper, kvetching over how the bread used to be better, bonding over how life didn't. Just being there for each other, when no one else is. Like a big drawer of fortunate, mismatched socks.</t>
  </si>
  <si>
    <t>I'm back, but under a different username. I joined this community about a year ago, and made it 5 months without drinking. Furthermore, I added it back in moderation (successfully actually), but the depression and anxiety are coming back. Quitting drinking wasn't the cure for depression and anxiety I was hoping it would be, but now that I do drink occasionally I think it sets me back in my fight against depression and anxiety. I get bad "anxiety" after almost any amount of drinking, and it's time to put it away again. No promises or commitments about this being forever, but for tomorrow and the near future I'm going sober again.</t>
  </si>
  <si>
    <t>First post ever here. I’ve been drinking for the past 11 years (24yo), and extremely heavily on and off for the past 3 or 4. The past few months have been the worst it’s ever been, going hand in hand with some really difficult mental health struggles. After losing count of how many attempts at sobriety I’ve failed, I finally scared myself into committing to this again. 3 days ago, after heavily binge-drinking and feeling physically awful, I looked up some of my symptoms out of curiosity. Turns out many of them indicate possible internal bleeding, liver damage, or at the very least, prolonged damage to my insides (given that I already have GERD and many other things of the sort). I have a doctor's appointment in a few days to either ease my possible hypochondria or begin treating whatever damage I have done to myself. As I’m sure many of us know, even the possibility of irreversible damage might not be enough to stop us from drinking, but I’m clutching onto this wake-up call with all I’ve got. Two days sober may not be much, but it’s a start, and I know I’m headed in the right direction.</t>
  </si>
  <si>
    <t>I just ordered This Naked Mind, due to the trillions of times it’s been mentioned here. I’m bringing it on my ski trip this weekend, hoping it will help with my post-ski beer cravings. Any other good ?quit drinking? Reads? Quit Like a Woman looked interesting, but I read that it’s written from a kinda classist, out of touch white lady perspective. Dunno if I’m down with that. But if anyone has read it and liked it, I’d love to know!!</t>
  </si>
  <si>
    <t>I never stopped drinking. I never stopped hurting him. Alcohol made me an abusive piece of shit. I don't blame him for leaving. The entire 4 years we spent together I was drunk. He never even got to know the true me. The sober me. I tried so hard to quit for him, but I never thought he’d actually leave. I thought it was my own battle, but it was his too. He couldn't forgive me for the things I’d done and continued to do. I wish I could make it up to him, but the only way to do that is to get sober. I’m going to AA. I’m going to therapy. I’m making the changes he always begged me to make, the changes I promised him and never did. I’ll never hurt someone I love like that again.</t>
  </si>
  <si>
    <t>Just wanted to take a minute to celebrate my success this far! In the early days of my sobriety, I really didn't know if I would make it to one year. The thought of life without alcohol was TERRIFYING. I was so worried about losing my coping mechanism, losing the safety net of feeling that warm sensation that alcohol envelopes your body... The numbness. That was my comfort zone. I was terrified to face my sober self. Thank you from the bottom of my heart for being the best place on the internet! I needed this place so badly in my early days and now that I've become more comfortable being me, truly being me and feeling my feelings and dealing with my emotions and situations with a clear head. I'm so much happier. And it turns out I actually kinda like the sober person that I am. I'm so proud of myself! If you are in your early days of sobriety, just remember that it is possible! One day at a time. I will very proudly not drink with any of you today!</t>
  </si>
  <si>
    <t>I drank for 36 years. Other than the weekend-warrior dorm-room drinking in college, and a 4-year stint of heavy drinking when I thought I was the king of the world, I spent most of that time just being 2 beers a night kind of person...up until this pandemic shut-in. Now, I might have missed a half dozen days of work due to alcohol in that 36 years, NEVER drove drunk, and the last time I puked from drinking was about 8 years ago (crazy party)....so I never really felt like I had a problem until this last December when I opened my eyes and realized I was up to 5–7 drinks a night (hard-A and beer) and realized that was solid for about the last year; increasing since the pandemic started, I figure. So, for the sake of my gizzard, I decided to stop drinking (especially for no reason/alone). 90% of the time I was just on the computer and drinking alone. So, I found some (really crappy) NA beers and got one to stick so stopped entirely for January of this year, and have had 3 drinks in February so far. I did not really read up or learn much about the what's and why's and expectations of quitting, but I can say this. My brain is on fire. Not pain, but it is racing 19 hours a day. I think the last 36 years I have had "control rods" in the form of alcohol keeping it at bay...but now I have a conundrum. I like how my thinking has opened up to a broad-band type of awareness. Furthermore, I can multitask, I can remember stuff better, and I can get things done instead of putting them off. But... I can not shut it off. My 5.5 hours of sleep went to about 4 now (I have learned I have to nap or sleep long weekends if I can). I wonder if that is why I started drinking in the first place, because my childhood was a blur and my school was boring (easy), and I was hyper and such. There is probably an acronym that would be applied to me if I were a kid today. When I turned 19ish I started drinking, and I can only think that maybe it helped calm me and I liked it? Does anyone else have this problem after stopping the "heavy" drinking?</t>
  </si>
  <si>
    <t>First time poster in here. 20 yr old college student and I've found myself drinking too much at times. It hasn't had any crazy effects on me (yet), however I would really like to cut back. I believe a lot of my drinking is due to anxiety and insomnia due to stress. I know this Subreddit is called "STOP drinking", but does anyone have advice with cutting back on drinking in relation to anxiety and sleeping issues? Furthermore, I grew up in an alcoholic household, so I know the effects of alcoholism on people. Furthermore, I don't ever want to become that, but I really do believe I can control my drinking a bit if I fix some mental shit I have going on.</t>
  </si>
  <si>
    <t>Have not been able to kick the habit of daily drinking (6-8 a day, sometimes more) for more than 2 years. Haven't gotten more than a day, even with a trip to the emergency room caused by an alcohol-induced health scare I hit rock bottom by maxing out my two credit cards. I can't afford to drink anymore. I've always wanted to stop (to lose weight, to not hate my body, to save money, to not feel like garbage every day) but there was always an excuse. Now I literally cannot afford it, so I have to make a change. I found a small solace: CBD drinks have given me all the good parts of alcohol (releasing me from my anxiety, allowing me to relax and focus and be calm) without all the negatives. Day 1, I had chills and shakes, was crippled with anxiety, my anger was overwhelming, and every little thing made me irritable. Day 2, the shakes continued, and the chills were still there. Still angry at every little thing. CBD helped the anxiety in the evening at least, but it took me hours to fall asleep Day 3, today, the anxiety is still there as always, but I feel more refreshed and present/mindful. The shakes and chills are frustrating but manageable. Focusing on one day at a time is helping. This post is a little chaotic and messy, but I think it'll help me stick with it if I make a conscious effort to put myself and my recovery somewhere permanent, rather than just telling myself yet again that I'll quit. If I post here more I can hold myself accountable.</t>
  </si>
  <si>
    <t>Tonight I went on a date and had a one drink lapse. I invited the guy back to my place, and he said it was not a good night (we have slept together a few times before, but he’s not really into me). The rejection stung a bit. I didn't resort to drinking thankfully but proceeded to have like a major breakdown in my apartment, crying and crying and feeling like I was going into another depression, which is my biggest fear. I was scared I was going to drink more but went for a run instead. Instead of giving me relief I’m just in this incredibly dark place where I feel like I somehow can't handle how bad I feel. It feels like it has nothing to do with tonight and is more a general problem where I don't know how to handle emotions without numbing them. The emotions don't seem to be about anything, just a general feeling of crushing sadness and loneliness. Apart from therapy, which is too expensive for me right now, does anyone have any tips? I am in a new city and don't have a great social support system right now (I’m making friends but don't have anyone I can ?lean on? Per se. Any tips?? I feel super sick right now, pure anxiety.</t>
  </si>
  <si>
    <t>I have never posted before but read the posts in here religiously and all the success stories are so inspiring to me. A little background - I am a female in my mid-twenties. I drank and partied heavily in high school and through college and have continued on this path after college but have still managed to hold a good career. However, I think my relationship with alcohol is not good. I black out almost every single time I drink even though I limit my drinking to one day a week. Recently, I messed up and am really hoping someone can offer me words or encouragement or have a similar story. I really like this man, we have a lot in common, and I like to hang out with him. We went out on Saturday and of course, I blacked out. No idea what I did or if I was an idiot or not. I am so embarrassed and am I thinking maybe there is just no coming back from it and should leave it alone. Has anyone had a successful love story that had a dumb drinking hiccup along the way? This was the last straw for me with drinking.</t>
  </si>
  <si>
    <t>About 2 hrs sober. Been off for 2 weeks after a 1-month success. Biggest struggle is admitting weakness to those around me, so I just spiral in and judge myself which makes it worse. Big over thinker. High anxiety. Looking for confidential friends and supporters to reach out with when feeling in trouble.</t>
  </si>
  <si>
    <t>Last night I went out and had a couple of classes of wine blacked out on public transportation and was lost in NYC for hours, I get close to home and no transit options are available, so I wound up having to walk 3 miles in the freezing cold at 3am. I’m so lost. I keep having to start over. Furthermore, I just want the strength to make it through this. Furthermore, I keep getting lucky but for how long?</t>
  </si>
  <si>
    <t>I'm on day 4 on my sobriety after 7 days of drinking and coming from 8.5 months of my last sobriety. I'm having a problem getting any sleep. I may get 5 to 30 minutes sleep of the time but don't feel like just Worn down. Is there anything I can do to get some sleep? I try Tylenol PM and Nyquist, but they do anything and I gave it after the 3 day. Withdrawal from is what causing the lack sleep, but beside time is there anything I can take to get me to sleep?</t>
  </si>
  <si>
    <t>I'm going to a professional conference this week. This will be my first time back to an in person conference since the pandemic started. As always, I know there will be a lot of alcohol, on top of all my colleagues eager to go share some spirits because it's our first in person event in years. This has honestly always been an avenue for heavy drinking in the past. I'm on day 45 today, my longest streak ever. I have to quit for my health (high blood pressure) but know there are going to be so many triggers there. What do I do?</t>
  </si>
  <si>
    <t>I work from home, and I recently got into the habit of getting a grocery order delivered just so I can have a six-pack of beer brought to my house. I don't have to drive anywhere, or be subjected to the bar scene. Furthermore, I'm also an introvert, so drinking alone at home is perfectly comfortable for me. It's so easy. Thought about doing that today since my partner is out of town. As someone else commented recently, I need to honor myself and avoid saying "fuck it" solely because I know it's easy to get away with. I really need to quit with my self sabotaging tendencies.</t>
  </si>
  <si>
    <t>How do others cope with not drinking when their sober life is less than appealing? Each time I quit drinking, I look at my life and connect the dots for why I started drinking in the first place. I know that constantly being drunk is not possible, but how do you maintain sobriety when you don't look forward to a sober life?</t>
  </si>
  <si>
    <t>I'm almost 7 months sober and still dealing with my own demons, obviously. Starting to really resent my partner at this point in my sobriety. Anyone out there relate?</t>
  </si>
  <si>
    <t>12 days sober, super proud, and INDY! Great news: alcohol-induced, daily anxiety is pretty much gone and my cravings for alcohol have reduced a bit. Buyout there have been some really annoying downsides. Lots of fatigue and huge lack of focus. It’s so, so hard to wake up in the morning after getting a full night of sleep (I feel soon tired - would sleep 12 hours daily if I could afford to), and the lack of focus makes it difficult to get work done (I work from home which also makes it harder to focus/not drink sometimes). I have been eating more sugary things lately (but watching myself and not having too much), maybe this is a contributing factor to both issues? Hope this is just part of the process and will go away soon.</t>
  </si>
  <si>
    <t>I like being around people but without alcohol I feel like I struggle with social interactions. Most of the time I get stuck in my head and have a hard time finding what to say. Enter Whiskey. Thoughts, questions and opinions present themselves clearly. Not haphazardly, but in just In the right ways to express myself articulately and engage in awesome conversation. Any advice on improving social interactions sans alcohol?</t>
  </si>
  <si>
    <t>Decided that today I'd skip being a non-alcoholic and took the naltrexone out of my pill box before taking my morning meds. Time for a cheat day, "alcohol brain" is going to have a party! Trying to decide how long to wait to go to the store for...supplies. WHO OOO! "Sober brain" took over. Took the naltrexone instead of heading to the store. After all the buildup by "alcohol brain" my cravings and frustration are off the charts and running amuck. "Sober brain" and I are going to win this day. That's the best I can do, but damn it, I'm doing it!</t>
  </si>
  <si>
    <t>For the last 8 birthdays I have celebrated by blacking out on the 20th to pregame for blacking out on the 21st for my birthday. I didn't feel any stress or anxiety about the future for nearly a decade because I had a cure in the form of alcohol but what ended up happening over the years was I just stopped caring about anything beyond getting home getting drunk repeat. I just survived life, I didn't plan for anything good or bad as long as I had enough money to get my fix and a bed to sleep in I was okay. This year, I'm sober and have been sober 140 of the last 154 days and my life is getting better day by day week by week. I'm beginning to care about things again. I care about my friends and family more deeply than I have in a decade, I care about my future so much that I re-enrolled in school to finish my degree that I couldn't complete when I was drinking heavily. Furthermore, I have a savings plan to finally get myself out of stupid debts and build a nest egg, so I'm not flying by the seat of my pants. Furthermore, I see my friends settling down and building families and I now want that again, so I'm trying to seriously date again. Furthermore, I had a few casual type relationships during the past decade, but honestly I cared more about getting drunk than turning them into something real. Furthermore, I have goals and dreams again and the thought that I might not achieve them brings me great anxiety, but I've realized that fear of the future is why I numbed myself for years and hiding from the fear didn't get me anything. Furthermore, I'm scared shitless, but it's such a weird amazing type of scared, my future is mine again and if I take it day by day and don't get too far ahead of myself it can be mine until eternity. This might make no sense to anyone else, but I'm glad I'm scared again.</t>
  </si>
  <si>
    <t>I’ve had a few extended breaks -144 days at one point, 83 days at another. Thought moderation was possible and yet again, proven wrong. I’ve posted a few times the past week. A week ago Sunday night was the worst withdrawals of my life. I think I slept about 15 mins that night in between dry heaving, sweating, and shaking. Thankfully I’m through those. Since then, I’ve run 6 times and capped it off with 5 miles today. Drinking water like a camel in the desert and finally starting to feel like a human again. Here’s to another alcohol-free day.</t>
  </si>
  <si>
    <t>Longer version: almost 6 months in (yay!!!!) and I have my first girlfriend in 10 years (first meaningful, supportive and loving relationship of my life)... I've heard the term "gifts of sobriety" and I feel like I'm receiving them daily. However, I'm writing to share a hiccup with the community for feedback: my GF drinks 1-3 drinks max maybe once a week, she can easily drink one beer and be done with it. When I'm with my friends I never feel tempted or even like I'm missing out when they drink but with her, it's different. I feel anger towards her that she can drink so easily and responsibly. I've had to work hard to believe that alcohol is not a comfort support, or happiness, yet I see her waltzing to the hot tub with a beer in her hand, wondering why she wants to drink at all. On one hand I'm angry she drinks around me because her drinking makes me think she's not on my team. I also ask myself what is the moment missing that alcohol would fill for her (she says nothing, I've asked his question). I'm also jealous that she can drink so lightly without bother, and I can't. On the other hand, I don't care if ANYONE around me drinks, except her. I've been to bachelor parties, work trips to Vegas, met new friends all unphased, yet she goes to the hot tub with beer and I'm sideways. We've talked about this a little bit but I can't help but put her in a separate bucket from my friends, which I believe is unfair to her (what's her drinking have to do with me?). This leads me to believe my discomfort with her drinking has more to do with me than her. I used to drink a lot during relationships because they were so uncomfortable for me (anxious + avoidant attachment style). In general, I feel so much feel better, much more comfortable in my skin, I wonder if the desire to drink around her is to numb the intimacy or to put some distance between us and nothing to do with her actual drinking. My solution will be to continue to grow close to her emotionally despite the discomfort and despite the occasional craving, in the hopes the craving will subside one day. I also plan to discuss this a bit more with her if it seems appropriate and I will absolutely discuss this with my therapist. If I'm dangerously close to crossing a line I'll also call a friend, post here, etc. but that's not a worry, at all. The worry is how intimacy creates cravings.</t>
  </si>
  <si>
    <t>I have been dry for ten days. This is the longest I have gone since December 2021, when I also went ten days. Before this, my nine-day streak tied a streak from last September. If I make it through tomorrow, the 11-day streak will be my longest since a 14-day streak in September 2020. And ultimately I hope to break my longest streak, 73 days back in March-May 2020. I’ve been tracking my drinking since 2014 and I’m obsessed with streaks. It gives me something to shoot for, a little bit of extra motivation when the day gets late and the brain tries to talk me into one drink.</t>
  </si>
  <si>
    <t>I've pretty much been drinking since I was a kid, like 12 or 13. I'd basically say I've stayed on a steady binge since 16 or 17, at least 4–5 drinks a night with some breaks in between. Furthermore, I'm moderately successful, job stress in the restaurant industry always keeps me running back for a brew... Or 6 or 7. I sobered up for my ex-wife like 10 years back. Was the most productive I ever was in my life for that period, and essentially put myself on easy street. If I keep current pace I'll be able to retire at 40, not in my plans really though. Because I own property and restaurants, I can't really "hit bottom" (I suppose I could, but it would be a drastic stretch for a steady alcoholic) I just maintain at like a 6 pack of high alcohol content beer and maybe one or two shots a night. I've gained a lot of weight back since sobriety, but I'm not obese by any stretch. Went from like 5% body fat to like 15%. I've lost interest in most everything but social or drinking alone and gaming. I'm still very successful in my industry and am I doing better than my competitors in terms of (the big killer right now) employee retention and sales. Furthermore, I'd like to stop drinking daily to get back into my size 30 pants and just to have some positivity towards life, but I can't seem to find the motivation. After therapy for a couple of years and different diagnoses, I guess I'm depressed and have high levels of anxiety coupled with ADHD, but I don't really like labels. I've always felt the tension from my anxiety and "ADHD" have been some of the things that made me successful in the quick service food industry. I guess I'd just like to be able to get back to the place I was, waking up early, working out before work, killing the game at the restaurant, and generally feeling happy. Yet every day, I find myself back at the convenience store, buying the same six-pack, going home to my loving girlfriend and my dogs, drinking all night, feeling hopeless in the morning. IDK why, but I need to break the cycle booze has on my mental health, although I've managed it from making me seriously in a bad spot. IDK. Sorry for the rant. I guess I'm hoping some can relate. I feel numb to the world and like I'm just going through the motions of life. Furthermore, I can't really complain because I've built myself up to be well off, but I just feel generally unhappy and booze is always the solace at the end of the day.</t>
  </si>
  <si>
    <t>Feels like a major milestone! When I started my journey I thought it was a miracle for me to get 3 days sober. Today I am helping others and living my life one day at a time and loving my sober lifestyle. If you're just starting out just take it one breath one step and one moment at a time. Choose to not drink no matter what and find others that want to go in the same direction that you are wanting to go.</t>
  </si>
  <si>
    <t>I just spent three days drunk and sleeping when I had a whole four-day weekend I could have chosen to do anything with. And that’s what I chose to do. I woke up with awful anxiety and my chest feeling tight. I’m so dizzy when I walk around it makes me want to lie back in bed a waste another day away. I’m so tired of living like this. Furthermore, I tried to stop drinking twice before, but just end up falling back into it and every single time I seem to spiral harder. If I don't stop this shit will end up being the end of me. I’ve been an awful fiancé‚ to my partner. I’m about to be a first time aunt this year and this isn't the type of aunt I want to be. This isn't the type of wife I want to be. I also don't want to be the daughter that pretends she has her drinking under control to not worry her parents.</t>
  </si>
  <si>
    <t>I'd get off work with an empty stomach, great! I'm going to get fucked up very quickly! It's so instilled in me, I still do it, though my last drink was Dec 5th. Makes it difficult to enjoy a good meal.</t>
  </si>
  <si>
    <t>After a particularly bad night, I set a goal of 100 days alcohol-free. Truthfully, I didn't think I would make it. After two months of doing the hard work of being sober, I was feeling pretty crappy. My husband, who joined me for the 100-day challenge, saw improved sleep, weight loss, and increased energy after just a few weeks. I was frustrated and disappointed. But I read many of your posts saying to JUST KEEP GOING one day at a time, and so I did. And right about the 100-day mark, things started to improve. My anxiety is reduced, my energy is better, and I actually lost a few pounds. The benefits of quitting took a lot longer than I expected, but it was worth the wait. My new goal is six months, and I am 100% sure I can make it. Thank you for your support and advice! And for anyone who is wondering if it’s worth it:</t>
  </si>
  <si>
    <t>So, I just hit Day 4 for the first time in a few months! Yay! However, it took two events to get me here, and I'm feeling more disconnected than ever. First event, one of my best friends' birthdays was on the 16th. A lot of my friend group is remote, so we were going to play games online. Cool. Well, they know about my drinking problem, so dumb ass me was like, OK, I can have a few shooters, and they won't know. Well as we all know, we can't control or pace ourselves. Had too many, can't really remember what was said, got kicked out for the night. Understandable. I had also done the casual drunk thing of saying for months "Yeah, I'm doing OK, I have my slip ups here and there,</t>
  </si>
  <si>
    <t>For about 5 years, I have been listening to sober podcasts, reading about getting sober, going to the occasional meeting, dipping my toes into various online groups that cost money. I have had a week here, a few weeks there, alcohol-free. Some of the groups/podcasts I really enjoyed and learned from. Some, I really did not like or benefit from. One valuable lesson for me was, even if I was only sober for a period, and went back to drinking, it doesn't mean it negates what I learned during that sober period. Anyway, this time around it's been much easier to not drink, and I believe it's because of all the work I put into it previously. I am trying not to stress about "what if I drink?" in the future and just focusing on the moment. I mean...what if I do drink? Then I will stop again.</t>
  </si>
  <si>
    <t>I've been trying to get fully sober for over a year now. I've cut enormously back, but I still can't seem to string together more than 8-10 days or so before I slip up, sometimes less. Furthermore, I never go the full way, usually it's just one or two and never more than three or four, but I always feel hideously guilty and anxious for a couple of days after I slip, go strong again for a bit, but then I start to feel better, and the false confidence comes back, I feel like it wasn't really that bad, it was only two, etc., etc. and do it again and start the whole cycle over. What are some ways you catch yourself when you find that thinking creeping in? I guess I just need some advice, words of wisdom, encouragement, etc</t>
  </si>
  <si>
    <t>As the titles says, being sober has really made me see the things I couldn't when I was drinking. Realizing you were making excuses for someone's behavior because of alcohol has been super cringe. Last weekend I hung out with a group of friends that includes a particularly prefatorial man. It's just sad to see that he takes advantage of women while they're intoxicated, and as the only sober one in the bunch the red flags were really flying. Big yikes.</t>
  </si>
  <si>
    <t>I was sober for 50 days and thought I had done enough work on myself to be able to go back to drinking. That was not the case. I got so drunk last night I called my ex crying and begging to be back together with him, how I feel like I don't fit in anywhere in life, and just unloaded my sadness onto him. I feel so embarrassed and like a piece of shit.</t>
  </si>
  <si>
    <t>Just lost my job because of my drinking, I'm not getting drunk every night any more just 2 drinks a night maybe more on weekends, right now i don't feel like its negatively affecting me, did u notice improvements in mood or physical feelings when u quit completely as opposed to just cutting back</t>
  </si>
  <si>
    <t>I've realized that I have a problem. I've tried before to quit, but I pray this time is different. Furthermore, I hope that the encouragement I've seen here can boost my motivation to abstain (from booze and weed). Furthermore, I saw in the community guidelines that people can do check in posts. Furthermore, I'm going to do that for the next 7 days to keep my motivation up. Furthermore, I know Reddit isn't very religious as a whole, but I still ask for whoever reads this to keep me in your prayers. Furthermore, I want to get out of this funk and start actually enjoying life again. Change is possible, and I know God will help me through this transition. Thanks to the mods for creating this community, it's awesome to see people come together to help each other through their issues!</t>
  </si>
  <si>
    <t>Just one more cautionary tale for those of us who are sure we're different and can be cured of drinking with a year or more of not drinking. I hate how common I feel right now, but I'm looking forward to being one of the uncommon non-drinkers who just put it away for good and live my best life. I quit drinking back in August 2020. During the early phases of the pandemic my drinking was becoming something 'other-worldly'. There was nothing to do. I worked from home, everyone was always home, and I didn't see any friends. I'd start drinking around 7PM, go until about 1 or 2AM, get up and go to work online, lather, rinse, repeat every day. Weekends I could drink until 4AM. I had been a 'problem drinker' since my sophomore year in college back in the 90s and I always knew I was just like my dad, uncles, aunts, etc. who all were alcoholics. But in August 2020 I finally decided to put it away "for at least a year" to clean up my life a bit. It was a great year. SO many benefits, including doubling my income, being offered multiple jobs, wonderful bonding with my family, and feeling physically healthy all the time. The quality of sleep alone... *chefs kiss* In October 2021, my father-in-law, who was very close to us, died in my arms from a pulmonary edema. A neighbor and I brought him back to life with CPR, and he was alive and aware at the ER, but the trauma was too much, and he passed a few days later. It was...devastating. He and I had been drinking buddies for 20 years. We'd sit on the back porch, and he'd complain about his wife's nagging, and he'd listen intently to my complaints about my industry or business partners. Our bond was a good one, and he was such a great father figure for me (my father passed when I was 10). He was also an alcoholic who definitely missed drinking with me when I quit. The day he passed, I poured a drink for him and one for me. And then I drank mine. I decided that night that I could drink normally, and would occasionally have a drink then on. I KNEW I'd wind up drinking heavily again. So it shouldn't come as any surprise to you (nor to me) that that's exactly what happened. This week I was on a business trip and I drank 5 nights in a row, heavily every night. I've been trying to lose a little weight and the #1 item on my calorie count for the past 30 days is alcohol - making up more than 14% of my total calorie count. I've been irritable, sleeping poorly, mentally foggy, anxious, depressed, unhappy, and ashamed every day I have drank since starting again. Furthermore, I regret that drink, and I regret throwing away a year or more of sobriety. Furthermore, I have SO MANY REASONS to not drink. Furthermore, I have a fatty liver. Furthermore, I have high cholesterol. Furthermore, I am overweight by at least 40 pounds. Furthermore, I can't work out the morning after drinking. Furthermore, I am in a high risk category that suggests I can't drink anymore. And yet I'm convincing myself I can drink normally. WHY DRINK AT ALL? I need to get healthy! I want to stay connected to my family! Furthermore, I want to go back to where I was in 2021 without the alcohol dominating my day-to-day life. So let this be the last Day One and the first day when I am 100% firmly committed to being my best self, which is the version that doesn't drink. I can only speak for myself when I say that I CANNOT HAVE JUST ONE DRINK no matter how long it's been. But I'm not the only one who's tried and regretted it. Let my story be a cautionary tale in the pile of reasons to never start again.</t>
  </si>
  <si>
    <t>I find it so difficult to not want to buy beer again in order to numb the things I feel so much resentment, anger, anxiety, etc. about my marriage and home life. Unfortunately alcohol does a good job at letting me escape from the bull shit that makes me question being married forever?</t>
  </si>
  <si>
    <t>It's 7.30am Tuesday here. The start of day 5. I've tapered the Valium to 3 x 5mg doses today (just took the first with breakfast). Continuing high dose (500mg) oral thiamine until I've completely tapered the Valium. I'll keep up a daily immune defense supplement, vitamin D and liver detox supplement. Between a targeted clinic for alcohol misuse including a psychologist, group therapy, a psychiatrist and the back-up of inpatient detox if I need it, I recognize how privileged I am. This is also the first time I've been totally vulnerable with my ever patient, loving husband. I was a casual drinker when we met a decade ago. Several traumas and upheavals saw it slide RO literal liters of wine per week.</t>
  </si>
  <si>
    <t>Not a drop and I work behind a bar filled with all the liquor I want at my disposal. For years, I would pull down whatever I wanted and have at it. I wanted (needed) to stop and change. In the process I haven't smoked in a month as well. Looking to continue this stretch. Proud of myself for reaching 30 days.</t>
  </si>
  <si>
    <t>I’ve been considering sobriety for quite a while now, but I keep thinking I’m not ready and know that I will probably drink the next weekend no matter how sick of it I am right now. This keeps me from committing to sobriety. But I started thinking - what if I just consider every day I don't drink a good day? I don't need to build a long string of consecutive days for it to be better than not trying at all. I want to be able to commit to 24 hours without drinking, and through that at least start drinking less. So, just for today, I’ll not have a drink.</t>
  </si>
  <si>
    <t>I’m Megacoulomb. Over the last two years I’ve developed a pretty bad drinking habit. I’m here for some motivation to get it under control. Drinking has affected my relationship with my wife and kids, although nothing detrimental, but I fear that happening without control or stopping, and contributes to my stress at work by keep my brain foggy most of my days? Well that’s where I’m at now, see you around, probably.</t>
  </si>
  <si>
    <t>I think I drink sensibly, maybe a couple of beers and a whisky at most. Maybe I’ll have a glass of wine in the evening. I don't get drunk and don't get hangovers. Drinking isn't negatively affecting my life and I’m happy with a non-alcoholic beer during the day. But I find it difficult not to drink during the week. Is this too much or am I ok.</t>
  </si>
  <si>
    <t>While I am so happy to see many younger people figuring alcohol out at their age (wish I had!), just wondering if other 45 yo+ women with kids (I have but am separated), great career, etc. are also here going through this... would love to chat!</t>
  </si>
  <si>
    <t>I'm on my sober journey, and it's going well. Except for right now. I'm flying to Chicago for a vacation, and I am out of my skull with fear and anxiety. I'm sober, but for the first time in over a year I really, really want to drink and am I feeling the pressure immensely.</t>
  </si>
  <si>
    <t>I'm on day 15, and procrastinating on work, eating junk food, not exercising, sleeping a lot. I want to start feeling motivated to take care of myself and my life again, but I've just felt apathetic, maybe even mourning the loss of drinking. It's even more annoying because drinking caused me to do all the above and I want to see more immediate benefits (I have in the past when I quit). I also feel like I jeep excusing my lazy behavior because it's better than drinking.</t>
  </si>
  <si>
    <t>I made it to one week today, and a thought crossed my mind. About two weeks ago, I remember thinking ? Hey, I don't work on Presidents' Day, I should go day drink at the bar.? And I really think I would have done it, had I not decided to change things. Now, here I am, sober and trying my best to just enjoy a day at home.</t>
  </si>
  <si>
    <t>Anyway I just called AA hotline and got hung up on because I had questions... in general I don't like AA. Its religious and I'm not. I have issues I drink a lot, but the only times I'm aware or better, yet I actually think about it is when I'm drunk. When I'm sober I don't care I do me after work I'll grab 6 packs of tall boys or 12 pack and unwind but once I get to bed right before sleep I start thinking it ain't right. My kidney hurts, it scares me a little since I have a little one. But I can't stop, any tips or something that I can work with without AA I tried it before and it really wasn't for me. I know I'm alcoholic I'll admit it.</t>
  </si>
  <si>
    <t>And day 13, so I will not drink today! I haven't made it past the 2-week threshold in almost two years. I’ve gotten very close, but always end up self-sabotaging. But this time feels different. My mind shifted into long term sobriety mode and I no longer find myself searching for excuses. If the urge arises, I think about my future, and for whatever reason now, that is enough. I’m a little more optimistic and melancholic than I’ve been the previous attempts, seemingly because deep down I truly know I need this.</t>
  </si>
  <si>
    <t>So I’ve got 1 month and 21 days under my belt. The urges aren't really there anymore which is a big plus. The thing is I keep getting these days when I don't see why I should continue on. I never give in, but I was expecting to see more and more benefits. Could just be an off day. What is it that you’ve experienced in your longer stints of sobriety (3 months, 6 months, 1 year+) that have solidified that being sober is 100% a better option?</t>
  </si>
  <si>
    <t>I’m finishing my IP today. I’m nervous to be on the outside world but also excited not to be woken up repeatedly by my roommate’s 430 then 445 alarms. Words of encouragement or good reminders/nuggets of wisdom are appreciated.</t>
  </si>
  <si>
    <t>I get the absolute worst stomach pain every time I drink now but I don't remember that happening in the past... does anyone have a medical explanation? The upside is that remembering that pain keeps me from drinking.</t>
  </si>
  <si>
    <t>Just like Michael Scott declared bankruptcy?. I’m lying here after trying to moderate last week. It turned into a 2-day bender. Now I’m laying here shaking and trying to keep the demons away. I’m done. I’ll survive this, but this is it. I’m done. Furthermore, I declare it.</t>
  </si>
  <si>
    <t>Just here to rant - I hate that I consistently have this desire to drink. The desire to slam pint after pint or shots of tequila or multiple buzz balls or a Bloody Mary on a hot day? it’s such a frustrating disease. Because I know it doesn't really help me feel better or benefit my life. But the temporary euphoric feeling from a good drink is constantly on my mind. I keep going in circles - a night of drinking and then once it wears off horrible depression that is scary - only leading to a morning filled with guilt and broken promises. I hate this and I’m just frustrated and feeling defeated. Furthermore, I was 4 months sober until I got covid and now have been drinking for about a month. The hangovers are worse, the depression is worse, and I’m in the worst place in my life. But I still want to drink. Anyway just hear to let it all out</t>
  </si>
  <si>
    <t>At two years now sober, the past is still very close. The inherent dangers right there front and center. At the start of sobriety there were individuals who helped so much, by merely being kind. Never forget that small gestures mean the world to a suffering alcoholic. Not drinking with you today.</t>
  </si>
  <si>
    <t>Wondering. It seems the program promotes complete abstinence. I'm just curious if there is a way to do it in conjunction with harm-reduction methods.</t>
  </si>
  <si>
    <t>I used alcohol as a coping mechanism for stress for the longest time and now the littlest thing happens, and I feel like I’m going to have a breakdown. I see through it and I know it’s the addiction just trying to find a way to get what it wants and I’m going to stay strong! Furthermore, I will not drink with you all today!</t>
  </si>
  <si>
    <t>I had four of these 24 oz, 12% cocktails in a can things last night. Was completely unaffected by it. Walked downstairs at 4am and had a completely coherent conversation with my mom, remember every bit of it. I know it's not the actual truth, but I just don't think there's any more "getting drunk" for me. All things would've been the same last night, except I wouldn't be in such a bad mood today. I wouldn't be so sick to my stomach, and I wouldn't have slept till 3pm. I wouldn't have spent as much money. Furthermore, I'd be closer to getting out of this circus of a house I currently live in. Things would all be better, nothing would be worse. So, today I get to go through another round of day 1 withdrawal and hope this isn't the one that puts me in the hospital. Last one was pretty rough not going to lie. Thankfully it seems like I can hold down water unlike last time I did this, so that's good. I know all the reasons to not drink, now just to find reasons to be sober I guess.</t>
  </si>
  <si>
    <t>I am what I would consider a casual drinker with a fairly good handle on the habit. I am 33, will typically have a beer or two Mon-Thur evenings after work, then maybe 3–5 drinks on a Friday or Sat night if I stay in. Approximately every two weeks I will have a decent binge with friends and consume maybe 20 drinks, getting pretty damn intoxicated with some memory loss and typically leading to a modest (sometimes severe) hangover and low productivity the following day. I drink far less now than I did 5 years ago. My partner hates the binges and me coming home late as she worries that I'm either doing something stupid or getting myself in trouble (not usually the case). She convinced me to read Alan Carr's control your drinking book which I have done and found it quite enlightening. I am now onto the Sober Survival Guide by Simon Chappie and haven't had a drink for about 10 days.</t>
  </si>
  <si>
    <t>I have a friend who just got out of treatment, he really wants to stay sober but wants to take something to help. He's debating Antabuse vs visitors. I used Antabuse with great results, it was just an added layer of accountability and another reason not to drink. I don't know anything about Visitors, does anyone have any honest first-hand advice or experience? Pros/Cons?</t>
  </si>
  <si>
    <t>Read a post here the other day about the "why me?" question. I think it was more about the frustration of being incapable to moderate and watch other people drinking "normally". But, in other totally different sense, this question is a defining characteristic of my alcohol abuse. My life is pretty much boring and I had enough support from my parents. However, every time something happened, every little problem, I would break down in an anxiety-fueled "WHY ME???" Just like a little spoiled child who is told to stop playing in their alcohol playground and do homework. I felt as if the universe was punishing me too much when the internet was down, and I needed to call a technician. Or when there's a problem with the bank, or at the airport... You know, basic annoying stuff that happens to everybody.</t>
  </si>
  <si>
    <t>I’ve been thinking of doing this because I work from home remotely. I wouldn't be able to pay attention to every word or probably even catch the whole theme of most of the speakers. But I feel like it would be a soothing thing to do to feel that group energy. But I can also see it being viewed as disrespectful because I wouldn't be giving the speakers my full attention and I wouldn't even be thinking of participating myself, so I was curious as to the sub’s thoughts. Also, for those who haven't been, I’m talking about those big group online meetings. There are hundreds of people, usually at least half of them with their cameras off and muted, so no one would call on me or anything.</t>
  </si>
  <si>
    <t>I’ve seen so many posts about making a year this week, it’s what I’ve wanted to do for so, so long. I have my dream job, adore my partner, adore my pets, but alcohol is stealing away the best of me and I’m going to lose everything if I don't stop. It’s not going to be easy, it may end my SO and I have given he drinks as much as I do and doesn't think it’s a problem. But I’m lying here on a work day with two very black eyes, numb teeth and what I hope isn't a broken nose feeling devastated I’m going to have to find reasons to avoid all my meetings for the next week or so until it heals, and I know I am letting myself down. My life is a shambles, I need to get a grip and grow the hell up. I feel sad every day that I don't make better choices, and all in the name of a liquid which adds nothing to my existence.</t>
  </si>
  <si>
    <t>I made a couple (homemade) pizzas and my family was having wine them and asked if I wanted some too. I instinctively said no, but then I considered in my head for a while, how nice it would be, maybe I could have just one? Then I reconsidered, let's be honest how nice is just one glass? It's barely a buzz, no, no that's not worth it. If I'm going to drink I'm going to want to feel good. I'm going to want to get drunk. But how many glasses would that take? Probably the whole bottle to be honest, ok well shit that's a far cry from having just one glass ain't it? Plus that would look bad in front of the family. Everyone enjoying the fresh pizza but here's Yeet us letting it get cold cause needs to build up a buzz so it tastes better. Decided that it wasn't worth the hassle or the meager buzz and just had hot fresh pizza instead. The night rolled over and that's another week crossed off.</t>
  </si>
  <si>
    <t>I thought about stopping the daily check-ins after a week, but I just found out my significant other is going out of town for work starting tomorrow morning. This is important because when these past few months happened, I would jump at the chance to drink at home without anyone around to keep me in check. I can't do that this week. I won't.</t>
  </si>
  <si>
    <t>This is advice to myself more than anything, and to deter me from drinking tonight so I don't feel like a hypocrite. However, I’m sure I’m not the only one who feels this way sometimes. You probably do have more going for you than sobriety despite how you feel, but if you do feel that way, how would it make sense to throw your sobriety away to feel better?</t>
  </si>
  <si>
    <t>I saw that some of has a doctor help you somehow, what does that mean? I am trying to say strong but feeling shaky for some reason... Like physically. What can my OL school grumpy doctor do besides tell me to quit?</t>
  </si>
  <si>
    <t>I quit last year for 100 days had a relapse I am fully committed this time I am on day 25 and cannot stay awake at work I have a cube desk job and my boss sits next to me, I need some fast fatigue advice I don't remember being this tired last time I quit 25 days in?</t>
  </si>
  <si>
    <t>I just wanted to let share that I've been 20 days sober I'm trying to turn my life around no more drinking exercising to lose all the access weight from all the drinking and terrible eating I did for about 7 years. I feel different already I'm scared about my situation I have a lot of anxiety but I'm taking it day by day and not taking my health for granted anymore. It's my life not the drinks.</t>
  </si>
  <si>
    <t>I work at the only bank that doesn't have Presidents? Day off and I could really use a drink. I’m almost 3 months sober, and I know I shouldn't just be white knuckling it, but I am right now. I don't want it to seem like I’m miserable because I can't drink, it’s just that it sucks right now.</t>
  </si>
  <si>
    <t>I lost my job when pandemic started, and then I found myself smoking weed all day. I was using it against depression but I’m not sure if it helped or increased my anxiety. One year later, with help of my GF and friends, I decided to quit smoking weed. A little bit later I also decided to quit smoking cigarettes too. It was around October 2021. Then I started buying beers occasionally. After a couple of weeks later I was buying beers every day and making sure my fridge always has it available. At first, I was having one or two beers to help me to go to sleep. It turned to two to three. And then a whole 6 packs.</t>
  </si>
  <si>
    <t>I've been struggling with alcoholism for 20 years. (36 y.o Male). Over the last three years I've lost my entire life. My fiancé left me 2 years ago after I drank myself into acute liver failure. I recovered from that and had to move to my parents. Since then, I've struggled ultimately landing in rehab after multiple detoxes. Life has been shit for me. I'm not achieving what I want. I have no children and no career to speak of. Furthermore, I lost it all to alcohol. Furthermore, I'm in sober living now because it's what's best, but I also caught a felony for driving while drunk so finding housing is an issue. Basically alcohol has ruined my life, and I'm tired. I feel like it's never going to get better and this is it for me. I dwell on my old life and how I had everything, and now it's all lost. Furthermore, I just don't see the happiness/ sense of accomplishment that I had ever coming back. Furthermore, I'm still sober today, working, and dragging myself through life. It just feels like shit daily.</t>
  </si>
  <si>
    <t>Last year, about 5 months ago, I was more and more drinking not only to celebrate positive things or with friends, but also to bury negative thoughts and to get distracted. One weekend, being waking up being hungover, instead of just the usual "I will never drink again" and starting after a few days, I also searched on Reddit and found this Subreddit. I got valuable replies to my first post and read valuable things on here. Since then, I can control myself to not fall victim to this drug like I used to. Right now I'm at a very hard stage in life, and I believe that if I hadn't stopped drinking, I would've slipped down a very scary and deep hole.</t>
  </si>
  <si>
    <t>So stressed depressed and wanna drink so bad? Starting drinking heavy at about 16 gained a shit ton of weight. Hate my life TBH. 22 years old. Been driving every day for about 7 months now. I want a drink bad right now. I don't think I’m strong enough for this shit!</t>
  </si>
  <si>
    <t>My weight is an extreme concern of mine. I am 230 pounds and 5'2, so I feel it is urgent (and also partly why I need to stop drinking) for my health. Started going to AA yesterday again and am I going again today. I tried previously calorie counting and cutting drinking at the same time, but I failed after a couple of days. But when I don't calorie count if I quit drinking I eat like crazy. Any advice? Like people say a few pounds won't kill you on here, but I already have more than a few and am I having trouble tying my shoes, It's really also affecting my life.</t>
  </si>
  <si>
    <t>Toddler woke up in the middle of the night coughing, and gagging from drainage and running a fever. Poor girl was up all night, I kept her in bed with me and neither of us got much sleep. Today she’s doing a little better and I’m confident she will be back to herself in a day or two. I'm not posting to whine or get sympathy. I’m posting this because it’s incredible I could ever deal with this kind of night after drinking. I know last night and this morning I gave my daughter the best version of myself when she needed me most.</t>
  </si>
  <si>
    <t>So while a month has felt both like a lifetime and the snap of a finger, I never thought I would be here. I make alcohol for a living. I am a brewer. Furthermore, I have unlimited beer at my fingertips all day long. Furthermore, I could, at any second, drink at work, and it not only be fine, but just a part of the job. Furthermore, I know in the long-term this isn't the career I want to be in forever, and not the healthiest for me, but for now it's where I am at, and I am damn proud of myself for saying "fuck you" to temptation every second of the day at work. Furthermore, I have plans to get out and become a successful Health Coach. Trust the process. Thank you to everyone here because I know I would not have had even a fraction of this success without each one of you. I will not drink with you all today.</t>
  </si>
  <si>
    <t>Managed to string together more days than I have in so long. It's amazing the energy I have that I used to lack doing even simple tasks. I've also become a star employee in the past three days! Reading others stories on this sub, going to AA, talking to my sponsor, building a support network and exploring new hobbies are all things that are helping. I figure if they are helping I mine as well stick with it!</t>
  </si>
  <si>
    <t>I'm really struggling right now. I just got out of an incredibly difficult therapy session. Furthermore, I walked into a grocery store, and before I realized that I had two bottles of wine in my cart. The thought of the wine filling my mouth, the minerals and impurities tickling my tongue, and the tangy sting of the acidity I feel in my tonsils as it slides down my throat, followed by the few minutes bathing in serotonin... God, I want the escape right now.</t>
  </si>
  <si>
    <t>First time poster here. I've always had a problem when I start drinking to stop. If I'm sober I don't feel a need to drink but if I start there is virtually no stopping me from getting completely hammered. A DUI and a crashed car two years ago and now just this horrible feeling that I just need to stop. Just looking around, and I think this is a good place to start. I am better than this, and can do better. I just have little control after I start. So the best way would be to just stop right? Going to throw myself into my woodworking again and focus on my relationship.</t>
  </si>
  <si>
    <t>Since I was 20 (I’m 29 now) ?fun? Has mostly been nights out at bars, bowling Alleys, friends apartments, etc. but the ?fun? Always involved alcohol. So as the depression has hit me this past week, I’ve realized that I’ve been using alcohol to ?boost? So many simple pleasures that I don't really see them as enjoyable without the alcohol. It’s almost like I don't know what to do with all this newfound free time. Initially it was 2–3 nights out dedicated to drinking and socializing. And then once Covid hit it was 7 nights in drinking and playing PlayStation. Now it’s neither and I’m trying to find ways to fill those voids. A lot of people have suggested exercise and reading, which I may well take into consideration, I’m just hoping it’s enough to combat this profound boredom. That’s all. No real alcohol cravings. Just bored and sad</t>
  </si>
  <si>
    <t>Made it 53 days then had wine because I was Hungry, Angry AND Tired! Lesson learnt. Next time just eats something even if you are supposed to be going to the gym. Better to skip a workout than fall off the sober wagon.</t>
  </si>
  <si>
    <t>? Worry? Is different from ?anxiety?. Worry is a mental state ? A series of thoughts, mostly difficult to control, and intrusive in nature, that can lead to anxiety. Anxiety is a physical, hormonal, chemical fear that can stem from either worrying thoughts or a neurological/physical issue that has little to do with the mental state. Well, I’ve been really worried about Ukraine. I have family there ? Close to the middle of the conflict. It’s sad and infuriating that Ukraine and Russia, (which are akin to US and Canada in things like family ties, culture, language, etc.) are close to war, and the media are beating the war drums for whatever reason. I honestly have been thinking of drinking. It’s surprising ? I never drank because I think shitty thought or fee shitty feelings. I used to drink because it’s fun, and it makes passing the time better.</t>
  </si>
  <si>
    <t>So I can honestly say I'm surprised how this has played out. My SO knows I'm not drinking (he still is) and brought home beer and wine last night (he really can have just one drink). I haven't touched a drop and even though I'm tempted I will not drink today. Not because I'm feeling great, not because I'm strong but simply because I don't want to reset my badge for the millionth time! Sometimes that number is the only thing getting me through! I'm going to throw out the wine since I know my husband won't care. He apologized and didn't realize that I'm really done... he thought I was just taking a break and/or trying to drink responsibly... which I know I can't! INDY because I'm stubborn</t>
  </si>
  <si>
    <t>So I woke up to being screamed at because I sideswiped my mom's car. I was black out drunk, and I drove to Taco Bell. Just an absolute horrible decision. I feel so ashamed and everyone is angry with me. I can't do this anymore. Furthermore, I can't just have 1 drink, it always turns out with me being a huge asshole and hurting people. Furthermore, I just want to be sober and be a good person again. Today is day 1 FOR GOOD.</t>
  </si>
  <si>
    <t>But I am okay. I woke up. Against my wishes, because I tried to kill myself yesterday. There is nothing fun about drinking for me. It does not serve me. I don't deserve to constantly torture myself and harm my body. I woke up today, and there’s no good reason I should have, other than the fact that I’m not done. I’m not a horrible person I’m just deeply fucking afflicted. Furthermore, I don't want this, so it’s time to get back to the drawing board. First step I’m taking is giving myself a break. Taking a breath and saying I’m sorry to me. I can do this. Day 1. Gutted, but not giving in. Happy Monday, hope you’re all hanging in.</t>
  </si>
  <si>
    <t>?and it was fine. I didn't feel great, and I didn't really have fun, but I also didn't poison myself, or disappoint the wife, or risk doing something stupid or dangerous, or embarrass myself in front of the neighbors, or further degrade my health, or blow $100+ on booze. Actually, I guess it was a pretty good weekend, from a certain point of view!</t>
  </si>
  <si>
    <t>I feel like I have no sex drive at all right now. I'm single and have no urge to try and hook up with anyone. Furthermore, I haven't gotten laid since about a month before I stopped drinking, but I'm just not interested. Furthermore, I've been lifting weights a lot which usually really peaks my sex drive, but that is not the case currently.</t>
  </si>
  <si>
    <t>One thing that I think is getting better with sobriety is my old habit of lying and giving excuses. It comes from childhood and of course got way worse with alcohol. I always loved to create stories and to find my way out of unpleasant situations using creativity. But it was getting just pathetic. It saddens me to remember all the lies I've told to people I cherish. But it's important to remember sometimes.</t>
  </si>
  <si>
    <t>I’ve become part of the ?mommy wine culture?. Now I just feel like it’s more than a drink to take the edge off. I actually put whiskey in my tea the last few nights. I am calling this ?not normal?. It’s a shameful behavior for me. I’ve had a really rough time recently with Covid running through the house. I am going to give it a try at not drinking. Furthermore, I think I am posting because putting it in writing makes it seem like a commitment to myself.</t>
  </si>
  <si>
    <t>Had a slip a few weeks back after 40ish days and have been struggling to recover from that. Have drank more days than not, although most days were not full-blown binges. Lead up to spending most of yesterday hiding my compulsive drinking/binging. Was blacked out before dinner &amp; spent the night annoying old friends drunkenly/annoying my SO. Slept terribly (as I do every time I drink), woke up this morning and poured the remainder of the bottle I bought down the sink. I can't have one, and just need to kill the thought altogether moving forward.</t>
  </si>
  <si>
    <t>Woke up unsure if I drank and broke my streak. Dreamt we had some champagne at a fancy event. On the way home in the dream I picked up a twelve pack. No, thanks. Woke up sober, relieved and happy. Time to hit the bike.</t>
  </si>
  <si>
    <t>February 21, 2022. Our keynote is ? Honesty?. Today’s Meditation warns that soul disturbance can be a greater danger than fire or earthquake. I don't believe that to be an overstatement. During "soul storms", I can be just as dangerous to others and myself as I was drunk. It is no coincidence that we use the word ?mad? To describe both being angry and being insane. In the clutches of anger, big deals and/or madness I am robbed of reason, compassion and awareness of the Divine Spark. I pray today that I may avoid big deals and, at the first gust of a soul storm, ask myself, "How important is it really, compared to my emotional sobriety". The Magic can only be seen with a peaceful heart and through calm eyes.</t>
  </si>
  <si>
    <t>I have been an on and off problematic drinker for a long time. I can go a long time without drinking but once I start I binge-drink. Furthermore, I ended up drunk driving with my kids in the car and got into an accident. Thank god everyone is okay. That is something I would never imagine doing sober so that made me realize that I cannot even trust myself, not to mention anyone else trusting me. I am 10 days sober again, so far. So today I will be checking myself into an impatient rehab center. This has to get better from here</t>
  </si>
  <si>
    <t>(26M) I don't know if I'd say I have a problem with alcohol. I probably average about 2–3 drinks a week and only drink on weekends. Alcohol certainly doesn't command my life, yet I'm always kind of jealous of that guy at the party who seems to be having a blast without alcohol. Part of me wants to be that guy, but I also struggle with the thought of completely abstaining altogether. Lately, I've been hating the fact that I rely on alcohol to have fun, and I've been feeling like shit the next day even when I drink in moderation... Is anyone else in the same boat?</t>
  </si>
  <si>
    <t>I had a bad vodka habit until a couple of years ago. A half to a whole 750ml/day. I started having vertigo and other weird effects. So I switched to beer, which did help. The weird vertigo etc. stopped happening, and I felt better, but I put on a bunch of weight and started to feel miserable about it. I was drinking about ten IPAs a day and when I looked up the brand, I realized that they're 290 calories each! WTF? So, yeah, I just cut out 2900 calories/day. So that feels better already. So far I don't miss it. Yesterday I had a moment where I was like: "hey, I mean, I could just have one!" but I regained control and grabbed a bottle of water instead. I'm looking forward to each additional day without drinking and am I looking forward to buying smaller pants and wearing my old shirts that I miss wearing.</t>
  </si>
  <si>
    <t>Like I've done other stuff but when I hear people really struggling with say coke or meth, I'm like bro coke!? Damn that's rough. My mind goes "dude its just alcohol, literally everybody drinks." And I feel small. But when I actually think about my own struggle, its like "abuse is abuse" and I know what I've been through. Its real. It just feels hard to say on the surface you know?</t>
  </si>
  <si>
    <t>I drink about 2 liters of wine every day and I don't want to do that anymore I'm 26 and I'm pretty much drunk all day, drunk at work, without anyone noticing at all I gained a Shotton of weight and I feel physically terrible, can't sleep properly and I'm afraid I'll destroy my liver lol. This has been going on for a few months, but it wasn't always that bad, it got worse during the last 2 months and now I think I want to quit</t>
  </si>
  <si>
    <t>Then a minute ago I went on Reddit, saw a post from this sub on my feed and realized that it won't be the last time. I believe it will be. But I know it won't. I'm not confident that this weak realization will be enough to stop me tonight when I don't give a shit about these feelings anymore, but I suddenly feel very alone, so I'm making a post I guess. Don't have anyone else to reach out to</t>
  </si>
  <si>
    <t>Last week I checked in to a hospital with terrible anxiety, sweating and just hating myself after 4 day binge-drinking. They took me in and sedated me with Bezos. Called my mom at 5am telling the situation. Spend two days at parents place and got back home to clean and relax. I just love my parents for support.</t>
  </si>
  <si>
    <t>I am on day 112 today. This is the longest period of no alcohol in 8 years. I am 26 years old and drank about 60–80 beers per week for 8 years. I developed chest pains/ a lot of Agitation about 2 weeks ago and my mind is starting to Romanticize the idea of drinking. But I am not going to give in! I am in for the fight. Does anyone else get the chest pains?</t>
  </si>
  <si>
    <t>I relapsed on day 7 and was blackout drunk by 6pm. This morning I discovered that I have drunk texted my mum. I don't think I've ever been this embarrassed in my life. I have literally pissed my pants in front of about 30 people, and I haven't been this embarrassed. That might be a bit of an overreaction for one drunk text, but I mean... it's my mum. It's tempting to drink the embarrassment away, but where's that going to get me? Except waking up on the floor tomorrow morning with another hangover, and probably something else embarrassing to drink about. So now I'm back on day one, lesson thoroughly learned.</t>
  </si>
  <si>
    <t>I’ve been thinking a lot lately about how lucky I am. I drove drunk quite often and, by the grace of god, I never hurt anyone. When I read about alcohol related crashes, especially fatal ones, I can't believe how lucky I am. I easily could have ruined my life and killed someone else. It haunts me to think about how wreck-less I was. I still don't know exactly what I believe in but something, somewhere is looking out for me. I’m so grateful I never hurt anyone and I’m so grateful for over 9 months of sobriety.</t>
  </si>
  <si>
    <t>I'm new on here in hopes to help find the strength to quit drinking. Last week was the worst for me, had a 3-day binder and ended up in the ER thinking I was dying with all kinds of symptoms. It was all crazy anxiety, I felt like an idiot and said i wouldn't drink for a while. And here I am hungover, anxious AF one week later. I don't drink every day and once a few days pass by I feel great and drink like an Idiot, that's what I am and truly don't want this life anymore. It's hard but i meet to quit.</t>
  </si>
  <si>
    <t>I have been really excited to hit this ?one year? Milestone, but now it’s here and I feel? Sad? Just very alone. I don't know any sober people IRL, so I haven't been able to talk to anyone who understands. In the past, I would have numbed out this feeling with a bottle or two of SUV Blanc, but now I just have to sit in it, and it is uncomfortable! Question - does anyone feel comfortable openly talking about their sobriety on social media? It feels? Embarrassing. Which is ridiculous, blacking out and being rude/crying/falling/fighting all the time is embarrassing, sobriety should be a point of pride. Wouldn't have made it through the past year without the stories shared here, appreciate you all</t>
  </si>
  <si>
    <t>I'm trying to stay accountable :p Yesterday was booze free day 1. It's become a too-comfortable habit to have a few drinks after work (usually about 4 shots of vodka). I know I can't trust myself to moderate once I start. The nightly routine is usually to finish work, have drink, walk the dog, another drink or 3 and make dinner. I need to change the ritual to something healthier, but I have forgotten how to relax on my own. Just wanted to put this here so I can come back tomorrow and now I did good.</t>
  </si>
  <si>
    <t>Feel much better than yesterday and actually think I will get a good nights sleep ?. Things we take for granted like even sleep when we drink let alone the misery we spread all around ?.. For today</t>
  </si>
  <si>
    <t>I almost made it 6 months again, but I turned 30 on the 16th and lashed out on everybody. This is a message I sent to some friends to apologize for my behavior and I just think it would be something I would have wanted to read when considering another drink. I wonder why I’m such an upbeat and good person sober but when I get drunk. I take a blade out to those that mean the most to me. Even if they are the blades from my back, why do I take them out to point at you guys? Why do I decorate myself with pain and swallow it to spit it out at the people that have cured me? I’ve become such a strong swimmer not only because I was left to drown, but set fire to the bridges and life rafts. I guess I’m just trying to apologize for being a dick, but is it because this dick is so small it fits in everywhere or is the dick I am so huge and throbbing even though I want myself to fit in I fully can't. I’m not sure but I need to have enough money for a gravestone to write this all on before I die.</t>
  </si>
  <si>
    <t>For the past 10 years I averaged about 4 drinks per day ... sometimes going to 8 per day...sometimes 2...never 0. I cut back to 1/day last summer and have done well. I recently made the mental commitment to not drink at all. For the past few days now I've been waking up feeling smarter. I know that alcohol isn't exactly great for the brain, but I didn't expect to feel it. It's not like I take a math quiz every morning to get an objective metric, but I can follow conversations better ... My mind usually wanders uncontrollably when trying to focus - I feel that is improving. The feeling is bittersweet...it's great but also concerning: "did I mess up my brain?"</t>
  </si>
  <si>
    <t>I see people saying it helped them . Can I ask some basic questions like: how do you find a good one? How do you pay for it? How do you put your life on hold for weeks? Do you tell people you’re going to rehab? Any info appreciated. I’m in the US</t>
  </si>
  <si>
    <t>I’m so annoyed. Still can't get over the fact that I let myself slip like that. I never moved from my bed yesterday. Every time I get sober I think about the horrible hangovers, and then I say I never want to feel like that again but again and again I drink only to feel like trash. Feeling better today, but my shins feel really heavy when I walk. Not sure what I did. Don't think I’ll leave the bed today either.</t>
  </si>
  <si>
    <t>You may have heard this before, but this is one of the "secrets" to long-term sobriety. I have seen so many people relapse after many months, because they focus on quitting drugs and alcohol, and not enough focus on really changing as a person. Things like managing anger and stress. You're going to have a bad time in sobriety. We're going to need to get through those tough times without falling back into drugs and alcohol to cope. I'm not kidding, 75% at least, relapse before hitting 1 year. There are real stats out there, but I just pulled that one out of my ass. Even really "happy" sober people who seem to have it together. Usually it's one of these two situations: Overconfidence after some solid sober time, or giving up due to a lack of magical happiness manifesting from nowhere. Sobriety doesn't magically fix things. A ton of people may be sober, but not really changing in a meaningful way. It's taken me about 6 years to string together 2 years sober. I had not begun to really change until about 3 years ago, when I started to figure it out.</t>
  </si>
  <si>
    <t>I quit drinking and smoking weed on Monday and I've noticed some things. One I'm losing weight which makes sense since my choice of drink was beer. Also, my anxiety has dropped off significantly. I wake up with no headaches or the morning booze shits. But also I've realized my biggest obstacle is the nighttime. I always got fucked up at night. When I was drinking I never did during the day only at night. With smoking weed I would during the day BT at specific times. Now that I'm sober I've realized nighttime is going to be a challenge. Simply because i don't fall sleep until 2am which I suspected so that's not a surprise It's something I noticed. I used to get fucked up at night just to go to sleep like some poisonous sleeping aid. Now Ive realized I have to have a plan at night so i don't relapse. That's basically it lol it feels weird being sober honestly I feel like I've unlocked a superpower that I had ignored for a long time lol I want to tell my family but i want to wait until I reach 30 days. Again I hope everyone is well and sober where ever you are. We got this</t>
  </si>
  <si>
    <t>Drank all day with friends. Probably had 7–8 drinks. Woke up in the middle of the night sweating, heart palpitations and then boom a full-blown panic attack. Just took some magnesium and trying to relax. This is the worst!</t>
  </si>
  <si>
    <t>Spent the weekend at my dad’s, they very respectfully didn't drink around me &amp; I didn't drink while I was there!!!! For the first time in five years!!! I’m feeling perfect. It’s the first time seeing that side of the family since I discharged from PHP. It was so nice to be honest about how I’m doing &amp; really truly mean it. I have a stable job, I’m not sleeping in as much, have more natural energy, &amp; so many other perks since I finally quit drinking for good. I’m not sure what ?clicked? For me this time but I’m SO thankful it did. So thankful I’m not spending my Sunday completely hungover only to rush to the liquor store by 7:45 to get booze for the night. That is, only if I didn't spend all day drinking already.</t>
  </si>
  <si>
    <t>If anyone is wondering or worried about sticking to sobriety while on vacation, I can tell you first hand it is fantastic! Pros: -Tons more energy -Get to focus on enjoying the time and people instead of on keeping up a buzz -Great Sleep -More time for fun activities -I?VE found mocktails and NA beers just as relaxing (if not more relaxing) than typical drinks Cons: -would you look at that, not a single con All quips aside. I know trips and vacations can be a trigger for some. I wanted to share my experience in case it helps another feel more relaxed about not drinking on vacation. It really is so enjoyable!</t>
  </si>
  <si>
    <t>Had a perfect day today, depressed, but nothing unbearable. That is until about 7pm, which is typically the time my drinking starts. I had barely thought about alcohol all day and all of a sudden I found myself in the throes of one of the worst anxiety attacks I’ve ever had. After about 20 minutes of racking my brain trying to figure out what was wrong I thought ?god a beer would make me feel better, I should go grab a beer from the fridge?.? And then I laughed-mid anxiety attack. Not today brain. You almost got me though. Instead, I put on my shoes, walked to the corner store, bought a ginger ale and a pack of donuts, and came home and turned on Netflix. Day 7 down.</t>
  </si>
  <si>
    <t>I'm a few months sober at this point, and have recently started having intrusive thoughts (i.e. "Okay, it's 6am, and you're alone, what if you were to have a drink right now, wouldn't that be so fun and crazy?" or even "What if you were to try a drug you've never tried before? It could be interesting to try heroin!"). I've been really caught off guard by this? Even when my drinking was at its worst, I rarely drank alone, never drank first thing in the morning, and didn't really have any interest in resuming my adolescent experimentation with narcotics. It's like I've taken something away from my brain, and now it is hungry for something much worse. Has anybody else experienced this? How did you cope?</t>
  </si>
  <si>
    <t>Well. I haven't even thought about alcohol which is the first time in ... years? I've been tapering the Valium, and tapering it day by day. 500mg of thiamine tablets plus liver support supplements, a probiotic and vitamin D. I'll lower the thiamine post detox. Lots and lots of water with the occasional hydra lite. I feel like I'm catching up on 5 years rest. As much as I was sad to have slipped so far that I needed so much help, I'm also incredibly grateful for my insurance, partner, and being between work contracts to be able to give this the first 100% effort ever. I hope everyone is having a great start to the week. It's Monday here already, and I'm finding when I'm not too zonked from the Valium, I'm able to potter about and sort odd chores.</t>
  </si>
  <si>
    <t>To coping with anxiety. I get plenty of exercise, completely atheist, and am on a prescription antidepressant. Some nights though, man, the anxiety. When you just want to buy a bottle of wine for it. What are some more obscure, left field remedies? Not drugs.</t>
  </si>
  <si>
    <t>I didn't learn my lesson from my first bout with it. This was significantly worse. 7 nights in a crappy hospital bed, constantly in pain, nothing to eat or drink (just ice chips) for 4 days, couldn't sit up due to the pain and bloating. I was a ?fall risk? So no walking, 1 shower, and more drugs than I can remember. Night 4 I don't even know exactly what happened. I felt like I was dreaming, but I guess I was hallucinating and wouldn't stay in my bed. A few shots of Hall in my leg and several hours later I woke up in the ICU. Not fun. It wasn't even a month prior I was in the ER and had an overnight stay for the same thing, but much milder. 6 previous ER visits for withdrawals. A lot of money spent to make me feel better so I could go back to doing the one thing that was making me sick.</t>
  </si>
  <si>
    <t>The hardest part for me to stop drinking is being honest with myself and others. I have a problem but I’m so good at hiding it that even I forget I have a real problem. Does that make sense? I don't want to drink. I want it to end. Furthermore, I don't know how to be successful?. Furthermore, I hope yesterday was my last ?last day? Of drinking and today going forward involves me being more honest with myself and others.</t>
  </si>
  <si>
    <t>Should I start on the street corners with flyers? FB posts / AA ?? I am trying to be patient as I am only at 34 days, but I usually take a few months off every year before falling into the same patterns. This time I am trying to launch further away from alcohol and contexts which revolve around drinking, but I am concerned that having a lack of alcohol-free connections in my social and family circles will be an inevitable downfall, as it has been in the past. I feel like an alien as this sub is one of the few resources/networks I have for this issue in my life. TLDR; do you have AF friends? How did you find them?</t>
  </si>
  <si>
    <t>As soon as we arrived the place got packed, and we waited really long to be attended, suddenly the owner came and apologized to us about our time waiting and offered two wine glasses ?free of charge? My instant answer was ?thank you, but I don't drink alcoholic beverages? Then he offered us some ice tea, it felt so good, and the ice tea was delicious!</t>
  </si>
  <si>
    <t>So my husband is watching some mind-numbing TV and a commercial just caught my attention. It was for Heineken Beer..... but non-alcoholic beer. Initially I thought it was awesome they were having a commercial for non-alcoholic beer, but I HATE the way the portrayed the main guy in the commercial. He was standing there all awkwardly with some nerdy looking can with a straw looking out of place. Get that bottle in his hand though, now he's fitting and laughing along with everyone else! It's like he had to have something that still represents booze even though it's non-alcoholic. I know, of course the companies still want you to buy their products and this is their way of promoting it, but I can sip my Mountain Dew (out of a straw) and fit in jusssttttttt fine. Totally admitting I'm reading waylay too into this, but something about it rubbed me the wrong way.</t>
  </si>
  <si>
    <t>My dad was put into the hospital with alcohol induced pancreatitis on Jan 6th of this year. He pulled through, but part of his pancreas was necrotic due to excess drinking for years. We all are here to support him and help him but honestly... The man completely quit cold turkey and has been going strong since Jan 6th. My wife and I decided to support him as well by giving up drinking all together. And now we are headed towards 60 days. All together, as a family.</t>
  </si>
  <si>
    <t>This morning I woke up on day seven a contemplated if I should have just one beer to celebrate what I’ve accomplished. I came straight to this sub and read and reread as much as I could. I’m happy to say I’m going to bed tonight 7 days sober and looking forward to attacking this week with confidence knowing I’m not going to black out tonight before work tomorrow.</t>
  </si>
  <si>
    <t>50 days! I can't believe it. I was never someone who was drinking nonstop, 7 days a week. Furthermore, I wouldn't drive drunk. Furthermore, I didn't lose jobs. Furthermore, I didn't end up in jail or the hospital. But that's the thing - I'm 31 and have drank heavily since age 15. My mom, dad, and sister are all alcoholics. My best friends are drunks. My grandpa passed away from it. And every time I drank, I drank way more than I intended, and I wasn't willing to wait for one of those terrible things to happen to snap me out of it. I'd spend the whole night either sneaking more and more shots in the kitchen, or begging my husband to go buy me more, or skipping dinner at a restaurant to get drinks instead. I'd black out, every time.</t>
  </si>
  <si>
    <t>I’m one week sober tomorrow. It’s as though for the first time in a long time I can think about ways I can be kind to my future self with a sense of optimism. Rather than a sense of apathy knowing drinking won't allow me to establish good habits. Read more. Totally an option. Lose weight. Yes. Go to the gym. Have the energy now. Reduce my anxiety levels. Already better. The first step to helping your future self is for your present self to stop drinking. Heading into day six and it’s hard to believe how fast the benefits start kicking in. Not drinking today or ever again. Looking forward to a cup of tea in the afternoon and going to go to gym to decompress after work. Good luck all you beautiful somersaults. If you are still thinking about it make the jump! Start Day 1! Make a post about what you want for future self and take the first step. I believe in you.</t>
  </si>
  <si>
    <t>Each day I open the App, search for /stop drinking, click About and select Check-in remembering to click the New tab. It’s worked this way for 3 months. I can't join the daily check-in again today. It has stopped refreshing and the last listed check-in was Saturday. It’s the Flair search. Is there somebody that can push my eyes and finger to the place I need to be?</t>
  </si>
  <si>
    <t>I've been trying the NA beverages here and there when I'm out with my friends, and they're drinking. I'll usually only have one or two, but I feel like it does a good job substituting the experience. Furthermore, I had a few Friday and last night, and today I just feel really down in the dumps. Furthermore, I realize it could be PAWS still, as I'm under two months into my sobriety. But I was wondering if anyone else has any perspective on these drinks. I know I'd be okay with just drinking water, if the NBA beers are causing the issue.</t>
  </si>
  <si>
    <t>Just had a tough day. Not a horrible day, but an uncomfortable awkward day. Ready to go to bed. At least I did not make it worse by drinking. Sometimes life is not all roses. That's normal. Some days are going to suck. But at least I can limit the damage. At least tomorrow has the chance to be a great day. If I had drunk today, then tomorrow would 100% be a hungover, regretful, sad day. Going to bed sober, optimistic that tomorrow will be a good day.</t>
  </si>
  <si>
    <t>Well if you needed motivation not to drink again, hopefully this helps. I have been a high functioning drinker for quite some time. I stopped drinking last August and make it two months, was in the best shape I've been in for a long time. My fiancé and I went to our anniversary dinner and that is when I had a glass of wine. As I'm sure you can imagine, it has gone exactly how I knew it would go. It's been multiple months now and I've gone back to drinking during the day, and it consumes my thoughts. That is until TODAY! I'm not going to go to the store on my morning walk and buy a beer. I'm going to go to the gym and get rid of this Dad bod I've perfected over the passed 3 months. Furthermore, I'm back, and I'll often be posting again, I've missed you all, let's do this together... Again.</t>
  </si>
  <si>
    <t>My gaslight was on and I couldn't stop at a gas station because I felt so vulnerable. My cravings are FIERCE today. I’m fighting myself so hard. Luckily I was so close to home that I didn't HAVE stop, but if I had, I may not have made it. I want sobriety so badly. I’ve restarted and restarted a million times. I’m tired of restarting. Furthermore, I don't want a life of bad health, accelerating aging, obesity, depression, hangovers and deep sense of failure, regret and self-hate. Furthermore, I want emotional freedom, health and happiness. Right now it feels so tough. So much so that I really do feel like an alcoholic. I lust after it. A true addiction.</t>
  </si>
  <si>
    <t>My family is full of problematic drinking. Out of my siblings I'm the 2nd worst problematic drinker out of 4. My parents are pretty far gone too. I'm the first and only one to give it up. On a basic level, it's hard being around problematic drinking (especially family) because it's triggering and just generally likely to end in an upset. But watching it is also just brutal. Particularly sad with family... Because I know their upbringing, baggage, hurt, justifications, anxieties, demons, insecurities because we grew up together. But because we're also so different, it's hard to know what to do. Sad seeing that far away look in their eye. Side note: fuck the toxic masculinity in society that makes it so that my brothers and father feel that can't be vulnerable about their feelings. Shit makes it so hard.</t>
  </si>
  <si>
    <t>Well after a long (24 years) and storied drinking career I finally made it 50 says sober. I have accomplished all the common milestone's - wrecked car, DUI, numerous ruined relationships, family problems. But for once I'm doing this because I want to. I'm sick of who I was. And honestly after realizing that it has not been like the previous attempts. This time I'm doing it. No excuses. For those in the fight with me my only advice is until you want to quit for you It's going to be tough. Not impossible but if you yourself don't want it there will be excuses. There always are. Do it for you. You're worth it. Just reading your stories has helped me a ton. It's nice to know that even though I feel so alone sometimes that in reality it could probably throw a rock and hit someone going through the same of worse shit than me. Here is to 50 more days my friends. Keep your head up</t>
  </si>
  <si>
    <t>I’ve been struggling with the heavy drinking of vodka for the past year and a half. I’ve been sober for five days. If anyone has any words of encouragement or reasons to stay sober for good please share.</t>
  </si>
  <si>
    <t>Recently quit... I feel great physically. Mentally I'm OK, but I spend so much energy thinking about alcohol. While sometimes it's fighting the urge to drink, that's not all my brain wastes its time on. I just notice alcohol everywhere...on TV, ads, movies...and it triggers negative (and hypocritical) thoughts/feelings: "look at those fools drinking ... why include that in the plot line? Look at the filthy beer commercials ... so representative of selfish, consumerism..." etc. Anybody else relate? I certainly don't expect to be all cured a few days in ... I am however curious if "this is just the way that it is" from now on.</t>
  </si>
  <si>
    <t>"Quitting alcohol is easy, is done it all the time!" I can quit but then my mind tries to battle me. And often I don't have the courage to stand up to it, or I just don't want to. I have to face my demons. Is there anything that helped you?</t>
  </si>
  <si>
    <t>45 days ago. The universe has been screaming at me for 3 or 4 years. I was sober from 2012 to like 2017. 2017 got drunk and never stopped until 45 days ago. I hurt someone I love most very badly and have to accept and truly acknowledge that I'm an emotionally abusive partner, with a tendency to anger fast and hard. Sobriety is my only option.</t>
  </si>
  <si>
    <t>I think I don't know how to have fun when I'm not drinking. It's been over a year now (yay!) And sometimes I just crave that careless enjoyment of whatever I used to have when drinking. Certainly that also came with hangovers, worse depression when not drinking, and lots of bad choices, so I know it's not really worth it - but still. I can never seem to just relax and have fun the same way. What do you all do?</t>
  </si>
  <si>
    <t>I keep telling myself that it has to stop. And I have good intentions, and then it all falls apart. I’ve been drinking for 5 days in a row now - last night was a huge one. I messed up badly and made a fool of myself and woke up today so intensely ashamed of myself. Furthermore, I keep failing. And I don't know why.</t>
  </si>
  <si>
    <t>Many have mentioned it on here, but I’m tired of obsessing over when I’m going to have my next drink, if I have enough alcohol to last me through the weekend, if my husband poured himself more wine than me. It’s just debilitating and not something I want anymore. I had a family get together yesterday and everyone was drinking and taking shots together, and it felt pretty relieving to not have to worry if I was too drunk or not drinking enough. Also, not having to go through hangover, blackouts, and anxiety the next day. Or worrying if I embarrassed myself around my family. I was pretty content drinking my Diet Coke in a fancy glass haha and being clear-headed. Although it was somewhat awkward at times, it was not the end of the world and I think I can make it past 30 days, which is how long my sobriety attempts last usually</t>
  </si>
  <si>
    <t>Last November I had to stop drinking because of an esophagitis caused among other things by alcohol and cocaine. I just wanted to tell you that being sad without alcohol will always be better than with it. The phrase "Want to find out who your true friends are? Get sober." turned out to be very true. Yes, I don't hang out with the same people anymore, but the people who stayed are my real friends. Yes, I feel like I'm less comfortable socially but on the other hand my relatives trust me, and I do less bullshit with my dates. People tell me that I shine, that I look good, that I seem to make better decisions. True to be told : I have been forced to face the reality of my life for three months. It was very difficult, but now it's kind of ok.</t>
  </si>
  <si>
    <t>I set up an appointment with a substance abuse counselor as one of my first steps to actually getting sober. I don't know what to expect. I’ve had bad experiences with therapy in the past, so I’m quite nervous for this. IDK what the point of this post is I’m just proud of myself for doing like the bare minimum</t>
  </si>
  <si>
    <t>I’ve literally been sitting at home for 5 days straight and everyone is out doing Sunday Sunday and I don't know any sober people and I truly feel like I’m losing my mind and need to go DO something, but I don't know what to do</t>
  </si>
  <si>
    <t>Looking for motivating material. Also, I love a good non-fiction?. Anyone reading something that keeps you pulled in? It doesn't have to be quit related, but also I want to get some of that material as well.</t>
  </si>
  <si>
    <t>52 days sober. 52 years old. And I’m happy. I am free from all the shame, guilt, scheming, boredom, and dilemmas that came from drinking. Not to mention the nasty hangovers, anxiety, bloating, accelerated heart rate, and shortness of breath that accompanied drinking and hangovers. I’m more productive, rested, and have a generally positive outlook. The sleep is way better. My skin looks better. I’ve lost weight. I eat better. My relationship with my daughter and husband is better. How lucky I am to have been able to put these days together to achieve this peace.</t>
  </si>
  <si>
    <t>The football team I support just won a minor championship (similar to the FA Community Shield in England), in a crazy final against an old rival, with 24 penalty kicks shot after a 2-2 draw. Normally, I would be drunk and getting more drunk on the streets. But I'm fine with my trade at my father's house. For all the fellow sports fans here, I hope we can get over the association watching sports→alcohol and just have fun.</t>
  </si>
  <si>
    <t>Things have been going great since I quit drinking. There have been some temptations of course but making it to bed sober always strengthens my resolve. I've been avoiding drinking situations other than restaurants. Even going to the restaurant I get all stressed out. In my head it's like I'm going to be offered drinks the entire time, but then I get there, order tea, and everything is fine. This leads me to my next situation A few days ago my wife and I ordered Kevin Hart tickets. It's close to our anniversary so we decided that's our gift to each other. A nice dinner, a show, and a hotel. I spent the next 4 hours stressing out about drinking. The show is in SEPTEMBER. Finally, I said to myself "why the f are you stressing out about this right now!? You're not drinking today, that's all that matters. When the day comes you'll get to dinner, order tea, go to the show, get a soda or something and 90% of the night is won at that point."</t>
  </si>
  <si>
    <t>My abusive marriage really did a number on me. I’m so sad today, I saw a picture of my ex on Instagram, and it just sent me even further into sadness. I was already struggling today, but all these emotions are a lot to deal with. Furthermore, I just want to feel happy and energized again. Furthermore, I hate what she did to me, I hate that I had to go through what I had to go through. Furthermore, I hate that have to now go on this up hill journey of healing after everything that was done. Since my relapse I have been struggling even harder. It’s back on the upswing but it’s just taking awhile. I’m just here to dump my feelings. I’m in therapy, I’m working on everything, my health, my career, my interests. Sometimes I’m just so tired I can't do anything. I’m on day 50 today. Thankful for this group.</t>
  </si>
  <si>
    <t>What?? I can't say it’s exactly flown by, but damn if there’s one's thing I know It's that I don't want to go back. Onward and upward. Love you guys and have a great day! Edited to add: I’ve made it through my first sober Christmas, New Years, Valentine’s day, and now pushing through a long (and largely celebrated in my area) Mardi Gras season. Check me out!</t>
  </si>
  <si>
    <t>And counting. Not gonna break my arm patting myself on the back, but this is the longest I've made it in many years. I haven't had cravings... yet. I know they'll happen eventually after a terrible day, but I feel more prepared to handle them than I ever have before. Thank you all for your help.</t>
  </si>
  <si>
    <t>I still have some run pain, but that's actually helping me to not drink, as I don't want to die from liver disease. Had some of the worst panic attacks in years this last week, but that's actually helping me not to drink, as I don't want to go through that again. I've been unbelievably depressed, but that's actually helping me not to drink as I don't want to make it worse, and abstaining means I have a good chance at making it better. Today, Sunday, it's a sunny---albeit cold---day where I'm at. I'm enjoying hangover-free coffee in bed with a cat and a still-snooty partner, who woke up for a second and nuzzled me and said, "I had a lot of fun with you last night, honey."</t>
  </si>
  <si>
    <t>Day 36. Cravings are pretty much gone which is great. In the last few days I have been feeling a bit empty and without a purpose. Life in general is going great, but I still feel a bit blah... I decided that I need a new goal. So I have signed up for a mountain trail race here in Switzerland. This decision of mine and setting a new goal kind of woke me up all of a sudden. I now have a clear goal in mind. I have a plan on how to reach it. I've got little over 4 months to get ready for this race and for the first i m exited again! It's like a spark went off!!!!</t>
  </si>
  <si>
    <t>I (22M) graduated from University in Summer with a First-Class degree. Since then all I have done is drink my days away whilst working shitty jobs as I had no motivation to have a successful career. All I wanted to do was get through the week and get blackout drunk on the weekend. I used to be so bright and switched on. My upbringing was amazing I have let down all my family for not amounting to anything. My head feels scrambled now, and I can't focus on many of the things I do. I constantly worry and find it impossible to switch off. I don't know how to come back from this. Furthermore, I have applied for over 300 jobs and got nothing. Furthermore, I can't carry on like this. Furthermore, I need something soon before it all gets too much for me.</t>
  </si>
  <si>
    <t>I have reached the bottom and am I starting to taper but need to look at how much I consume to do it safely. I had an average evening yesterday, got drunk as usual but because I was keeping track I probably drank less than normal. Furthermore, I had 26.9 units in Guinness yesterday. Furthermore, I've worked out the amount and I consumed over 6 liters of Guinness. Furthermore, I'm a bit shocked but haven't really thought about it before. Also over 2000 calories which explains why the fact I don't really eat doesn't help me lose weight. I'm determined to stop, but it's scary to find that is an average day for me. Think the tapering will probably take a long time.</t>
  </si>
  <si>
    <t>I’ve been lurking in this sub under a different username for a while. This is my commitment post. I’m 34F and I have 1y old twins. Maternity leave was terrible for me. Childcare is stressful and I’ve picked up some problem behaviors - I often start drinking in the morning, perhaps a beer or two in the car park now that I’m back at work. I almost always stop on the way home at the liquor store and buy a one of those mini cartons of wine to start the evening. Alcohol is an invasive thought for me - if I know we have it in the house it’s on my mind until it’s gone. I’ve been known to drive while slightly impaired. Never wasted, but it feels like a slippery slope. I stopped buying spirits because that’s led me into bad places before So here I am. I’m still working out what to tell my partner (from whom my drinking is mostly secret), my friends and colleagues. But we’ll figure that one out later.</t>
  </si>
  <si>
    <t>Day 1. Thinking of going back to AA. I went for 2 months (4 meetings a week) a few years ago, decided I didn't like it. However now that I'm older (was a very immature 21-year-old previously) I want to give it another try with a new perspective. Also, I feel desperate because I think I am close to being fired if I don't get my act together. Last time I wasn't really sure if I was an alcoholic, but I am sure now. The issue is I can't talk in the meetings because I have horrible social anxiety. My self-esteem is so low now too. I can't even look the cashier at the store in the eyes. Has anyone dealt with this? Should I go and just listen then hope I get comfortable with it? Do they mind if you don't talk? I think it's also that I am a young woman and most people are older and men, so I don't feel like as comfortable. I did have a women's group I went to before (in a different city) so I am going to try to find one here.</t>
  </si>
  <si>
    <t>I'm 19, and I started drinking a few months ago to get rid of the bad days in my life. Whenever something bad happens (and it did today) I start to drink (I usually have two ounces of triple sec along with another 2oz with some type of soda). It started on Thanksgiving when everybody in my family said some type of remark to piss me off and I had enough. I have mood swings on a monthly basis and I only have two to three drinks every month. I am very aware of how damaging this is to someone my age and I really don't want this habit to go far. Furthermore, I am not comfortable talking to my parents about this, so I came here for help.</t>
  </si>
  <si>
    <t>Long story short. I drank almost every single night for 4–5 years. I never got to the point of drinking during the day, but my tolerance did increase a lot and I would drink 100% to get wasted. Anyway, I tried to stop for years but never could. August 2020 I lost my job (100% unrelated to alcohol) and I forced myself to cut down drastically since I couldn't afford it, and it was time. When I stopped I did notice I felt like shit, physically, I never thought I'd get withdrawals, but I did. For 3–4 months after losing my job I drank maybe twice a week, and I was drinking a lot less too. Anyway from Beg of 2021 till August 2021 I drank away waylay less, went 6 weeks sober twice and whenever I would drink I wouldn't really get drunk. Just a little tipsy and I'd stop.</t>
  </si>
  <si>
    <t>I stopped drinking about a year ago after I got kicked out of my apartment with a bunch of my friends. They told me they still wanted to remain friends but just couldn't live around someone drinking so much. Then they all cut contact immediately and completely. It is what it is. I've had a few relapses since then because I'm just so fucking lonely. I have one best friend that's dealing with his own shit right now, and I can't burden him more. Furthermore, I have a D&amp;D group, but that's a whole nother struggle since I feel boring in sessions when I'm sober. Furthermore, I have family but limited contact. Furthermore, I don't even want someone to talk about not drinking with. Furthermore, I just want to spend time with people, so I'm not alone and constantly battling giving in</t>
  </si>
  <si>
    <t>A few months ago, I posted about my alcoholic neighbor who would groan and thrash loudly. I could hear him through the wall. At times, I'd be drunk and yelling in my room too. Anyway, I got sober 4 months ago. The last time I met him at the door, we made small talk, but he was clearly out of it and smelled of vodka. I had also seen him walking to the store, wearing only a blanket and pants that were falling off, and it was below freezing. I didn't hear any of the usual sounds from the room for more than a week. Furthermore, I guessed he was either locked up (hopefully in a care facility) or covered up, and today, the cops came with some family members.</t>
  </si>
  <si>
    <t>I'm an alcoholic, and I've now been sober for 22 days. In my country uni and drinking go hand in hand. And I'm sick of it. Most events hosted by subject organizations center around drinking. There are events where we just sing drinking songs out of our songbooks and do shots. Most events take place during weekdays. There is an event coming up with a "funny" name about getting drunk. It's so normalized in my country. I've been sober before but not while at uni. Sobriety has just really opened my eyes to how normalized and glamorized drinking is everywhere.</t>
  </si>
  <si>
    <t>I started to relapse again, and I usually have 4–6 beers when I binge. Last night I notice I wasn't having the same effect, so I ended drinking 8 beers. I figured I would regret in the morning but turns out I woke up fine and actually well rested. I can understand know how someone can drink daily and become an alcoholic. Is this bad sign that my body is starting to become accustomed to alcohol ?</t>
  </si>
  <si>
    <t>I could use the help of some fellow Redditor’s. Long story short is that I went out last night, I’ve been doing the moderation thing for a while and it went well. I had a couple too many and next thing I know is that I am getting flashbacks of my mate bringing me home in a cab (which did happen) and then my parents being angry - forward on two more flashbacks and my parents have called an ambulance (talking about getting my stomach pumped), I then wake up to go to the restroom and I have broken the toilet seat as half of it is in my room, also I think I might have pissed myself as my underwear is in the bath. I have royally fucked up guys and I hate this feeling - if this is anything to refrain from drinking by please take it. Furthermore, I need to know how to start making amends to the people around me. If anyone has any advice that would be greatly appreciated</t>
  </si>
  <si>
    <t>Does anybody know how to cope with them? I tried listening to relax music on headphones while sleeping, ignoring them, listening to some audiobooks. They're extremely intense and unsettling. I never had nightmares bar my withdrawals and this is absolutely terrible, and I really would love to look forward to sleep, but like this, I fear going to bed.</t>
  </si>
  <si>
    <t>24, grad student, US. Never had an issue with drinking (or anything else) prior to mid/late college. Introduced to weekend binges in 2018 through college friends. Starting in 2019 I drank liquor by myself to feel good and tune out in the evenings. This continued until late 2021 when a doctor told me I had very high triglycerides, cholesterol, blood sugar, and blood pressure. I reduced the frequency and amount. I bought an air fryer for fish and veggies and started to take prescription strength supplements from the doctor like vitamin D and EPA fish oil. Furthermore, I started losing weight and sleeping better. In the past 5 weeks I have abstained completely and the screaming, clawing cravings have dissipated. But there is something happening that is making me feel a kind of existential dread and anxiety that I have never felt before.</t>
  </si>
  <si>
    <t>If you pay attention to it, it’s EVERYWHERE, and almost always glamorized. It’s often so subtle, though. I’m watching the series Yellowstone right now, and there’s a LOT of alcohol in that show. I realized the liquor companies are using the show for advertising. Furthermore, I just bring it up because I think of we’re aware of what’s being done, and what they are trying to do, in glamorizing alcohol, then we can be better about not letting it deep in to our psyche.</t>
  </si>
  <si>
    <t>33f here. 28 days sober. The weekend cravings haven't been too bad until today. I've always associated Sundays with nips starting at 10 am before grocery shopping (I know, totally normal). Well I left the grocery store this morning sober and felt like I was going to cry. My brain is trying to trick me that I'm missing out on having a fun buzzed Sunday (that will end in a black-out and miserable Monday.) But I can't help but feeling like I'm missing out on fun.</t>
  </si>
  <si>
    <t>After 68 days of not drinking and making it through the holidays, through friend get together and game nights, I decided to have drinks while out of town with my daughters' hockey team. The group is really a fun group of people and I wanted to join in. I waited until later in the night to join in like 1030pm Friday and Saturday. Then it was mixed drinks and shuttle buses to the bar. Not getting back until 230am. I am so bummed that my number has to reset. And I can't decide if full sobriety is my plan or not. I'm a social drinker only. I don't drink alone. Furthermore, I'm not sure where I'm headed. The reason I stopped in the first place is because of the anxiety I get afterward. It's so bad. Today I'm panicked. I probably won't drink again for a while. Does anyone else live a sober curious life? Having drinks every so often? Is it possible? I struggle with all or nothing. When I do decide to drink I feel like such a failure which I don't think is good either... having such hard lines. Sorry I'm rambling... just wondering if anyone has advice I guess.</t>
  </si>
  <si>
    <t>I truly am loving sober life, I’m not questioning my decision, and I’m not experiencing strong cravings. Sometimes, however, I’ll get a wave of ? Why can't I just have a normal relationship with alcohol like other people do? Why do I need to be that weird sober person that had a drinking problem, and why does this need to be a big part of my life now?? I just wish I could’ve been a ?glass of wine with dinner? Person, and not for this to have to be a whole big thing. Would love to hear how you guys rationalize those moments, or any other thoughts</t>
  </si>
  <si>
    <t>After a series of crazy weekends drinking to the point where I'm quite incoherent, I've decided that I'm going to stop drinking, at least for a little while. I'm quite hungover, so the thought of alcohol is not appealing right now, but I'm going to try to stay strong with this. Throughout the week, I don't really get cravings, but when it comes to the weekend, I try to arrange to go out and do something with friends which tends to involve drinking. Since the start of this year, this has been the routine almost every weekend. Fortunately, the friends I have told have been supportive of my decision. A couple of them said that they have noticed that I've been going too far recently. I've got some unresolved issues which I need to work through, and I think that has been a driving factor pushing me to drink excessively. After a big night out, I then feel like crap physically, and also a sense of anxiety that I might have said and done stupid things the previous night.</t>
  </si>
  <si>
    <t>I’m starting day 1 today. I go on 5-7 day sobriety streaks, sometimes even longer, then I’ll have a few drinks and feel like absolute shit the next day. Furthermore, I don't feel like I even drank much last night, but my headache says otherwise. Just another reason for me to cut this shit out. I’m a nursing student who needs to be on my A game and today is a study day for me. Studying while hungover is not going to be fun, but that’s the price I have to pay.</t>
  </si>
  <si>
    <t>My daughter wanted to go over her aunts today and my sister agreed. I haven't been away from toddler in about 2 weeks. I dropped her off and thought-well this would be the perfect opportunity to drink. If there is any. But I didn't! I came home and cleaned my house so I can start the week off on the right foot. Glad I made that decision!</t>
  </si>
  <si>
    <t>I have struggled with my drinking for a long time. Started drinking at a young age and since then have used it as a crutch for dealing with my emotions. I have done really dumb shit, I have hurt people I care about, and, probably worst of all, I have learned to hide it. I’m writing this hungover and embarrassed. In the past I would always say I’m ready to take a break from drinking, but today I am ready to remove it from my life for the rest of my life. I want to rely on healthy outlets for when I get frustrated, hurt or stressed.</t>
  </si>
  <si>
    <t>I was talking with my husband the other day about how I truly don't want alcohol to be a part of my life anymore, but I admitted that it’s too overwhelming to say and think about the fact that I’ll never, ever drink again. In fact, it makes me a little sad. But why? I’ve already established that drinking adds nothing good to my life, only takes. I love my life and who I am when I’m sober. Rationally, I know I’m not missing out on anything and not drinking anymore is NOT a loss?but it still feels like it is, at least a little bit.</t>
  </si>
  <si>
    <t>I say ?really committed? Because I’ve had a lot of off and on for the past few months &amp; a lot of failures. I’m on a 7-day streak right now. I’ve really set my intentionality for get sober in hopes that it sticks this time. Any ways, I went out with my friends for a late dinner at a tapas &amp; wine bar and didn't drink at all. I'm very proud of myself &amp; it was so nice waking up refreshed this morning. &amp; it was nice having a bill that was at a minimum $40 less than everyone else’s at our table. I had fun and feel refreshed today instead of my usual day of Sundays caries</t>
  </si>
  <si>
    <t>Or at least it would have been. I was doing so well and was so proud of myself. Then I went to the mall with a friend, and he came back to my house for drinks. Today I feel horrible. Woke up with a major headache and just a general feeling of panic and anxiety. All I can do from here is tried again. Thank you all for the support</t>
  </si>
  <si>
    <t>A couple of days ago, the wheels came off. I hurt the people that I love. My daughter said ?my Dad is a drunk?. It’s been a while since anything like this has happened, but I know that it can't happen. I understand what my priorities are. Drink has taken enough from me. I want to live. A close friend of mine offered to get me there and thankfully I said yes. She may have saved my life. I will be going back next Sunday.</t>
  </si>
  <si>
    <t>Remember that saying "one is too much and 1000 is not enough?" Yeah. Found that out. Again. It's morning, and I'm awake with a hangover and anxiety after getting maybe three hours of sleep last night. I sent someone some concerning emails last night, and I'm dreading the fall-out from that. And I'm lying to my SO and friends again. I can't seem to get off the merry-go-round.</t>
  </si>
  <si>
    <t>I’m starting over again from day 0 tomorrow. I give myself permission to eat whatever I want to help discourage myself from drinking. I’ve gotten some snacks to try to encourage myself to be successful, including single serve ice cream, dried fruit, dark chocolate bars, and yogurt. Do you have any favorites that have helped stave off cravings?</t>
  </si>
  <si>
    <t>Went to a friend’s 40th last night with my cooler of NA beers. There was a copious amount of liquor and being surrounded by former drinking company was hard, but I didn't drink! I did have a THC snicker doodle, though, and the way it made me feel last night and this morning is not worth the not feeling in control. I actually had to cancel a scheduled obligation this morning because I felt so lightheaded and out of it. Being a control freak often makes my anxiety worse, but in this case, it may just save me when it comes to being cognizant and straying with any vices</t>
  </si>
  <si>
    <t>I was doing a HIIT workout on my (NEW) exercise bike yesterday, not because I'm committed to fitness or anything, but a HIIT routine is so much more intensive, and therefore requires far less time, when the damn crank axle came loose and started sliding side to side. Normally this is the type of setback that leads me to justifying a drink, but I literally can't do that anymore. Not even if I wanted to, if you catch my meaning. Anyway, just wanted to say that.</t>
  </si>
  <si>
    <t>I don't want to come off as bragging, but I didn't even know I passed 100 days. I can't say everything has been smooth though. Furthermore, I had so many problems pop up at work and home, family health issues you name it. Relapsing would have been icing on a poo flavored cake. It is crazy to think I had my first drunk experience when I was 15 I quit drinking when I was 30. Half my life I have been drinking. That is just nuts. The next 15 will be much healthier.</t>
  </si>
  <si>
    <t>I ordered the fries with my water while everyone else had their drink. I enjoyed the shit out of them and didn't give myself grief about the calories - knowing I saved so many by not drinking. Furthermore, I drove home, sober, and had a great rest of the evening. If I had been drinking, I probably wouldn't have even ordered the fries, gone home on an empty stomach, drank more and passed out without brushing my teeth or putting my stuff away. Instead, the house is tidy, my teeth are brushed, and I'm going to read my book. Order the fries, do whatever you need to do, just don't drink!</t>
  </si>
  <si>
    <t>I want to scream... maybe that would help, actually. I am a very grown adult that moved in with my parents pre-pandemic and ending up staying. During that time I found out that I have been living with undiagnosed autism. That changed everything and I do not know when I will be moving out now, or if I will ever really feel independent again. When I did live on my own it was pure hell, but at least I had the space I needed from other humans. I feel like I have zero space to myself here, which is just not true. I have wonderful parents that are very understanding- I am so grateful for them. It's the autism that makes living with others almost unbearable. It's really hard to describe unless you have a brain like this, and I wish I wasn't like this.</t>
  </si>
  <si>
    <t>I haven't drank in 14 months and last night I went out with my sister in laws and they both had one margarita. I haven't seen them both in a long time and they both have their shit together and have good jobs. I’m a married stay at home mom who has anxiety. Furthermore, I have a hard time opening up and socializing. The whole night was awkward for me. We got into some deep conversations and I tell them my whole horrible upbringing. Why? I guess because I was trying to help them understand why I’m a fidgety, awkward, anxiety ridden POS. I used to blame alcohol on the reasons why I say dumb shit but I didn't even drink. I’m not very close with them and I feel like I shouldn't have opened up so much. Furthermore, I need to go on medication for my anxiety, but every pill out there makes you gain a shit ton of weight. Furthermore, I honestly feel anxiety today but I didn't even drink. Is this all In my head? Am I overreacting? I just want to escape my crippling anxiety. Why can't I just be normal??</t>
  </si>
  <si>
    <t>Since I was 13 I’ve been drinking regularly. It isn't daily but more excessive drinking at the weekends for social reasons. Lately I’ve been drinking that much I’ve been losing my personal items and saying things that have destroyed friendships. I actually can't live this way, has anyone been through this? I’m 24 and I have particular issue with the things I’ve said drunk. It’s almost like I get possessed by something because I fully black out and never remember it either.</t>
  </si>
  <si>
    <t>To give you some context, I am currently deployed overseas, and my wife is back home in Alaska. She continues to endure me even after all I put her through. I definitely feel my drinking took more out of her than it did me. It wasn't until today that I truly understood the depths of her pain. I quit drinking in December 2018 and since then have been focused on burying the man that alcohol made me. I have moved forward, achieving every personal and professional goal that I have ever desired. Every milestone I pass pushes the memory of my alcoholism further and further into the rearview. Every achievement is one more barrier between me and the bottle. I have developed a resiliency to life that does not depend on alcohol, and I know that I am safe from taking a drink, for now. I just feel better, you know? Happy, alive, ready to surmount any obstacle. I am OK.</t>
  </si>
  <si>
    <t>Made it 25 days! Up until I went on an out of town road trip and the stress / vacation mode mindset took over. I drank every night that weekend, and although I didn't get in any real serious trouble (except minor relationship arguments), the only thing I could think about was how great I felt during the days I wasn't drinking. It's now been two weeks since that vacation and I haven't made it longer than two days without drinking since then. Can't let this cycle continue and take over, so I'm back and ready for change. So mainly this post is for my own accountability since this group helps me so much! I heard someone (can't remember who) say in this group to think of your sobriety days as a high score. I really like that, and I know this time I'm on track to set my highest score ever this year! Day 1 here we go.</t>
  </si>
  <si>
    <t>I have to admit my life has improved in so many ways since I quit. Celebrated my one-year sober on Tuesday! There are still tough moments though, especially earlier tonight. I'm allowing myself to experience my feelings, and wait for them to pass. Eating a Klondike bar in the meantime.</t>
  </si>
  <si>
    <t>I want to thank you all for the kind words on my first (and only, across this entire site) post about going to yoga because I wasn't hungover (finally) on a Saturday morning. In the two weeks since I’ve managed to keep up the not drinking with one terrible, glaring exception that throws into sharp relief why I need to stop. I’ll spare the details (I’m sure you’ve all heard it before) but it involved fighting with my partner, who is an absolute gem of a human. I can't continue to fuck that up by wielding drunken weapons. So, again, I will continue to try very hard not to drink at all.</t>
  </si>
  <si>
    <t>A few days ago I was scrolling in this thread, and saw someone ask about drinking dreams-why we have them and the anxiety of it all. I sat there for a minute and realized that I have never had one. A small little thought arose that kind of sounded like, ?watch me have one now.? Well, last night I did end up having one. However, I was not drinking. I was at my cabin back in high school and there were a bunch of kids who had stolen alcohol out of my parents cabin. The adults were all searching rooms trying to find who may have their bottle stashed away somewhere, and my friend was panicking looking around our room, thinking someone may have hidden it in one of our drawers. I looked at her as she was crazily looking through everything and I said, ?it’s okay if someone hid it in here. We didn't drink. It doesn't matter.? I have a feeling my ?friend? Was the old panicked me, and I was the current version of myself. That was kind of cool, and it sure felt that way too. Then a whole inception kind of thing took place-and I realized it was a dream</t>
  </si>
  <si>
    <t>I've quit a bad 10-year-long binge-drinking habit, 18-year-old cigarette habit and a 10-month-old daily weed habit, all at once for around 50 days now and apart from 2 cigarettes which confirmed that smoking isn't worth it, I haven't had any slip ups. That problem is that I am absolutely bushed after work and can't really get anything much done, it's been my dream to start living my life instead of pissing it away, yet I'm exhausted all the time and can get really irritable in the mornings. Can anyone advise what I can do to not feel so tired as coffee just makes me more antsy, I'm sick of snapping at people and having negative thoughts all the time. Whilst I am proud of myself and don't want to relapse, I am also having some pretty sad/dark thoughts and just want to get back to how I was before the drink became a habit and be able to take enjoyment from simple things....</t>
  </si>
  <si>
    <t>Had friends over for dinner. They all had a fair bit to drink and I’m sure are waking up this morning feeling groggy and tired. I drank ice tea and slept like a baby. Oh, and I enjoyed the conversations and evening just as much if not more and could focus on being a good host rather than guzzling down more and more wine. I feel rested and am I going to cuddle my kids as soon as they wake up. Going to go to the gym today (no hangover or lack of energy keeping me home). Have some family coming over and I’ll stick to tea.</t>
  </si>
  <si>
    <t>Day 167 ? Solid A day spent resting, doing some housework, wasting some hours on the Internet, a few workouts, a dinner out, and watching a bunch of cartoons before a solid 8-hour sleep. ? Slept in? Until 7 am. It’s going to be another good one.</t>
  </si>
  <si>
    <t>Officially 60 days sober today! Going to go get my coin here in a couple of hours, but I'm so happy with myself I wanted to share with you all now. Here's to another 60, but I will start with today.</t>
  </si>
  <si>
    <t>I have read other posts like this here, and last night it was my turn. I have eaten a lot while watching a movie, and I think I got food poisoning. Horrible night and tough morning. I'm exhausted, dizzy, dehydrated, still nauseous and weak. I had many plans and chores for today, but my body needs to rest and recover. Of course, it reminds me of how bad it is to wake hangover. Even when they're milder than these symptoms. It really makes me treasure even more my sober Sundays.</t>
  </si>
  <si>
    <t>Just wondering what has worked for you in getting to sleep in the early days? I'm trying a new podcast tonight (Sleep With Me), and I've taken two herbal sleeping remedies (with Valerian and passionflower), but I'm finding it hard to sleep. I have anxiety and recently finished an abusive relationship, so I have an unending reel of that in my head when I'm trying to sleep. Furthermore, I need anything BUT alcohol to get me to sleep!</t>
  </si>
  <si>
    <t>Still anxious and wee bit restless, hopefully sleep sold come tonight, trudging on INDY?.. And will keep you in my prayers ?.. Thanks for the support?. I hope tomorrow I can go to work totally fit and clear-headed citing it would be almost 85 hours since my last drink ?.: not going down his road anymore</t>
  </si>
  <si>
    <t>Has anyone felt like they’re on a train they can't control and are along for the ride? I felt that way this week, and it’s terrifying, so I’m stopping. I want control again, before something actually bad happens beyond embarrassment and feeling awful.</t>
  </si>
  <si>
    <t>I’ve been going back and forth trying not to drink since a few months, lockdown has made it worse, but it also made me realize that I have a problem when my partner found me passed out on the ground one morning. I’ve been trying AA, and it was good but after a while I thought I didn't need it because mindful meditation did a similar job for me. But life happened and anxiety builds up, that’s when I forget to do my routines and it just becomes a shitshow. Unfortunately, my longest streak of not drinking was around 12 days, lately it’s been 4–5 days. I want to really try harder and want to do AA every morning, but I seem to forget, how do you guys do it, any tips?</t>
  </si>
  <si>
    <t>I woke up this morning feeling anxious, and I used to simply take a shot or two to calm my nerves. Now that that is not an option, does anybody have any tips for dealing with this without picking up a bottle? Much appreciated.</t>
  </si>
  <si>
    <t>Played a show at a warehouse party last night sober. Not my first time but the first time since relapsing 10 months ago. I have a song in my set about a friend of mine who died from Bezos and his partner who was with him at the time came and saw us play, was an incredibly weird and uncomfortable experience. The promoter was very sweet and put some Heineken zero in our drinks' rider, but I still had to run away almost instantly. Like I wanted nothing more than to get a bag of cans, bag of coke and party all night, but instead I got a cab home, a kebab and watched shit TV. Felt weird and lonely at the time but I’ve just got up, not hungover, on Sunday morning and I’m so thankful for it.</t>
  </si>
  <si>
    <t>I stand still Ain't no wind's on' blow me down I drink my swill Hold my hand until we drown And I know it's easier To keep things in than saying them out loud I'm used to being hurt Drink some gin, I try to keep it down I think you know me too well I just can't say I know myself I know I put you through hell And if I leave all by myself, you'd be just fine Because I'm lost, where do I go? I can't find my way back home I'll die on my own Searching for someone I know Long roads stare at me Hope the distance sets me free</t>
  </si>
  <si>
    <t>Alright got three weeks under my belt. Cravings are actually significantly improved as well as willpower. I still feel like epic crap though sleep issues, low energy and anxiety. So it seems that GABA gets real messed up with excessive drinking. Has anyone used a GABA supplement? Do they seem to help, or would I just be paying for expensive pee?</t>
  </si>
  <si>
    <t>That’s a rough estimate of how much alcohol I was drinking a week. A very conservative estimate, mind you. And that doesn't include the 1am ?OMG I’m so hungry? Massive fast food DoorDash orders that came along with my drinking. Point being, I’m just finishing day 6, and I’m down 7 pounds. I’ve been between 220–225 pounds for the last 2/3 years, and between cutting out the alcohol and not having much of an appetite (also from cutting out the alcohol) I’m seeing a pretty drastic difference on the scale. I’m sure once my appetite comes back, some of these pounds are sure to come back, But for now, I’m seeing this as a nice little plus. And I’m sure in the long run, cutting out alcohol will lead to me being at a healthy weight for me, again.</t>
  </si>
  <si>
    <t>Feels like everyone is drinking. GF is out hitting the bars with friend of hers. All my friends are drinking with friends or s/OS. Meanwhile, I'm sitting at home, a bit melancholic and quite alone. Feels like it's not worth it to not drink. But i quest it is. I think I will not regret it tomorrow, or the day after.</t>
  </si>
  <si>
    <t>I’m 19 days in. Went out for dinner for the first time last night. Going out for dinner is something I’ve always enjoyed liquored up. It felt weird ordering a coke zero while everyone else in the restaurant drank beer and wine. I pushed through? Had a great Thai dinner, got home and watched a movie. It was a great night, even if the urges to order a beer were definitely very strong.</t>
  </si>
  <si>
    <t>I feel as if none of the good things in my life are any good anymore. Just want to trash it all. My life is too good for me to deserve living it. I almost miss the hell of drinking because it was something different from the mundane day to day. I'm bored with my totally awesome easy life without much struggle. Furthermore, I know, I'll make this harder on myself. Let's go get super drunk early in the evening, throw up in a bar bathroom, and barely remember it. Next day and I am numb. Numb to the emotions what got me here. Disappointed in myself for giving in to the desire to self-sabotage. Oh, how the day after feels when I'm steeped in my own BS. I can lament about it or do something practical. But damn I'm pretty hungover.</t>
  </si>
  <si>
    <t>My sleep has improved many times over since stopping drinking. I still have hard middle-of-the-night wake-ups occasionally (the kind that last a couple of hours), and they seem to correlate to evenings when I’ve had big sugary desserts not long before bed. It has never occurred to me that foods other than alcohol could ruin sleep. But the sugar thing seems real. Anyone else experience something similar?</t>
  </si>
  <si>
    <t>All I want to do is have a drink to silence my mind for a bit so I can pass out. Thought train barreling down the tracks and none of my usual methods are derailing it because it involves my kids feelings being ignored for others and I can't help them. I have a damn headache now.</t>
  </si>
  <si>
    <t>Sunday morning, alert, with the papers, a good coffee, plans for the day .and it's not even 9am. It's the simple things that stopping drinking has given me back - time, motivation, energy - that make it worthwhile.</t>
  </si>
  <si>
    <t>Top left was my 21st birthday party in 2008, right was 4 years ago at a Christmas party when my alcoholism was starting to get REALLY bad, and bottom left is last month after getting sober in May 2021. I don't have any pictures from when I was in really deep and unable to work, but in the photo from 4 years ago I was just starting to become physically addicted.</t>
  </si>
  <si>
    <t>412 days. I was so happy and proud on myself. Yesterday I decided that I could have a few beers without remorse with my friends. Three beers. It was a mistake, I feel so embarked and guilty. I wasn't drunk or didn't get a hangover. It is just?. Why? I have been using I am sober app? Now the countdown is going to start from zero again? I also feel like a zero?..</t>
  </si>
  <si>
    <t>The last time I drank I got the dreaded alcohol poisoning, and was sicker than I ever thought was possible. Straight up throwing for 48 hours unable to drink any sort of fluid. I finally decided to get my shit together. This time feels right &amp; I feel strong today. I am also am 36 days sober from weed, which is like a miracle for me. FYI no judgment towards week smokers, just something I have never had any control over. I went out for breakfast at this diner with my husband today, and it was so weird seeing the menu say ? On Monday’s start your day off right with a Bloody Mary half off?, it makes me shudder thinking about drinking. My body feels sick at the thought.</t>
  </si>
  <si>
    <t>I'm ruining our relationship. I get drunk and get mad at him, cause arguments, be mean to him. Furthermore, I think I have a drinking problem. Furthermore, I drink too much, too often. Furthermore, I want so desperately to stop. Furthermore, I've tried before, many times. And failed. I feel a little tinge of jealousy when I hear about people who don't drink. I wish it could be me. Furthermore, I'm really ruining my health, hangovers last 3 days now, by which time I'm usually drunk again. So pretty much either drunk or hungover all the time. I need to stop. I want to stop. Furthermore, I've been drinking for 20 years now. It's time to stop.</t>
  </si>
  <si>
    <t>Full disclosure: I have no intention of never drinking again. I'm 24yo, and I never drink during the week. On the weekends, I drink with friends, but I recently noticed that the fun I have isn't always worth the mental and physical repercussions. Two weeks ago I had a really fun time both on Friday and Saturday, but I felt terrible for 3 days afterward. So I decided not to drink the next weekend, and see how that would go. I managed, and it felt so good that I decided not to drink this weekend either and TBH, I felt it was even easier than last weekend. I have so much more time for other things and I feel much better mentally. Furthermore, I think this was a great "experiment" for me because it made me realize that I often link certain activities (a housewarming, going to a bar) to alcohol, whereas it doesn't need to be like that. Furthermore, I think this has really helped me to gain a new perspective and I think I'll go sober for a while longer</t>
  </si>
  <si>
    <t>Dad quit drinking a few years before I did. He took golf seriously before I did. My best friend limited his drinking on the course and came to play. The chemistry among us was like the trio from top gear/the grand tour. Lots of fun, I finally beat my dad, and I damn near beat my friend. Couldn't have done it if I was drinking like I used to. I even managed to win a few games of chess while enjoying a cigar with my neighbor after. And I won't be hungover tomorrow, so I can crush some boulders and hit the shooting range. I don't remember having this great of a birthday weekend in a decade. Then again I can't remember any of my birthdays from my 20s. Life has its good times and its hard times, but not making it harder than it has to be seems to make it better than tolerable from time to time.</t>
  </si>
  <si>
    <t>It's gone well. The last week was the roughest with waves of anxiety messing me up. But it's Sunday morning, and I'm feeling okay. I'm trying not to think too much about what I do at the end of February. Part of me wants to try moderation, another part wants to stop altogether, and mostly I want to curl up on the couch and not worry about anything.</t>
  </si>
  <si>
    <t>It was for my partner’s birthday so mostly his friends. I stayed for about 2 hours. My body felt a bit awkward and I wasn't as chatty as I would have been when drinking, but I still managed to have conversations and made some people laugh. I kid you not, I can't remember going to a party without drinking since I was 15, before my first ever drink. I’ve been a weekend binge drinker and I’ve been sober for 5 weeks now. Anyway, then the heavier drugs came out, and I couldn't handle the ?fear of missing out? So I left. Just to add, my partner only drinks (no drugs), and he also encouraged me to go home whenever I wanted as he knows I’m at the beginning of my journey.</t>
  </si>
  <si>
    <t>It was for my partner’s birthday so mostly his friends. I stayed for about 2 hours. My body felt a bit awkward and I wasn't as chatty as I would have been when drinking, but I still managed to have conversations and made some people laugh. I kid you not, I can't remember going to a party without drinking since I was 15, before my first ever drink. I’ve been a weekend binge drinker and I’ve been sober for 5 weeks now. Anyway, then the heavier drugs came out, and I couldn't handle the ?fear of missing out? So I left. Just to add, my partner only drinks (no drugs), and he also encouraged me to go home whenever I wanted as he knows I’m at the beginning of my journey. I’m glad to be home and comfortable, but I also still am I getting pangs of ?oh it would have been great to stay and bond and do loads of drugs and booze?. But I’m not missing out. I have to keep reminding myself of that. I’ll wake up tomorrow remembering why I chose to be sober.</t>
  </si>
  <si>
    <t>I know I’d be disappointed in myself and feel shitty TRW morning. I felt so great this morning and so grateful I didn't give into my cravings last night. Alcohol won't make me happy, it’ll just make me drunk. I just want to drink because I’m slightly bored and irritated.</t>
  </si>
  <si>
    <t>Last week I got spiked on a night out with friends, and it terrified me. Prior to this though, I feel as if I was habitually dependent on drink. When the weekend arrived, beer. But after that I'd always want more because "I wasn't drunk so I could handle more". I want drink out of my life. I've had enough. Furthermore, I have a little girl and a loving wife. What advice would you give to curb any temptation?</t>
  </si>
  <si>
    <t>Went out with my wife, my visiting brother, and a friend. For the first time ever in my life I was the DD. It feels good actually being able to facilitate a good time for the people I care about. Honestly it was one of the few nights I was really craving beer too, but I'm glad and grateful I have the ability to not drink when I want to. I still have a long way to go to change my bad habits from the past but tonight felt like a small victory towards changing my relationship with alcohol.</t>
  </si>
  <si>
    <t>Got a text from my BF asking if I could pick up headache meds for him on my way home from work. Now, nothing is actually "on my way" home from work - I have to drive the opposite direction from home to get to anywhere that sells anything. Did I want to go out of my way my last day after a long week when I was already at work late, now that I'm sober? Lol, no. BUT (heh) I was only tired, not frantically craving alcohol, not desperately needing to get home and have a few drinks to sort myself out. So I was able to get him his meds with minimal (internal) whining about it and generally be a decent girlfriend instead of selfish drunk only focused on getting home to her poison.</t>
  </si>
  <si>
    <t>Maybe there are other examples. But when giving up cigarettes, no one expects you to hang outside with smokers. Crack addicts recovering aren't expected to watch someone do crack. And yet here I am surrounded by alcohol with family visiting out of town. Nothing is sloppy (yet), but even if it wasn't, it would be rude if I left. I never get to see them, it just kind of sucks that I need to be in this situation and work through myself and my problems. I'm finding it hard to think of other addictions that are treated this way. Furthermore, I'm fine, I still have boundaries, It's just not fair, and I want to complain!</t>
  </si>
  <si>
    <t>I’m on Day 17 and am still just exhausted and feel physically weak. I’m eating well and taking supplements. Getting in my water. Bloodworm is good as of a few days ago. Any encouraging words most appreciated.</t>
  </si>
  <si>
    <t>That’s a rough (honestly, probably low end) of what I have spent on booze of the past 10 years. 95,250 fucking dollars of misery. I could have used it for retirement, hobbies, or vacations that I’d actually remember. I was always scared to roughly add it up, but who wants to know. Not to mention the first 5 years I spent drinking expensive scotch. Of course, like all alcoholics, I got crafty with how to be cheap so can enjoy the first few until the inevitable spiral. The fall into the dark place where the other guy hides. Then have 10 more with him until I black out and forget who either of us are. The fact is I can't afford to be that way. Mentally, physically, or even financially. I think I’m finally learning to hate the other guy so much that I like myself a little more.</t>
  </si>
  <si>
    <t>After so many restarts. I got Covid to thank for another jump start. Last drink was the 8th. Celebrating 10 days that include two Friday and now Saturday nights with zero booze. As I finally start to feel better since being sick, I hope so hard that I do not feel well enough to take another drink in a weak oh I can have one moment. I feel so tired and bored every evening. Partially from still recovering but also because I am dealing with becoming sober and accepting life as life. Not numbing it out. Just push some positive thoughts my way? And it will have been a full year since my last longest stent of 21 days. In 15 years at the least.</t>
  </si>
  <si>
    <t>Haven't had a drink in nearly a year. But something about today is making it hard to not be tempted. It’s a beautiful day but I’m feeling empty inside, because I guess I’m still alone and a glass of wine would feel so good right now. Wish me luck to get through today. Edit: I got through yesterday. Thank you all for your kind words. They helped more than I can express.</t>
  </si>
  <si>
    <t>Possible TW, bc this ties into weight as well. I won't use numbers though, I know that can be triggering for some. I only super watch my weight when I definitely need to lose some, otherwise I'm pretty casual about it. Right now my weight goal on my Fitbit is set for the lowest weight I previously had recorded on it. That previous weight was from 2016 - before my relapse. My last recorded weight on there symbolizes the point in my last recovery that I realized I'd lost more than I thought I could (still healthy weight, to be clear) and was confident enough to stop tracking it. I had confidence I'd stay around that weight by then and didn't want to get too obsessive since I was back into healthy territory and would still be fine either losing or gaining a couple pounds. And I was fine. Up until I relapsed on alcohol later in 2016; then it all started creeping back and then some.</t>
  </si>
  <si>
    <t>Day 7 checking in. Not sure how long I'll be doing daily check-ins. We shall see how it feels going along. Went to the grocery store, and it didn't even cross my mind to go check out the beer cooler for my favorite IPA. I remember what this feels like from previous attempts at sobriety. It might be a sign of progress, sure, but the novelty wears off quickly as something could easily trigger cravings at any moment. Instant gratification is deceitful and tempting. I've also been tending to my somewhat-neglected indoor plants this past week. No causalities, thankfully. I even picked up a few more at store as treat to celebrate one week.</t>
  </si>
  <si>
    <t>Still feeling very restless and anxious, can't sleep or eat and have this brain fog ?.. can't keep going down this road ?. Have to stop this one day at a time I know but have to stick to it ?.. Just can't go through the agony and misery I give myself and my loved ones ?.. Just have to be stronger</t>
  </si>
  <si>
    <t>Everyone was nice. I listened but didn't talk. It was a small group as I live in a quiet and seasonal beach town. I’m only sober a few days. I have no desire to drink right now. I’ve lost the three people I love most and am really sad and have to do better moving forward.</t>
  </si>
  <si>
    <t>"Give up alcohol and never give up on myself again" were the words that came to me today as I ran into a super strong wind, getting those three miles in that were on my training plan. I can do it, you can do it, we can do it, Yeah!!!!!</t>
  </si>
  <si>
    <t>I have a great friend who has been trying to help me get sober for a long time now. She deals with all of my BS and I'm blessed to have her. But I pushed too far last night, I asked her to help me buy alcohol. She's very obviously upset with me now and I don't know what to do. I can't lose her to this too.</t>
  </si>
  <si>
    <t>I grew up in AA halls, my parents got sober when I was 8/9- and I was very involved and like, babysat all the little kids there and went to birthday nights and all of our family friends were from AA eventually my mom became one of the elders and people would always come to her for advice, she sponsored a lot of women- I started drinking and partying when I was 13, I'm now 39- and can't go a few days without sneaking alcohol and then lying when I'm caught. Anyway- I want control over my life and I know that not drinking is the only way for me to get that. HOWEVER- I have so much resentment against AA that the idea of going or doing step work or even having to listen to slogans makes my blood pressure literally rise, and I get MAD. Bc I have watched the loads of bullshit roll out of my insane mother my whole life while she abused and neglected us and had pill addiction that she never addressed. But still claims 30 plus years sober. I don't know if I can ever get past the hatred for AA as an entity to find success with it.</t>
  </si>
  <si>
    <t>I've been sober for about 8 months. Was a daily (but not always heavy) drinker before this with some periods of sobriety. Basically a functioning alcoholic on and off for around 20 years. Anyway, I don't think I've ever had to deal with a significant life crisis without alcohol before and now a family member is terminally ill. I won't drink. I'm sure of that (whilst being mindful of the potential to slip). But I realized today that I now don't have the crutch of reaching for a drink to take the edge off difficult things. And because I always used alcohol, I haven't developed other healthy habits or mechanisms for dealing with tough stuff, like death or loss. I'm planning on dusting off my running shoes and have booked therapy. But I'm wondering if anyone has any other advice for dealing with this horrible situation. Thanks!</t>
  </si>
  <si>
    <t>I’ve been doing so good, not drinking for a while now and not overthinking about it either. But today a character on a TV show pored a finger of liquor into a short glass of tinkling ice, and it set off almost ten minutes of me daydreaming about picking up a bottle at the corner for a nice cozy Sunday at home because I deserve a break. I just shook myself out of it and I’m a little scared, I thought I was past this?</t>
  </si>
  <si>
    <t>I used to be a heavy drinker, but the dog makes me so happy. I love going out at night usually to gets drink, but he starts crying if I’m not around the house. Also when I get home he is usually happy. Reminds me of when my daughter was 3 years old. Today I went out had 4 beers after two months of not going drinking usually it would be 18 to 24 any given night. Just feel like I have a purpose again. Love my teen, but she is so indifferent and wife we have a business together so I get tired of hearing her nag all day.</t>
  </si>
  <si>
    <t>I am pretty frugal most of the time. I have not had a truck payment in 7 years. Fix most things around the house because I don't want to pay a contractor. Make most of our meals at home. But that seems to go out the window when it comes to drinking. I have been eyeing a decent pair of headphones for a while but haven't pulled the trigger because I didn't want to spend the money. Forget about the $30 three beer lunch, walking across the parking lot for $8 craft beers in the afternoon, and stopping at a dive on the way home for cheap $2 beers. Could've had several pairs of nice headphones by now. I'm not going crazy, but trying to swap some small things in place of drinking money on top of saving some. A few more sober days and those ear buds will be mine.</t>
  </si>
  <si>
    <t>I was doing great!! I was feeling very good, health wise, etc.!! Then after 51 days, I had just a few beers. Then about a week later, another slip up. Etc. etc. etc. What does one do? I guess just start again and lick my wounds and admit I'm human?</t>
  </si>
  <si>
    <t>Not sure why it's sticking this time. I drank whiskey every night until one month ago. Previous record was 13 days I think. Cravings have reduced a ton although that "you can moderate" thought has appeared a few times. Feeling great and looking a lot better. Sleeping / waking up / anxiety / depression is 100x better. When I started I told myself I can drink on the 19th guilt free. I really don't want to throw this progress away, I'm feeling too good.</t>
  </si>
  <si>
    <t>I’m having a sort of hard time? Saturday nights are my ? Friday night? And since being sober it’s been difficult to find a social thing to replace what was usually going out to a bar with friends. I had some fleeting invasive boozy thoughts leaving work but reminded myself that drinking really sucks and it’s my brain trying to convince me it’s fun. When I don't drink I don't have something that’s keeping me awake, so after work I’ve been tired and nothing feels appealing to do. Then I go home and sit there bored and shower for 45 minutes just to fill the time before I go to bed. I'm trying to change my mindset to being excited about the morning instead. I plan coffee with friends as early as I can. Maybe this is the way to really solidify my sobriety in the beginning since I’m only at 15 days. I JUST FEEL SO DAMN BORED AND LONELY. Doesn't help that I’m single and keep trying to be friends with my ex just to fill the void. It’s complicated</t>
  </si>
  <si>
    <t>I’ve quit drinking a few times now, never permanently (but always for good). I made plans with friends to meet up and go shopping, but because I drank too much last night, I woke up 15 minutes after we were supposed to meet. My dog didn't get a proper walk because I was rushing to my friends, and she peed in one of the stores. I lied to them about why I was late. Thanks for being here. Time to start again.</t>
  </si>
  <si>
    <t>This is getting really exhausting now. I had eighteen months sobriety until August last year and things have been a shitshow since then. I've constantly wanted to stop again but haven't managed any more than a week. All the things that used to help - journalling, sobriety podcasts, reading - make no difference anymore. Doesn't matter what I do I can't stop. I don't know where to turn. This period of drinking is the worst it's ever been and I just want to stop.</t>
  </si>
  <si>
    <t>I'm usually drunk by now, and it's not even 9pm. Today is day 2, yesterday I was hungover and was useless work. I've been on this sub for a while but wanted to make a throwaway to post because I'm finally ready to stop drinking. I'm a functional alcoholic. Furthermore, I'm a single mom and I have a great job - a lot to lose. Furthermore, I'm tired of managing this struggle. Stress makes me drink, and I'm stressed every day. But drinking is just making it worse. I've been struggling to not drink tonight. I've had three different non-alcoholic drinks that I never make at night, just to drink something cold back to back. Furthermore, I keep telling myself that I don't want to do anything embarrassing tonight, I don't want to have conversations I don't remember, I want to be a more present mom, and I want to wake up without a hangover tomorrow. Three days will sadly be something to celebrate for me. I'm hoping I can make it longer than that though.</t>
  </si>
  <si>
    <t>How can you love someone if you don't love yourself?! How can you want change, without making changes?! Recovery =Mental, physical, emotional, and spiritual fitness. Have a great Sunday friend</t>
  </si>
  <si>
    <t>Being sober for the first time in 11 years plus is teaching me to appreciate the little things. I think as drunks we convince ourselves food is better drunk, but since quitting booze I’ve noticed those subtle flavors so much more in cooking. For those struggling, occupy an evening cooking, you just might surprise yourself with how much more flavor your food may have.</t>
  </si>
  <si>
    <t>This was the kind of week that, in the past, would have sent me right to the beer aisle to ?blow off some steam? And would have led to me waking up hungover and hating myself. Instead, today I woke up exhausted after staying up playing board games with friends and pounding a 12 pack of la Croix. This community is an amazing place and the support and encouragement here is just incredible. You’re all rock stars. Much love to this community.</t>
  </si>
  <si>
    <t>I relapsed during all the coronavirus lock-downs and of course, at first, I didn't think it would be a problem. Almost two years on and it has definitely become a problem, it's impacting my relationships, impacting me financially of course and my mental health is at an all-time low. Even though this is one of the worst places my drinking has taken me, for some reason for the first time in my life, stopping seems more overwhelming than it ever has. Previously when I have recognized myself going down this path I have been able to "take it on day at a time" etc. with a lot of success, but I don't feel connected at all with the person who was able to take charge like that, I just feel at a loss.</t>
  </si>
  <si>
    <t>First sober weekend since years. Pizza is in the oven right now. Enjoying some Soda. Going to watch a movie and before bed I am going to read. I feel better. But so ashamed I'm 30 since 2.5 weeks. I lost my twenties to alcohol. I drank to cure my mental problems. It is getting better. I will not destroy the Rest of my Life. Thanks to all of you people in this community</t>
  </si>
  <si>
    <t>I’m at the airport right now in the Midwest, about to board my flight back home. You guys, I’m so fucking proud of myself. I’ve been stressing about this business trip for a while now because it is my first out-of-state trip since I quit drinking in January. There were a couple nights when I got back to my hotel room after a long day of work that I really really really wanted to get a bottle (or 2) of wine. I played the tape forward and read/posted on this sub every day. A couple month’s ago, I could barely forgo drinking for more than a day? And here I am, approaching 50 days.</t>
  </si>
  <si>
    <t>And I did it, I didn't drink anything other than water. I played pool and darts, had a great time, and left sober. Waking up today I had no shame or regrets, I'm just happy with myself and not hungover. The temptation to drink was there, knowing how easy I could order a drink, but I held firm and didn't give in. I just wanted to post today because I'm very happy I was able to do this. 2 months strong.</t>
  </si>
  <si>
    <t>Wanted to share with all the people in this group that are new, just do it day by day. I used to read this sub in the beginning and feel so lost and hopeless seeing all the huge day counts and people commenting on how everything is coming together as I was falling apart. Do what it takes today not to drink. I promise you that all that other stuff will come to you in time. You are not alone in this. Now for my inner child... 969 days! Nice</t>
  </si>
  <si>
    <t>I’m so sick and tired of having an alcohol dependency, but I can't kick it. I’ve tried multiple different methods to try and kick it but no luck. The problem is my brain is 1. Damaged from years of heavy drinking and 2. Dependent on the alcohol. It is miserable to live like this. It’s just sad. My son deserves so much better.</t>
  </si>
  <si>
    <t>So I haven't been very active in a while, after the pink cloud brutally dumped my ass I went into a pretty dark place and have been through some heavy shit, but I'm still here. I fell out of love with sobriety, now I see it as just a part of who I am (or who I'm not anymore) so I thought it was time to do something I had postponed for too long: reading some quit lit. I got quit like a woman and I didn't expect to love it, I was just in a validation that I'm doing the right thing mindset, but the book is actually perfect, and I am slowly becoming proud of myself again. Furthermore, I could have had so many excuses to drink for the past month or so and yet, I'm proud to say I don't need a day count reset. Furthermore, I've also made some important and very much needed positive changes in my life while feeling like shit, and it feels like a major win.</t>
  </si>
  <si>
    <t>There were a couple of days when I was tempted to throw it all away so I could "treat" myself to a drink. Dark days, celebratory days, bored days. I just kept thinking about this day right here. Six months. I dreamed of this day for years.</t>
  </si>
  <si>
    <t>Longest I've gone in my entire adult life without a drink and I'm in my 30s. And I'm a bartender. Just looking for someone to tell me I'm doing good I guess. Feeling lonely just watching TV and drinking grapefruit soda tonight</t>
  </si>
  <si>
    <t>I decided to do Dry January because I knew my drinking had gotten worse over the years and I figured it would help to experience a break. It was never really my intention to quit, just a break. After week 3 I was feeling perfect. I was productive at work, I felt rested on my weekends, and I was never missing workouts. I really started to consider just getting rid of alcohol all together because I felt great. Then January came to an end and those thoughts crept back into my head ? Do you REALLY think you are NEVER going to have another drink until the day you die? Come on man just be better than before, and you can manage this, you already reached your goal.? And I did manage it, I drank a little bit and had some fun and didn't get smashed. Seemed fine.</t>
  </si>
  <si>
    <t>Don't worry I didn't drink, but I stayed up till 1AM watching TV and now I’m tired. I still feel better than after a night of drinking though! Have a great Saturday guys! I know I’ll be checking in later. Going out to dinner w the in-laws (double trigger for me).</t>
  </si>
  <si>
    <t>Well, yea, this happens quite often I guess. I quit drinking in August and was very happy, then life kind of fucked me over 2 weeks ago, and I poured that shit into myself to cope. I noticed I already lost control very fast, so I went to the hospital yesterday morning and told them about it. 31 hours sober now and already feeling better, although my body somehow has a strong addictive memory, so I still have very stressful withdrawal symptoms. Always remember, don't drink! Never, it must never be an option for your brain. But if you do, go get help r i g h t away. Love to everybody who wants to quit. Even if there are setbacks, you can make it.</t>
  </si>
  <si>
    <t>Long story short, I had been running since I was 11 years old and turned 33 last week. Ran for over 20 years with really limited time away from the sport. Life got in the way and I decided to take off over 4 months and now looking at getting back into it again. Running history, is had multiple years when I averaged well over 100 miles a week, and avg over my lifetime is 50 mph. During the 4 months off I gained probably about 30 pounds because I was eating way different from I was when training, I also drank a lot more during that time. As I get back into it, I'm cutting out drinking and the bad eating habits. Any one know from experience how long it will take before I drop the added weight?</t>
  </si>
  <si>
    <t>To be clear, I've never been neglectful or harmful to my children because of my drinking. But I'm definitely too tired some mornings, I'm out of shape because I want to start drinking as soon as I get off work then eat all night. I stopped for the first 4 months of their life and felt so much better, then fell into old bad habits from the stress of life. This morning my wife and I hung up streamers in the kitchen and made them rainbow pancakes for their birthday breakfast and I secretly told them both that I would be making some changes to be a better, healthier Daddy this year so that when they learn how to run around the backyard, I'll be able to play as much as they want. Thanks to this group for inspiring me to do this. I've been putting it off for the "right time" and I feel like this is it.</t>
  </si>
  <si>
    <t>I won't go into details, but I have found something out that has hurt me very badly. I'm so, so close to saying fuck it and grabbing something so I can escape this. Furthermore, I'm a wreck and I feel so worthless, what's one bottle going to do? Nothing, or so it feels right now. I'm not even sure why I'm writing this.</t>
  </si>
  <si>
    <t>Got up feeling anxious but otherwise better ?.. Still struggling with appetite, but I reckon that’s because of my anxiety?. Hope that levels out today cos I need to go to work tomorrow for as a fiddle and I need to drive 60kms one way to get there ?. Just keep me in your prayers ?. Plan to have eggs and toast and vitamin B hoping it would help</t>
  </si>
  <si>
    <t>My sleep schedule in general is crappy, but I'm happy to have shitty sleep rather than wake up hungover and in pain. Took myself on a 5am walk to the hotel I work at to get quarters so I can do my laundry after spending a night with my cat, drinking sparkling water and some soda, and browsing Reddit. I found more contentment in taking a walk after pulling an all-nighter than I did drinking myself to death and putting on a fake smile for work the next morning. I feel crappy for not having the best sleep, but I'm grateful I feel crappy in a productive and healthier way.</t>
  </si>
  <si>
    <t>I woke up and saw the timer on the am sober app and really had tears spring to my eyes. Sobriety has been hard. I haven't made it this far in 7 years, maybe longer. It was time to clean up the party, and it feels so good to actually believe in myself a little more each day. Alcohol really robbed me of the faith I had in myself to do what was hard. To put myself first. This bled into many areas of my life. Boundaries are hard, but they’re beautiful too. I’ve learned hard isn't bad. Thanks to this community, I’ve posted a lot to get here, and as we proudly say!</t>
  </si>
  <si>
    <t>That’s pretty much it. Feeling miserable after just getting back onto my feet and getting smoothed again. Skipped the liquor store on the way home and that was half the battle, just need to stay out of my roommates stash. 2 meetings written down for this afternoon and later tonight just in case I need it.</t>
  </si>
  <si>
    <t>I'm 28 days sober and still feel like shit. I'll get over that. Anyway every post I read talk about how hard it is. Which trust me I know. But has anyone considered the money that they are saving. When it comes to smoking you hear a lot about how expensive it is. But not when drinking. Me for example was spending over $200 a week on bourbon and vodka. I can't believe how good my bank account looks now. I'm even starting to invest the money in an ETF. And feeling great about it. To me saving money is a good insensitive not to drink. Any thoughts...</t>
  </si>
  <si>
    <t>What does everyone do all day? Lol I find myself bored with seemingly nothing to look forward to. I used to look forward to having those drinks at night but now what? Also, what do we do with the emotions that spilled out when we were drinking? I said some stuff that I feel bad for. Am I supposed to just live with it? It’s fine I just don't know what to do about it</t>
  </si>
  <si>
    <t>I easily have visited SD on about 1175 of those days. Few off for travel or computer down. And most days I visit throughout the day from 7am to 11pm (EST). I initially got my support to stay sober on SD. Now I get to help support others who are where I have been. Letting all know it is not easy, can be done &amp; the benefits are memorable. Be well all.</t>
  </si>
  <si>
    <t>This may sound off-topic, but I'm really scared by how technology 3d graphics are more and more realistic, thinking in how in the future, violent games will be extremely realistic makes me extremely anxious.</t>
  </si>
  <si>
    <t>Anxiety</t>
  </si>
  <si>
    <t>I have to say I'm a big fan of Mortal Kombat, obviously I don't have a problem with violence in games but games being more and more realistic really scares me.</t>
  </si>
  <si>
    <t>Darn you anxiety. I know it’s just a thought, but I hate how my brain tries to convince me I’m always on the brink of death.</t>
  </si>
  <si>
    <t>Does anyone else ask them self's this question when they are feeling great and anxiety-free then all of a sudden BAM anxiety and fear swoops in and ruins your day !!</t>
  </si>
  <si>
    <t>I could be playing with my 4-year-old son and that voice in my head will just be nagging at me.</t>
  </si>
  <si>
    <t>My partner could go to me whilst sitting on the sofa... babe do you want to meet up with such and such this weekend for some food....... then I ask myself "But what if I get anxiety when I'm there, and it zaps me of my energy and I can't enjoy myself and I might freak out"</t>
  </si>
  <si>
    <t>What's everyone's thoughts on this and have you managed you shift your thoughts so it doesn't affect you??? Teach me !</t>
  </si>
  <si>
    <t>This world/society is often a harsh place. It's not your fault if you're unable to cope with it. It's not your fault if you're more sensitive than others. Take time to rest and practice self-care. You're not alone.</t>
  </si>
  <si>
    <t>I'm starting a new job, and today I had a 2-hour online orientation where a manager talked to me and the other new hires about the job.</t>
  </si>
  <si>
    <t>I've been wondering when my start date is, and at the end the manager said "questions?" Well of my social anxiety had me book it out of there and I left the call. But then I realized I really should have asked my start date because I'm anxiously waiting about that, afraid I won't get an email about it and miss my start date and get fired before I ever even start work. I know that's ridiculous, this place has a bunch of employees, and they all started the job just fine.</t>
  </si>
  <si>
    <t>I can't stop hating myself for not asking though. It would've been so simple, and I would have known the answer, so I wouldn't have to sit here anxiously waiting for the mystery email not knowing when. Now I'm regretting not trading the social anxiety for this long term waiting anxiety. I can't relax at all. I can't get it out of my brain, both the anxiety about waiting/not knowing/missing my start date and the hate I have for myself for not asking the question. Furthermore, I don't know if I'll actually be able to sleep tonight because of it, I'm going to check my email first thing in the morning. Furthermore, I know that I'll check it when I check it and the anxiety won't change that, but it'll keep me up like that'll change something regardless. I feel like I'm being eaten alive from the inside.</t>
  </si>
  <si>
    <t>I feel like I'm being eaten alive from the inside. I have really negative thoughts about not making money.It's caused me to save about 100K over 4 years. Weekend work and over time. And I am now in corporate business to business sales and I feel burnt out from the targets and feel I cannot do the job.</t>
  </si>
  <si>
    <t>I didn't start earning proper income until 25. Before that I was university, travelling 1 hour back and forth each way and then visiting the doctors' clinic 3 times a week for my medical treatments. I was not able to earn much apart from the holiday casual jobs. I don't know why, but I feel worn out from all the time spent studying, traveling to campus and doctors clinics and not being able to work. To the point where I ended up working a shit tonne to save because I felt like I had to make up for lost time. And now I am in a career I don't like. Too much pressure and targets and I resigned on Monday.</t>
  </si>
  <si>
    <t>So I'm postponing to start new work. I'm so scared. I was working in one company about a year, and they suspended me because i didn't want to do something which is against my will. So I moved back to my city took some break and want to go back to dancing/stripping job (which I was doing before) but then I realized I'm kinda traumatized if I can call it this way and I'm terrified to go there. Honestly I don't know what happened. Through many years I've been a stripper and changed clubs never had that problem. Of I was nervous but not to that point that I can't make decisions and I'm completely paralyzed. That corporation work gave me anxiety, panic attacks etc. I was working overtime, they were pushing me hard, and I also was agreeing with that. Isn't that crazy, that working in strip club was more health for me than office job?! Now I regret that because I'm so devastated. I have no idea how I'm going to live if I'm so afraid to go work. I'm. Just postponing telling myself next week, next week...</t>
  </si>
  <si>
    <t>I took an exam, and I'm having terrible anxiety over how I did. I'm panicking as I know that is worth a lot of points and I know I got a lot of questions wrong. Furthermore, I can't stop thinking about it, and it's preventing me from moving on with my other assignments. Once I know the grade, I can plan for the next assignments. Thus, do you think I should send an email?</t>
  </si>
  <si>
    <t>I seem to get anxiety when it's almost time for work, almost time for lunch break, almost time to leave work, when I first step in the stores and when it's time to check out, and sometimes talking too much.</t>
  </si>
  <si>
    <t>I have no reason why, but I just get these weird feelings that come and go. I get hot and a bit dizzy, heart racing and sweaty hands and just want to quickly get my tasks done and rush home.</t>
  </si>
  <si>
    <t>It started a long time ago when I went shopping for a car battery and couldn't even pay because I was having an anxiety attack. One time I went with my brother-in-law to Torus when we waited in line for a Nintendo Switch. Waited outside for a while and when we finally got in, and I was paying I got anxiety.</t>
  </si>
  <si>
    <t>I also get anxiety and light-headed after talking too much when really into a conversation.</t>
  </si>
  <si>
    <t>It's weird because I don't have any social anxiety or fear of shopping. I'm a very talkative and outgoing person, but I get these weird anxiety moments out the blue that I learned to avoid now as it comes and goes quickly.</t>
  </si>
  <si>
    <t>I was given GERD meds, anxiety meds, lower anxiety meds, blood work and ECG test all normal. I quit my meds a while ago, but I'm thinking when I got covid in Nov it just made my anxiety come back. Furthermore, I went from the past couple years to cigarettes, to hookah, to vape, and I couldn't even vape after covid I nearly passed out while driving. Furthermore, I quit vaping, but that's when my anxiety started.</t>
  </si>
  <si>
    <t>Hi guys. Would it still be possible for me to get a driver's license if I was diagnosed with GAD and Insomnia? My country states that people diagnosed with mental disorders may not be allowed licenses, and I am not sure how to go about it, as I have already taken driving lessons and I do not experience any anxiety on the road. I would appreciate any advice. Thank you in advance.</t>
  </si>
  <si>
    <t>Hi, I'm sorry if it doesn't fit here, but I'm really anxious RN. So I knew that I have a dentist appointment this month just didn't know when. Also, I wanted to cancel it because I'm ill. And few minutes ago I realized I wrote the appointment date in my notes and I found out it was supposed to be yesterday. What should I do? I'm really scared to tell someone because they will be mad, and the dentist will be mad for sure.</t>
  </si>
  <si>
    <t>I'm diagnosed with anxiety disorder and PTSD from things i barely even know happened or if I'm just seeking validation. Probably a mix. I'm just tired of feeling my heartbeat from my stomach up to my neck 24/7. It's fucking exhausting and annoying. Always trying to combat it with drugs, alcohol or a healthier alternative: running and lifting weights. Nothing works in the long run. I don't want to die, but I feel like I'm not capable of putting up with this much longer. I think about suicide every day. Furthermore, I could live with panic-attacks and depression but this? No one can live like this. I can't at least. I've done so many check-ups. Nothing is wrong. It's apparently just a constant pound of anxiety and adrenaline. Fuck this fucking shit with a brick.</t>
  </si>
  <si>
    <t>I’ve had anxiety/depression since I was 14 or younger. And I’m looking to go on disability for myself. I’ve lost over 10 jobs because of my panic attacks and I’m at the end of my rope. I’m tired of failing. I’m 29 years old and I can't even hold onto a simple job. Furthermore, I heard it’s really hard to get on disability but I’m willing to try. Furthermore, I also live in California.</t>
  </si>
  <si>
    <t>Hello everyone, if you are a teenager with OCD, I know how hard it can get. I created our own Subreddit for teens with OCD specifically, please check it out! R/teenswithOCD</t>
  </si>
  <si>
    <t>Hey! How you guys exercise with anxiety and panic attacks? I am afraid to do it because during exercise my heart rate is up etc. Today I did low impact aerobic for 30 minutes and got dizzy anxiety etc. Any tips? I did running for a few years but stopped 5 years ago because got panic attack during one run. It feels like this can't be anxiety. I’m so detached and not with it, that I feel completely numb and not real. But on the other hand my limbs always feel really weird, and I feel like I have so much internal pain that I obviously am real. Panic attacks make me feel like I’m dying even though I already feel dead. I hope this makes sense to someone.be in a nice cottage close to forest and unlimited food supply, watching TV shows and movies and be in bed until I start feeling better and try to develop healthy habits and make well thought plan while being in a calm surrounding when nothing neither no one will cause my anxiety nor panic attack. I think I would need at least three months to recover. Furthermore, I want to stop feel anxious, I want to be like I was before. But it's just not possible with overwhelming environment that is my life. I need calmness, silence, space, nature. I want to learn to love myself and my life, but I can't do that when I feel really unwell every day. Then I would get back and no one would know and wouldn't ask any questions and I would have space and wouldn't be scared to get help. I know it's more daydreaming than venting. However, that's the only good thing that I have left, because everything is dull or scary, and I am tired to "live" on the sparks of happy moments that rarely last longer than few hours until my anxiety or depressive thoughts ruin them.</t>
  </si>
  <si>
    <t>I’ve had a lot of stress recently and the last day or so have been feeling feverish (no other symptoms) however when I have checked my temperature it is normal.</t>
  </si>
  <si>
    <t>Hello everyone, I was wondering if anyone has any experience with alcohol triggering their anxiety, but not while drinking but a day or two later. I stopped drinking about 6 months ago for a good reason, I was never drinking in moderation, and it became an everyday thing that I lost control over. I noticed my depression and anxiety were out of control while drinking like that(I was drinking heavily for a few years to be honest), and considered the alcohol to be playing a huge role in that. On Sunday however I decided to have some wine and champagne for a Valentine’s Day, and I got a nice buzz. Spent all of Monday in bed and hung over, with a little anxiety creeping in but nothing too bad. Today however I had two full-blown anxiety attacks, that seemingly came out of nowhere, completely unsure of any trigger.</t>
  </si>
  <si>
    <t>I was wondering if this could potentially be from drinking? Or maybe my anxiety is just on one today. Thank you for any input in advance. ?? Also, if anyone has anything that works for them to help soothe and calm them down, please feel free to share!</t>
  </si>
  <si>
    <t>I had an intense panic attack last night. I woke up suddenly because my cat was fighting with another cat and I started getting hot flashes, trembling and a racing heart beat, I thought I was dying or something. When I recognize that it was a panic attack (because at first I thought I was having a bad reaction to the paroxetine I'm taking, and I was literally dying, I lived bitch lol) I calmed down and felt back to sleep. But then I woke up again because I needed to feed my cat and I felt the same again but less panicky because I knew I was safe. But now during the day I've been getting random hot flashes, I don't panic, but it's annoying. Does anyone have tips on how to make them go away or make myself more comfortable? I feel like every time I start to think about the future I get anxious and get one ?? I try to distract myself, but I can't help it.</t>
  </si>
  <si>
    <t>I’m in 11th grade (16 years old), and I have been focused on going to a certain college since freshman year. I used to have good grades, and ever since zoom days, my grades are averaging B’s and C?s, my willingness to work is only decreasing, and so is my will to live. I’m terrified of the future, of growing up. Furthermore, I feel like I’m only going to be a failure. Furthermore, I can't be what my parents want me to be, I’m not smart enough to please them. The idea of going to college and being independent is killing me. I worry about my future all the time. I don't know what to do or how to fix my anxieties. Furthermore, I just want to die.</t>
  </si>
  <si>
    <t>It’s happening again. I’ve got a new task at work and I have no idea how to do it. Usually I get anxious and think ?how am I going to get through this?? But this time I actually feel defeated. I actually feel myself have given up, and I don't know what to do. I’m sitting here, wanting to cry. Furthermore, I can see it when I look in the mirror, I look so drowned by work that it hurts my heart. It wouldn't make me feel so bad if I had some help to go to with my questions, but really it feels like I’m being left to drown. I really want to go home, crawl in bed, and not have to deal with the world for a couple of weeks. I’m genuinely scared of what’s going to happen when my manager checks how my assignment is coming along and I’ll be struggling to show them any ounce of progress. Furthermore, I feel like a failure, I got an engineering degree just to come work and realize I suck at it. I’m so scared that I won't get better at it, and then I don't know what I’ll do.</t>
  </si>
  <si>
    <t>I need to get my homework done, but I keep getting overwhelmed, and I should have done it in class, but I had a huge panic attack and couldn't do anything and my friend calmed me down but I’m getting overwhelmed again and fuck I hate the way my brain works</t>
  </si>
  <si>
    <t>So I have this friend, but sometimes I question whether he's a real friend but am not sure if it's just my anxiety that is making overthink things. At first, he was always trying to include me in his friend group but since I always deal with anxiety I had a hard time opening up to him, but he was always patient with trying not to push me to talk. Which slowly I started feeling more comfortable talking to him, and we did end talking with each other a lot more. I even told him the reason why I wouldn't talk so much when we would all hangout as a group which he told me that he never expected me to ever force myself to talk which made me so happy to hear that he understood what I was dealing with. Sadly lots of the times we all hangout as a group it felt that he always had something to talk about with the rest of the group and little with me and I never understood why when I talked to him about my hobbies and things I enjoyed with him. So I didn't get why it felt as if it was so hard for him to have something to talk to me about. I don't know I feel my anxiety just making it very hard for me to have a friendship with him to the point that I question whether he is my real friend or that he just keeps me around because he feels bad for me. I also feel that I have to face the reality that because I didn't talk most the time that people will not feel comfortable talking to me because I can be very quiet. Which I can understand because I don't really feel comfortable talking to the group, but I don't understand my friend doing it to me.</t>
  </si>
  <si>
    <t>Basically just being poor in America and in between jobs. I suffer from anxiety and occasionally panic attacks. Although I don't know if it arises to the point of GAD, it's definitely impacting my life. My living situation and my life only compounds my anxiety. I'm in my early 30s, and I'm poor, no job atm (and when I was employed, I always hated the jobs I had), I haven't had a real IRL friend for over a decade, never dated and don't have a GF, living with family, had to turn in my lease (car) because I'm poor, I'm introverted and a bit of homebody, etc.</t>
  </si>
  <si>
    <t>She told me she wasn't able to come with me tomorrow because she's babysitting and there is literally no one else who can take my little cousin tomorrow. I've asked all the people I trust, and they all have work/other commitments. The only person who is free is my gran, who I haven't even asked as she is very one-sided and believes my fear is "overdramatic" and would actively make me worse if I brought her along’ll the resources I've found online are just "don't look at the needle!", but just knowing there is one actively coming towards me triggers my flight or fight so bad I won't let anyone even touch me without lashing out at them, making me a danger to the nurse and me.</t>
  </si>
  <si>
    <t>All the resources I've found online are just "don't look at the needle!", but just knowing there is one actively coming towards me triggers my flight or fight so bad I won't let anyone even touch me without lashing out at them, making me a danger to the nurse and me.</t>
  </si>
  <si>
    <t>I don't know what to do, and I'm having a major panic RN and can't calm myself down. Just trying to breathe RN.</t>
  </si>
  <si>
    <t>Hi there, I tested positive last Monday before I was supposed to have my first day at a new job in the office. I wasn't that sick on Monday so I started remotely but yesterday, and today I am feeling terrible, so I called in sick. They are understanding, but I do feel guilty because it’s such a bad start. Did anyone experience something like this?</t>
  </si>
  <si>
    <t>Anybody who has taken Prozac for anxiety - did you get any bad side effects? And how likely are bad side effects? I've been prescribed Prozac, but I'm very nervous about the potential side effects it can cause. I don't know if I'm ready for antidepressants, but my doctor did prescribe them to me so... Furthermore, I don't know. My anxiety is making me not want to take the thing that might help me.</t>
  </si>
  <si>
    <t>Can anyone help me out? I used to be prescribed Propranolol and sertraline (predominately for depression). But once I aged out of my parent's insurance I basically just stopped taking.</t>
  </si>
  <si>
    <t>I know things like Goodra exist now and the prices really aren't that bad. But I still don't know how to go about getting written prescription. I also want to consider other medication because I'm not sure sertraline was actually helping my long-term anxiety. Is this something I can do online? I no longer live near my old doctor and really don't want to pay $100+ for 15 min with a doctor.</t>
  </si>
  <si>
    <t>Would also appreciate any suggestions on medication for both social and general anxiety.</t>
  </si>
  <si>
    <t>Anyone else experience this I know I’m not my thoughts, but she was being condescending I think, and I had intrusive thoughts of violence but to be fair we aren't our thoughts but still upsetting</t>
  </si>
  <si>
    <t>I've been trying to get into dental school for close to 3 years now (I've been rejected multiple times) For the first time ever I made it to the interview stage and well I was expecting to have a panic attack and cry as soon as it started, and it was one of the things I dreaded the most about the process, I was actually proud of myself for actually making it through and being able to actually speak and say things (not exactly the right things), I could tell I wasn't saying the things I wanted to say, but I kept going. The hardest part is that I am so passionate about dentistry, and I've put in so much time and effort into it and each time I get told you're not good enough. It's so hard to be seen the way you want to be seen, but I guess I wasn't able to get that across. I've been told by people that I don't deserve to be one, and today I actually believe it. I got my interview rejection, and I've spent most of the day crying just noticed this went way of topic I'm sorry</t>
  </si>
  <si>
    <t>I've battled with crippling anxiety and depression these past few years, and it hasn't made any of this easy, I have a really awful home life which is another problem in itself. One of the reasons I got into dentistry was because I used to suffer from dental anxiety and wanted to be able to help people with similar problems, but maybe I'm not the person for the job, but I would still like to know for those who suffer with the same problem what kind of dentist would you want to treat you?</t>
  </si>
  <si>
    <t>My anxiety had gotten so out of control in the last two years. I cannot find a therapist that works for me, can't quite figure out the point as it just feels like I’m paying someone to vent to for an hour with no real direction ever provided. I can never justify paying for that when I have friends and family that’ll listen to me for free.</t>
  </si>
  <si>
    <t>I know meds would likely really benefit me but I’m currently breastfeeding and just can't bring myself to do it until I’m done (looking to wean at the 2yr mark end of May) so I’m so close to being done. But even then, knowing the meds are likely going to help my anxiety, I’m SO anxious about even starting them and experiencing side effects.</t>
  </si>
  <si>
    <t>How do I get over myself and the anxiety of worrying about side effects so I can just feel a bit more normal? I had this thought. It scared me?.it made me shutter, and now I don't know what to do?. I love you,</t>
  </si>
  <si>
    <t>Even when you don't love yourself, you never stop having worth, only your perception changes.</t>
  </si>
  <si>
    <t>You need to know with a new day will come a new perspective and over time you can learn to heal.</t>
  </si>
  <si>
    <t>I do not know the person whose eyes are currently reading this, but I do know one thing you may lose faith in from time to time and that's the fact your worth this struggle. Your value is more than just your current mood.</t>
  </si>
  <si>
    <t>Try your best to pay more attention to the compliments your given and try to forget the mean words said to you. I know I overthink and relive my mistakes all the time, so I am not trying to judge you. I am in this struggle with you and I write this as an affirmation of that faith in myself and in turn, my faith in you.</t>
  </si>
  <si>
    <t>Had my first job opportunity in a year. I was nervous for the interview, but that's to be expected. Everything about the day was going smoothly. I was anxious and jittery and really dreading it, but I was pushing through and prepared to get it done. I arrive at the place, I go inside and everything is closed down for the day. Furthermore, I know the time, date, and location were absolutely correct. Furthermore, I wait for a few minutes before the panic sets in, and I feel like I'm about to break down. All that stress and anxiety and preparation building up to this. I hurry back to my car and just sit there. I'm in full freeze mode, I'm upset, I'm angry, I don't know what I'm going to do next but all I want is time to stop and everything to stop. Furthermore, I know the interviews a bust at this point, I'm too frazzled and upset, and I just want to get out of this situation.</t>
  </si>
  <si>
    <t>Now I have to deal with the next steps. Calling the interviewer back, setting up a new date, dealing with the fucking embarrassment and shame of it all. I'm just created and angry that it has to be this difficult, that things couldn't just go smoothly. I'm just dreading everything and I hate it because I don't have any coping skills for this, and I never have. That's always how it is with me. I'm good until a hiccup and I have to change course and things aren't smooth and simple anymore. It makes me feel really depressed because I'm finally on a medication that I think works, but I guess only to help my day-to-day level of anxiety. It can't give me coping skills to deal with this. I wish I was still in therapy, but I can't do teletherapy so it's not really possible at the moment. Anyway. Thanks for listening to me rant. It's been a shitty day.</t>
  </si>
  <si>
    <t>For those of you that live in cold climates and go to gym to help with anxiety. If you can't make the gym for a week because you hurt yourself or your on vacation. What do you do to help combat the anxiety? It's too cold to go for a run and I hurt my back lifting so taking a rest. Just need some advice. I'm having rolling panic attacks all day. I don't know what to do.</t>
  </si>
  <si>
    <t>How do I get rid of this sh*t?? I'm done living like this in social situations, and I'm prepared to do anything in order to feel normal. Is there any therapy that could help me? I tried some ETF tapping in the past, but I don't know what to think about it. Doesn't felt like it was helping. I don't feel this way all the time though. It's just sometimes - especially today</t>
  </si>
  <si>
    <t>For starters, 35 y/o, 10 years ago I was diagnosed OCD, GAD, MDD - been on a dozen SSRI/SNRI/Tricyclics - none of which did much better than the others. Currently, 60mg Prozac with 2mg of clonazepam for daily support. Anywho back to my question, what I feel is?.</t>
  </si>
  <si>
    <t>Like a sense of detachment, or disassociation anytime my brain needs to complete a task. My head begins to feel like it’s full of pressure, I can't comprehend information as well - it’s like I suddenly become drunk without all the fun parts of being drunk. Like my brains running on ?bad gasoline, No sleep or days without food. Any activity that requires cognition, my brain dogs out, and I can literally feel it happening. Feel weird in chest overthinking</t>
  </si>
  <si>
    <t>At first i wasn't thinking about it? Then I got to overthinking like I normally do and now I can't stop. I'm absolutely horrified of what will come of this, I cannot stop thinking we’re all about to be annihilated? I have completely stopped functioning, I can't eat or relax. Why does the world have to be like this</t>
  </si>
  <si>
    <t>Once again I am coming to this sub. Thanks for always being there &lt;3 So my anxiety developed alongside with a lot of stress at work. After not working for three months now and being in therapy I am finally starting to feel better. I didn't even have a panic attack this month and the first symptomless week I’m about two years? Until today. Tonight I met with my dad for a few beers and we had so, e fun. The pub we went to was a very traditional one for my area. My dad doesn't live in my hometown anymore, but he was in a nearby city to visit. The town I live in is one of the biggest in Germany, yet everyone knows everyone. So we met these guys at the pub who knew a lot of people from my childhood that I despise. After we left the pub I walked my dad to the station so he could catch his train back to the hotel. While I was buying a ticket for him, he went to the bathroom. He didn't come back so I decided to wait for him in front of the restroom. All of a sudden a lady nearly ran into me. This could only be avoided as I jumped out of her way. When I approached her she went back to where she came from. A few seconds later a guy left the restroom. The lady shouted something at him and seemed scared. She then approached another guy waiting in front of the entrance, and they talked about something. But I didn't pay attention and looked at my phone. Another few seconds later the lady ran towards me again and asked me if I was a private inspector working with that other guy whom she had talked to before. This moment I realized that she was highly psychotic and went into ?work-mode? (I’m a social worker who used to work with mentally ill clients). So I talked to her until my dad came, and I could walk him to the platform. Once I dropped him off I went home and had a panic attack.</t>
  </si>
  <si>
    <t>Why am I even telling about that? Probably because I’m too anxious to call my therapist at 11pm and being kinda drunk. And I feel really ridiculous for having a panic attack about an encounter most people would just mark as strange and not think about it anymore. Ugh :(</t>
  </si>
  <si>
    <t>My anxiety is horrible today, I really don't know what to do I’m crawling out of my skin and o can't sit still. I’m dissociating and irritable. Any ideas?</t>
  </si>
  <si>
    <t>I'm in a very quiet room and I needed to sneeze but didn't want to make much noise, so I sneezed with my mouth closed and it’s come to my attention that I sneeze with my mouth closed a lot, so I looked it up on Google and now I’m starting to stress. Like it’s not good for me to do that. Now my chest is feeling funny IDK if it’s from the sneeze or my anxiety and I kinda feel nauseous like IDK if there’s a panic attack incoming or something I’m trying to calm myself down but it’s hard while in class please help I can't focus now</t>
  </si>
  <si>
    <t>Is shaking of hands a sign of anxiety or is it normal, just some quick insight I was doing a math test and I my hand started shaking when I was about to write my answer</t>
  </si>
  <si>
    <t>All my childhood I somehow believed that there was this specific life that was written for me free from much pain or grief, but as I got older it became obvious that bad things can and do happen to anyone and everyone all the time. I am not religious but I guess I had this pseudo religion of my own that is fading now as I get older.</t>
  </si>
  <si>
    <t>Now every waking moment the only thing I can think about is the imminent deaths of loved ones. I will outlive a lot of them and I don't want to live a life where I will grow to accept my grief and continue living in pain. I'm worried that even if it gets infinitely painful I won't be able to take my leave because there will be others who I can't hurt in turn because it will hurt them in the same way. There is absolutely no way you can rationalize death without religion, and I'm not religious. I'm horrified.</t>
  </si>
  <si>
    <t>I know the obvious answer is something along the lines of "well since it's going to happen no matter what, cherish them more and have more experiences with them" but won't that make it hurt exponentially more when it inevitably happens, more experiences to grieve? I think I've struggled with this for a majority of my life, but now as I'm waning off of 60 mg of Prozac I think that my health anxiety is getting worse and worse to the point that anything I feel I'm terrified of either having some rare disease or having cancer. I'm going to stay on 40 for now (up from the 20 I was on) but I have these feelings every day in the afternoon that I'm sure could just be caffeine crashes, where my whole body kind of aches and I feel super anxious I'm going to pass out or end up in the hospital or have cancer. Does anybody have tips for dealing with these thoughts?</t>
  </si>
  <si>
    <t>It seems like now at the age of 40, anxiety and depression are just constants. I used to be able to say "This is a bout of depression." Or "This is a panic attack." Over the years it has only gotten worse, and I've been on all the drugs that have existed up until now about it. Now I just live 100% of my life in the place where younger people are probably feeling they exist now. I don't know what was the point to this post I just felt I had to get something off my chest at this moment I suppose.</t>
  </si>
  <si>
    <t>I sometimes notice that my jaw hurts? And realize that I have been clenching my jaw for hours while I’m stressed/anxious (all the time), once I relax my jaw it almost feels uncomfortable/unnatural. Does anyone else do this?</t>
  </si>
  <si>
    <t>I finished up a 2-day vacation and wasn't ready to go back to work, so I asked to work from home. Most of my work is physical, so I feel terrible. I feel even worse than when I wasn't ready to go to work.</t>
  </si>
  <si>
    <t>The thought of my coworkers just hovering over me and asking me about every detail of my vacation was killing me. Now it’ll be that + ?why didn't you come yesterday??</t>
  </si>
  <si>
    <t>Occasionally I’ll have a moment where I suddenly lose my ability to swallow? Sometimes I’m eating/drinking, sometimes not. I panic when this happens and think death is imminent. It’s embarrassing. I feel like this is anxiety related because usually I can talk myself down, convince myself swallowing does not require a conscious effort. I have never heard of anyone else having this problem, although I’m hoping it’s well documented. I’ve never actually choked which leads me to believe it’s my anxious little brain playing a trick.</t>
  </si>
  <si>
    <t>I have this irrational fear that I'm going to have a severe allergic reaction. I've never actually had any severe allergies, but I'm so afraid. For example, today I wanted to have some broccoli, I haven't eaten broccoli in years. I don't know why I just sort of stopped eating it for a while. And now since I've gone a while without eating it I'm afraid I'll have a reaction to it. The same with lots of other foods. I've been tested, but the doctor told me he'll only test for wheat milk eggs and soy. I know I need to see a doctor for this but is there any advice for me from anyone who has experienced something similar, or who has health anxiety like me?</t>
  </si>
  <si>
    <t>Hey y?all, so tomorrow it’s my birthday and I know I’m supposed to be Happy but I just want this day to be over. I was having a panic attack earlier because I don't want to grow up, but I know it’s a part of life. The fact that a lot of people are going to give me attention makes me REALLY anxious. Can someone say that it isn't that terrible? My heart is beating so fast and I’m crying My anxiety has been really high all day and I feel like I'm constantly on the verge of a full-blown panic attack. I can't focus or eat and I feel very shaky. My mind keeps going to worst case scenario... My dad is older and has a lot of health issues. Today he fell down, hurt his leg (which he's had clots in before), his arm, and his ribs. He can't take a proper breath and has been hurting for hours but refused to go to hospital until now. He took ALL of his meds and nothing helped, he couldn't even lift his arms. Furthermore, he has cancer, clots, and circulation issues among other things, so I'm worried how bad a fall could be for him.</t>
  </si>
  <si>
    <t>On top of all that our hospital has one of the WORST on call doctors ever. The doctor is the reason I have medical anxiety. There are so many local horror stories about this doctor, and I'm so scared he'll see this doctor.</t>
  </si>
  <si>
    <t>I won't hear anything for hours probably, wait times are ridiculous here in ER's. I've never been officially diagnosed with anxiety, but my therapist thinks I have it. I started going to therapy for the first time a few months ago, because I was too stressed to eat or sleep. And it was interfering with my work, including affecting my productivity and memory.</t>
  </si>
  <si>
    <t>Therapy has been helping somewhat. But every two weeks or so, I spiral into an anxious mess and can barely function for several days in a row.</t>
  </si>
  <si>
    <t>The past two weeks have been the worst. I've been panicking about things that aren't important. And making rushed decisions out of fear, that come back to bite me. I ended up taking two days off as mental health days because I literally couldn't sleep and couldn't concentrate at work. The day after, I had an appointment with my therapist, and she gave me some new techniques to try. And those help, but now I'm spiraling again, and I don't know what to do. I scheduled an appointment with my primary care provider for Friday, to maybe try to get an official diagnosis or medication. But then I felt guilty that I've missed so much work lately (between mental health days and therapy sessions), so I canceled it.</t>
  </si>
  <si>
    <t>I don't know what to do. This is affecting my work, and I'm scared that it's just going to continue getting more unmanageable. And I'm sure my supervisor or coworkers can guess that something is up. I know I'm acting weird. But I can't talk about it, for fear there will be stigma about it. So I'm stuck trying to function as best as I can, while pretending everything is fine.o, a little background on me. I started taking sertraline for anxiety about three months ago, after dealing with worsening anxiety for the past 10ish years. My doctor started me on 25 mg, and I'm now at 50 mg. I absolutely feel better on this medication - I feel like I have more control over my anxiety and have the ability to stop myself before I get to a panic attack much more often lately. That doesn't mean it's completely gone, but it's certainly better.</t>
  </si>
  <si>
    <t>Which leads me to my question - how do you know when you are on the "correct" dosage of a drug for anxiety? Obviously, the ideal situation is the lowest dose that is effective. But how do I know when I've reached that point? I've had pretty severe anxiety for a long time and I can't really recall what "normal" feels like. Do I just keep upping the dose until I feel like it's too much, or not having any additional impact, and then go back down? Do I just stick where I'm at, since I am feeling better than I was? I've tried to look this up online without much success, so I'm hoping some of you will have some experience with this or some advice. (I do plan on talking about this with my doctor when I see her.) Thank you in advance!</t>
  </si>
  <si>
    <t>I’ve stopped taking antidepressants completely a week ago after tapering down for 6 months. I am doing ok, but I do take a small dose of beta-blockers when I have to go to work because it’s quite intense. After years of therapy I started taking antidepressants to help with my hypersensitivity and panic attacks. It helped tremendously, but I really dislike the side effects so after about 3 years I decided to quit. I am starting CBT next week, but I’m also looking into a natural supplement to ease my mind.</t>
  </si>
  <si>
    <t>I’ll try to describe how I feel. I am very aware of my surroundings and am constantly feeling on edge. When I’m alone I’m fine (besides a worrying racing mind), but not outside or around people. It’s not really a social thing, I’m an introvert but function perfectly fine in conversation and work. I am very bad with confrontation though. It’s more an overall hypersensitivity to noticing everything when I’m in public. It’s like antidepressants gave me the filter I needed, no longer noticing everything and just feeling more relaxed. Does anyone know a natural supplement that can help mimic this?</t>
  </si>
  <si>
    <t>Hi. I’m very new to anxiety. I’ve had severe anxiety for about 2 months now. Since acing covid. My anxiety seems to stem from a constant floating/woozy almost high feeling in my body. And then my panic attack will start in my lower spine and the extreme high feeling consumes my body for about 5 minutes. Goes away, but I linger with Shaka weak woozy feeling. Anyone else get this? Am I broken? Does this get better? I’m terrified and do not know how to move forward.</t>
  </si>
  <si>
    <t>Hey. So I'm 15, and I know the title sounds suicidal, but I'm not. I'm just exhausted. My brain just never shuts off. I went through some stuff when I was younger that left me with a panic disorder and some other stuff. I live everyday feeling like the people close to me don't like me and are tired of me. Even when they prove they care.</t>
  </si>
  <si>
    <t>I have been job hunting for the past few months and I'm beginning to dread going to work in a 9-5pm setting. Maybe I should start looking for part-time jobs instead. Anyone else feel this way? After being at home for two years due to COVID and finishing college six months ago, I've become a bit agoraphobic and my anxiety has worsened. I’ve just feel lonely, anxious exhausted and bored for the past three months, but I'm still afraid to commit to a job full-time. Let alone for the rest of my life.</t>
  </si>
  <si>
    <t>I’ve got GAD and hope to be checked for SAD soon. Ironically, to get help for them, I need to send a phone call. But I’m just so scared of them, I feel like the people behind the phone are going to think I’m stupid, or that I’m going to have a question I didn't get answered, or that they’re going to ask something I don't know. I’m scared.</t>
  </si>
  <si>
    <t>I need to send a phone call to my university so I can seek accommodations. They want me to call and set up an appointment to talk about it. So I have to do it. I’ve been putting this off for at least a month, but it has to happen. Thinking about it right now still scares me. How do I get over this? Please help</t>
  </si>
  <si>
    <t>After wearing a mask for nearly 2 and a half years I recently decided to stop, and I went out and found that when people saw my face I got really bad panic attacks, and they only stopped once I put up my mask. This is not good and I hate it. Anyone else feeling this or just me? The fear isn't really covid related, it's more people looking at my face.</t>
  </si>
  <si>
    <t>Hello, I wanted to get some feedback on what people would do in my situation. I'm someone that has dealing with ongoing anxiety for the past 4 years. I have a job that I really like, and last month I had to take time-off because I got sick. After being able to manage my anxiety for a while, I got trapped again. All my experience with depression, worry, and feeling bad every day happened in my home. It made me think about how I haven't made any progress to get better. I started working as a distraction to lessen my negative mindset. All I can remember feeling for the longest time is stress and worry. I finally made the choice to make an appointment with my doctor to prescribe me medication. I started almost 2 weeks ago, and I've never felt anything as good as it before. It scared me that I can actually think clearly, and it's something that I haven't felt in years. Now, I don't know what to do about my job. I talked to my manager about taking time-off to see a counselor for behavioral health. I really want to tell him if I could take maybe 3 months off to get my anxiety in control. Honestly, I'm tired of feeling unfocused, and anxious all the time. I'm just worried that he'll tell me that I won't be able to come back. I really wish I could change the way things are.</t>
  </si>
  <si>
    <t>I’ve recently noticed that when I’m getting all stressed and my anxiety gets really bad I automatically have a tingling feeling in certain parts of my body. Does anyone else experience this? I’m not sure if this is actually a thing or if it’s all in my head and I just happen to notice this more when I’m panicking. My heart is so stressed and full of anxiety. Why do I do this to myself.</t>
  </si>
  <si>
    <t>Journaling really helps. Writing down thoughts and keeping track of worries and outcomes is soothing. Writing really is cathartic, and I always feel better after it. And I always realize how ridiculous my worries were. I just pull out my phone and jot down a few notes whenever I feel uncomfortable.</t>
  </si>
  <si>
    <t>Example from today 1) The bus went by me not even stopping. I got worried I’d be late for work and that it would lead to disastrous consequences and people would frown upon me. Outcome: took the car, played some good music and came 30 minutes late. But nobody said a thing and it’s all good. There was no traffic. Nobody noticed I wasn't in already actually ??. Heck even the sun is shining in my office and I have a super nice view of the city. Fantastic.2) I’m dreading the meeting with a manager about a client because I’m afraid I’ll look stupid for being confused on certain points outcome of meeting: everything went just fine, I know exactly what to do now, Sun is shining in my office. It’s a nice day.3) I am worried about missing my deadline for today at 3 pm</t>
  </si>
  <si>
    <t>Hey there, I would love to get some insight from people who recovered. I'm basically recovering myself as I never experience physical symptoms of anxiety anymore. But I feel like my emotions - in the present and also when I think about memories from childhood/ teenage years - are not as intense as they used to be before anxiety. It's wired because my memory is incredibly good, I can recall the slightest details from past events - but as I said, those emotions don't come up really. Now I wouldn't consider myself numb, because I'm able to experience joy and sadness etc. But it's not that intense. Is this something that someone experienced? Do those emotions have a chance of coming back once the nervous system is stable again?</t>
  </si>
  <si>
    <t>I feel VERY alone with this. I really feel heavily drawn to true-crime podcasts, documentaries and books, I was always really interested in the psychology of the perpetrators and the police work. But since I deal with anxiety (it started 6 years ago, after having my 1st child) I have a feeling it triggers my anxiety and panic attacks. Whenever I consumed true crime I have trouble sleeping for several nights, can't be home alone - especially at night -, can't deal with silence because I'll start hearing strange noises in and around the house, and sometimes I'll have nightmares that can trigger panic attacks. I also noticed I started getting really paranoid of people not just for my own safety but for my kids safety as well. Pretty much every other person looks or acts suspicious in my mind.</t>
  </si>
  <si>
    <t>I still feel very drawn to true crime content and struggle to stay away from it completely, but I think I need to make the choice to not consume this content AT ALL anymore for my own well-being. That's one reason I stopped consuming daily news, which was much easier for me to quit. Whenever I tried to talk to someone about this people don't really get why I feel influenced as heavy by things like that, and they don't really get why I'm even interested in true crime while also feeling triggered by it, so I feel pretty alone with this problem. In the end all I would like to know is: am I alone with this or are other people triggered by true crime in that way just like me and started avoiding it completely?</t>
  </si>
  <si>
    <t>The latest episodes of anxiety were triggered when I stayed out too late 2 weekend nights, exposed my ears to excessive sound, was cold twice, and got sick, and it reduced sleep and then work performance. Then I visited my GF's workplace on Valentine's Day and besides her just kissing me on the cheek at first like a friend, I later wasn't able to get a hold of her by text and call - she ignored both, I was blocked / her phone was off, she ignored the calls whatever. But the illness, ear pain, fatigue and anxiety made for verbal diarrhea. I called my now likely ex GF several times, am I thinking of asking her sister to call her for a welfare check tomorrow, and I'll probably get grief from her for that. I'm not on antianxiety meds and my posting history shows how worried I can get. "Normal" folks tell me to get help.</t>
  </si>
  <si>
    <t>I don't know how to keep it together. My soon-to-be ex GF may have been cheating the night of Feb 14 to 15th, she had told me about guy friends who flirt and sent shirtless photos to her, she claimed just friends, but I'm skeptical. Not sure what the point of this thread is, just wanted to share my struggles with a group that may understand.</t>
  </si>
  <si>
    <t>Hey folks, I hope that I don't trigger some of you, but I just had to make this post.</t>
  </si>
  <si>
    <t>A lot of people struggle with social anxiety. I think the problem is only getting worst because of COVID. Many of us rarely talk to people in real life anymore, so it is becoming harder and harder for us to form connections. I think friends are very important for personal growth because they can help us overcome our social anxiety and become the best person we can possibly be. Is anyone looking for friends to help overcome their social anxiety? If so, leave a message below or DM me :Does chewing gum help for calming anxiety?z</t>
  </si>
  <si>
    <t>Hello. I have an obsessive anxiety disorder. The problem is that my mind thinks too much. I have been in therapy and I have improved a lot, but there is one problem that is driving me crazy. My skin gets dry because of the anxiety, and it is affecting my sexual life. The penis? Skin suffers from it too, and I have frequent sensitivity problems, and it affects my life with my couple. I have attended to doctor and I have applied different lotions and medicine, but the problem still exists. When my anxiety is controlled, it is better, but I am starting to feel obsessed about this problem. Any possible help? By the way, the doctors say that there is no physical disorder on my skin, it just dryness. Before the anxiety this problem didn't exist</t>
  </si>
  <si>
    <t>I requested off for Tuesday because I had an appointment with my therapist. Which got approved. On Monday, I received a call saying that the appointment was rescheduled for Wednesday at 9am. Today, my boss called me and wanted to see if I could work Wednesday from 10am-7pm. I told her that I had an appointment and I didn't think I could make it. She said that it was okay. Now I’m left worrying that she might think I was lying about the appointments and hold it against me. Am I thinking too much about this?</t>
  </si>
  <si>
    <t>I'm really looking for coping techniques to get me through a serious anxiety I have (health anxiety/illness anxiety disorder) as it's this barrier I just can't seem to get over. I know that this shot is totally safe, but I need help in bringing down my anxiety that is so focused on potential physical symptoms. Furthermore, I've weighed everything and know this is the right choice, but I just need tips/advice for mentally coping through this.</t>
  </si>
  <si>
    <t>I feel panic inside and scared feel chest tight heart beats fast I have had anxiety my whole life. I was addicted to Bezos for 8 years, prescribed then non-prescribed. It helped immensely and did wonders for me. I went to rehab and now can't get them prescribed anymore. Ever since then (2017) I haven't been able to get over my biggest fear, which is working, without the help of drugs</t>
  </si>
  <si>
    <t>I have had anxiety my whole life. I was addicted to Bezos for 8 years, prescribed then non-prescribed. It helped immensely and did wonders for me. I went to rehab and now can't get them prescribed anymore. Ever since then (2017) I haven't been able to get over my biggest fear, which is working, without the help of drugs.</t>
  </si>
  <si>
    <t>It's been 6 months since getting sober last, and I don't see this getting any better than it did in the past. I'm actually worse off now than I was before. I did a year-long therapy program after being diagnosed with borderline personality disorder, and I'm still not doing well with anxiety. There is no other medication than Bezos that work for my anxiety.</t>
  </si>
  <si>
    <t>There is no other medication than Bezos that work for my anxiety.</t>
  </si>
  <si>
    <t>Hi. I’ve always been a very anxious person, but have never really had issues with nausea too much. Over the past month or so I’ve suddenly have been getting nauseous and am I having a horrible time in the bathroom whenever I’m anxious/stressed? Sometimes even when I don't necessarily feel anxious! It’s horrible. I was wondering if any of y?all are experiencing any of this too or if it’s just me. Is there a way to fix this? Thanks.</t>
  </si>
  <si>
    <t>Hi, I’m a health care assistant student starting practicum, my previous practicum was put on hold due to my anxiety. When doing care I feel a rush of cold from the anxiety, and it can last half the day (6hr days), I also do end put shedding some tears. The anxiety is usually only really at it’s worse when I’m providing am care, it calms and sometimes goes away after that, though I’ve felt bad anxiety for hours. I also struggle with not being perfect at everything even though this is the first time I’m doing care on actual residences.</t>
  </si>
  <si>
    <t>I love doing this job and want to, I just need to get through my anxiety. I wanted to see if anyone had any advice on how to calm my anxiety in these situations. Thank you for any help</t>
  </si>
  <si>
    <t>I love painting, and I've had a few years when I got into the rhythm of painting and was comfortable with it. I have art from those years I look back on that make me happy even if the art isn't good when I was learning and figuring it out. When I go for a long time not painting I get anxiety about trying again, and in recent months when I try to paint, I don't know what I'm doing due to being out of practice, and I lose any motivation to continue when the painting goes badly. This winter I've wanted to try to make some new paintings, but go through this problem where I spend all this time trying to prep myself up for it. I'll clean my desk and set up a work station, all the paints ready, references up and ready on the laptop. Then I sit down and start panicking. I sweat, my head spins, heart races, and I feel like crying. It is so annoying and I data t. This is definitely the biggest hurdle. And without fail it always comes back. Even when I was "comfortable" while painting, I still had some moderate anxiety during the process. There is one painting I've made about ten years ago, and I'll never forget how at ease I felt at that time. I wish I could re-experience that relaxed confidence I felt then.</t>
  </si>
  <si>
    <t>DAE know how to get over this hurdle? I hear all the time "just do it" (Nike) he-he, of course I get that, and I do try to push through it, but the anxiety doesn't really go away while I'm painting. Lately though it's been very hard. Are there other tips you have for chilling out and getting over the performance anxiety?</t>
  </si>
  <si>
    <t>I had panic attacks before and GAD I always fear of dying and always check my pulse rate Sometimes I feel like there is a sudden drop in my heart or fluttering feeling . I read about fluttering they said it is normal, but it comes more often recently I need someone like me to tell his experience Was looking to take these with my Elena. Needed a bit more help with my OCD and anxiety</t>
  </si>
  <si>
    <t>I was always a very active kid who loved dieting, working out, working, I basically loved to do anything but sit on my ass. I also always drank on the weekends, but this past summer I drank a little too much. It was to the point where I would have weekly benders. It really took a toll on me physically and mentally as I gained 15lbs and stopped being as active as I was. Throw in some girl problems and smoking again, and you got yourself a recipe for anxiety.</t>
  </si>
  <si>
    <t>Over the summer and even a few months after I was at the lowest point in my life. I completely stopped working out, stopped dieting, basically I would just wake up at 2 in the afternoon law down in bed until 4 and then go drink at night. I never drank to ?numb myself from the pain? I was always drinking because I thought to myself ?wow this is fun I’m actually enjoying life at this moment?. It took me months to realize that drinking was what was causing me all of my problems, so I stopped. Occasionally I’ll go out like I went out for the Super Bowl and drank but that’s about it.</t>
  </si>
  <si>
    <t>I was never depressed, but I was definitely not happy in life. I’m fine now mentally, I still have a little anxiety but who doesn't. My problem right now is that I’ve fallen into such bad habits where I just can't seem to break them. I have no drive in life right now due to being forced to take a semester off from school, and being let go at my job (which was the only thing giving my life structure). I just feel so lost right now and so shitty about myself and all of my close friends and family just laugh it off.I’ve had many other problems leading up to me being a complete bum, but I don't want to bore you guys with a long story. Anyway I guess what I’m asking is how the hell do I beat this? I’m not mentally effed up anymore, I just have a shitty mindset and very lazy. How do I get myself to fall asleep earlier than 5 am? IDK how do I just get my life back together I’m ready for change I just don't know where to start.</t>
  </si>
  <si>
    <t>I'm a 20-year-old girl currently at my 2nd year of university. I study something that is not my cup of tea but due to pressure from parents to do sth I went along with it. Went there totally unprepared with zero knowledge. Of, everyone else was just a bunch of experts. No, like literally. 35-40yo ppl with tons of experience and academic background are my classmates in this bachelor's degree. I struggled like crazy due to being in my first year and drowning into the ocean alone. It all started during the 1st lockdown. Barely passing, barely any recognition of my work, just pure hectic life.</t>
  </si>
  <si>
    <t>On top of that, I had just broken up from my 1,5 year long distance relationship with a guy I really wanted it to work. As you may understand, it was difficult AF to move on to this new reality while carrying a heartbreak at the same time. A while before I left my country of origin to go study abroad my high school philosophy teacher and I had become best friends, and she was like a second parent to me. We had common interests, always something there to discuss. It felt so comforting knowing that someone is there to listen. I had 2–3 friends my age too at the time whom we'd vibe with. Kid u not guys, fast-forward to lockdown everybody vanished for no reason, without any closure. Nothing. Just never spoke to me again. It was almost literally like a domino effect, one after the other. There was never a fight or a misunderstanding causing this. Still I have no closure. I was alone all summer. And I'm the introverted type of person, so this was not something new that made me sad, or I couldn't stand it. I have been a loner all my life. But at some point... It really did start becoming lonely... I'm not blaming anyone, I'm wishing well for all, and then I think to myself... Nobody owes me anything...not even a closure. They felt like cutting me off because they simply felt like it, cool, so be it. It hurt me, but I didn't dwell on it obsessively.</t>
  </si>
  <si>
    <t>I haven't had intercourse with anyone yet. Virgin at 20. And this is something that was messing up my confidence. Everybody around me started fucking, sleeping around because it was "fun"or even started a family and here I am, not being able to say I know what any of this feels. I just never felt the need to rush it unless I could trust and vibe with the other person. So many people I had met never really clicked with me to say "yes now I feel ready to take it a step further with you... It just never felt right to me giving something so intimate of mine to someone who after me is going to do it with anyone else regardless lol. So I wait... The events that took place with my friends and my exes in the past have made me incredibly closed off. Yes, I would enjoy my own company and stuff, but now it has become too much. I do not have a single friend, I'm in my shell and I find it impossible to trust. Deleted the majority of my instar followers because in reality I didn't have a single true friend to go out for a coffee with... And I know things have gotten worse when I can barely get out of bed and attend lectures in person, or present a project or walk on the massive hallways full of people without crying or getting massive anxiety. Even going out has become a "courageous" act lol. University been stressing me out like crazy. My mental health has been deteriorating and everyone seems to be in a constant "meh, can't relate" state. No one to talk to. Nowhere to vent, so here I am...</t>
  </si>
  <si>
    <t>I moved from Australia to UK Last year November - so pretty much missed out on summer.I’ve been in England for almost 3 months and I already suffer for GAD and panic attacks. I never realized how much weather affects your mood. Furthermore, I am craving vitamin D (intake supplements) and the warm sun on my skin. Every day, I have intense mood swings, headaches, aching back, feeling sluggish/ cloudy head. I don't know what to do- I don't know how to fix this feeling of complete shit. Supplements can only do so much :(</t>
  </si>
  <si>
    <t>Extreme anxiety after Road Rage incident Almost 3 months ago a lady had crazy road rage at me for going the speed limit? Â she passes me and starts taking pictures of my car, follows me and then films me claiming I tried to run her off the road, and she is calling the cops. I have been a wreck ever since, I feel every day like today the cops are going to come arrest me because of what this lady said. I don't know how to get over this.</t>
  </si>
  <si>
    <t>Can't sleep because I can't breathe I am currently sick to where I can't breathe until I cough the mucus out of my windpipe. I feel alright and then the next minute I am choking. Tonight I had my first panic attack because I thought I wasn't going to be able to breathe anymore. Now I am laying in bed, and it feels like I manually have to do each breath and I can't sleep.</t>
  </si>
  <si>
    <t>Is this anxiety? I need help. Hello. Not trying to make this a long post since it's 5am, and I need to sleep. But I'm laying here with a bad feeling in my stomach and mind and I just need help trying to figure out what's wrong with me because it's ALWAYS on my mind. My issue is that every time After I meet someone (usually a person I don't know well) and I like that person, and I want that person to think good of me, I get a strong feeling of insecurity and I always think about things I said or did that were less good. Even if I know a person likes me I still put myself down with thoughts about how that person dislikes me or thinks bad of me. This happens so often I can't take it anymore. I'm tired of feeling this way every time I meet someone I really care about, I even get this feeling with some of my close friends, after meeting that person I think ÂHm he acted differently around me, maybe he doesn't like me anymore or similar thoughts. I understand it probably has something to do with insecurity, but I'm not really an insecure person, in fact I am very outgoing and (act) sure of myself. But I also get nervous meeting these people because I care so much about what'll happen. It's so hard to put into words exactly how I feel but can anyone tell me why I constantly feel and think this way? Is this anxiety? I know a doctor would be better to discuss this with, but I really cannot afford one, and I figured Reddit has always been a great help. Thank you.</t>
  </si>
  <si>
    <t>DAE get really anxious on "lazy days"? I just had a panic attack because I've been watching movies on my couch for three days straight. My anxiety kept mounting and mounting, and I finally lost it a few hours ago. I hate this time of year. It's so dark and cold, and it's hard to leave the house, but when I don't go out, I feel like garbage. Does anyone else feel like this?</t>
  </si>
  <si>
    <t>Best way to deal with new job anxiety? I have an anxiety disorder and have been working at the same place since I was a teenager where I slowly grew my confidence and skills up over a couple of years. I'm definitely very comfortable in the job I'm in now, but I know it's time to move on as this particular job isn't a career and I want to challenge myself. Furthermore, I find I keep stressing about applying to jobs because I'm terrified of being in a new work environment with new people. Furthermore, I find it so intimidating and scary, and I'm terrified that my future coworkers might see right through me and now I'm an anxious mess. Or think I'm stupid if I'm not picking up something as quickly as I should due to nerves. If anyone can share their own experiences in this type of situation or share any tips in dealing with these kinds of worries that would be greatly appreciated.</t>
  </si>
  <si>
    <t>Panic and throat?? Hi there, I have a reoccurring panic attack. I get throat tightness like I can't breathe or swallow, my arms and legs will tingle, I get dizzy, my heart races, I think the end is here. Then after this part passes(5--25mins) I feel very tired and get sharp head pains. I'm terrified of having an anaphylactic reaction, so I take Benadryl right away even though I've had allergy tests, and they are all negative. Sometimes it happens more than once a day. I get so scared and go to the ER. As soon as I'm home from the ER I feel so anxious again. Anyone else??? Panic disorder and HA SUCK.</t>
  </si>
  <si>
    <t>Wednesday Wins! (1/2/19) Hey guys! Sorry that we haven't done one of these in a little bit! This is a weekly thread for everyone to post their successes, or "wins", whether it's something small, or big. (for example: going to a store by yourself, or nailing that interview for that job you wanted) Recognizing, and patting yourself on the back for your accomplishments is pretty important and increases positive emotions.</t>
  </si>
  <si>
    <t>I have TERRIBLE, almost debilitating, anxious attachment issues - any advice? Literally IM snapping this girl I've been hooking up with a few times this fall. It got so bad so was like OMG this is terrible please stop. Like I'll ask questions and do other stuff. And this is just texting someone. I delete the app again and again just to deal with the anxiety. And that's not describe what it's like dating someone! I don't want to go through with this AGAIN!!! TLDR - need advice on bad anxiety attachment issues</t>
  </si>
  <si>
    <t>People don't understand coping mechanisms I get really annoyed when people make fun of me for doing things that help me cope in awkward situations. For example, I go on my phone when I don't know what else to do, I can't really explain why, but it helps. I get yelled at by adults and ridiculed by friends who KNOW about my anxiety because of it. IDK man I might be completely alone in this but know</t>
  </si>
  <si>
    <t>Social drinking makes my issues worse I'm not a big drinker, but I do go out once in a while, but it always brings my sleep anxiety back. In my normal routine I usually read before I GOTO bed and I usually fall asleep, or I get back up and read again but those nights once in a while where I'm out drinking late I can't sleep for shit. Before I developed sleep anxiety I could go out and drink and go to bed. But now my mind is so wired from drinking I can't fall asleep and then the next day I'm sleep-deprived, and my body feels like shit and my mind isn't all there, and I just get sucked back into worrying about my sleep. I just don't think I can get drunk anymore. I'm fine with one or two beers.</t>
  </si>
  <si>
    <t>21M, FIRST TIME HERE, HOPING FOR SOME HELP, THANK YOU ALL. Hi guys never posted here before however I am in a very dark place right now with my life and don't really know how to start this but for a while now I have felt very low and have felt as if I am becoming a different person as I no longer find happiness in myself as I did before, I am a university student also working in retail as well as recently being signed to a modelling agency and I often feel as if I have to put a happy face on every day, and I am honestly tired of having to do this it is physically as well as mentally draining. This feeling came around I would say at least a year ago and I kind of thought that it would pass as everyone does go through periods in their life were they feel low however it seems to have stayed and feels like a black cloud hanging over me which feels worse some days more than others, I come from a very loving family and live with my Mother and Stepfather as well as my younger 3 half siblings, I am very grateful for the luxuries I have in my life however there is so much going on within me some days I often wake up feeling very down for no reason at all feeling very worthless and lonely even though my family are very supportive and caring I couldn't ask for a better family. I believe my mental health has worsened due to finding out through family members that my biological father has been diagnosed with cancer and I guess this has made me realize that life really is so short, as a youngster my biological father was unable to be there for me and my mother due to his lack of love or care and the biggest blessing was my mother marrying again to a man who I can happily refer to as a real father, also a very close family member to me who I once spent a lot of time with has recently tried numerous times to take their own life and being so distant from them for so long has not been a good feeling and has made me feel quite lonely as I am already an individual who does not really have true friends as I struggle to trust people, there have been many times were I have been invited out by others and have had to make up excuses for reasons not to go. There have been times were I have contemplated taking my own life as the feeling of worthlessness and sadness was at its most high, this feeling is very hard to explain, and I am just looking for a bit of clarity on maybe why I am feeling this way or if others have experienced something similar I really would appreciate any help at all. To individuals at work and university and others I meet I am often commented on being a very outgoing individual with a lot of confidence however deep down I often feel as if inside I am a totally different person which really does make me wonder how I became to be like this. I feel as if I lack the routine I once had in my life before and some days waking up feels as if I am just going through the motions, not long ago I would read every day and would love to keep a journal to put my thoughts to paper, I remember heading to the gym 5 times a week running twice a week being full of energy living life to the fullest appreciating each day with those around me, where has the old me gone?. Often I have been told by others I am a very good-looking individual and in playful ways people have said" You love yourself don't you" or" you are so cocky" as I very much take pride in my physical appearance and enjoy doing my best to look as good as I can, the truth is recently I have been struggling every day to keep a positive mindset and do the things I enjoy, having to put a mask on every day is a task which I have become very familiar with I just want to know if others have felt the same and I would really appreciate any help which can be given I don't want to give up I don't want to carry on feeling this way I want the suffering to end or at least made easier. Thank you for taking the time to read this I apologize for any grammatical mistakes it is quite late in the night right now.</t>
  </si>
  <si>
    <t>Does anyone know how to make the dream state feeling go away? Getting real sick of it coming and going</t>
  </si>
  <si>
    <t>Has anyone had a severe sensitivity to SSRI's and found a medication they could take for GAD/panic attacks? Hey guys! I have a severe sensitivity to SSRI's and can't take them. I have also tried bu spar with no luck. Furthermore, I'm just wondering if anyone else Has experienced severe sensitivities but found something that worked well for them? Furthermore, I'm afraid to try things now because my reactions have been so bad! Furthermore, I'm starting to lose hope that I'll ever be able to live a normal life or control this anxiety!</t>
  </si>
  <si>
    <t>Long term side effects Do you think that taking an SSRI like Zoloft for anxiety long term, or an anticonvulsant like Gabapentin for anxiety long term would have more/worse long term side effects? Also, do you know any long term side effects each one could cause?</t>
  </si>
  <si>
    <t>I have anxiety when I'm unfriended, blocked. I feel like I did something wrong, even when I didn't. Furthermore, I beat myself up for it, and it's been so bad that I've developed a horrible pain in my shoulder/neck/back.</t>
  </si>
  <si>
    <t>My anxiety goes through the roof when I at home living with my parents when I'm on breaks from college... So I thought going to college would be the peak of my anxiety with the coursework, rough and unpredictable hours, and being away from home. At first, it was. I've been struggling a lot trying to keep up with everything (it's been doable) and I thought I would get a break when every time I am able to go home and not need to even think about school. It feels like almost the opposite effect. I've developed my own schedule being in college, and it's been the most comfortable I've felt in a while. Going home thought I feel so pressured and anxious about conforming to theirs. Sleeping at an earlier time, being awake at an earlier time, no napping, going to the grocery store early (along with other outings) and if I'm not up I miss out, watching TV at a scheduled time with everyone, etc. Not going along with it comes with disappointment from my parents, ridicule, and occasionally harsh words. It just feels like so much I need to fall in line with that makes my anxiety freak out. Because of my anxiety I struggle sleeping and I lose a lot of the oomph to actually get up and out of my room to do things which of course leads in to a snowball effect of me not being a part of their schedule, getting scolded, becoming more anxious, and repeat. I get so anxious that I can't wait to go back to school and be stressed out and anxious over there than be at home. I hate going home for breaks; and I don't think I should feel this way, but my anxiety proves it for me. Furthermore, I get so exhausted trying to deal with it all, and I just really needed to get this off my chest.</t>
  </si>
  <si>
    <t>Looking to get help but not sure where to start I've been on venlafaxine for a couple of months now, and I've definitely noticed some progress, but I'm finding that I still experience pretty severe anxiety and depression. These spells are typically triggered by issues I'm having in my relationship with my GF or due to school related stress. I know that the issues are caused predominantly by my tendency to overthink and react unreasonably when I become upset and disappointed, and I really want to seek professional help in order to get back on the right track. I'm tired of having anxiety attacks and bawling my eyes out whenever I feel like something's wrong in my relationship or my life is going nowhere. Only problem is, I have no idea how to find a psychologist to talk to. For those of you who have successfully found a good psychologist, how did you do it? TL, DR: struggling with anxiety issues lately even though I'm on a med that has been working for me, and looking to seek out a psychologist to talk to. Unsure how to find help.</t>
  </si>
  <si>
    <t>WHAT TRIGGERS YOUR ANXIETY AND DEPRESSION? When we experience an unwanted intense emotion, be it anger, depression, anxiety or something else, often our reaction is more intense than it should be because something has triggered us. The result is an overreaction or disproportionate reaction. The easy way to know is to imagine if you had an absolutely perfect life, and if this was the first time that something bad happened to you, would you have reacted the same way? What is your trigger? Often it's not the situation itself but the feeling it generates, uncertainty, worthlessness, powerlessness etc. The subconscious remembers the pain of those feelings in the past, especially from trauma and especially from childhood trauma. When it gets triggered, the overreaction starts because the subconscious is telling you this is a life or death, fight or flight situation. Get to know your triggers, just being aware of them takes away their most of their power over y</t>
  </si>
  <si>
    <t>Alcohol Makes Everything Better--Then Worse I've recently turned 21 and started drinking because it took my anxiety away for the few hours I was drunk. It's great-- until the next day. I drank quite a bit last night and today my anxiety has been through the roof. I've had a severe feeling of impending doom all day and a few hours ago I got hit with derealization. Now it feels like nothing is real, and I'm still feeling dread. Does this happen to anybody else?</t>
  </si>
  <si>
    <t>Am I Dealing With Anxiety? I've talked about this before, but I'm in such a confusing, scary point of my life. I'm someone who's never dealt with anxiety, up until a medication I took back in May. Furthermore, I took two days worth of methylprednisolone and experienced my first ever panic attacks. The panic attacks continued for some weeks after, and since then just constant (most of the time) anxiety. We're in January now, and I still have these symptoms of anxiety. Sweating more than usual, increased heartbeat, muscle twitching, and the worst of them being occasional depersonalization. I've made it a priority to continue going out and living my life normally, but it's just not as enjoyable with all of this going on. I'm questioning whether the anxiety is natural, or if there's something else causing all of this. Some additional info: I'm a 22yr old male, pretty active, drink about a cup of coffee a day, and a weekend drinker with friends.</t>
  </si>
  <si>
    <t>Chest tightness and nausea. Anyone else get anxiety from thinking about it? I've been feeling the physical symptoms so much lately. I only get these attacks whenever I'm moving or travelling, but it feels like I was worried about anxiety from a week before it happened, and I think that's what caused it. Anyone else get anxiety just because you were worried about anxiety? I know it sounds stupid, but I don't know what to do.</t>
  </si>
  <si>
    <t>How do I stop stressing about money I'm a teenager, and I am super scared that my family will go broke/ not be able to live. Therapy costs a fuck ton and I feel guilting for having to go through it. It's not even my place to worry about this because I don't even know how much my parents make. My dad is good at economics and says that we can handle it, but I know we can't. My mom has a minimum wage job, my dad works in an office, and we're paying for my brother's tuition. I'm so scared that my treatment for mental illness will be the reason why we go broke. Is there any way I can just forget about the situation? I know worrying doesn't fix anything, but it's constantly in my mind.</t>
  </si>
  <si>
    <t>I don't know how many people here can relate to this, but it's worth a shot... So I'm a 21yr old Black guy, and I grew up in a family where my dad speaks pretty much like a stereotypical Black man, and my mom speaks like a stereotypical White woman. My dads' family (who all speak like stereotypical Black people) lives in the city I live in, so I grew up with them, and my moms' family lives across the country and I have very little contact with them. I grew up being the only Black kid speaking like a stereotypical White kid (including within my own family), and I was never exposed to other Black people who spoke the way I did, so I have always felt a little awkward. How should I cope with this?</t>
  </si>
  <si>
    <t>I know I am annoying, I am really trying not to. But how? I hate it when I get a friend and then start behaving like a clingy fuck. That's why I stop talking to people, because I know that once I get attached I won't be able to leave, and they always leave first. Why won't people understand that I worry about them? That I want to talk to them and share ideas and listen and just have a good friend? I know I am clingy, and I know I am annoying, I am just worried about people leaving, I worry about their well-being, about their health, about whether or not they still like me. It's hard as fuck trying to pretend you can be cool for other people when you feel yourself consumed in worry.</t>
  </si>
  <si>
    <t>What music helps you during an anxiety attack? I'm trying to create a playlist of songs for my anxiety attacks. I do not like generic calm music at all, what works for you? Preferably something with meaningful and well-thought-out lyrics to focus my attention</t>
  </si>
  <si>
    <t>I feel like I'm mostly psyching myself into derealization Will you really know if you are dissociating? I feel like I definitely have sometimes, but a lot of the time I'm so worried and just self checking so much that I think I might feel it but not, actually. Very abstract thing, but main question is, is it always obvious when you're experiencing derealization??</t>
  </si>
  <si>
    <t>I don't know what I have, or what to do if I do have anxiety I originally posted this in r/ADHD because I have that and I thought people there could tell me if I was just expressing symptoms of ADHD, but I feel like people with actual anxiety could help me loads more on this I would hugely appreciate it if a few people read and responded, I'm sorry it's so long I just have a lot of thoughts. I don't know where to post this at all, so I hope that by posting this here I might get some help from some people who think a lot like me. Ok so here's some vague background information. I'm in high school (male) and I haven't told anybody that I know that I have ADHD. I have known that I have had it since I was 8 and am medicated. Nobody knows except my parents. I honestly don't know if I am ever going to tell anyone ever. I used to have no friends up until about 2 years ago. That is when I met my current friends. Up until then I was really unlikable and got bullied a lot and often. Around that time I started caring what people thought about me and I think that is why people started becoming my friend. Fast-forward about a year and I have good friends, but I worry a lot. I kept a journal too, and I wrote down that I felt like it was for the better and that it was good to worry because if you didn't worry than people wouldn't like me. Around that time one of my close friends told me that he genuinely thought I had autism before he met me because I had an IEP for my ADHD (they would take me out of class 5 minutes early and check to see if my work was done). This made me worry even more about how people saw me. Around 2 years ago I also started often putting my hand in my hair and touching my face a lot without realizing it. I also kept digging at my nail beds too when I got nervous. I just thought this was my ADHD. This year has been very different for me. I feel like I totally changed. I am a quiet kid now when I used to be the one who tried to talk the most. Furthermore, I find myself knowing answers but not raising my hand because I don't want the attention on me. Furthermore, I don't know what to do though. Furthermore, I have a girlfriend and have a bunch of friends, but I always feel like kinda weird. Furthermore, I don't think I can describe the feeling fully. Furthermore, I always just feel out of place unless I'm alone. Furthermore, I also have kind of highs and lows where one day I'll feel good and confident and the next I'll be a mess and have lots of self-doubt. Furthermore, I still often tough my face and put my hands in my hair and crack my knuckles and shake my leg even though I have tried many times to stop. Furthermore, I have had this feeling that I have something else than ADHD. Furthermore, I have trouble talking to people too because I don't know what to say. Furthermore, I find myself a lot happier when I am not face to face with people. Furthermore, I can't tell what it is though, I read a lot of articles and I think I might have generalized anxiety disorder too, but I'm not sure, and I don't know how I would tell. Furthermore, I don't feel comfortable telling my parents, or telling anyone for that matter. Furthermore, I just don't know what to do. If you read this far, thank you, and I'm sorry this was just a huge rant</t>
  </si>
  <si>
    <t>So who else is dreading work tomorrow? *possible TW: self harm* So I am going back to work tomorrow after a nice few days off for the holidays. Due to some stuff that happened right before Xmas as well as over the holidays at my workplace (not situations that were my fault or anything, just stuff that happened within the company that will negatively affect my day-to-day; I am more anxious than ever about going in. Additionally, when I have anxiety it sometimes goes into suicidal thoughts. I was in a super manic state earlier and tried to cut myself (husband stopped me). My main problem with work though is that I am unhealthily attached to my work. I find my worth/value primarily in my work, and I am a huge perfectionist to the point where my work is amazing, but I am driving myself insane. Anyone else in the same boat? Or have been in the same boat and got out and have advice? Thanks all camp; happy new year!</t>
  </si>
  <si>
    <t>Question about clonazepam/potential withdrawal side effect So I've been taking a low dose of clonazepam (half a Milgram a day - sometimes an extra 0.25 if I need it) for about two years now (I'm also on Pristine and a low dose of a generic version of Toyama). I take it to treat anxiety, depression, OCD, PTSD, and PMDD. In November, I thought I was good enough to go off my clonazepam because honestly it was hard to tell if it was doing anything after being on it so long. I didn't quit cold turkey, but I don't think I tapered well. I skipped some days and other days I didn't and just...didn't do it right. And I was wrong anyway - the clonazepam DEFINITELY helps my symptoms and I want to be on it. So now I'm getting back on it (taking .25 at breakfast and .25 at night). I've noticed recently my heart rate has been a little funny - it seems like it goes up and down a lot depending on whether I'm sitting or standing/moving. It's not severe, just strange. Has anyone else had this side effect and does it go away? I don't know if it's from withdrawing from the clonazepam or now going back on it or if it's totally random. I'm seeing my psychiatrist in two days, but thought I'd see if anyone had any answers in the meantime.</t>
  </si>
  <si>
    <t>Insomnia cause work makes me anxious. More anxiety about not sleeping, more insomnia. Repeat. I just want to sleep! I have to go to work at 6, and won't be back till 7:30. By the time I get to the office I would have been awake for 24hrs, 34hrs by the time I finish. I work in security and reaaalllyy don't think I should work after being awake that long. But calling in sick is making me anxious, which is keeping me awake. But so is the possibility of going in. O.e I'm stuck in a cycle that is caused because my job makes me anxious. Help.</t>
  </si>
  <si>
    <t>This memory loss is making me crazy I can't remember shit for the short term. I think I slept 5 hours, but I don't know. It's as if it's hard to tell when I go to sleep and if I open my eyes I don't know if I actually slept for was tossing and turning and never fell asleep. If I didn't sleep then I would be up for more than 48 hours. I don't feel like I am, but I do feel tired. I don't know if this is: - depersonalization/derealization - A learn side effect - Just my anxiety It's killing me that I don't know which one is causing this very scary thing. Furthermore, I feel like I'm going nuts not knowing if I slept when I very well could have. Furthermore, I think I did but I'm not sure. It's been going on for a while too. I had bad memory before going on meds due to high anxiety and also had a hard time knowing when I exactly slept or how long I slept. But this seems worse.</t>
  </si>
  <si>
    <t>Social media Does anyone else frantically decide they need to get rid of all their social media, just to bring it back a few weeks later? I've been like this ever since the good old AIM days. Constantly creating and deleting different screen names, different Myspace's, different emails, Facebook's, Instagram's etc... It's like an urge and I NEED to get rid of it all, or I go into panic.</t>
  </si>
  <si>
    <t>Learning to Drive Gives Me Anxiety, 26F wanting independence that comes with driving Hi Everyone, I have made leaps and bounds with many parts of my anxiety. Driving is my Everest, however. I've had two unfinished driving school stints. Numerous family members and friends trying to teach me. I can't get the hang of this. I'd like to learn this year. Furthermore, I'm going to be getting married this year and will hopefully have children in the next couple of years. Furthermore, I don't want to be just learning with little ones in the car. Furthermore, I hate the idea of driving alone, the amount of attention required to drive, I fear the reactions of other drivers to my driving. Furthermore, I feel like I can't breathe when I think about it. Any advice from anyone who had this issue and overcame it?</t>
  </si>
  <si>
    <t>I'm fucking freaking out about a plane ride I'm going to go on. So I live in Australia and for Christmas my parents got us a trip to Disneyland and Hawaii for about two weeks. Now, I did this same trip but a week longer back when I was about 12 (now 15), and I was fine on that entire trip. No freakouts or anything. But now for some reason because of my through the roof anxiety I'm freaking out about going on the plane. It's not so much about "oh no the plane might crash" and all that shit, because the airline I'm going on is very reliable. It's mostly a fear of being sick/throwing up on the plane that's getting me. I have anti-nausea tablets that help me not throw up (ondansetron), and I'll be asleep most of the flight because we have sleeping tablets and I'm leaving at about 9:30 at night. I'm still freaking out about it though. My anxiety has always been entailed by throwing up since I threw up in the middle of a test I was freaking out in.</t>
  </si>
  <si>
    <t>Just sent an apology to an ex, and now I'm panicking I ate an edible because those majorly calm me down, but it'll take 30 mins or so to kick in, and I'm dying in the meantime. I can't stop sweating, and my heart is beating out of my chest. I'm scared to think that I could have upset her by showing up in her life again, and I'm terrified I might have done more harm than good by apologizing. Furthermore, I can't even move I'm so anxious, and I just want this edible to work. The tears are starting lol just a mess over here. Any tips for how to get my mind off this? Thanks for reading, it helps to write it down and know maybe someone understands</t>
  </si>
  <si>
    <t>I'm afraid to talk to new people Every time I want to start talking to someone who I don't know very well my mind just keeps overthinking, and I can't even start a conversation. I don't know what to do about it. Does anyone have advice</t>
  </si>
  <si>
    <t>On New Year's Resolutions I'm subscribed a meditation app and I saw a great suggestion for New Year's resolutions: They suggested not setting yourself hard goals which you can fail and beat yourself up with, but rather on what kinds of qualities you want to have as a person. This will give you room to improve, even if it's slight, you can say you became slightly more x (organized, respectful, kind to yourself, etc.). I think those of us with mental health issues can easily struggle with failure, and then we tend to make a hard commitment and when we fail once it twice, we tend to think of ourselves as failures. I love the idea of making progress towards becoming who you want to be, growing into your desires rather than setting harsh limits on what you're allowed to do. Just something to keep in mind. It's okay to fail. Just keep trying.</t>
  </si>
  <si>
    <t>Huge Anxiety Attack right now Went through a lot in 2018 and a lot during the last month and I feel like I'm relapsing back into my panic disorder. I'm scared, I'm really sad I don't know what to do. In 2017, I went through a separation and in early 2018 I divorced my wife of 10 years. I took some time to myself to heal and exercised, lost weight, was doing perfect. In September I met someone new and we started dating. It's been a lot since then, but it went well for the most part. We traveled a lot together, and I ended up meeting her parents and all. After we got back on the way home I had a massive panic attack, and we had to stop, and I had to get out of the car and walk for like an hour to calm down. Finally calmed down, made it to our hotel okay, made it home okay, but then it started up again. GF decided to stay with me to help me calm down, but then she had to leave. Now I'm pacing around at home, keep crying here and there, heart racing, can't seem to sit still. I feel like the worst is going to happen, and I'm so scared.</t>
  </si>
  <si>
    <t>Need advice for SSRI induced GI distress 24 y/o female; over the summer I had cut off my parents, started a new job, got married, etc. and had a huge meltdown where I had to take off work for a month and my doc put me on 150 mg of Zoloft. It was great. October I decided to go off my medications because it was upsetting my stomach at that dose. I was doing great anxiety wise. Last week I started vomiting constantly from my anxiety. It's been 6 days, and I've pretty much only managed to eat toast. I'm an absolute shitshow again. My doctor put me on Prozac 20mg. And I took my first dose yesterday and have awful diarrhea. I'm already dehydrated from vomiting, but I can't deal with the diarrhea this bad. It's interfering with me going to work again and Medium only kind of helped. Has anyone found anything to help relieve the side effects? I can't live like this waiting for the medicine to kick in four weeks from now.</t>
  </si>
  <si>
    <t>Anticipatory Anxiety about reaching seizure free status and being able to drive again [Epilepsy] It's 47 days until I can drive again and by then it will have been 96 weeks since I last sat in a driver's seat. My heart is broken not being able to drive, and it still breaks every time I think of how shitty the past year has been. The closer it gets, the more fucking terrified I become. Having a seizure doesn't scare me but another year off the road does. I can't stop thinking about it, and all I can do is wait. And wait. And wait. Like I have been for the last 89 weeks. I'm so scared of failing. I'm so scared it'll all go wrong. Furthermore, I just feel like crying all the time and I can't bear it. What do I do??</t>
  </si>
  <si>
    <t>DAE feel constantly alone even when around other people? I always feel trapped in my head no matter the situation or who I'm with. But when I'm truly alone, I wish I was with someone else! How does this make any sense!? Any comments are appreciated.</t>
  </si>
  <si>
    <t>Hope For 2019. Fear, Grief, Panic Attacks [Mentions Verbal and Emotional Abuse] The final day of 2018 was a horror and a joy. To be so happy that 2018's reign of terror would finally be over in just a few short minutes, Juxtaposed against the chest pain, difficulty breathing, and obsessive horror of another panic attack. I find myself in constant anxiety after my Stepfather's passing in August. The man who supported me throughout my entire childhood is gone, to a sudden stroke and heart complications. I sincerely hope that 2019 will be better than the 3-ring shit-show of the last year, but I am still unable to quell my anxiety related to the new year and everything it brings with it. My Father has long since burned his olive branch, with his constant tirades against me, his verbal and emotional abuse, Gaslighting, and general status as an N-Parent. That door closed long ago, and it is now that I wish it had not, though I know that it is one-sided. Any advice for anxiety-related chest pain would be greatly appreciated, as well as any advice for parental grief. May it be a better year for us all.</t>
  </si>
  <si>
    <t>[potentially triggering] how does your anxiety/panic present itself? And several other questions. [Potentially triggering] Last week I had my first panic episode in a LONG time and then had another pretty severe one last night. I've had a bit of a hangover from my episode last night all day today and I can tell I'm on the verge of another attack because my legs hurt. They get restless, and I just want to like....take them off my body. I'm not sure how else to describe it. My legs and feet get all tense and I just can't stop moving. That's my main symptom that really lets me know I'm not doing well. The leg restlessness/pain...basically I feel like my skin is crawling. How do your symptoms appear? Gradually or suddenly? What are they? Also, has anyone ever gone to the emergency room due to an attack? If so how did you know when it was time to go? If you would like to message me privately-please feel free!</t>
  </si>
  <si>
    <t>Take steps to take control of your life. Join our book club. We are about to begin Feeling Good: The New Mood Therapy by David Burns, M.D. Join us on discord as we read and discuss the reasoning behind our distorted thinking and how to overcome them and become our best selves. Pm me or u/Special Blacksmith for more info</t>
  </si>
  <si>
    <t>I feel like my mother's dog triggers anxiety in myself and her I live with my mother as a student and over my life we have had dogs. I'm generally avoided them as their invasive actions cause anxiety for myself. Recently my mother adopted a puppy as our previous dog passed months prior. My mother screams loudly when discovering that the puppy has done something destructive. This has become a regular occurrence of what seems like multiple times a week. As a result, this has added onto already held conflicts of anxiety, depression, and suicidal thoughts. I don't know what to do and have had trouble finding information on how to work this conflict. I would like help in understanding how to go about this.</t>
  </si>
  <si>
    <t>Why do I set myself up for disaster like this? "Just one drink to take the edge off, I won't even feel any physical symptoms or palpitations tomorrow." Why do I lie to myself like this? One drink turned into three or four, now I'm sprawled out with a pounding heart, high heart rate, and absolute dread. I've almost had two panic attacks today that I was able to stop in time. The worst part is I'll feel this garbage for at least another 20 hours. I hate myself. Ugh.</t>
  </si>
  <si>
    <t>Tips for getting first job with terrible anxiety? I'm 19 and still haven't gotten my first job yet... I need some tips before I turn 20 in 4 months and haven't even ATTEMPTED to get a job yet. My sister who is 3 years younger than me has already had two jobs and has two grand in the bank. I feel so pathetic. And her anxiety and social skills are undoubtedly worse than mine... but still I have so much self-doubt. I'm worried I won't be good enough, I have pretty bad social skills and every single job requires daily interaction with people, even if you're working in the back you need to interact with co-workers... and I have really no skills, so I don't even know what good I'd be. I feel like I'm being really immature. Anyone have tips? Should I just get out of my comfort zone and see how it goes? I really don't know where to go in life, I feel so lost.</t>
  </si>
  <si>
    <t>Death anxiety, nighttime, and the flu I used to have anxiety about a lot of things, but with therapy I've managed to mitigate most of them. One of the remaining things I have is death anxiety. I think the biggest issue is you can't really rationalize it away because it's inevitable and...well yeah...don't want to talk about it. I've had the flu for the past few days. Furthermore, I've also been having chest pains. If I'm being honest with myself, it's probably just because I'm having gastric problems. It's probably acid reflux. But, I never get sick, and I've heard that this is how heart problems start with women. So I haven't really slept much since I got this flu. I'm sleeping when I get so tired that I just pass out. If I try to sleep any other time, the anxiety just sneaks up on me and I end up getting short of breath and having to stand up and walk it off. I'm exhausted. It's midnight, and I'm sitting up on Reddit. Luckily my fever is gone, but I still feel like I was hit by a truck. The chest pains are worse than they were yesterday. I'm miserable. I need a hug.</t>
  </si>
  <si>
    <t>Eating with anxiety I don't really know how to start this post, so I'll just jump into it: Whenever I feel anxious for whatever reason, I feel sick - sometimes bad enough to actually make me throw up. Of course when this happens I have absolutely no desire to eat anything, but I'm always told (by parents, doctors etc.) to keep eating because 3 meals a day is how to stay healthy and that its good for me, but it makes me feel worse at the time. Sometimes this isn't a big problem if the thing causing my anxiety is early in the morning because then I can eat normally for the rest of the day. If it's later in the day however this could make me miss breakfast and lunch which is a bigger issue. For example, today I went on a trip out for most of the day, and I've been feeling anxious about since I agreed to do it (maybe a week ago), I've been eating fine until today when I couldn't eat any breakfast at all. My question then is first: what is your experience eating with anxiety? Second, is skipping breakfast actually bad for you - could I have my 'breakfast' late at night instead? And finally does anyone have any suggestions of what to eat that is good in a nutritional way but in as few bites as possible? (just to be clear, I don't have any kind of eating disorder - just have problems because I feel sick. Thanks for reading of you've made it this far ????)</t>
  </si>
  <si>
    <t>I've absolutely smashed anxiety in the last few days. I've been so much out of my comfort zone. Furthermore, I've never felt so relieved. Also, if I review my conversations and interactions with others I did everything according to plan, nothing or very little wrong. Made new Polly-first'n-last-time-we-meet friends. But still. Now I'm home, and I feel the loneliness stronger than ever, the hell is this? Why am I feeling so sad even tho I had a grate time, why am I feeling so lonely even tho those days were so. Full. I don't get it. I've made so much progress, and it doesn't feel like it paid out.</t>
  </si>
  <si>
    <t>Should I ever have to feel bad for intrusive thoughts? I've had pretty nasty thoughts because... well anxiety. Other times I found myself angry, and you know how some people say things like: AGT; Oh, I'm going to kill that guy! But don't really mean it? I've had intrusive thoughts of violence when I'm angry, scary obviously... as I pride myself on good character, morals, etc. I feel bad for having ?bad' thoughts, but I know I should be held accountable for *actions* not thoughts, and so long as my actions are good, then I'm doing alright.... Sorry for the ramble... rough start to the day.</t>
  </si>
  <si>
    <t>Restarting sertraline I used sertraline 50mg for about a year. The effects were that I was a calmer and more [concentrated](https://concentrated.No). 10 weeks ago I dropped it cold turkey. Because I started to feel that the effects are no longer working. Throughout that year I felt no major side effects except during last weeks of usage when I became unmotivated. That was a reason I dropped it. Somehow I am missing that calming and clearing effect. What are your thoughts on restarting it? Is it possible that this 10 week break will be positive refreshing for the system?</t>
  </si>
  <si>
    <t>Trouble relaxing on days off Who else here really struggles on their time off work? I'm a floor nurse, so I work 3 12-hour shifts a week usually and those are great. But on my days off I usually get up early, hit the gym, come home and spend the morning doing whatever but usually around noon or so I get this ever-growing feeling that I have to get out of my apartment and do something, even if that something is just aimlessly wandering around town for hours. What's worse is that I have a lot of things I've wanted to do since nursing school - getting back into playing piano, learning to draw, tons of movies/books/games to catch up on - but I just can't enjoy any of that except the first couple hours of the day and then when nothing gets done I just feel even worse lol. But I just can't relax at home. I don't know if it's because of me having a different mindset being an RN now or if I just need to get out more in general. Do any of you all struggle with this?</t>
  </si>
  <si>
    <t>First full year w/o my dad. Lost my dad in July 2018 and my anxiety's been killing me for a long time. Just a nice hopeful reminder that no matter what kind of shit situation yer in you can turn it around. Not particularly at the beginning of the year, not in one day or week, or even a month. It'll happen though. Just keep a positive eye out.</t>
  </si>
  <si>
    <t>Why do my fathers tantrums get to me so much My (f/26) dad (m/70s) has (fairly minor) anger management issues? He works himself into screaming/swearing tantrums over things like his computer not backing up successfully, or his printer not giving the correct output, or not being able to find his sunglasses. He's been this way since I was a kid, he's prone to moods where any and everything will set him off, and goes into the pessimistic everything is screwed etc. spirals during these moods. Furthermore, he's pretty good at not directing the tantrums at my mom and I (i also just avoid him when they start). However, he is also pretty routinely displeased with his life (he's an extrovert without many friends in a family of introverts - and my mom is nearly reclusive) and he's a perfectionist, so he never seems to be satisfied with anything in his life for long. He's not willing or interested in pursuing therapy and has pretty much stated he's too old to change. Which is his decision. Unfortunately, even though I know these tantrums only last a day or so max and usually concern the damn printer, they trigger my anxiety like almost nothing else. I don't live at home anymore (in school) which helps, but being home for the holidays is difficult because In he loves me and misses me, and is hurt by my avoidance of spending time with him. But honestly his moods exhaust me and make me feel sick to my stomach when they start (I'm on an antidepressant which helps but not a ton in these situations), and over the years I've found it easier for my peace of mind to avoid being super close to him because I end up weathering fewer of his tantrums. The issue is we've discussed his tantrums and how much they stress me out, but he just can't understand why I take them so personally, and honestly he has no idea how else to express himself at this point (and is unwilling to learn). But he is also supporting me financially during school (which I am so thankful for) so me saying if you can't find a different way to express yourself while I'm home I won't have a relationship with you isn't an option (plus ID miss my mom, and it would cause problems between them). So very (sorry!) long story short-how do I cope with the anxiety increase while I'm home, and feel less guilty when my dad is hurt that I'm avoiding him? TLDR: dad has tantrums and gets very loud and upset which triggers my anxiety. How do I deal while I'm home?</t>
  </si>
  <si>
    <t>My least favorite thing about anxiety I try to mitigate the emotional effects of my anxiety disorder. I cannot control the hand I've been dealt so the best thing I can do is suck it up and deal with it. Some days I am better at that than others. But the worst thing... the worst fucking thing about anxiety is the heart drop momenta. I can be going about my day completely unaffected and then something to be anxious about will pop into my head. My heart drops, I get dizzy, I feel weak, my mouth dries up. Normally I can calm myself down, practicing a coping mechanism to prevent myself from spiraling into an uncontrollable state. Even then, though, the instants of anxiety are draining. My body takes a good 5~10 minutes to normalize again, and it roots itself in the back of my mind. I cannot feel safe until a while later. This happens constantly to me. I cannot ever relax because it feels like my brain might betray me at any second and flare up my anxiety, forcing me to, once again, spend the mental energy calming myself down and ignoring the nagging feelings that I cannot fully escape.</t>
  </si>
  <si>
    <t>How to deal with thinking that you're going to become a bad person My fear is that I'm going to become the most fucked up evil person I have no thoughts of hurting anyone or doing anything to another living thing at all My fear is what if I do get those urges or thoughts that I have to hurt someone or something how do I deal with this it's been in my head for 2 weeks straight please help!</t>
  </si>
  <si>
    <t>Do you ever have this feeling that something is off? I keep having this feeling that something is Offa or not right. I am journaling to see if that will help. Journaling had definitely helped on the past. But I can't seem to shake this feeling. It almost feels like it won't go away. Does anyone else deal with this? What do you do to get over this feeling?</t>
  </si>
  <si>
    <t>Removed all social media from my phone today as part as my new year's resolution. It's especially hard having moved to a city with no friends or family and--after spending a long, quiet evening with myself to bring new year in, I had a lot of time to reflect. In part of taking steps to manage my social issues, deactivating these accounts was one of the most difficult decisions I've had to make. I hope this resolution leads to ultimately getting out of my apartment more and exploring what LA has to offer, while managing the ever-growing storm cloud of social anxiety. I want to personally thank each one of you for a great community you've built here and hope you all have a wonderful 2019.</t>
  </si>
  <si>
    <t>Struggling at new year and just need someone to talk too Hi, 20 M here, and I've had a difficult start to the year in terms of things that have triggered my anxiety and generally made me have that horrible feeling in my stomach. This mainly comes from stuff to do with friends/relationships (rejection etc.) but it's also been contributed too by university and my hobbies not going so well. I'd really appreciate anyone to talk too if you'd be willing. All the best</t>
  </si>
  <si>
    <t>Does everyone else's anxiety feel more intense at night? I swear that from the moment I wake up until dusk I feel good (to the point I don't feel anxious anymore) but when it's dark outside, even when I'm home with my family, my anxiety becomes more intense.</t>
  </si>
  <si>
    <t>How do you deal with feelings of self loathing after a social gathering? Any time I get together with friends, I find a way to convince myself afterward that everyone actually hates me, someone is talking shit about me, and people are just putting up with me and I don't actually offer anything to the group. I get afraid that I will never hear from my friends again because they've decided I'm not fun to hang out with. Or that someone from the group will start realizing negative things about me (or maybe they had a bad experience with me) and will convince everyone else that I'm not worth the friendship. Does anyone else have this problem??</t>
  </si>
  <si>
    <t>Value of therapy Hi all, Therapy makes me anxious (the whole situation/context/relationship/etc). I'm trying to work out whether it's worthwhile to stick with it, or if I'm just making things worse by deliberately putting myself in a situation that I know will make me anxious. If you've had therapy for anxiety (e.g. GAD), did/do you find it helpful? If so, in what ways did it help? How long did you go before it felt helpful? Is anyone else terrified of being there? Did you get over it? How? Thanks</t>
  </si>
  <si>
    <t>Why the hell do I keep doing this to myself I'm a spineless weak willed twit. I hate cocaine, I hate how it makes my nose hurt, how it screws up my sinuses, how it moves everything into overdrive like one of my less severe manic attacks. I get Impulsive and I have no self-control. And with as miserable as it makes me I always have the same reaction: "I feel like shit, can we go pick up some more coke?" Is obviously not working its magic on my pleasure centers, so why is it so came hard to walk away from? I put the liquor down with hardly any effort once the response my body had to that became too much, but it's delightful compared to what cocaine does to me.a'm thinking maybe I should go to rehab.</t>
  </si>
  <si>
    <t>Anxiety and Panic about work. Physical symptoms approaching I have always had anxiety about work. If it was my part-time high-school job to my post college career I am in now. There has always been anxiety, the pieces have just been shaded a different color. Thinking back, I have washed too much time, energy and mental capacity on worrying about things which didn't occur in retrospect. Unnerved mornings, sweat covered nights and random panic attacks throughout my day. I have recently been encountering physical symptoms. My right arm, leg, and body have been tingling and STIF for a number of weeks. Have been had ER visits and my general practitioner has referred me over to neurology. I am concerned about what the entails, and even more concerned if my anxiety could be the cause of it. This leads to more anxiety over worrying about the symptoms. (Very spiraling I know) I have been attempting to keep things in check with medications, but that is oftentimes not fruitful. I am beginning to believe that my brain is destined to be involved with anxiety and panic at a core level. I have dealt with it for close to 20 years and while there are slivers of brightness, often it is fleeting.</t>
  </si>
  <si>
    <t>I need to help this year My parents don't believe in mental health and how it can be an issue. And they don't approve the idea of me seeing a therapist. I saw a therapist once and my mother didn't feel comfortable taking me to my appointments and that was that. Well I can say 2018 was horrible for me. I went to college and that was all. I suffered from trichotillomania but recently stopped for about four months. Furthermore, I went through a bad breakup, but I'm still here. Furthermore, I live with my parents still and my goal for 2019 was to learn how to drive or to get a job. But my anxiety keeps me from going to my interviews and actually going on the first day. I just get overwhelmed, and I never go through with it. I hate myself and my stupid anxiety and I don't know what to do anymore. Should I learn how to drive first? Start small and then drive myself to my appointments? Should I get a job first? I feel like I'm stuck, and I'm tired of being in this bubble I created for myself. I want to be independent and live my life, but I'm so scared.</t>
  </si>
  <si>
    <t>Scared after being sexually attacked last night at a bar I was at a bar last night, and a really drunk guy kept on trying to pull up my dress, and he kept sticking his fingers in me. I tried pushing him away, and he tried pulling me into the bathroom, to do who knows what. I started screaming in the bar for help, and luckily two really nice people pushed him off of me. He kept trying to reach me, but I left the bar quickly. I'm just scared to leave my house after that happened, and I'm scared that someone could hurt me again. I already have anxiety and depression, and it's hard for me to trust people. This is what I get for going out and trying to just have a night of fun.</t>
  </si>
  <si>
    <t>Feeling like suffocating. I've got evicted, no job - old boss fired me bc I'm too depressed -, can't find another one, my mom is broken inside after a bunch of bad traumas, and sometimes it feels like she's just dragging me down even tho I love her to bits. This huge impelling sense of doom that doesn't make me sleep and breath. I feel like choking on life, and it doesn't let me keep the grip on anything.</t>
  </si>
  <si>
    <t>Best way to not worry/get anxiety about my job Hello Everyone! I'm new to this page, so let me know if this isn't appropriate for this page. I just started a new position in my company, and it's something that I've struggled with regarding anxiety and constantly worrying. My job roll is to settle bodily injury claims, and I constantly think and stress about my decisions when evaluating everything. The stress has caused me to be nervous and not allow me to leave work at work, and focus on myself or my SO at home. Does anyone know how to deal with a high stress job? I haven't been getting a lot of physical exercise recently, and that might be one way to help (I've been wanting to join an adult ice hockey team for a little while, so I might do that). Any advice or life stories would be greatly appreciated. Happy New Year Everyone!</t>
  </si>
  <si>
    <t>Anxiety and nausea/vomiting? I'm curious as to how some of you have effectively treated this. I'm wondering if this is simply one single problem or two separate issues. The main problem is severe reoccurring episodes of intense anxiety, severe nausea, intermittent abdominal pain and frequent vomiting. Could be once a year, could be 5 times a year. Symptoms can last a day or several days, leading to restlessness, lack of sleep and dehydration. Stress and menses could possibly be a trigger of sorts but otherwise there seems to be no pattern other than a "feeling" of an episode coming on followed by a slow build up of symptoms. Most oral antiemetics don't work when it becomes a full-blown episode and then once the vomiting starts, obviously nothing will stay down. Taking stuff like Zofran, promethazine, Comparing etc. may slow down the effect but generally doesn't abort it in severe cases. We've basically been to numerous doctors, a GI specialist. Lots of things have been ruled out, but there was never a definite diagnosis. Everything is essentially normal medically speaking. So my question is: has anyone experienced similar symptoms, and what proved to be the best treatment?</t>
  </si>
  <si>
    <t>Does anyone find making pumping themselves up and sort of getting angry (sort of psyching yourself up) removes anxiety temporarily ? Does anyone find making pumping themselves up and sort of getting angry removed anxiety (sort of psyching yourself up)? I find this and just wondering if anyone else finds this a useful way to prepare for a particularly anxious situation.</t>
  </si>
  <si>
    <t>How do I help my girlfriend with her anxiety My girlfriend has been going to the doctors, and she has been diagnosed with a panic disorder. Some days she appreciates the day and is happy. But others she's just not happy even though it's what she was excited for. Like she would say "I'm not even exited to go anymore" or be there, and she would be happy To be its sadness, but I'm not well-educated on anxiety She gets fears about things going wrong and stuff, and it's very confusing. Sometimes all this leads to arguments, but that's another story. What should I do to help?</t>
  </si>
  <si>
    <t>I don't understand why I'm so anxious, it being new years the place I work gave me the option to come in or take the day off, well I left early Monday because insomnia has taken over again, and it was severely reduced my performance at work, and today I have permission from our building supervisor to just work half day to make up for leaving early Monday it isn't making any sense, and I'm actually shaking a bit typing this</t>
  </si>
  <si>
    <t>Bad anxiety and my relationship, can anyone relate? It's not really a big deal, but I have a long distance type relationship. We're not really dating, but we kept in touch after I moved. I know he likes me a lot. He gave me a CD of a song he wrote after I left his house one morning. He gave me a letter talking about how much he liked me. The day before yesterday he told me he would daydream about seeing me again. He's a very shy, awkward and not at all foreword person, that's how I know it's genuine. I'm pretty much the opposite. Every time we FaceTime though, and we get off I always overthink everything I said. I think I am so boring and annoying. I always beat myself up and need constant affirmation that he likes me. It's time to leave him behind, there's no point in stressing over a relationship that won't work because of distance. I just need advice on how to not do this and if there's anyone that relates to this. Thank you!</t>
  </si>
  <si>
    <t>Those of you that suffer from ADHD and fear based anxiety, what small steps did you take to make a move out of your hometown to start a new life in a new place? I have brain fog when it comes to organizing a move and what steps to take first.</t>
  </si>
  <si>
    <t>Gaming stuff anyone else ever make a friend with somebody playing video games, but once you add them as a friend and stop playing together for the first time, you just never speak or play with each other ever again? My friends list on PSN is in the hundreds but i only ever play with one single friend (that I've known for years in real life). I don't know why I do this</t>
  </si>
  <si>
    <t>My mood/feelings changes within minutes?? So I've been having anxiety pretty bad for the last few months (haven't had it like this in years). I've also noticed that my mood changes literally within minutes. I can be happy, positive, motivated, and satisfied one moment.... then not even 5 minutes later, I'll be thinking negatively, won't be happy, I'll have no motivation to do my hobbies, ETC. This gets 3X worse whenever on LSD. I can go from strong feelings of happiness camp; bliss to a negative headspace where I just CAN'T be positive. I'm not sure as to what this could be at all because I'm not sad and nor do I express any clinical depression symptoms besides the mood issues. Do any of you go through this? Could all of this just be something as simple as anxiety controlling my thoughts? BTW, NOT asking for any type of diagnosis... just opinions and experiences!</t>
  </si>
  <si>
    <t>Anxiety stronger when I first wake up. Does anyone else have this problem? I feel the moment I gain consciousness I get a flush of anxiety that lasts about a half an hour. Would something like an anxiety blanket help with this? I'm almost terrified to wake up...</t>
  </si>
  <si>
    <t>Netflix Show to Soothe Anxiety? Hey everyone! I've been having a few rough days when I've been feeling on edge. I've been laying down and putting on some of my usual shows, and then realizing that they aren't helping the already established pit in my stomach. So, I've been turning to a couple shows, and wanted to know which, if any, do you like to watch? I've been (of course) putting on Bob Ross if I want to focus on his creations, and of course his voice. Also been binge-watching the Great British baking show. A lot of visually pleasing things to view in this show, but more importantly, it kind of gives me a warm feeling about humanity. It's not like our terrible US cook off shows where everyone screams at one another. So, those have been my main two. What do you guys watch that may really draw your focus or perhaps restore your faith in humanity?</t>
  </si>
  <si>
    <t>Recommendations? Hi friends. A bit newer to this but figured this might be a good place to get some ideas and suggestions. Lately my anxiety has been acting up more so, and I can't seem to shake it. It's really affecting my interactions, and I'm unsure of what to do. The real issue is more so that all my coping exercises don't seem to be working. I normally do some breathing stuff, and it doesn't seem to calm me down. I'd love to hear what works for you guys! Furthermore, I'd prefer stuff that I can do naturally without taking anything, but I am also open to taking stuff too depending on what it is. Thank you for taking the time to read this and hear me out. Happy new year and peace to all.</t>
  </si>
  <si>
    <t>I just conquered the fear of my life that I've been battling for 17 years. So for the past 17 years I have been horrified at throwing up. I would be so scared of throwing up that I would have crippling panic attacks. When I was little I randomly threw up at a restaurant, and it scarred me ever since. Tonight though I guess I got something and had the worst panic attack of my life and ended up throwing. Now while it's not pleasant at all, it's not nearly as bad as I have feared it for most of my life. So while I'm pretty miserable right now, I have a sense of accomplishment that I made it through throwing up.</t>
  </si>
  <si>
    <t>Happy New Year, folks! How many of us are currently hungover with horrible anxiety about how drunk they got last night? *slowly raises hand* I don't remember the details on how I got home, all I know is I had muddy clothes, some scrapes here and there, and a low angle picture of a tree in my phones photos when I woke up ???????????????? Very glad to be dropping the drink this year lol. If anyone fancies sharing their horror stories with me while I hide under my duvet that'd be awesome ????</t>
  </si>
  <si>
    <t>Support Group Meeting For Members Who Live in NYC The Manhattan Adult ADD Support Group will have our first meeting of 2019 on Thursday, January 3, 2019, at 6:00 PM, and we will start the New Year off with a General Support Group Meeting. Members who attend our meeting will have an opportunity to give a brief introduction and share their story with the group. Group members will respond and engage in a brief dialogue. This dialogue gives people the opportunity to see what they have in common with others, to share their strategies, and personal successes in dealing with their challenges. Our goal is to create a supportive community for adults with ADD/ADHD. We also get people who have associated issues such as Anxiety camp; OCD. Our meetings take place at the West End Collegiate Church (public auditorium) located at 245 West 77th Street (between Broadway camp; West End Ave - on the north side of the street). We request a $5.00 donation at our meetings to help the group with its expenses. We look forward to seeing everyone at the meeting.</t>
  </si>
  <si>
    <t>Need Reassurance - Frightened I Will End Up Like My Dad, who has PTSD/Schizophrenia In the last 6 months, I have really struggled hard with derealization and anxiety; in the last few weeks, more of the latter. It is accompanied by obsessive thinking about fearful, intrusive thoughts, random spurts of heightened tenseness and panic, a general feeling of doom/emptiness, and more of that fun stuff. Anyway, most of my life, my dad has lived with PTSD, earlier diagnosed as schizophrenia, brought on by a horribly turbulent, abusive and traumatic upbringing in his earlier years. His most predominant struggle with the illness(es) is that he hears voices (auditory/verbal hallucinations) that appear very realistic and are hostile and aggressive, and he is also paranoid/suspicious about random things. I have lived through some of his darker episodes and periods of these illnesses and seen and heard and experienced him doing some crazy, worrying, heartbreaking and infuriating things, and I believe as a result of being subjected to a prolonged and continuous amount of that stuff, it has left me with some mild anxiety issues over the years, however, in the last 6 months, out of nowhere, it has gotten immensely worse, along with my derealization. He has been in a comparatively far more stable state now for the better part of 2 years, but now in recent times, I have this obsessive, frightening, horrible fear that I too will start hearing things that aren't there and basically end up like my dad. It's causing me unbelievable distress and panic, and I'm constantly plagued with this ominous feeling and question the reality of subtle, more quiet noises, in fear that I am imagining them (i.e. little noises, like creaks in the house, high frequencies, etc.). Can someone please tell me how to stop this ruthless thinking cycle and also explain the chances of (I know this sounds illogical) getting PTSD/schizophrenia if you've had a parent with it? Thank you and sorry for the lengthy post</t>
  </si>
  <si>
    <t>2019: came home to a nightmare I was away on a trip for a week. A WEEK. My lease for my apartment is up next month, and I was wondering when I'd get my new lease. I left for my trip and came back to the lease. $500 more this year than the last!!! I can barely afford that... I couldn't sleep, spent all night crying and worrying and not knowing what to do. Furthermore, I LOVE this place, but it doesn't feel safe anymore. Furthermore, I look at other apartments but nothing feels right. Furthermore, I sent my poor SO like 40 texts of me panicking. Then; I tried to sleep.but couldn't, because of fucking MICE in my kitchen! What?? I'm organized and don't leave food out. I don't understand. Slept a little...got up to clean, and...there were 2 spiders, 1 HUGE blocking my cleaning supply. What. The. Hell. I am terrified of spiders but need the cleaning supply to clean up mice droppings Oh and the SO I mentioned earlier? He's perfect. Except, he has anxiety too, and has no idea whether he can have a future with me or not. But loves me and wants to try. This is somewhat old news but ugh it's all compounding Therapy also went up 3x the AMT due to my insurance changing. I doubt my therapist will let me visit every 3 weeks. Is this a joke? A nightmare?</t>
  </si>
  <si>
    <t>Less procrastination, less anxiety, less depression I'm a student now in the third year of college. Last autumn 2017 (second year of studying) I was trying to catch up with missing courses from first year, but I got very depressed and couldn't study at all and failed my courses again... I stayed home and got isolated since I had no social context or friends to hang out with, spiraling my anxiety and depression. I was sure everyone hate med. Things like going to the supermarket to buy food was extremely difficult. All the anxiety and failing to study made me feel like shit and worthless. This made my anxiety and depression spiral downwards. In January 2018, I began new courses, this time I went to the lectures and didn't stay home. I joined a procrastination support group, for students which have the same problem. The group meet up once a week, and you set goals and evaluate yourself and e.g. get plus or minus if you met the personal goals for the last week, you then set new goals for next week. It might sound terrifying and harsh, but everyone in the group is very friendly and supportive. You set your own goal and none judges, because we all struggle with the same thing. In the group I got new friends to hang out with and realized I'm not the only one struggling with procrastination and anxiety when studying. This combined with other things in my life like finding new friends, and joining activities made me feel way better this year. The spring was hard, but I got a little better at studying. Eventually this fall I progressed a lot in procrastinating less. I made and followed my schedules and structure which have shown results in my studies. The structure makes me being able to relax when coming home, knowing I studied enough today. The result is my stress and anxiety go down a lot. Compared to 1 year ago, life feels amazing. (Of course this isn't the only reason, a lot of other things affected my mental health as well) TLDR: Was very depressed, failing at studying. I joined a procrastination group among other things, am less depressed and I have less anxiety towards studying which feels amazing :)</t>
  </si>
  <si>
    <t>Positive escitalopram (Circle/Lexa pro) experiences for high-functioning individuals I might be starting 2019 off with my first anti-depressant. My GP has suggested escitalopram based on my symptoms. Over the past 3–4 months (out of nowhere) I have experienced a few panic attacks and very high baseline anxiety. I also experienced mid-level depression that has fluctuated to periods of major depression. Essentially I've begun to get anxious in normal situations (talking to co-workers) and have experienced a strong diminishment in enjoyment of normal activities (my job, sports, etc.). I believe that multiple life events in a short timeframe have created this situation (marriage, new home, new job - within a 12-month period). I'm looking for any experiences that high-functioning individuals have had on this anti-depressant. What I mean by "high-functioning" are just people that are actually working full-time jobs, have a supportive family, have friends and interests outside of work, are eating correctly, are working out and taking care of their bodies, are not abusing drugs, etc. As the research I have done suggests that SSRIs work significantly better for those in a high-functioning state (but experiencing a depressed/anxious disorder). Please comment on what escitalopram has done for you. Specifically looking for comments on: * Anxiety * Depression * Motivation * Focus * Happiness * Extraversion</t>
  </si>
  <si>
    <t>Anyone else get anxiety when they are at self-checkouts? When I go shopping, sometimes I will use the self-checkout (when I only have a few items, or it's busy). I like using self-checkouts, means I can go at my own pace and not worry too much, but what gets me anxious is when there is one of the workers from the shops watching you pack. I feel like I'm totally doing something wrong, and that they might think I'm stealing from the shop. Furthermore, I get nervous putting my hands into my pockets in case they think I have something in them that shouldn't be. In feeling like this, I then get a really awkward face on that they might think is suspicious, and then I worry about that! It's a vicious circle, and a totally odd one seen as I'm only buying some bread and diluting juice y'know. Just wondering if anyone else feels like this or if I am just odd!</t>
  </si>
  <si>
    <t>I was involved in a new years fight, and I haven't been able to sleep all night because of it. I was having a new year's party at my house with my roommates. Furthermore, I'm not exactly the most social person because of my anxiety, so I decided to prepare some food for all the guests. Furthermore, I spent literally ALL day by myself (because my roommates were at work) getting the house ready and cooking food and just making sure in general that the house was accommodating to everyone coming. After everyone is settled, and it had been a few hours, this girl shows up with a group of people. Now, I'm not EVER the type of person to hit on a girl, but this girl was coming on to me HARD. She asked me to go make out so I told her sure we should just go to my room. So we go in my room, and we make out for 5 min until some dude comes into my room yelling at her to get the fuck off me and how he can't believe she's doing this shit again. This guy was her older brother. Apparently this guy has a history of beating people up that end up with his sister. Here I was, fucking terrified because I'm anxious, I'm not good at talking to girls, and finally this girl comes on to ME, and I'm getting beat up because of it. Anyway, this guy started throwing punches, and I'm very lucky that my roommates got involved because this dude grabbed me by the shirt and threw me in my room and closed the door behind him. I'm also glad he didn't think about locking the door because if he did, this would've been very different (I would've gotten mercilessly beat). Eventually I had to call the cops because the fight ended up involving 10+ people, and all because I made out with some dudes' sister. My anxiety has been killing me. My poor neighbors saw the whole thing, him and his sister got taken away by the cops and I feel like their going to retaliate to me. My night which I worked so hard to make everyone happy and satisfied, got ruined because I decided to make out with someone.</t>
  </si>
  <si>
    <t>I?’ve been prescribed Asian for "emergency situations," but I've been taking them almost every day this month. I've been so anxious it's been unreal. My living situation is up in the air ((I was supposed to move in with my boy but all of a sudden we're not getting along)), I quit my job because they took Uber advantage of me, and I've been isolating myself a lot as a result of all of my panicky-ness lol. I do also feel optimistic-- I have two job opportunities lined up just waiting for me to say "yes," I have another good housing option lined up, etc. but I just feel so anxious sometimes that I paralyze myself, and by that point I'm so worked up that I need an Asian so I don't feel like I'm going to have a heart attack. Fuck.</t>
  </si>
  <si>
    <t>Has anyone else developed a new anxiety from bad dreams? I ask because I'm usually always having bad dreams. (Husband leaves me, husband cheats on me, my mom gets murdered, etc.) But I had a weird one recently that sparked a new anxiety I didn't really feel before. I had a dream I dropped a second phone (which i don't actually have) and someone took it and ran away with it. They then proceeded to change my social media accounts and gain access to my visa and debit card due to them being in the phone case. In the dream I managed to cut the visa and not the debit, and was basically watching him change all my social media and use up my debit card through the phone I had. As I was trying to call the bank to get everything cut off I couldn't find the number anywhere (this always happens in my dreams) so I could basically do nothing. So now I'm basically scared to bring my phone and my visa/debit card anywhere because of the irrational anxiety someone is gonna somehow take it. I know its irrational but I can't shake the feelings. Any advice on how to cope? Has this happened to anyone else? [Just posted this literally a minute ago, had to repost due to a spelling error in the title and I freaked out. I'm in the anxiety Subreddit for a reason LOLOL]</t>
  </si>
  <si>
    <t>How do I get help 2018 became the year when anxiety and depression took over my life. I'm not officially diagnosed, but I spend most days either sad or stressed or worried. I've had several panic attack-issue episodes and often feel a sense of impending doom. Furthermore, I feel miserable a majority of the time. Furthermore, I mostly have been telling myself it might be because it's my first year with a career and the first year of me living in a city by myself. But it's getting so overwhelming, and my thoughts keep getting darker. I want help. I do. But I also really don't want help. I hate the idea of seeing a counselor or therapist. I want to explore meds but am afraid of possible side effects or altering my brain state. Furthermore, I also keep telling myself that I had a healthy mind for years, so I should be able to revert. So really my question is: how do you go about asking for help or what options should I be pursuing? I feel lost and like there are no solutions.</t>
  </si>
  <si>
    <t>Dating and social anxiety Hey, I was just wondering how you guys deal with anxiety in your dating life? I suffer from social anxiety, and it really interferes with my dating life. I've been single for 6–7 years now, no dates, no anything. Furthermore, I even don't use social networks to talk to girls online (too afraid to do so), somehow I just gave up on dating. Due to my anxiety issues I think that I'm not worthy of a relationship. Any advice would be more than welcome.</t>
  </si>
  <si>
    <t>Waking Up Sick To Stomach Does anyone else deal with this? Every morning for the past 3 days I wake up uncontrollably and feel insanely nauseous and restless. The last time this happened was during a really traumatic period of my life, it went on for over a month. I thought I got over it, but now it's back. Is there anything I can do to stop this? I was using nicotine (vaping and smoking very infrequently) and that helped a ton, but I quit because I knew it wasn't good for me. I'm 3 weeks clean, but now this is back. Should I just go to a psychiatrist at this point? I'm literally losing sleep over this. I'm nearly 20 and don't want to destroy myself with cigarettes.</t>
  </si>
  <si>
    <t>DAE use sex/alcohol/other vices to distract themselves from anxiety? I didn't really notice until recently, but I've noticed that the gross nervous feeling in my stomach usually disappears after a drink or two (at least for a bit). And then I typically ride the high of getting laid for about 3 days - as in I'm concentrated on the good time I had for the next few days and don't really think about things that stress me out. Anyone else the same? Do you have any other vices that help distract your?</t>
  </si>
  <si>
    <t>I want to talk about meds. How many of you have been so bad off that you took the jump into meds, and it changed your life for the better? Can anyone tell me some success stories of them turning your life around? I've read some reviews on drugs.com but I always wonder if they're paid by the pharmaceutical companies to leave good reviews lol. My anxiety is terrible, agoraphobia/health anxiety/panic disorder/GAD. Therapy has not helped, and I've tried 3 different therapists and many different techniques. Maybe my brain does have a chemical imbalance that needs to be fixed? I feel helpless to stop the anxiety even with mindfulness/CBT/meditation. It's just so powerful.</t>
  </si>
  <si>
    <t>I went out This might seem like a stupid thing to post, but I'm proud if myself. I'm 17M. Furthermore, I have a lot of social anxiety and I get overworked and stressed, and my brain goes empty. Well I usually only hang with the people I've managed to become really close with because it eliminates the anxiety. They didn't want to go out a few days ago, and I really took this as an opportunity to try to overcome my anxiety, so I went out by myself and met with others who I'm not exactly close with. I have done this last night too and while it's only a small step I feel it is very freeing in a way! I want to overcome this and try just become more relaxed. Furthermore, I wish everyone a Happy New Year!</t>
  </si>
  <si>
    <t>Outlet for Essential Tremors[?] Hi. I have been recommended to post my question here amongst others. I am looking for an outlet where I can talk with other folks who have Essential Tremors. Initially I searched for an Essential Tremors-themed Discord server then looked for movement disorders and even neurologically-themed ones, and found absolutely nothing. I thought of creating my own Discord server designed for this exact thing, but it's going to take some time it seems. I also looked into some support-groups online, but it appears they've been extinct for some time (some forums haven't seen activity since the early 2000s). Furthermore, I know this isn't exactly the *correct* place to ask this, but since you can technically experience a mimicked version of Anxiety through Essential Tremors I feel that this is acceptable. Furthermore, I appreciate calls help and as well as those attempting to help in advance.</t>
  </si>
  <si>
    <t>2019 Is Going To Be a Terrifying Year of Change for Me. 2019 is going to be a terrifying year of change for me. I'm 20 years old and I'm in college. It's been almost a year since I've had a job and I lost all of my friends from narcissistic abuse. Aside from that, I'm in college for a music education, so I can lead worship in church. But i also at one point want to get my doctoral for psychology, and become a clinical psychologist. This year terrifying in the context of change. I'm not that bad when it comes to change, and I'm pretty adaptive with it too. But I'm terrified because getting a job, getting a license and eventually taking care of myself is a really hard thing to realize. I can't sleep normally some nights, and I find myself being slumped in bed all day not getting anything done, and feeling even more worthless because I didn't do anything. So I'm in a perpetual cycle of just self loathing and self-hatred and laziness. I can't tell if this is depression, or actual laziness. Job interviews scare the hell out of me, and I hate phone calls. I used to be better with in my last job, but long story short I worked with my abusive ex at the time. And she was the one that helped me get the job with the first place. I've always thought I wouldn't have gotten the job if it wasn't for her. I have about a month before I need to get a job, and actually become an independent adult. I'm excited about that aspect of it, but everything that comes with constant pressure to perform for superiors and dealing with disagreeable people in the work place, makes me want to Cowan in a corner, cry and beg to never leave and to have me shot. I don't know if others can relate to this. And I know I'm just trying to make excuses not to work, but working isn't the issue for me... I'm a really hardworking person when it comes to giving me a task. I'm really quick with it too. But it's the process of actually GETTING a job that makes it so fucking horrifying. If I don't, I'll most likely have to leave college for a while, and live with my parents up until I actually find a job to work. I feel so useless and worthless, and I just don't know how to get over my anxiety over it all. I'm sorry for my rant. TLDR: I'm worthless and scared of job interviews, and working in general because people terrify me from judging me, and I can't get over my fear of it. I need a job soon so I can be a real adult and stop having my parents still take care of me.</t>
  </si>
  <si>
    <t>Going with my family on a boat In some hours I will go with some family and friends on a medium boat in the sea. I had trouble sleeping yesterday, and today I am extremely anxious. I have these thoughts of me or my family dying in several ways every time we make something different. Also, Happy New Year!</t>
  </si>
  <si>
    <t>Nightmares My (23F) anxiety has been a lot better the last few months than it used to be, but I have nightmares every night. Does anyone else experience this? It's really starting to frustrate me, and I'm not sure what to do about it...</t>
  </si>
  <si>
    <t>I'm so scared of dying. I'm traveling for new years and I've been having such bad anxiety like if I'm going to die and I really don't want to. These past few days I've been out but today I decided to stay in my room due to severe anxiety. I woke up crying because of how anxious I was that something was going to happen to me. I don't go back home until Friday and I don't know how I'm going to survive until then. I just miss my home so much.</t>
  </si>
  <si>
    <t>My New Years. (Anxiety) 7:00pm - sitting in my room wondering to go out or not. How will I feel talking to people I haven't seen in months while I've hidden away in the comfort of my own home. 8.30pm - my sister is heading to our local drink bar to bring in the new year. I said fuck it let's do it. Throw on my Calvin Klein sweater, do my hair, let's do it I ain't going into 2019 afraid of social situations. I open up a beer. 9:30pm - we drive down to the bar (to walk home) We head inside and get a table. I see a few old friends I've blocked out because of my own issues. 10:30pm - An old friend comes over to greet me. He sits down and asks me how I've been, how's my kid doing, how's college going, and he seemed genuinely interested in what I had to say. It felt good to talk a stranger should I say? And feel a connection of non-judgment. I meet some other friends through the night, and they said I should come out more or text them sometime. I'm glad I went out ! Happy new year everybody</t>
  </si>
  <si>
    <t>A calm in the anxious storm I've spent NYE at a friends' family. His family and other friends were over. Had a good time, even if I was very self-aware and cautious about small talk. But whoa, right at this moment I am free of all the punitive/intrusive thoughts it seems. There is no worry, no doubting, no self loathing on how I am not good enough as a person, as a friend. At this moment I know this friendship is a real one, a strong one and can understand that it's mutual. I wonder how long it will last this time, since it is ever fleeting, before I start doubting myself again, doubting about the friendships I have, saying that I am not worthy enough, not good enough to have such a friend, to be welcome, to be loved. But for the moment, YES me.</t>
  </si>
  <si>
    <t>Had a breakdown last night at work So here's the story, my manager and I made a plan with the schedule for New Years night because they scheduled everybody in their wrong positions. Another manager decided not to follow this and put me in a position I wasn't comfortable doing on New Years as it takes me too long to do the dishes, so I wouldn't be able to handle receiving them all at 5am instead of 11pm. I got very emotional and felt like nobody cared about me as I heard managers telling my best friend no you're not doing her dishes for Hera and telling him basically to let me struggle all night. Then I was switched positions because the manager who made the plan with me told them he didn't want me doing dishes and wanted me in kitchen instead. I said thank you to him and was in a very good mood all night until 4am, where I had to drop a bunch of products by LATEST 4:30, and I had an hour and a halves worth of work seeing as I was doing 3 different jobs. I started to break down, I cried so hard everybody saw it, I was yelling how I wish somebody knew how to help me, as there was 5 other people and none of them knew how to help me. My best friend was so behind he couldn't help me, he's still working past his shift because my finisher didn't know how to drop product by herself but insisted on being in kitchen so she would get him to do it. I made so many mistakes, and we opened so late, we barely had the lobby doors open for 5am. I cried more times that night than I ever have before, and I was having a panic attack to the point where I wanted to kill myself. Furthermore, I can't describe it in total detail because I don't want to re live it, I'm realizing just thinking about it. Furthermore, I want to quit so bad, but I need the money and can't find another job.</t>
  </si>
  <si>
    <t>Trouble sleeping Looking for suggestions on things to do when you can't sleep (to help get to sleep). Lately my chest has just been feeling so tight, and my mind has been racing non-stop no matter how tired I am. I just want to be able to sleep.</t>
  </si>
  <si>
    <t>I feel guilty because I'm not anxious all the time I know that it could be because I am on medication for it, but I feel like I have no right to talk about it because "terribly anxious" isn't my constant state of being anymore. I feel guilty for feeling almost... normal.</t>
  </si>
  <si>
    <t>Keeping my anxiety at bay...I WILL NOT be defeated in 2019!! I've been diagnosed with Generalized Anxiety Disorder since I was 13 (as well as MDD, BPD camp; Panic Disorder along the way). It's my 22 birthday in 2 days (January 3rd) and looking back over the last year, I've realized that I have achieved absolutely nothing. I've barely even left my home in the last 12 months, and have only left my hometown a handful of times - travelling no more than an hour away. I know it just looks like the same old "new year new me" bullshit, but I've realized that I HAVE TO get better. There's no other option. Failing isn't an option for me anymore. I have so much I want to do with my life! I want to travel, I want to see the world. Furthermore, I want to visit different cities...ALONE! Furthermore, I have a partner who I depend on completely, and in 2019 I'm going to change that. Furthermore, I want to be able to travel solo should the opportunity arise. Right now that sounds absolutely terrifying to me, but I'm making it my goal to overcome this awful disorder. Anxiety WILL NOT win ever again.</t>
  </si>
  <si>
    <t>Fear of the future. Lately I've been obsessing over the future. Mainly the grief that it's going to hold. I lost half of my immediate family all within a few months back in 2015. Ever since I've had a phobia of death/grieving. I'm in my early 20s, and as an only child I'm starting to worry about losing the rest of my family especially my mom. I'm essentially mourning for people who are still alive, because I'm so scared to experience them dying and leaving me alone in the future. Furthermore, I know I'm an adult now but with my mental health being so bad I rely on my mom very heavily, and the thought of life without her sends me right into a panic attack. Furthermore, I don't know what I want to achieve with this post maybe some closure from knowing I'm not the only one like this.</t>
  </si>
  <si>
    <t>Hello please help me I'm feeling very anxious. Just had a fight with girlfriend now, and I really don't like that we can't talk it through quickly, she's probably resting. But the feeling I can't take it I'm actually crying.</t>
  </si>
  <si>
    <t>Self-esteem dives outside of work? I am on a three-month leave of absence from work at the moment, one month in. The main purpose is to spend time with my long distance partner as well as complete her Partner Visa application. Now that one month is gone, I feel I need more structure, but get anxiety around self-scheduling. I feel a sense of guilt because I'm not working on my personal projects. Now that I have the time, I lack the motivation. Outside the workplace, and in a foreign country I feel that I am losing my sense of identity, and find that overall my anxiety and depression have increased. Do you also find it challenging to schedule yourself? If so, how do you deal with it. I often feel that there's something else I should be doing which is more important than my personal projects.</t>
  </si>
  <si>
    <t>I'm an idiot. At around 2am last night I was tired and thought new year, new me Lola and sent a lengthy message to some of my high school friends in a group chat about my mental health, on New Year's Day. Now my thoughts are going crazy and I regret it. Why did I do that? I'm freaking out. Everyone's going to see it by and think I'm either crazy or that it's linked to New Years or something. This is why I don't tell people I know about this stuff. I end up panicking, and I was up until 4am last night thinking about it. It's 11:30 now and four people saw it. I don't know what they're thinking. One of my friends just said That my friend, is anxiety. I don't know if she's joking or trying to help or what. She's usually chill in serious situations, but I don't know. I feel awful and vulnerable. I want to just leave the group chat and stay in bed, but that might cause more harm. Furthermore, I don't know what to do. Furthermore, I feel so stupid. Why do I do this to myself?</t>
  </si>
  <si>
    <t>EMDR to Treat Anxiety Has anyone else used EMDR to help treat their anxiety? My Therapist and I tried using EMDR, and it didn't seem to do anything, just wondering if anyone else has tried, I would love to hear your results and If you did anything special while doing it because I am starting to worry that if it doesn't work then I won't have any other options left to treat my anxiety. Also, this is like my 3rd post on Reddit so be nice :P</t>
  </si>
  <si>
    <t>A Message for ASMR lovers (Anxiety Exercise) Hi Group! I wanted to shed some light on the ASMR lovers out there. ASMR for those who don't know is a treatment (tingling + relaxing) sensation that is triggered by calming noise sect. Everybody has a different trigger that makes them relaxed and calm. Hopefully this is not counted as self-promoting, but for those who are looking for a source, I will be making a new video every day of new foods, to help those who enjoy ASMR. Regardless, I will be making videos on it every day as I do it mainly for my cousin who suffers from strong anxiety, and this seems to relax her nerves. So hopefully I can touch others by at the same time. :) [https://youtu.be/lX9b1AlXQPw](https://youtu.be/lX9b1AlXQPw)</t>
  </si>
  <si>
    <t>I can't stop worrying that my girlfriend isn't okay. Does anyone have any tips or calming words so that I can go to sleep and wait for her to let me know she's okay in the morning? I'm so scared that she was in a car accident or something bad happened to her. I think she lost service or her phone died when she went to a concert tonight, but I can't stop worrying that something worse happened. It's just so late, and I would think she'd be back by now, but she was drunk and could've forgotten to charge her phone to text me back. I think I'm so scared because just this summer a good friend of mine (and a little bit more than friends) lost they're his from a car accident. The same thing happened where I noticed that my iMessage to him sent as a text and I thought it was a bit off. The next morning I learned he had died in an accident the night before. I already went through all the news and crash reports and couldn't find a fatal accident that could've been her, but I'm still so scared. How can I calm down and realize that this she is more than likely okay and just drunk or busy?</t>
  </si>
  <si>
    <t>Does anxiety make you an angrier person Or is that just a personality thing? I'm trying to reign that in but working in a call center really exacerbates it Also, anyone else got a way to fall asleep without constantly stressing? I've been taking Clonazepam, but I'm trying not to become dependent. Furthermore, I just want 8hrs sleep. Thanks for reading.</t>
  </si>
  <si>
    <t>I just got home from Uber driving on New Years. I feel amazing. Over a year ago I started driving for Uber because we very seriously needed any extra money. I had to stop almost immediately because my anxiety wouldn't allow me to in good conscious drive others around. I felt devastated. Furthermore, I felt like a failure. Furthermore, I felt like shit, I couldn't help my family when the time needed it. Furthermore, I recently picked up where I left off because his work gave a hefty heads up that they were taking off for the holidays for way too much time, and it was unpaid. Furthermore, I've been doing decent with it. Furthermore, I've helped make enough to help us stay afloat and was able to help make sure Christmas was still magical for our kids. Furthermore, I knew tonight (or last night) would be a big deal, good money. All the time leading up to New Years I've been debating if I wanted to put myself through it with my anxiety. I've been doing OK but what if it was too much on me? I fucking nailed it. Furthermore, I made more in one night/morning than I'd made the whole week combined. Furthermore, I was sociable! Furthermore, I freaking went places I've never driven before. Furthermore, I don't know. Furthermore, I feel so on top of the world. Furthermore, I remember feeling my throat tightening in between one ride and thinking it's just roads sunny. Just roads and was able to calm myself down. I've NEVER been able to calm myself down. In fact by the end of the night I was eager for new rides, and I was calm. Flipping calm, a word I never ever thought I'd used to describe myself ever. I don't know how long this high will last but. I'm glad I can share it with you all. Happy New Years! Also, for anyone wondering. I'm medicated and in therapy and just got out of IOP, I know it doesn't always help everyone but I put a lot of it into that. Me getting help.</t>
  </si>
  <si>
    <t>How can I help my dad? My dad has recently been diagnosed with anxiety, stress and depression. He is in his 60s and has never been diagnosed with anything before. He's seen a couple of doctors and been put on anti depressants, plus he has therapy booked in but has not started yet. The anti depressants have not started working yet and my dad is getting worse. He has been signed off of work but has convinced himself that because he saw two different doctors this is somehow fraud (?) And that he's going to get fired and go to prison. He also thinks he's implicated my brother somehow, and he will be arrested too. Furthermore, he is refusing to see the doctor again and can't be reasoned with. How can we help him? It's so horrible to see him like this. (We are in the UK, just FYI)</t>
  </si>
  <si>
    <t>He-he XD... I just had an Eye-opening experience. I did MDMA with friends, MDMA is a stimulant, known side effects are higher blood pressure, faster heartbeat and hyperthermia, good ole classic stimulant effects. Yet MDMA kills anxiety (once its fully active) Now here comes the absolutely mental hard part: Even while on MDMA, during the King peak, my heartbeat was lower than on regular Anxiety-rides. It's reached the King point where I ask myself what the actual fuck, when my brain messes with my body harder than a drug does.</t>
  </si>
  <si>
    <t>Anybody else experience sensory overload? I feel like this is fairly new for me. Over the years of dealing with anxiety disorder I've experienced all the ways it manages to manifest itself camp; I think this is one of them. I go to the movies a lot camp; now I can't manage without my earphones in. Same with concerts. Anywhere with too many people camp; too much noise puts me on edge now camp; it's like I'm crawling out of my skin</t>
  </si>
  <si>
    <t>In 2019, my resolution will be to try new things that I've wanted to do but have always been too anxious to try. My first attempt will be taking a beginner yoga class. I hope I can bring myself to do it.</t>
  </si>
  <si>
    <t>New anxiety of eating in public I feel like everyone will think I am gluttonous or piggish if I finish my meal, so I always leave most of it. However, when I am in a food court I always eat half of my meal in one spot... then I pretend that I am too full for the other half, and then I eat on the other side of the food court. Argh... I used to inhale my meals WTF is this?????????</t>
  </si>
  <si>
    <t>I had a chance tonight and blew it. I had a chance to lose the ol' V card. Furthermore, I went home with a girl I've been into for years and found out she's been into me for years. Furthermore, I couldn't get "anything going" per se. Furthermore, I wanted to. Furthermore, I really did. Furthermore, I just couldn't. Ended up telling her it was my first time with anything. She seemed put off. I want to die. What the hell do I do?</t>
  </si>
  <si>
    <t>I am always nervous. I can't even say I have anxiety anymore. It is my permanent state.</t>
  </si>
  <si>
    <t>I find that I've always worn the same clothes since I was young and am too scared to change my style, because people will think I'm trying too hard or something. Any one else having a similar experience?</t>
  </si>
  <si>
    <t>How do I know if someone considers me friend? Hello, I'm a high school student and I have a problem where I'm afraid to consider someone a friend In case they don't consider me one. This can fall into multiple categories. 1) I just think they don't consider me a friend and that I am just someone to talk to. 2) I think they secretly make fun of me/hate me 3) they just talk to me out of pity and don't actually like me. For example, I have close friends and I sometimes get the idea that they don't actually like me, and they just talk to me because I talk to them. I never know if I am annoying them. This is a big problem in my life, for it hinders me from asking my friends to go out and do stuff. It was suitor hard for me to ask two of my best friends (but there it is again where IDK if they consider me a best friend) to come to my house for New Years. It is so scary to think about the idea that someone I consider a best friend doesn't really care about me. Please any advice is helpful ????</t>
  </si>
  <si>
    <t>Anxiety and my heart rate question Here lately my anxiety has been terrible, and my heart rate has been consistently higher. Even doing something fairly minimal like walking around can make my heart rate rise pretty quickly now, and even feel like it's almost stretching across my chest and such when it wasn't an issue before. My fear, of course, does I have a physical problem affecting my heart, which only fuels my anxiety more, especially the more I think about it. Am I the only one? My parents and S/O believe it's just me thinking about it too much, but I just wanted to get some second opinions. Thanks.</t>
  </si>
  <si>
    <t>My panic attack and anxiety made me miss work today. (trigger warning) *Trigger warning* *Panic Attack experience* So a little background, I'm 23 years old. 2 small children. I was a stay at home mom for a portion of the year until recently when I got a job as an expo in a kitchen.about a month ago. I was off Sunday, so I decided to go out with my sister for the first time in forever, and have a few drinks. Without delving too much into it, I'm an extremely self-critical person. When alcohol gets involved I am 10x worse. I've had anxiety since I was about 12–13 years old, getting worse and worse over the years. I've had some bad panic attacks before, but today was the absolute worst one I ever experienced. So last night, conversations ran pretty deep and I carried everything into the next day. From subjects of my past and a narcissistic ex, let's just say my mental state of in a bad state of mind. I had work at 4 and was ok until about 20 minutes before I left for work. Me being new, I have some natural anxiety on top of what I was feeling today. About 3:30: stood up from the couch to get my shoes on. Hands buzzing, legs wobbly, dizzy. Starting to feel the attack coming on. Rushing out the door. 3:45: Close to work. Panicking. Making fiancé stop car several times because I could not breathe. Throat felt closed. Heart racing. Thought I was having a heart attack. Mind knew it was panic, body did not agree. 3:55: Pulling into work driveway. Made fiancé park car. For the first time in my life my stomach felt physically sick from panic attack. Reached for closest thing to puke. Repeating "I can't do this. I can't go in" over and over for fiancé. 4:00: Call my best friend. Try to see if she can calm me down. In tears at this point. Heart racing. Sick to stomach and uncomfortable. Starting to feel disassociated. 4:05: Hubby tells me either call off, go inside and explain, or clock in. Feel Frozen in fear. Afraid of managers will think I'm faking it to party for new year's. (Did not drink at ALL tonight. Pledged that I'm never drinking again after today) 4:10: Go in. Host says I look really pale. I'm shaking. Heart still racing. Fighting off urge to faint. I'm now anxious about talking to managers even though they're all nice and understanding. I go to the kitchen and the manager sees me and immediately asks if I'm okay. Furthermore, I explain and get told I have to get a doctor's note or else I'll get points. She's nice about it. My fiancé came back and picked me up from work. He was very supportive, but I for some reason couldn't stand the driving motion as it was making me sick and panic. I have never felt like this before. When at home I called my sister, and she somehow calmed me completely down from the panic attack. We relieve the babysitter and I go upstairs and lay in bed and fall asleep for a hour. I still feel panic residue but much better. I have work tomorrow and very much do not want to go. If anyone has had a panic attack of this magnitude, I give you all of my kudos. My anxiety has always been a boulder that weighed on me every day. Never enough to cause me to miss work. In my 23 years, this has been the worst one.</t>
  </si>
  <si>
    <t>New levels of anxious So I've struggled with depression for a decade and had it mostly under control, but recently, I think I can officially say that I have some serious anxiety. This is new- I've struggled with surface level anxiety many times, but never this, which I can only describe as anxiety radiating through my very core, CONSTANTLY. My stomach always hurts and is in knots, I have no appetite, my neck always feels tight, sometimes to the point of my throat feeling constricting, I struggle to get any sleep and still feel wired after only a few hours. Sometimes I have irrational thoughts, like the other night when my foot fell asleep, and I honestly believed it would never return to normal. The main cause for me is definitely the fact that I'm soon going to be leaving my job to go to grad school and begin a new career path. I can handle the occupation, but not the imaginary bullshit about the future that my mind won't stop stressing over. So I don't have much else to say except that this is horrible, and I joined this sub just now and clearly need to seek help because I literally did not know that anxiety could feel so deep and so bad. Fuck everything.</t>
  </si>
  <si>
    <t>Happy New Year. May this be a clean slate to love ourselves again. To try and overcome all out fears. To turn those fears into strengths. To learn from the lessons we learned last year. To understand that we have 365 new chances ahead of us. To reach out to those we love, to not be afraid to ask for help. To understand that our life is special. To understand that we are the only "me" on this planet. That our one life has so much power in it. I wish all of you a happy 2019, let's kick anxiety and negativity in the nuts.</t>
  </si>
  <si>
    <t>Happy New Years. I'm proud of you. I just wanted to say, I'm proud of you all. Furthermore, I'm proud of you all for staying strong and not giving up despite how tough the anxiety may get for you to handle. Furthermore, I'm proud of you for hanging onto hope that things will improve one day. Furthermore, I'm proud of you, whoever is reading this, for believing and knowing things will get better one day and staying strong even when you feel weak. If you're struggling right now, it is okay. Things will pass, and you will eventually get out of this rut and find happiness. Happiness you deserve. You are so much more than your anxiety or other mental health disorders. You are so much more than your late nights wondering what you did wrong or what you should've done. Furthermore, you are so much more than what people say about you or what others think of you. Furthermore, you are beautiful, inside and out. Furthermore, you are worthy of happiness. Furthermore, you are worthy of love. Furthermore, you are worthy of life. Furthermore, you deserve to experience everything beautiful life has to offer, no matter what you've been through or have done. I love you all. Let's keep fighting for happiness together this year.</t>
  </si>
  <si>
    <t>I wish I never had health anxiety Hello, I've had health anxiety since I can remember, when I was 12 I thought I was going blind and whenever I was 10 I thought I had Kidney cancer. Now I'm 15 (almost 16) and can't stop thinking I have a brain tumor. It all started between 2017 and 2018. I was playing with some friends one night and played music at full settings for around 20 minutes or so, dumb idea and I don't know why I did it, but it happened. The next day I woke up with a bump behind my ear (pretty sure it's an enlarged lymph node, or could just be bone that's been there the whole time. From time to time It has a little pain, like a small shock or pulse. I wouldn't be as worried but whenever I look up bump behind area it usually says it goes away on its own in a few months and it's been almost 2 years? I also usually only have my headaches on the left side, but also have some on the right side. Furthermore, I probably just make myself think I have more on the left side, but it's so annoying thinking's I'm going to get diagnosed with a Stage 4 brain cancer or some other disease.</t>
  </si>
  <si>
    <t>How to prevent thoughts from ruining my ASMR experience? Trying to watch tapping before bed, thoughts keep getting to me. Worries, fears, catastrophic thoughts, even regrets etc. I just want to be at peace and be able to get sleepy watching ASMR. Without the distraction. Any advice?</t>
  </si>
  <si>
    <t>Scheduled daily anxiety attacks I am having daily anxiety attacks somewhere between 1pm to 5pm wherever I be it at the office, mall, or at home, but specially at home. There's no escape, even if I am sleeping, I can feel the stress and will have nightmares, then wake up depressed and breathing heavily. I've been on a therapy for a year, and it has helped a lot with my depression but this schedular/daily body-clock anxiety attack, I can't seem to find a solution or at least a remedy. The only thing I can do to lessen (not overcome) it is by eating which is not ideal because I am trying to reduce weight. This morning I made a list of what I will accomplish (clean the toilet, my laptop etc.) but I dropped it, ate (which ruined my diet), and waiting for it to pass which will take hours. Any similar situation or advice? Thanks for reading.</t>
  </si>
  <si>
    <t>I feel so lonely... It 10pm on new years.just sitting in my room alone playing some Wiz Khalifa drinking some Budweiser. IDK a song I use to listen to with my ex came on, and I just feel really lonely and sad. I was looking forward to being alone tonight.</t>
  </si>
  <si>
    <t>Need some advice Happy new year everyone. We made it another year! I think I finally got my panic attacks somewhat under control. I haven't had one in almost a week and I can relax at home for the first time in over a month without freaking out. My problem is now leaving the house. Driving, going out to eat, and most importantly work. I went to work for half the day today and I had extreme anxiety the entire time. I'm already dreading going back on Wednesday. Here's the advice I need-should I try to keep pushing through, or should I take more time off and build up to working? I don't want to have another breakdown by pushing myself too hard, but I also feel super guilty if I don't work and just sit at home. Anyone have any suggestions or personal experiences like this?</t>
  </si>
  <si>
    <t>I'm grateful for the boss I have, and I'm stressing about the girl who got away. I can get really bad anxiety when it comes from girls I like. But what I'm going through is worse than anything I had before. There was a girl I really liked earlier this year. She means a lot to me, and she helped shaped who I am. I fought my anxiety and asked her out. She said no and never said why. I had a hard time taking it because I didn't know why. I couldn't be able to go to sleep because I couldn't stop thinking about why she didn't want to go on a date. Furthermore, I would only sleep because of mental exhaustion. Furthermore, I eventually burned my self into depression. At that point it was no longer about this girl, but depression taking over my life. Depression telling me I was worthless, no one cared about me, and that I was going to be alone forever. I almost ended my life. My boss was the only person who checked up on me, even though I didn't tell him what I was going through depression. He used to call me in to work but not to work, just to talk. He helped me get out of depression and told me I have to push her away to heal, and I did that, and I got better quick. My boss also helped me in learning how to pick up other girls and I went on a bunch of dates. I feel like I owe him a lot for the advice and helping with my depression. When I felt better I brought back the girl again. Initially I thought I could just see her as a friend. I told her why I needed space and time. She understood, she is incredibly nice person. I found out she did like me back, but she was scared of commitment at the time. We started to talk and hangout again. Two months go by, and I started to like her again. I was scared to be in the same situation again so I told her I can't be her friend. I told her I can't be her friend because it would kill me if I saw her with someone else and that I don't even want to know if she is talking to someone. Furthermore, I told her I couldn't be in a relationship because it would have been long distance and I would start filling In the blank because of my anxiety. She understood and ended the conversation saying "you every hear stories of people who are perfect for each other but couldn't be together because of timing and situation, I think that's us" The next week was weird because I kept getting stories upon stories of "the one who got away". I've been dating for a couple of months and I didn't like any of them. I think I went on 20+ dates this year and about 6 relationships. One of them cheated on me and no one clicked. I got extremely scared that this girl would be the one who got away, and I at least need to try. So I went to talk to her and that I wanted a date. She used to like me, she said she likes spending time with me and talking to me, she said talking to me was different from anybody else. She couldn't go on a date because she was talking to someone she meet in college. Furthermore, she didn't tell me that, because I told her I didn't want to know if she had someone because I would get hurt. I did get hurt. That's why she said "you ever here stories of people who are perfect for each other, but can't be together because of timing and situation" She said she almost wants me to wait for her because she does want to try something, but they are committed, and she doesn't want to put me in that position. And to be honest I would put myself in that position. I spent all day at work thinking about what could have happened, what I could have done, if I worked harder to be in same college, the fact that she was scared to commit to me, but she can't date me because of commitment, and many more things. We were getting busy at work and my family kept harassing me about something too. My chest hasn't gotten this tight since a long time. I went out to give my therapist a call, but the local business got mad and was yelling at me saying I was smoking, and I ruined his lunch (I do smoke but never near his business, trying to quit though) I cracked, and I started to have a panic attack. My boss stopped the man from yelling at me, told me to take a break, and eventually went to find me to talk to me. He took me to lunch and I explained anxiety to him and depression. And he understands what I'm saying more than my friends or family. He made me realize I was overthinking a lot of this. And I guess yeah I need time to heal, but he is putting me on the right path again. He is an amazing person. He hired me to be a mechanic even though I didn't know anything about cars and didn't have any tools, but I told him I desperately need a job with flexible hours. Furthermore, he motivates me to stay in stay college, even when I wanted to drop multiple times. Furthermore, he hasn't fired me even after the countless times of me fucking up. I'm grateful that he is my boss. TL;DR My boss is amazing</t>
  </si>
  <si>
    <t>New Years ruined. Some people came over to my house today for New Years. I really dislike them, they're honestly really annoying, but whatever. My family invited them. The guests have 2 kids, and one of them is a real asshole. He shot my younger sibling in the eye with a Nerf gun, and got no discipline. A few minutes later after that, a family member asked to borrow some game I had to play with the annoying kid, which I proceeded to decline the offer. They proceeded to rant me, saying "you're embarrassing everyone." They took it anyway, and I started crying in my room, alone. I have had anxiety for about 5 years now. I am extremely sensitive to things, and will cry very easily, as I have an extremely short temper. Furthermore, I don't know what to do. Furthermore, I'm always upset. Can I just have a bit of motivation? Sorry if I ranted. TL;DR: Family ranted at me because I wouldn't lend something to an annoying kid. Had anxiety for 5 years.</t>
  </si>
  <si>
    <t>Happy New Year! I'm so thankful for you guys. Looking back on 2018, I realized this last year was one of my worse years recently. Bad Things in 2018: \- My anxiety has reached it's worse in my whole life and I had no idea what it was until recently. \- I realized that I did not make many long term friends after high school graduation \- I had physical issues with my body due to anxiety, and it made it worse \- I had my first diagnosis that I had anxiety and potential depression However, I am very grateful of many things that happened last year: \- I just passed my first semester in college with the grades I wanted \- My physical health has been better than its ever been before due to participating in college athletics \- I have made many new friends and I got my first girlfriend :) \- Recently, I have found the lord and I do not feel alone anymore in this world \- I have begun meditation and my mind has been much clearer because of it This year I would like to achieve these goals: \- Meditate, no matter how long or short, every day this year \- Show more love to the people around me. Especially my family \- Posses an optimistic attitude! Remember guys, just like everything in life whether it is the good, the bad, or the ugly, things will come and go. Anxiety is no exception. Even though it may seem that you're trapped and there's no light at the end of the tunnel, this is just a phase and it'll pass. This sub Reddit, my self, and everyone around you are supporting you, and we are here to help you every step of the way. Let's have a kick ass 2019 people!</t>
  </si>
  <si>
    <t>New Year's Celebration is one of my triggers As the title of this post says, today I've had the epiphany that the whole New Year celebration triggers me. It's not the people (I've learned to deal with big social gatherings a long time ago. I even enjoy them, if all the people in the room are from my inner circle). It's not the pyrotechnics or fireworks, I love them, actually. It's common to believe that what triggers me is how overwhelming all of it can be, especially since I am diagnosed with Social Anxiety. But no, it's not any of it. You see, I have a terrible fear of failure. I always feel like I'm not doing enough. Like I'm wasting time. Work hours are never enough. Hobbies and activities to keep me occupied are never enough. I always have too much free time, no matter how exhausted I feel. People wait for the new year in hope of new things, new experiences and with the hope that the year to come will be better than the previous one. The new year is perceived as a new opportunity to start over, to do better, to try again, etc. But to me is just a gigantic reminder of how everything I'm doing is not enough, how the time is still passing, not stopping. Another year has gone by, and I haven't done enough. And don't be confused, I always have that feeling, those thoughts, in the back of my head, every day. But today, it's insanely intensified, it's burning through every other thought or feeling and I can't seem to ignore it. And I know the change of year is just another date on the calendar, my logical thoughts remind me this. But my anxiety is just standing there, tapping annoyingly on her wristwatch, reminding me: "TikTok" and it's so loud. Social media only makes it worst. Seeing all the people celebrating and expressing how excited they are to what's to come and stuff like that. I already logged out of everything for today after the first 4 or 5 posts lol. And that's it. I don't know, I just wanted to vent out. Feel free to moment anything. For those of you who don't have these thoughts especially and don't get triggered by this as I am, Happy New Year, blessings and good vibes.</t>
  </si>
  <si>
    <t>I'm unraveling. In celebration of 2018 and all the progress I made with depression, I decided 2019 would be dedicated to coping with anxiety. For me, anxiety has always been a more subtle and covert emotion than depression, thus making it harder to deconstruct and work through. When I'm depressed, it's very obvious to me, but when I'm anxious, it can be hard to pinpoint because of how long I've lived with it (it feels normal) and how it tends to hide, expressing itself through other emotions. With that in mind, I decided to get to work and start brainstorming the ways I can detect my anxiety and understand what exactly causes it. I've learned that when I want to work on things like anxiety, depression, etc. I have to dig in head-on. This led me to a TED talk by therapist Brent Brown called "The Power of Vulnerability" and she discusses her professional and personal findings on shame, fear, guilt, lack of self-confidence, and vulnerability. Long story short, after some soul-searching, I've realized I have a deeply-seated lack of self-confidence and this realization has utterly shaken me to the core. It's as if I've spotlighted anxiety, hiding in the bushes all this time, and by doing so, I've elucidated how much it affects facets of my life. I realize now why I fear relationships (friendly and romantic) and affection, yet deeply long for a partner and feel pain when I see my two closest friends together, dating. I realize how much I place my own self-worth in the hands of others and subsequently, why I struggle to be content in my own company. Furthermore, I realize how much I live off of affirmation from those around me and how truly inferior and lacking I feel to my peers. This massive realization has utterly ruined me for the last two days and I just ask for some support, advice, and comforting words please, at least to hold me up until Wednesday, the day of my therapy appointment. I'm experiencing so many emotions at once-- grief, shame, fear. What were once quiet hums have turned into booming, overwhelming thunders, and it's so difficult to cope. Every small thought transforms into a giant spiral of negativity and catastrophization. I've had to quit playing Minecraft, a game I find calming and soothing, because simply the \*thought\* of messing up a house and having to start over makes my chest tight. This is hell.</t>
  </si>
  <si>
    <t>I hate myself for allowing myself to be thick and fat. I wish I had more control. Furthermore, I'm absolutely disgusted with myself. If I looked at me, I would not understand how I have a boyfriend. I have a personality that will make you laugh, and I'm basically a dude. But I'm not a bombshell. I want to be a bombshell. I want to take pictures of myself. Furthermore, I want to like the pictures of me. Furthermore, I want to not have fat. Furthermore, I want to not be muscly. Furthermore, I hate my body. Furthermore, I don't see the good. Furthermore, I feel sick constantly, and I want to feel refreshed and thin. Maybe one day. Not today though. Probably not ever.</t>
  </si>
  <si>
    <t>How did you find a therapist/counselor that you trust ? I've finally decided to look for help... but I don't know how to find someone I can trust. How did you find help? Any recommendations for Stamford, CT area?</t>
  </si>
  <si>
    <t>Why can't I just feel normal I'm getting ready to travel to Dallas to go to a conference and meet up with friends I haven't seen in a long time. I'm not leaving for a few more days, but I'm scared I'm going to have a panic attack and feel nauseous and kill the mood while I'm hanging out with my friends. It's happened before when I hang out with them and I don't know why. Maybe I associate my anxiety with them? I don't want to because they're my friends and I love them so much. I just don't know what to do about my anxiety any more I'm tired of feeling like this.</t>
  </si>
  <si>
    <t>My job is giving me terrible anxiety I recently started as an accountant which I thought would be chill, but it's everything but. It seems like everything is a crisis, and people are demanding payments and updates constantly. The company I work in is in marketing, and the people are so high-strung. I'm working non-stop from the moment I sit down at my desk to the second I get up to leave. *Everything* there makes me feel like I'm going to cry or shake, I feel as though I'm always on edge. I'm getting a certificate to change to a job in my field, but that could take a few months. I envy the people I see opening the little mom-and-pop shops I pass on my way to downtown, or those working at a trendy thrift store for minimum wage. Furthermore, I know that's not all sunshine and roses, but what I would give to go to a job that didn't make me count the hours till I can quit. It doesn't help that I'm terrified of putting in two weeks notice when I get hired in my field. I tried to explain in the interview that I am working towards an advanced degree and a cert to work in my field, but my now boss sort of brushed it off seemingly. I'm so afraid of being screamed out of the office or told that I let everyone down. /Rant</t>
  </si>
  <si>
    <t>Snowboarding So, I've been snowboarding before, quite a few times, but I still need lessons. So since I do have experience I signed up for the intermediate course. Now I've given myself too much credit. I just want to be in the beginner course, so I don't look like a fool. I'm not ready to evolve.</t>
  </si>
  <si>
    <t>Anxious about staying home sick I went home around lunchtime today because my boss heard someone asking me if I felt okay (I don't). A virus has been going around at work so a lot of people have been out. She messaged me on FB to tell me she's going to reschedule our meeting and to stay home tomorrow and feel better. WHY DO I FEEL LIKE EVERYONE AT WORK NOW HATES ME/I'm IN TROUBLE???? Anxiety - that's why.</t>
  </si>
  <si>
    <t>Texting Anxiety For some reason, I have anxiety when my friends take a while to respond. I know they have lives too, but I just can't help thinking that I'm being ignored sometimes. A year ago, it got bad enough that it ended up destroying some of my friendships. Since then, I've been trying to deal with these feelings, but I don't really know how to do so. I don't want to hurt someone again and end up alone because of it.</t>
  </si>
  <si>
    <t>Long-term anxiety and need to get back to work I've been unemployed for 5ish years, recently separated from my ex who was our source of income. I am currently a stay at home mom to a 19-month-old boy. Just barely staying afloat with government assistance and child support. Not only so I want to work to feel more independence, I NEED to start working to bring in more money. My ultimate question is what job(s) have all the other anxiety-ridden people taken to that have worked well and been considerate towards the occasional panic attack and mental health day? Sub-question, how do you keep your anxiety at ease when at work? Would it be smart to be upfront about my anxiety in an interview or is that shooting myself in the foot? My anxiety is very sporadic and frustrating. Been medicated for years for it, done counselling and therapy, but I've never had it fully under control.</t>
  </si>
  <si>
    <t>First ever therapy appointment in under 12 hours I'm super nervous and anxious. Not sure how to go into my first appointment but I hope it goes well and not overwhelming</t>
  </si>
  <si>
    <t>My (f19) boyfriend (m21) doesn't understand what it's like to have anxiety, and it really gets to me: I ordered a blanket cover a couple of days ago and today it came in. Well it did not fit the blanket I intended it to fit, and I couldn't seem to find a replacement online. This stressed me out more than the average person due to my anxiety. I started crying. My boyfriends' reaction was to text me and say, You're kidding me, right? Â In response to me going to the bathroom to cry instead of crying in front of his family. He then proceeded to ask why I was crying and when I told him I was crying because I was stressed and Sada he said that there was no reason for either of those. This is his response almost every time that I get stressed out or sad. He questions why it is happening and when told he denies my feelings. This really hurts me because it makes me feel like my feelings are not valid and also causes my anxiety to become worse. Does anyone else's spouse treat their anxiety this way? If so how did you make them understand? Thanks.</t>
  </si>
  <si>
    <t>Sensory overload or anxiety? Please Sometimes read I will get this weird feeling in my eyes or head (I can't tell which it is) along with a nervous feeling in my upper abdomen. I'm not sure if the weird feeling is causing the other or if it's simultaneous. It kind of feels like you're going to lose control. Usually at night this happens and it's random. I notice it most when I'm watching TV or playing a video game. Do you know what this could be? I looked online and have found either anxiety, sensory overload, or light sensitivity. Does anyone else experience this? I was diagnosed last month with subclinical hyperthyroidism and GAD also. Basic information: 21 years old, 150 pounds, 5'10 in height</t>
  </si>
  <si>
    <t>How did you overcome driving anxiety? I am scared of driving. Not because I think I'm a bad driver? I've taken defensive driving courses, I keep the radio off, and I always double and triple check everything. I'm afraid of other people on the road. Furthermore, I've seen what they can do and how badly they can hurt people. Furthermore, I'm afraid that someone will look away for a second and plow into me. Furthermore, I'm afraid that someone will get hurt or die, and the mere thought of getting pulled over or getting in an accident of some kind is mortifying and terrible. Nobody seems to understand when I explain, they just brush me off like I'm making up all of my concerns. But I need to drive. Any tips/tricks? Words of wisdom?</t>
  </si>
  <si>
    <t>Has anyone tried Genera Stress Relief Pills? I've seen these online, and they have positive reviews in their own website and Amazon, but seems too good to be true. Has anyone tried them?</t>
  </si>
  <si>
    <t>Have irrational fear of law enforcement. It has gotten so bad I have thought about leaving the country. I constantly think people are tracking me, not just LE</t>
  </si>
  <si>
    <t>My anxiety doesn't let me sleep My heart rate speeds up, I feel like I'm going to throw up, I can't sleep, and I get so afraid of everything. It must be being left alone with my thoughts, but I just can't seem to calm down as much as I want to. It's terrible. Furthermore, it's 4am, and I have to get up at 9. Anxiety makes me sleep-deprived and is consuming my life.</t>
  </si>
  <si>
    <t>New existential anxiety For like the past day or so I've had this strange guilt and anxious about how much bad there is in the world. As though I'm just finding out about it all. Like it's kind of hard to explain, but my gut just feels like a brick when I think of the world at large. It seems like adult things scare me too. Like I was just imagining having sex with my boyfriend and I felt the same pit. Is it because it's not pure and good? I'm really into math and science also. I've been watching a lot of videos on quantum stuff and just the uncertainty of it all, I feel like humans know nothing. Furthermore, I'm just overwhelmed feeling the Earth is an ugly, terrible, place and there's no way out. Furthermore, I've never experienced this before (I have experienced plenty of anxiety though). Furthermore, I'm also going through some health anxiety witch is hell. No one seems to be helping me with it. That along with this is tearing me apart. I would love to go to therapy, but I have to go through my mom, and I'm only 16... help me please.</t>
  </si>
  <si>
    <t>I get anxious about being in my own body I don't like the idea that I'm trapped in this thing, and I keep having moments where I freak out because I realize I am confined to this one singular body, and it makes me want to run away, but that doesn't even make sense because you can't run away from your own body LMAO. Hope you enjoyed that run-on sentence, I don't expect this post to make sense I just needed to get that out there.</t>
  </si>
  <si>
    <t>Sending the first text message to an old friend that I still have a crush on... EEK! I need support. I'm finally going to do it tonight. He posted a funny Snapchat story, and I'm going to respond and ask him how his holidays were and see if it sparks some sort of conversation. Background is that we met a year ago online, became friends, but I developed feelings. I kept them a secret. Next thing I know he's telling me he's moving across the country and I haven't talked to him since a few weeks after that. **Which was like eight months ago.** I've been stressing over texting him for months now, and I told myself tonight "if there's a sign for me to message him, I will," and I think the story he just posted is exactly that because I always told myself it's easier to contact someone through a story because it's something to talk about/break the ice. I'm shaking, I hope I can actually do it!!</t>
  </si>
  <si>
    <t>So this whole anxiety thing is new to me. Hey all, came here hoping to get some advice on how to deal with anxiety that I've been having lately. A little background: I've never experienced real anxiety/panic attacks until this past year. In February, I was in a serious car accident and on top of a broken leg, hand, and orbital bone, experienced some brain swelling and trauma to my frontal lobe. (stay off your phone while driving people and no it was not my fault) I've seen a bunch of specialists, and they all link the anxiety to the trauma. There are absolutely no triggers that I've been able to pinpoint, and it seems to come and go as it pleases. I've tried breathing exercises, sleep, working out, running, everything I can think of short of Bezos which I refuse to take. Any tips or tricks to help me get through the episodes that you've had success with personally? Thanks all</t>
  </si>
  <si>
    <t>Has anyone been able to stop using anxiety/depression medication? Hi Guys! I was just wondering if anyone has been able to stop using medication for anxiety and depression and be back to their "Normal" self or just better self? I have had two instances were I didn't take my second dose, which led to not taking my medication at all. Primarily because if I felt fine with the dosage cut in half I thought maybe I would be ok without taking it at all. Not at all the case. I ended up having a panic attack at work and my emotions were all over the place. The second time I happened was not really by choice, I was transitioning between jobs and ran out 3 weeks before my new insurance kicked in. I had the same symptoms, and I was out of refills and the pharmacist refused to help me (not sure what protocol is for that, but I was about to ball my eyes out in front of her, I take Zoloft and bu spar, not like I was asking for a handful of Xanax.) Its coming up on a year that I have been diagnosed, and I know many who have been on medication for 10x as long. Has anyone successfully stopped using medication for anxiety or depression?</t>
  </si>
  <si>
    <t>My first encounter I had my first anxiety attack a few months ago, and it was scary. I'm still not sure what the difference between anxiety attack and a panic attack but either way I feel like doom. Well I had another one just last night on new years while laying in bed at home. I've been sick for a week now and haven't been feeling %100 in general, but the feeling hasn't fully gone away. As I sit here at work I feel it, and it really has me worried. Is there anything I should know about this new feeling.</t>
  </si>
  <si>
    <t>Do I have anxiety? (possible triggers, nothing too descriptive) I've been really stressed out wondering if I have anxiety, or if I just get stressed easily, and I would really hate to assume I have anxiety and appropriate what other people are going through. It would help if some of you could share your thoughts and if my experiences relate to anything you might've experienced. I am young, mid-teens, and a couple of years ago I indirectly went through a traumatic event. My mother was harmed in a large terrorist attack, and unstable for around 10 months. The first day was tough because I spent 5 hours with a hunch that something was wrong (I overhear about a shooting right where my mom was, teacher gets a phone call, his jaw drops, and stares at me for 3 minutes), but unsure, until my older brother picked me up and told me the news. Anyway I definitely have PTSD, as I start crying uncontrollably during unexpected drills of any kind and will do literally anything to get information during lock-downs. My family moved to a new town recently, and I went into a new school completely different from my old school. It is very challenging and needs a lot of work and dedication. I made a few close friends pretty quickly and got used to it, but the school is really far ahead of my knowledge, especially in the sciences. One time in chemistry, I got really nervous and shut down: looking down, trying my hardest to not cry, and zoning out for a good 30 minutes, until I could get out of the class and into my world history class, which I love. Is that anxiety or just feeling overwhelmed? Has anyone experienced something similar?</t>
  </si>
  <si>
    <t>Does everyone hate me? Probably not. The currently important people in my life are giving me so many reasons to feel liked, accepted, cared for and even loved, but I'm just not buying it. Look, someone that cares for me could give me a thousand hints that I'm important to them, but I'd just subconsciously find an excuse for them and convince myself it's fake. This is the most fitting real example I can think of: Before the holiday break, me and someone I like a lot spent our WHOLE last day together, just enjoying each other's presence as a way to say goodbye. At the end of the day we wished each other happy holidays and parted ways. It seriously couldn't have been more genuine and beautiful. But unless I force it to write it all down, my brain won't accept all the good things that happened during the day. Guess what I've been obsessing over for the past two weeks: They didn't give me a hug when we parted ways. That's it. Now I convinced myself that it's over, and we won't talk to each other ever again. Why do I have to always think like this? It makes me feel so worthless and unwanted sometimes...</t>
  </si>
  <si>
    <t>Starting a new job tomorrow and am I having intense anxiety about it and can't stop crying Don't get me wrong, I'm super excited about the new opportunity and to be employed after getting laid off a few months ago. But I'm absolutely terrified of making mistakes, co-workers not liking me, not understanding even the most basic concepts, being slow (I'm OCD and ADHD, which makes it very difficult for me to get things done in a timely manner) and being terrible/incompetent at my job. I've been letting the tears flow the past hour hoping it would help, but my fear and anxiety is just getting worse. I feel like I should be much stronger handling this. Anyone else struggling with something similar recently? Just the overall fear of failure at a brand-new job? How do you manage it?</t>
  </si>
  <si>
    <t>ANXIETY ATTACK??? I got diagnosed with anxiety in August FINALLY after struggling with it since elementary school. When I was in second grade we were having a party and I was so nervous that I threw up. There were days I had to miss elementary school because I would hyperventilate so much. I don't know what am anxiety attack feels like through. Usually before answering a question in class I get really sweaty, my face gets red, my heart starts beating out of my chest and I get a little dizzy. Is this an anxiety attack??? I really need to know so I can get proper help from my psychiatrist... thanks to anyone who can help!!</t>
  </si>
  <si>
    <t>Experiences with beta-blockers (propranolol)? Hi! I have social anxiety and was interested in trying propranolol for my physical symptoms. I was just wondering what people's experiences were with the drug. Is it helpful? Are there any bad side effects?</t>
  </si>
  <si>
    <t>Do I have anxiety????? Fuck IDK ok so I'm 14. And uh I think I have social anxiety???? IDK because I know friends with ADHD and anxiety and depression so i don't like to self diagnose myself because it seems disrespectful. I talked to my BFF, who has ADHD and her about me having some type of anxiety. oh, real quick: I HATE my having picture taken, I already have severe self-confidence issues, and it always makes me want to cry when my mom says "let's take a picture of you" because I hate it, and just like 30 minutes ago, my mom met with her cousin (we are traveling for family in NC and on our way back to Texas we decided to stop for her cousin) and she made the waiter do it, and I almost cried because I just can't. And on my birthday my mom wanted to take pictures but I completely refused and now even thinking about it I'm sad and upset because she doesn't have birthday pictures for this year (last year technically IG) and I feel terrible :(((and then when we were going towards NC, we stopped in Alabama and my burger was a crunchy rock and I don't really like that and my stepdad said to the waiter "get her a new burger" and I just died because I said quietly "no ok" but he doesn't listen and I started panicking and told my mom "I'm not hungry so I'm ok" and she finally told the girl never mind but I wanted to cry and got in a terrible mood right after that and when we got to the hotel and my parents were asleep I cried because igfnjdenneeknwbsjdjs IDK odkfidkdkfkdkd backstory on my stepdad RQ: he got into an 18 wheeler accident, and it messed up his head and he turned super mean and irritable after that so ???????? And I always get uncomfortable around him and stuff because he's kind of an asshole and IDK and my mom is super insensitive and I've asked like "mom can you get me therapy or something" and she said "no, pay for your own therapist" and so I never asked again and IDK what to do because I had a bad thing with self harm and I stopped early but I did it again a few weeks ago and stopped because IDK but at the beginning when the teachers found out, and she did too she would make jokes about it, and it hurt my feelings terrible. I've told her once "I think I have anxiety" and she just went "no just a teenager thing" but I finally looked up social anxiety and I have literally all the symptoms but IDK because no therapist or diagnosed person thing to tell me?’m?jssjjsndiwksk IDK IDK IDK IDK IDK IDK god, and she never helped me when I got bullied either in 4th and 5th grade a boy named Anthony bullied me and just this weekend we were at my grandmas house and looked at old pictures, and it made me sad because I could wear clothes I wouldn't even think about wearing back then but now I completely hate myself and have voices fuck i didn't mean for this to be a pitiful thing ok um back to the beginning my BFF who has ADHD, told me it was a bit obvious I have anxiety and I was like sight???? It is??? idkidkdkdidkek is it social anxiety????? :(OH AND I also do this thing with my index and middle finger and scratch the flat part of my thumb when stuff like the Alabama thing happens and flap my arms when I get mad or nervous not like a bird but like when you shake water off your hands like that but ididkdkskks</t>
  </si>
  <si>
    <t>How do I [18 F] stop being so nervous to hang out with him? [18 M] A guy who I thought was cute started snap chatting me, one thing led to another, and he wants to hang out Saturday. I have bad social anxiety, and I feel like he's way out of my league. We've only briefly talked in person a few times, never like a whole conversation. How do I stop being nervous?? I'm afraid he will think I'm weird and awkward. I don't want my anxiety to hold me back from a possible connection. Ugh, I'm freaking out. Reddit, what can I do??</t>
  </si>
  <si>
    <t>After my anxiety getting worse with each year, I finally contacted a psychiatrist. I've had anxiety since I was a young child, and over the past five or so years, it's gotten so much worse. After my last crippling episode, I decided enough was enough. I hope it goes well, I guess it can only get better right?</t>
  </si>
  <si>
    <t>Relationship Anxiety? Hello! My boyfriend travels every week for work. I've noticed that my anxiety tends to be worse when he's out town, but more well managed when he's physically in the same town as me. Does anybody have tips or tricks for this?</t>
  </si>
  <si>
    <t>Anyone else gets anxiety/nervousness even around people they've known their whole life This aspect of it all pisses me off the most. Maybe I should post this on the social anxiety sub, but I figure enough ppl here have SAD too so what the hell. Whether it's friends I've known my whole life or even family it doesn't matter I'm still on edge and uncomfortable and I don't get it.</t>
  </si>
  <si>
    <t>Momentary Depersonalization? When I was younger (I am middle-aged now), I remember going into depersonalization episodes that lasted a few seconds and then it goes away. It usually manifests after I have a sudden anxiety moment. Any of the younger Redditors here have the same experience?</t>
  </si>
  <si>
    <t>Has medication actually helped anyone on here? Nervous it won't work for me. Just curious if medication has actually significantly helped anyone on here with their anxiety/overthinking/intrusive thoughts? I am getting a prescription in the middle of January, and I'm very worried it won't help me. I have been prescribed Citalopram before and that was terrible, so I guess I'm just worried nothing will work.</t>
  </si>
  <si>
    <t>Daybook and Anxiety attacks? I took a Tylenol extra strength this morning and one recommended daybook dosage since I have a cold atm, and I'm having a bit of anxiety and attacks of the sort. I had the same thing on mucinex a while ago, does anyone else get worse anxiety when they take cold meds?</t>
  </si>
  <si>
    <t>NEED HELP ASAP, SCARED TO GO TO COLLEGE AND NEED ADVICE So here's my situation. I recently graduated from high school this past May 2018 and have been planning on going to college at BYU-Idaho, which is about 5 hours (256 miles) away from home. I was planning on rooming with my cousins which I felt would make it a lot easier on me. However, I struggle with parental separation anxiety and started stressing to my parents I didn't know what I wanted to do. So they told me I could either go up to the university and see if I like it or stay at home and go to community college for a little bit and ease into the college experience without feeling stressed and anxious, I need to decide what I want to do ASAP, so please help me! I'm so scared</t>
  </si>
  <si>
    <t>Those who are facing anxiety right now, what do you need help with? Or advice with?</t>
  </si>
  <si>
    <t>Anxiety and cyberstalking! Please help! Unknown people found my address. Send it for other people, and they come and knock on my flat about 12 hours a lot of different people. They say that I give free TV or fridge, It was on October. I did screenshots, audio etc. gave it to police... no answer. Now they began again! Please give advice how to stop it and keep calm! Please! I live alone on the 1st floor. Without parents. I am a girl. They play and want my reaction, but I try to ignore it. And I have an anxiety disorder many years. That's not easy for me to smile on this situation!</t>
  </si>
  <si>
    <t>Anxiety at new job So I got a fantastic new job with a huge pay increase and a lot of opportunity for growth a couple of months ago. I love the climate and the people I work with, they're all super supportive and positive. It's in a call center though, and I've never worked this type of job. I just can't kick getting anxiety when I take calls. It honestly is making me rethink the whole decision, even though this is by far the best career opportunity I've ever had, and I love the people. Have any of you been in this position before?what did you do, and how did you cope? I don't have any medication currently, and I think I should try that before giving up... currently in weekly therapy as well.</t>
  </si>
  <si>
    <t>Does anyone have shortness of breath Shortness of breath, but cardiologist doesn't find anything wrong?</t>
  </si>
  <si>
    <t>Trying to maintain. Any advice? I've been putting money away for the past year for a trip I've been planning with friends for later this year. Nothing much, but if I have money left over from going out or whatever I would tuck it away. Last time I counted its added up to a few hundred. I got a little more from Xmas but for the life of me I can't find my stash. I thought that I had it tucked away, but maybe I moved it? My husband is horrible with money, so this was a way I could save. Maybe he was snooping and found it? I'm scared to ask him as I know he will freak out. Maybe I just forgot where I moved it? Its driving me crazy. Money is touchy for us and I would feel horrible if I lost it. This on top of no sleep and a rough day at work, this is giving me an anxiety attack. I'm trying so hard to not let my husband know. I feel so guilty. He spends like crazy without a second thought and freaks out if I bring up money concerns. I scrimp and save, I work hard and barely spend. I wear out my clothes and shoes until there are holes, and then I try to mend them myself. Furthermore, I cut camp; dye my own hair and do my own nails to save money. Furthermore, I bring a lunch to work and make my own coffee 99% of the time. But yet I worry so much about money. I don't know why I feel so guilty. I just hope I can find the money and he didn't take it. Am I being ridiculous and overreacting? Or do I have a valid reason to be concerned?</t>
  </si>
  <si>
    <t>Feeling like a stranger Hi everyone. F/27. I recently realized why I feel like shit most of the time. I feel bad because I believe that there is something inherently wrong with me (that I am not normal). That I am not like everyone else and that something is simply wrong with my personality and the way I am wired. And I struggle every day because I want to feel better, so I try to reframe my thoughts, but then, there is a part of me that thinks: why change the unchangeable? I constantly feel like I am fake and unauthentic. I am constantly repeating that I am a crazy and bad person. It's exhausting. I don't filter anything I say because I am looking for reassurance by others ... but it never works. And saying things without a filter cause me anxiety. Anyone else feel this way? Thanks!</t>
  </si>
  <si>
    <t>Get out of bed' Snapchat buds (for depression/anxiety) we'd snap when we 0. Logoff to sleep 1. wake up 2. shower 3. brush 4. clean 5. go outside also when we 6. do nothing so we'd snap at least 3 times on our worst days. I thought this would be useful to get out of depression slowly I won't show myself and I don't need to see you. I don't like how I look RN though I'm open to most, just adding some stuff about me to try to find compatible friends: I have conservative values but I am not conservative, more like pragmatist. Straight edge. Likes intelligence. Stubborn. Lazy. Hardworking when I somehow manage to commit to a purpose. Severely depressed but stable. **if you want to be buddies, message me about yourself like I did ^ and tell me if you want to snap like I wrote in this post. That's all.** ages 18-30 preferably people around PST but open to everywhere</t>
  </si>
  <si>
    <t>I think I'm finally winning the battle with anxiety and depression So, on December 31st I started using this lotion-type stuff that is supposed to help calm your anxiety and make you feel more positive. I don't know if it actually worked or if my brain just tricked itself into thinking it worked, but I've used it every day since then and I have to say I think it really was the final push that kicked me into a battle with my depression, and I think I'm winning. Every day I've used it I've been extremely positive, and it's completely shocking to me considering just last month I was cutting myself and wanting to kill myself. I'm sure this confidence and positivity won't last forever, but even if I do fall back into depression I know this success will show me how easily I can get out of it and get back on my feet. I guess I made this post just to show other depressed people that it's not impossible, and you will feel better eventually.</t>
  </si>
  <si>
    <t>Fatima? Anyone have experience with Fatima? I'm on Effector but the fatigue and weight gain is too much. Wondering if Fatima users have increased energy and what the effect is on weight.</t>
  </si>
  <si>
    <t>Does anyone else feel better when they delete their social media accounts? I remember deleting my FB account a while back and feeling much better after doing that. And I'm kinda considering doing that again with other social media very soon. I mean, social media is just trash, honestly. I see all of these people living their lives, having great experiences, and getting a lot of attention, but meanwhile I'm here rotting in my home just waiting for someone to check on me, or for a chance to get away from my current life... as pathetic as it may seem, they just make me hate my current circumstances a lot more than I already do, and I don't think I need that 100% What about you guys?</t>
  </si>
  <si>
    <t>Not Sure Where This Belongs Long story short, I have a diagnosis of bipolar II with an anxiety disorder. I missed my meds for a weekend back in October, and I've been a wreck since. I'm so anxious I start dripping sweat any time I need to make a social interaction unless I happen to be very close to the other person and even then it's hard to breath and my heart hurts. Furthermore, I've been back on my meds ever since that weekend, but I don't feel like they work anymore; I'm also terrified of how I'll feel if I don't take them. On top of that, my insurance expired and this next month is the last month I'll have a refill. I just don't know what to do anymore.</t>
  </si>
  <si>
    <t>Traveling Whenever I go to New York City, I get a panic attack. The last time I was there was about 5 years ago. The night I arrive, the excitement and claustrophobia gets to be too much and I panic. I plan my way home then I usually snap out of it for the rest of the trip and enjoy myself. I'm going to NYC tomorrow and am I dreading it. Furthermore, I'm excited about the activities planned, but I hate the anxiety about anxiety. To top it off, I'm getting a cold. Does anyone else get this way? I went to London a couple of weeks ago and loved it. Only panicked before I got on the plane. What helps you?</t>
  </si>
  <si>
    <t>Really don't feel like myself Hi! Never posted here but feel quite bad atm so it's worth a shot. I'm not really sure if it's anxiety causing it, but I don't feel like me. I used to work so hard for everything and feel genuine emotion towards things, but around 6 months ago I just stopped. My grades have just gone straight down and all my emotions feel dull. It's like I'm watching this new me control my life and I have no input, even though all I want is to have some control. I started a new job recently in addition to school, and it's as if everything is so fast and the new me is on autopilot while the old me (or just how I feel) is left behind. Does anyone else have this issue or know how to get back to how I was? Thank-you:)</t>
  </si>
  <si>
    <t>Fear of applying for a job This probably won't get seen as it's the middle of the night, but I graduated 6 months ago, and I haven't got a job, yet I applied for a few here and there and didn't get them but nowhere near the amount of jobs I should've applied for, in fact I haven't applied in months when I have applied I got rejected before the interview stage and if I'm being honest I was relieved. There are too many thoughts that fly in my head, the main one is I don't know enough to make it in this job because grad roles seem to have a large list of requirements, I say this as someone who graduated with a first (if you're not from the UK that's basically an A) I did really well at university but then and now I feel like I know jack, I worry my lack of knowledge means I even if I get in the room the interviewer asks me a question I can't answer, or they ask me what I've done since graduation and I have no answer because I have no good answers and I look stupid, or I get the job and get fired for not being a good enough employee. My head just gets filled with negative thoughts not just with jobs but every aspect of life. I see a lot of people struggle but build on success, that doesn't happen to me, I've interviewed for a single job (in retail) and it got offered to me and the interview went well, and I couldn't take it because of the hours but since then I'm too afraid to apply for even a retail job. I get great grades at university, yet I still feel incompetent. Furthermore, I have a good amount of friends, yet I feel like I burden, so I don't ask to hang out. Furthermore, I really need a job, I'm saying here right now I'll apply for one. Just fucking one when I wake up. Maybe the fear of public shame will convince me to get it done. I wonder if anyone else has overcome this and has any tips for me? TL;DR: Too scared to apply for jobs because I feel incompetent despite doing well at uni, need advice to grow up and get over it.</t>
  </si>
  <si>
    <t>Feeling shitty and lonely after moving to a window cubicle I'm only two weeks into this new job. I've talked to a handful of people around my desk and had just started to get comfortable at this job. My boss asked me if I wanted to move to a window cubicle and I said okay without thinking! I don't do well with change. Earlier I was in the middle of people, but now I just face a window. I feel cut off from the rest of the office. I feel like I'm going to wither away here, like I'll never make friends now. Furthermore, I'm near old people now who never talk to anybody.</t>
  </si>
  <si>
    <t>Anxiety is clashing with my schooling I'm unable to focus, and my grades have dropped tremendously. I'm getting into trouble more and more often, and it's because of my anxiety.</t>
  </si>
  <si>
    <t>Sudden distress and anxiety over touching any part of my body with my fingers (including one another) I don't know if this belongs here, but coming to a Subreddit like this seemed fitting. I've been feeling fearful, or nervous regarding just regular and completely harmless situations and things. I can't recall any example right now, but really common daily events like someone giving a newspaper to another (just an example), might make me feel that way. Furthermore, I started feeling fearful again (I'm always somewhat anxious or stressed, but it peaks several times) some time ago, and then I started feeling nervous/scared for some reason about my fingers touching one another (typing right now with hands as spread out as possible) or other parts of my body, and it produces a big discomfort when they do. This probably sounds crazy or fake, but I actually feel it. I also feel like I'm choosing to have this reaction somehow (?), and that I could snap out of it, but instead their touching is causing me distress and making me cry. I've been through some really stressful times, specially since October, and I think it's related to that. But I just wanted to know if anything like this has happened to someone here (I'm sorry if it's a really common thing, I felt like I could ask for help here and didn't read through other posts - feel free to ask me to remove my post if this is so), and what it might be so I can make sense of it. Sorry for the possible inconvenience. And for my poor English (not my native language). Thank you.</t>
  </si>
  <si>
    <t>What are some songs you listen to for calming your anxiety? Music is extremely therapeutic to me, as everything I've ever done in my life has revolved around music. Naturally, I learn towards music a lot of the time to ground me, and it really helps a lot. I don't like listening to loud and obnoxious music when I'm anxious, but I also don't like listening to extremely boring music (like meditation music, unless in trying to sleep). Do you have any songs or artists you might recommend?</t>
  </si>
  <si>
    <t>So anxious everything feels awful just clawing at stuff :(fuck I just feel like nothing is ever going to be ok, I'm never going to be happy. I feel so terrible :(</t>
  </si>
  <si>
    <t>I have anxiety and I made someone have a panic attack on accident Today I yelled at the new guy at work (he's been here a few months) for something he should have known by now, and he started having a panic attack. I told him I'm sorry, and I have anxiety too, and I hate that I made him feel that way, and that seemed to have made him feel a bit better, but I still feel awful. Furthermore, I hate knowing that I made someone feel how I hate to feel. Anyone else ever experience this? :(I feel like a giant hypocrite.</t>
  </si>
  <si>
    <t>Disordered eating brought on by anxiety Does anyone else suffer from not being able to eat at all when anxious? Been in a stressful situation with my boyfriend for the past week and a half. I haven't been able to sleep more than a couple of hours a night, I have no appetite, my chest is tight all day, and I feel nauseous. I've lost ten pounds in this time because I can only get a couple bites of food down per day. Would love any recommendations for boosting my appetite and alleviating some anxiety even if it takes a while longer for the situation with my boyfriend to be resolved</t>
  </si>
  <si>
    <t>Heart palpitations, need reassurance. Sometimes for a split second my heart will beat super hard or fast and then it goes back to normal. I KNOW for a fact I'm okay. I've had a chest x-ray, and I had back surgery a couple of weeks ago, and they had to monitor my heart. The doctors would have found something by now, but they haven't, so I'm safe. But of course, I'm still scared lol. I'm terrified I'll just drop dead. By the way, I'm 18 years old and a female. I'm not overweight, I'm actually underweight. I'm healthy for the most part. Furthermore, I just can't stop feeling anxious about this. Furthermore, I talked to my doctor today, and I'm waiting for a call back so I can schedule an appointment to get a holder monitor to help reassure me. Furthermore, I know the heart palpitations are probably anxiety/stress induced, I also drink coffee so that's probably another reason. Honestly, this is probably dumb of me to post this, but I just really need reassurance lol. Does anybody else deal with this? And if so, how do you cope with it? Tl;dr: My heart randomly beats super hard or fast for a split second then goes back to normal, probably a mix of anxiety and caffeine. I just need random strangers to tell me I'm okay.</t>
  </si>
  <si>
    <t>Turning down trips with friends and family, because I'm afraid I will not enjoy it. I always get so unmotivated, uninterested when my friends and family are planing a trip to a cabin or in a different country. I'm just so afraid to not have good time. Furthermore, I can handle going over to my friends house to play games, but there I have the option to go home if I want. In trips, I have to be there til the end, even if I'm enjoying it or not. They say it's to get some togetherness, but It's just not enough. I'm not good at socializing. I just don't know what to do in these situations.</t>
  </si>
  <si>
    <t>Recent fear of getting sick? So, last April (2018), I was struck down by norovirus. As I'm sure many of you know it is awful and violent. Ever since then, I've this intense fear of getting it again...anytime my stomach hurts (which is often enough, thanks anxiety) I start to panic, sure I have gotten again. When I hear someone even talking about a stomach bug going around, I feel my whole body sink down and that cold sweat feeling. When I got it, it happened shortly after 11pm. When I'm having a particularly worrisome night, I make myself stay up and wait until after 11 when I can convince myself that crucial time has passed (even though I'm sure it had nothing to do with it)! Before this I hadn't had a stomach bug since childhood (I'm 30). I feel like it's getting worse and is beginning to impact my sleep and quality of life! Anyone else??</t>
  </si>
  <si>
    <t>Anyone get chills with anxiety ? I feel so cold sometimes and feel a little unwell kind of like a sickness in my head feeling with the cold I guess this is like an uneasiness inside myself really</t>
  </si>
  <si>
    <t>Everything is going to shit, and I don't know what to do So I'm just gonna day from the beginning that I usually wear boyish clothes that are baggy or loose I never wear tight clothes because they give me anxiety. I don't know why but every time I wear them I just start crying or something that makes me look stupid, but I can't help it. Also, I lie A LOT and I can't help it either I lie so much it's just tearing my life apart and damaging relationships. I always break down in my room at random times mostly when my mom is arguing and drinking. Now that that's out of the way I got some new jeans to wear even though I barely wear them, but I decided to wear them which was such a bad fucking idea. My legs are skinny, and I'm always bullied for being so skinny, and it really tore my self-confidence down to the point where I haven't worn anything tight in months. So I thought I actually looked good for a second then I saw my skinny toothpick legs which really got me sad. I am sorry if I sound stupid for complaining about being skinny but at my school everyone has to look thick or just plain fat. You rarely see anyone skinny that's not an exaggeration. Immediately when I was going to school I felt sad and mad at myself for wearing them I felt like shit. When I got into school I felt on the verge of tears and held it in even though I couldn't talk without my voice breaking, all my friends noticed and it was very awkward. No one talked to me because they knew something was up. When I got into first period I sat down, and it was worse, but I still held back my tears. I knew I couldn't make it through the day, so I begged my mom to pick me up like a little baby because I felt very sick. And she wanted me to go to the nurse, so the teachers didn't know I was texting, but I just kept saying the teachers wouldn't let me because I didn't have my agenda book (teachers have to sign it before you leave class) and by the time I saw her she was a mess because she was worried and very mad at the teacher which I immediately felt guilty. I have to act sick now so my mom doesn't get mad, but the guidance counselor actually talked to the teacher and told my mom I was lying WHICH IS REALLY FUCKING EMBARRASSING AND I HAVE TO SEE THAT TEACHER AGAIN. When I see her I will apologize and try to do as much as I can. I was just to shy to get up, I would have burst into tears. Please everything is just a mess I constantly feel like shit hating everything and can't even dress like a normal human without crying (I'm a girl in case you didn't know) and now everything is turning to more shit because I got caught in a serious lie that could have caused a teacher to be fired, and I'm lying to my mom. Please advice?</t>
  </si>
  <si>
    <t>Feeling Sick About Going Back to School I go back to college on Friday and school starts on Monday. I've been scared all break since my last quarter went really, really poorly. I'm a good student, but I've been struggling to get decent grades since I started university and this quarter is going to be my hardest one yet. Furthermore, I don't want to drop classes or reduce my workload because I won't be on track to graduate if I do. Furthermore, I'm so scared just thinking about the amount of work I have to do, I feel like I'm going to throw up. Furthermore, I haven't been able to relax at all for the last few weeks; I can't sleep, and my stomach feels like a stone. And I know feeling anxious about this doesn't help, I end up being less productive because I'm so anxious I can't think straight. But my teachers started emailing about course schedules and homework and tests and I just completely broke down. I feel shattered. A part of me just wants to give up on any chance of having a successful life at this point. Does anyone have any advice about how to calm the overwhelming anxiety?</t>
  </si>
  <si>
    <t>Diagnosed with CPTSD and severe anxiety, now I'm pregnant I'm currently 6 weeks along and have been off my medication since I found out two weeks ago. My anxiety is absolutely wrecking me. Every. Single. Day. I feel like I can't breathe. Absolutely anything can set off my anxious feelings and then I spiral for hours on end. Please, someone has to have Survived pregnancy with severe anxiety. Any tips at all are appreciated. So far I've tried, walking daily, eating healthier, drinking LOTS of water, and prenatal yoga.</t>
  </si>
  <si>
    <t>Has anybody broken up with a therapist? (Advice) Basically I'm paying way too much for this therapist because she had a group as well as individual, and I wanted to connect with others, but I've been through her complete group program now and need to find something in-network. Except I'm horrible at confrontation, so I emailed her. Granted it was New Years yesterday, but I assume she's back today. No response. In the past I've felt this therapist has tried to kind of manipulate me into paying for more than I need. I kept my appointment for tomorrow as a last appointment because I figured it's better to say something in person than just drop off, but she hasn't responded to the email and my gut feeling is she's going to try and manipulate / convince me into not stopping, and honestly I'm pretty susceptible. Right now I just feel anxious and awful, and I want to just avoid the appointment entirely and tell her I'm sick (and yes she could then charge me full price for not cancelling in time if she's annoyed, but it almost seems worth it) Any advice or similar experience?</t>
  </si>
  <si>
    <t>After years and years of putting it off, I finally made an appointment with a counselor. I don't really have anyone to tell, and this is a major accomplishment for me. I almost feel like crying. Furthermore, I don't have a good reason why I didn't do this sooner, but I'm really happy that I finally did.</t>
  </si>
  <si>
    <t>How do you switch off? Racing thoughts are so difficult to control, how do you guys switch off? Or even come close to switching off? I've tried relaxing techniques, but they don't seem to work.</t>
  </si>
  <si>
    <t>I cured myself and I wish I could do the same for you 10 years of daily suffering fixed in an instant. I wasn't the problem it was the world around me, and I can't control that, only myself. My predictions where based of a false view and my anxieties based on an illusion of control. I live through myself now, not in myself. I love you all, and I'm so sorry we have to go through this. You are worthy of respite though don't give up</t>
  </si>
  <si>
    <t>I'm so scared right now! Just woke up from a 3 hours nap that I wish was much longer. I put icy hot on my lower back and woke up to my lower back feeling like it was on fire. I'm ok, but I'm scared and highly depersonalization/derealization right now due to me being scared for my mental health. Furthermore, I took 50mg of Vistaril 3 hours ago. Can I take another 50mg again?</t>
  </si>
  <si>
    <t>School Starts TOMORROW. Need advice. Hey people of the internet, It's time I reach out, before I freak out. So I start uni (Canadian Uni if that matters?) tomorrow and I have never felt so afraid. Today I had a little test run because I went in to get my books and ID. I couldn't get rid of this ridiculous idea that everyone in line was watching me (as I was just wandering around clueless) and I finally went up to ask a question. Turned out my books weren't ready, and she said it so loud I knew people heard, and I just couldn't handle it. I went back to the car and drove to ship something, forgot to pay and felt more ashamed. I'm kind of spiraling right now. I could really use some advice of how to go about starting school again. It's been 3 years since high-school. I just feel like I'm always being watched or judged. Thanks in advance and sorry if it's a little sloppy or poorly written, I'm stoned, but its Canada so its legal, eh.</t>
  </si>
  <si>
    <t>How can I talk to someone when I need to talk to someone? I can't figure it out. I need help right now. No it is not a crisis, but I fucking need help. I already have a psychologist and a psychiatrist. Talking once a week is not nearly enough. I don't know what the point in it is. It's not long enough to do anything, not even over the course of a year. I'm always begging for help and I don't know how to get it. I want to be able to think properly.</t>
  </si>
  <si>
    <t>I want to make a short film but my I feel silly about bringing it up. I don't actually know if my particular issue deserves to be in this Subreddit but here goes. As the title says, I want to make a short horror film. I want every one working on it with me to be my friends. I have tonnes of artistic and talented friends in all departments who could help, and would help if I asked. But whenever I sense the perfect opportunity to ask, I bail. I feel silly about wanting to make a movie, especially when I have no experience or even any qualifications that remotely tie in with the film industry. It'll be my first ever project like this, and probably the biggest thing I'll take on in a long time. But, again, bringing the idea up is halted by an anxiety that really has no reason to be their, yet it is anyway. Not sure what I'm hoping to get out of posting this, I guess I just wanted to speak my film making dream into existence but with the anonymity of Reddit so that my anxiety about telling my friends/family might go away soon. Anxiety has effected me for a very long time. My biggest triggers are public transport and being in crowded spaces but not knowing anyone who is there, and since neither of my triggers associate with my current issue it leaves me puzzled. If there are any methods or just something that can possibly help me get over it I'd be very grateful.</t>
  </si>
  <si>
    <t>I'd love to hear success stories of people using exercise to manage anxiety I really want to get more motivated to start exercising to manage my anxiety, sleep issues, and focus (unrelated to anxiety. ADHD too). Hearing people's stories always inspires me :) Please share!</t>
  </si>
  <si>
    <t>My dad has high hopes about all of us doing this diet I feel like I've already failed. I just want to shut myself out and do stuff on my own, I can't stand everyone talking about weight loss and shit, I'm so scared of letting people down. I won't be able to do it, I can't do anything. Furthermore, I just feel like a failure, and I don't know what I'm doing. Furthermore, I know he wants what's best for everyone in our house, but I just can't handle all of this attention. Furthermore, I feel guilt for everything I eat, I don't want to eat anything. Furthermore, I feel like I'm under a microscope.</t>
  </si>
  <si>
    <t>Why does it feel so uncomfortable trying to talk to people IRL? So I don't have a lot of IRL friends just because I feel so shy when ever I talk to new people it feels like I'm going to die, and I start sweating and stuff any tips on how to start little by little? Or what I should do?</t>
  </si>
  <si>
    <t>Stress at work Only the first day back after the Christmas break, and I'm already crippled by stress. It's my first full-time job, and it's incredibly fast-paced for me. Sometimes the claim 'no two days are the same' can be a bad thing. I want to stick it out, and I know that many people would sacrifice a limb for my job, but damn I hate being anxious 8 hours a day.</t>
  </si>
  <si>
    <t>Trying to rest in my doctor's message rather than read into it. Trying to not do stupid things prior to my visit. I found what appears to be a lump or hard vein on my shoulder. At first, I thought it was cool. I'd been working out (as a part of anxiety treatment), and like a dork, thought it must be a sign of fitness! Big muscles popping the veins out like on TV, RAW! Well, there went my moment. Then I decided it wasn't a vein, it's a tumor. Then I decided it's a vein again, with a clot. So I took some pics, put them on Ask Docs, and got "probably nothing, but could be something awful so get it checked out." My doctor is a saint, and told me to message him on My Chart about this sort of stuff. I described it, sent a picture, and within a few hours (again, like a saint, as standard for this program is 2 business days) said "it doesn't look urgent, if it gets much worse let me know." Awesome! I'm not having DVT of the arm! And then I went downhill. "But there are a lot of bad options between healthy and urgent. Why didn't he say 'fine, nothing to worry about?'" "If it gets \*much\* worse? So is it already bad?" "Are we in a phase where it could be terrible, but we need to wait and see if it develops? After all, we don't always remove malignant tumors the same day as diagnosis." So I went from celebration to number of cognitive distortions telling me that what we are dealing with is something pretty bad that can wait a few days, with a potential beat the clock mechanism. And to think, I was in a fine state of recovery for over a year. Bummer. I already had an appointment with him for the 8th for a checkup, so I'll see him soon enough. Trying very hard not to fall into old checking habits.</t>
  </si>
  <si>
    <t>Job Interview Tomorrow I have a job interview tomorrow, and I'm extremely nervous. This is my second job, I've worked at my first job for 5 years and my dad knew the owner, so I wasn't too nervous. It was also a retail job, so I wasn't nervous about being able to do the job well. This is a receptionist position, so I'm scared I'm going to be bad at is since it's a lot of social interaction and I have social anxiety (but I also think that's why it'll be good for me). As for the interview, I'm really nervous about asking for 12 an hour. I make 10 now, and this job is a farther drive, so I feel it's not a ridiculous amount to ask for, but I feel like I don't have the confidence, and I'm scared of looking like an idiot. Any advice?</t>
  </si>
  <si>
    <t>Anxious Shaking I typically have terrible anxiety and I'm normally antisocial but whenever I find myself going out or trying something new i literally almost start to shake and nothing really calms me down except going home and being alone. Any tips ?</t>
  </si>
  <si>
    <t>Urgent Help Needed, Ongoing panic attack waves all day Guys please I need immediate help, I've been having panic attacks all day. It's becoming unbearable. I can't call my doctor because she doesn't answer after a specific time and I just need some tips and tricks to keep me going until a few hours. My dad is being with me for 3 hours, and it just won't stop, talking about it, trying to think about something else, watching series. Nothing is working, I'm not new to anxiety and panic attacks but for it to actually keep happening for more than 20 hours is new, and it is becoming unbearable. Tell me anything that might help. Should I take Valium or Xanax? Should I go to the ER ?</t>
  </si>
  <si>
    <t>I can't grasp my emotions Constantly I have been feeling two-sided with how I feel. When I experience something, I may feel a certain way, but my reaction would be totally different. There are many scenarios where I felt this. I have been told by a friend of mine that at times when I'm not preoccupied/distracted; when I'm waiting for the bus, eating, and such, I appear angry, though at times like that, I don't really have anything going through my mind. I decided to try to cease the angry image and relax, but instead, I shifted to a "looked like I was about to cry" image. Most of the time, I can't really describe my attitude, it's not that I don't feel anything, but there isn't a feeling to describe me. I simply exist. When I was younger I abandoned my feelings. I was extremely self-conscious, so I tried to fit in and once I understood that I couldn't fit in, I tried to change. Despite my efforts, I was still seen as insignificant, I believed no matter what, I wasn't enough. Understanding that my efforts where hopeless, I gave up. I stopped trying to put effort, to care, to value life. I purposely separated myself from others, I tried to stop feeling. Furthermore, I understand that this was a bit dramatic and this story sounds like fake self diagnosed depression, which it probably is, but the problem still stands, and I want to start putting effort into being more expressive with how I feel, instead of feeling like nothing. Of course, I still have emotions, but they are buried. How exactly can I regain the emotions that I've dug?</t>
  </si>
  <si>
    <t>Short term help, anxiety from drinking on NYE There are quite a few subs with anxiety in the name, so I hope this is the right place to post this: So I have to wait another week until I can see my therapist so asking Reddit for short term help. On NYE, I got black out drunk. I KNOW I did something wrong. Well at least one thing, probably 3. I'm having panic attacks because I don't know what happened. I could ask a good friend what happened, but I'm also scared about learning what happened. But I should ask so I can apologize for whatever happened before I owe it to the hosts and that makes anxiety worse. Wooloo, caught in a feedback loop.</t>
  </si>
  <si>
    <t>Anxiety disagreeing with loved ones Hi there, I've come to realize that I get very strong anxiety every time telling the people closest to me how I feel. Not in the care about you way. I have a hard time expressing my opinion, or my needs, if I know it differs from who I'm talking to. And I'm sure anyone would feel anxious disagreeing with someone close to them? I'm so anxious about it that I either can't say anything or I can get very long-winded and lose my point. If you have any advice on how you deal with this if it happens to you, I'd love to hear!</t>
  </si>
  <si>
    <t>What does it feel like to not be anxious, or at least the anxiety managed? I've been in therapy for about six months now and last week I started Zoloft. I have progressed a little bit, but I also feel like my anxiety is a bit of the same or even worse because of what therapy has brought to light for me. My thoughts my whole life are constantly racing and not only I feel like I have anxiety about everything, but it also seemingly arises for no reason. So I was just wondering what it's like for people who medication or therapy has helped them to reach a place of no or lesser anxiety. I know it might never go away, but I'm just curious for what it's like going from it being constant, or it's worse to managed and lesser. (Sorry if something similar has been answered before)</t>
  </si>
  <si>
    <t>First appoint - all paper work or maybe also treatment/medication In your experience on your first visit did your psychiatrist do or prescribe anything to at least attempt to treat your anxiety? I am asking because I have been struggling literally for months and months to schedule my first appointment and I would hate to finally do it and to be too afraid to follow up, and I have heard most first appointments are like meet and greets with paperwork which I understand needs to happen, but I don't think would actually help at all in the short term.</t>
  </si>
  <si>
    <t>Owning a dog again is giving me extreme anxiety and stress Long story short, About 6 years ago I lost a dog to a tragic accident that was my fault. It haunts me still and I still feel incredibly guilty. I had a lot of stress and anxiety after that event when it came to pets and life in general. But recently I got on antianxiety meds and things have been feeling better. I was tired of feeling lonely and wanted a sense of companionship, so I went to get a puppy. Well in the process of that I ended up fostering 4 puppies for a week because the shelter had no room for them. I really got connected with one of them, and I was set to adopt him. Then at the end of the week he went in to get neutered (required by the shelter before adoption) he passed away. They think it was due to a heart condition. That tore open my old wounds hard, and I swore off pets for life. That was four months ago. Now, 5 days ago my fathers friends dog had puppies and wanted to give me one of them for free. After long contemplation and talking with my family I thought maybe it would help things. I was wrong. For the past 5 days I have been so incredibly stressed and anxious about the puppy. He's incredibly well-behaved for a puppy and there's no real reason I should be but anytime he's not in my sight I just feel like I'm not being a good owner. I worry I'm not giving him enough exercise or training him well, and it feels like I have a huge weight on my chest and I can't breathe. I know this is all probably just me subconsciously worrying something's going to happen again, but I'm in agony. Furthermore, I barely sleep at night ironically worrying he's going to wake up and bark a bunch, waking up my family. It'd be cruel to give him away and give up on him now. He learned his name. He's potty-trained. Furthermore, he sleeps in his kennel at night relatively hassle-free. I don't know what to do, but I feel horrible all the time.</t>
  </si>
  <si>
    <t>CBD for anxiety? I'm not looking for recommendations so much as insights. I'm already on medications (Lexa pro and Buspirone) so already that's one reason I should think twice about adding to the mix. But I'm reframing my whole outlook and think that someday, if I can, I want to try to manage my anxiety without pharmaceuticals. Anyway... What does it feel like ? I'm considering oral solution as a starting point. Do you take some drops and feel calm within a few minutes? Do you feel tired or out of it? How much do you take and how? Do you also take meds? In general, what is your experience and has it been positive?</t>
  </si>
  <si>
    <t>How do you deal with Nocturnal Panic Attacks? I've had this issue that has popped up over the last several months when randomly while I am in bed sleeping I suddenly just feel this rush of panic hit me and blood starts pumping faster, and my heart starts racing, and I shoot out of bed. But often times my legs are weak since I take quetiapine to sleep. And then its just this back and forth where it feels like I'm about to pass out, I roll around, drink water, stand up, emotions are all over the place and I want to call 911 but I won't because the last 3 times I went into the VA ER for "heart palpitations" or whatever I was experiencing I ended up having nothing wrong with me that I needed to be in the ER for. There is no consistency to the attacks, I've gone a week without it, then I'll have one, then I'll go a month, but I'm asking this question now because I've had really severe panic attacks at night 3 of the last 5 days, last night I was on the verge of puking it was so bad. So, what can I do outside drinking water or trying to take a deep breath? I've read on a couple sites I should just get up and go downstairs and fully wake up by doing something for 30–60 minutes until my heart rate has lowered. I just wanted some more personal opinions from people on this. Thanks.</t>
  </si>
  <si>
    <t>Hot flashes Anyone else here get hot flashes when they feel nervous about something or when talking to strangers at times? It has gotten to where I'll worry about getting hot and that of course causes me to get hot. Has anyone experienced this?</t>
  </si>
  <si>
    <t>Alright, hear me out. Does anyone get anxiety when it comes to people not texting you/snap chatting you as much? In my case though it's with girls. Background info.... I have a girl who Is basically a FWB, and we snapped a lot but last time we actually had a conversation was when I wished her happy birthday which was 7 days ago. Her response was fine and perfectly normal, and I know she got busy because she literally went out every night that week of her birthday and she even sent me a snap saying Christmas week was such a long week. Then New Years came around which she went out again. I'm flying to see her on the 18th and the past month has been perfectly fine but just these past 7 days I guess I haven't got the same attention that I've been getting this past month. I'm pretty sure everything is fine and that she is busy but how do I tell myself to calm the fuck down and not worry about how she's not snap chatting me the same amount. Yes we do snap chat every day. We live in different states and only text each other very often anyway. I know this probably seems stupid but IDK why, but I get anxiety on the fact that it's different and not the same on the communication level between us.</t>
  </si>
  <si>
    <t>I don't really want to go into it, but you know when everything kind of goes wrong at the same time, and you wonder why me? I'm basically up shit creek without a paddle, it stinks and I kind of just have to bear with it, but I'm still surprisingly okay. Like sure, I'm stressed, but I don't really feel like dying, and at least in this metaphor I am in a boat instead of swimming in shit! Yay, silver linings!</t>
  </si>
  <si>
    <t>Medicine works! Bu spar and learn 3 weeks in, feeling normal again. I was so nervous to start a SSRI. Starting Bu spar with learn helped me since my doctor said Bu spar would work immediately while learn would take a while. Tell your doctor if you're too anxious to start a SSRI, they will help you figure it out!</t>
  </si>
  <si>
    <t>Does anyone else twitch a lot due to anxiety? Hi guys! I am a person who has always struggled with anxiety, and I ended up marrying someone who has just as bad anxiety as I do (although it manifests itself in different ways). While I have been in therapy and taken medication for nearly 15 years for my anxiety, my husband was never allowed to see a therapist (controlling parents) and never considered he might have anxiety himself until recently, when he started sitting in on some of my therapy sessions and talking things out with me. To get to my point....my husband twitches a lot. A LOT. Mostly facial twitches, but lots of whole body jerking type twitches sometimes as well...especially when eating. When he is eating, his body will jerk and his eyebrows will twitch so much that he has to stop and take a big deep breath before he can continue. This is something that his dad does as well, and one of his brothers...so I just considered it to be a learned trait even though his twitching was on a way more extreme level than either his dad or brother. But it seems to be getting way worse over the past year or so. We've been going through rough times lately, and he's been feeling very anxious. When I have commented that his twitching seems to be getting worse, and that perhaps it's related to his anxiety...he freaks out and says that it's just a thing he's always done, and it can't be anxiety because his dad and brother do it too. He comes from a family that doesn't believe in mental illness, so anxiety isn't a "real thing" to them. So I think his defensiveness about exhibiting anxious behaviors stems from that, which is totally fair. But is this something more than likely caused by his anxiety....or could it be a more serious, medical concern he should get checked out? Curious to hear how many others experience twitching or nervous ticks due to anxiety...as my anxiety does not manifest in this way, but I've heard it can!</t>
  </si>
  <si>
    <t>Does anyone else have major anxiety about driving? I feel like my anxiety over driving has impacted my ability to further myself in a career, and even in furthering friendships. 18 years ago my sister, her husband, and their young daughter were involved in a horrific accident while driving, which left my niece paralyzed, and my sister and brother-in-law with serious injuries. They are doing fantastic nowadays, but their accident changed a lot of things for me. I'm embarrassed at my level of anxiety when it comes to driving in a city, or on the interstate, or any place that's unfamiliar to me and that has lots of traffic. Over the years I've been able to make a life for myself that doesn't entail driving in conditions like that, but I feel I've lost opportunities, and let people down. Does anyone else suffer from driving anxiety, and were you able to overcome it?</t>
  </si>
  <si>
    <t>Sexual improvement on medication I often see people talking about a decrease in their sex drive when they start taking medication, so I wanted to share my experience as it's completely opposite. Prior to starting fluoxetine in September I wouldn't have sex without taking a shower directly before and after, I would only give my husband oral in the shower and sex just made me feel generally dirty and uneasy. In the past few months I've become so much more comfortable with sex, I'm able to be more present and engaged without my mind wandering to random things or stressing about the sheets being "ruined". I've been more receptive to my husband's advances and our sex life has improved immeasurably. I hope this doesn't sound like I'm gloating, I just wanted to share in case anyone else is in the same boat because I was terrified prior to starting the medication that I would become less sexual than I already was. Furthermore, I'm so grateful that I finally sought help.</t>
  </si>
  <si>
    <t>I always have a feeling that something bad will happen for no reason I have gone through some severe health related situation in the past, of beloved family members. One of them died last spring. Another one was an almost near-death experience, where was delivered with an ambulance and was saved. So I can say that I was traumatized by the events, although I faced the situations calmly at the moment they were happening, but it hit me afterward, until today. I feel guilty to let myself free even a minute. When I listen to some music I am thinking of my smartphone ringing because someone needs me. When I am feeling happy, I am thinking that this might end in a moment. I am denying myself feeling happy because of this. When I am watching a movie, dreaming, sleeping, having sex, I always feel enslaved to my anxiety that "something bad will happen at any moment and I must be prepared".</t>
  </si>
  <si>
    <t>Having severe anxiety before cortisone shot I'm getting a cortisone shot in my left hand for dequervain's today. I am having severe, severe anxiety about it. First off, no one likes needles. Second, I have had other health issues this year (hypothyroidism and some adrenal issues) and I'm worried the shot might affect them. Third, I already have terrible insomnia and some people experience it as a side effect of the shot. Anyone had one and can reassure me that it will be fine?</t>
  </si>
  <si>
    <t>Trouble exercising? It's been a pretty bad day for my anxiety it seems today. Over the last few months I've been getting pretty random heart palpitations, and it's made me really weary of partaking in any real strenuous physical activity. I was pretty active before that and worked out fairly regularly. I've seen my doctor and had a couple tests done, all of which were good. But today, I just feel lethargic, and get palps just from climbing stairs which I'm sure is just anxiety, but today... today has been tough. Hope everyone else is doing better!!</t>
  </si>
  <si>
    <t>When I used drugs when I was younger I didn't realize the effects it was having on my brain. Dunno why it just didn't click. Now I look back I can't believe it I suppose you don't realize the problem until you have the problem. I would use coke and just get paranoid but I never thought. I would need to stop. Chronic stimulant abuse was having induced psychosis, but I never knew what it was back then no clue didn't even know what anxiety was now I'm older and wiser I look back, and I can't believe what I've done to myself and my brain. I'm gutted I'm going to have issues for the rest off my life now because I know I have some serious damage done.</t>
  </si>
  <si>
    <t>I'm about to travel on a plane by myself! Wish me luck (I'm anxious)</t>
  </si>
  <si>
    <t>My girlfriend is taking a medicine. So my girlfriend was having headaches I was trying to help her find out what is causing them. She then said it's "the medicine my DR put me on" I didn't ask what it was. But I'm getting anxious over what this medicine is what medical issue she might have. This is getting me worried about her and her health. I don't want to ask what she's talking because I'm afraid is overstepping boundaries and IDK. I don't want to ask I didn't know. Should I ask?</t>
  </si>
  <si>
    <t>Is it possible to experience nosebleeds from anxiety? I've had about 5 nosebleeds in the past 3 days, and it's really starting to worry me. It's making me think I'm dying of some awful disease. I am scheduling an appointment with my doctor today.</t>
  </si>
  <si>
    <t>Tips on curbing stress from relationships? Long story short: I'm seeing this woman. Things are generally great when we're together, but we have a somewhat complicated history in terms of how things got started. Because of this (and other things), she wants to take things slower than I'd prefer. I'm at the point where I want to turn things into a committed relationship, but she's not there yet and wants to keep things open for now. She's open to the idea of becoming a couple, she's just not there yet. This is causing me a ton of anxiety that I'm trying REALLY hard to cope with. After I ruined a date a couple of weeks ago having an anxiety attack in front of her over it, I know I need to get a better handle on things, so I don't scare her away (she was a saint about the situation, and it seems she's let the whole thing go, but I can tell it added to her reservations and I really, really regret it...) The biggest stressor right now is that she's dating someone else too. She's told me a bit about him (at my request, I also told her about another woman I was seeing but have since stopped dating). With me being at the point where I don't want to see other people, every time I think of them together my brain starts racing. The thing that frustrates me is that I know how irrational it all is: they're nowhere near as close as we are. She hasn't even kissed him yet; they've only been on a couple dates, and she only talks to him a couple of times a week. And it's not like it's cheating because we're not even a thing yet. But still my brain just goes nuts. They only go out every other Saturday due to scheduling. There's another date this Saturday. I'm looking for any advice anyone can give on how I can try and get a better handle on my anxiety over this situation. I'm usually able to calm myself down by just reminding myself what our relationship CURRENTLY is, not what I want it to be, and I'm trying to plan distractions for that night, but it's just tough. Furthermore, I'm going back to therapy starting this week, but it's with a new therapist, so I don't know how much he'll be able to help from the start. Furthermore, I just need to figure out how to get a handle on this so I can just let myself relax. The only real complaint she says she has about me right now is that I can't seem to just relax and let things happen naturally. Which is completely true; I've struggled with that my whole life. I always push too hard and want to get to that next step. In everything I do. I'm too impatient. And I'm terrified that if I can't get a handle on this I'm going to scare her away. I'm absolutely crazy about her and I don't want to fuck this up, but I'm scared that me being scared of doing so well become a self-fulfilling prophecy.</t>
  </si>
  <si>
    <t>Constant Work Problem Induced Anxiety Hi all, This Christmas period I've been suffering really badly with anxiety. I don't get it often, and it's only ever been related to work stuff. Last time was a few years ago, and an issue at work has brought it back again. I have a knot in the pit of my stomach that never goes away. Even though I've had a lovely time with family and friends, this gnawing feeling is always there. I live alone and when I'm home I'm constantly running over scenarios and conversations in my head which only gets me stuck in a loop and driving anxiety levels up. At some points it's like I'm having back to back panic attacks for extended periods of time. My rational self knows this work stuff isn't that important... but I can't shake it. I go back to work next week, and I'm hoping the thing will get resolved quickly. [as an aside it's not like I'm losing my job or anything, it's an ongoing issue with an employee in my team] Sharing in the hope others have some experience and/or advice they're willing to share. Thanks all and much love!</t>
  </si>
  <si>
    <t>Anxiety I hate how anxiety takes over your thoughts and body... it is such an inner struggle of conflicting thoughts of what you know is true and how your mind twists it into something it is not. People don't really understand, unless they have been through the attacks. How do you not let it take over?</t>
  </si>
  <si>
    <t>How this Subreddit has affected? Me One year ago, I didn't recognize any of the things I did. Worrying about small things, obsessing over things over and over again and feeling like everyone hates me. I don't know when this started, but it's just last year that I realized that it isn't normal. I found this Subreddit, and thought that it might help me. Furthermore, I think this has been the best thing to help my anxiety in my life. Furthermore, I don't go to therapy and I don't do medication (I probably should), so maybe it isn't as good as those. But just writing down what I feel has helped me a lot. Sure, the responses and other peoples posts have helped too. But writing everything down, something about it works for me Have a good year!</t>
  </si>
  <si>
    <t>Can't seem to help myself Isn't it ironic that I work in a pharmacy and try to help people constantly with their problems, but I can't even help myself. Like, the job just makes me so anxious. I have no idea what I'm doing, and I have to constantly force myself to ask questions and get yelled at by the customers. And now I'm sick, and I have to go work in an hour, and I would just rather do anything else. But the money is good, especially for an 18-year-old in community college and I just feel stuck. Like, I just did it to myself, I forced myself to get a job, and now I hate it. Now I'm stuck, and it seems like they're trying to force me into more hours, and next semester starts soon with me taking double the credits this semester compared to last semester. I don't know, I just wanted to get this out. I'm really sorry if you read this.</t>
  </si>
  <si>
    <t>How do you deal with not really being able to eat? Hi all, When my general anxiety is high (like it has been for a couple of weeks/months now) it's very hard for me to eat. I'm starving right now, but I'm finding it hard to finish even this bowl of cereal. I'm having a bite sometimes. Furthermore, I guess what I'm worried about is my stomach feeling weird if I eat (afraid of throwing up). When I'm swallowing food/digesting I tend to exaggerate the feelings and panic. What I'm trying to do is tell myself that the hunger pains are worse than the negative symptoms I feel when I eat. Anyone else have a similar problem?</t>
  </si>
  <si>
    <t>Dating with anxiety I've been on a couple of dates with a guy now, and it's going well so far, but since our first date I've had overwhelming anxiety, and it's starting to affect my I love spending time with him and want to continue dating him, but I can't cope with the anxiety... one thing that's causing me anxiety is the fact he would spend every second with me if he could, which I know is amazing, but it's too much for me. I need time on my own sometimes. I feel like it's moving too fast, and I don't know how to tell him.... Does anybody have any advice ? Anybody been in a similar situation ?</t>
  </si>
  <si>
    <t>IDK what's happening I got into a fight with a friend almost 2 years ago. They didn't forgive me. I've tried reaching out more than once, to no response. Probably became invasive. Considered finding their number again and calling. Realized I was honestly going crazy. I'd do a lot of snooping. Look on their social media accounts from time to time. I haven't really done it much anymore because I've realized I'm reopening the wound every time. Been going to therapy, but my therapist had a baby and won't be back until February. I don't really understand how to move on from getting no forgiveness. Like, once a month it'll give me huge depression and anxiety. It's the worst feeling. My therapist told me I overthink a lot, and I have to practice things like thought stopping and cognitive disassociation. My will is pretty bad, but I've been getting better. Has anyone dealt with something like this? If so, how did they move past it? I just hate that I'll be doing well for like, a week or 2, but then suddenly I'm sad for a couple of days. Sorry for how jumbled these sounds.</t>
  </si>
  <si>
    <t>People with SAD how do you cope during this time of the year? Looking for new ways to try to control/slow down my racing/irrational thoughts.</t>
  </si>
  <si>
    <t>Issues breathing For the past 4(?) days now, I have a really hard time not breathing manually. I wake up, I immediately start to breathe manually, and it only stops for brief periods throughout the day when I'm busy or focused on something else (which isn't often because I'm home from school for winter break). When I sleep, I have no issues breathing and my body does the work for me as it should, but when I'm awake, it's a constant problem. I'm becoming quite nervous and frustrated. Has anyone experienced this?</t>
  </si>
  <si>
    <t>About to start college and I don't know if I can do it On mobile so please excuse bad grammar, format, all that nonsense. Hey everyone I'm new here but I need all the help I can get. I'm an 18 y/o male about to start my first semester of community college and I have social anxiety disorder. I know this is something I have to do but the thought of going back to school is honesty making me nauseous. I don't do well in any social settings really and I avoid them whenever possible. If anyone has gone through similar situations I could really use some advice.</t>
  </si>
  <si>
    <t>I have to spend many days alone with nothing to do. Anxiety going through the roof. Advice to deal with it? My life has gone to shit lately, piecing it together. Quit job, moved home to parents. Living with them and going to be getting mental health support before getting a job again. I have about a week or two before I will receive any mental help. In the meantime, I have no friends here, my vehicle just broke down, and I can't drive. All my hobbies are outdoors but my parents house is in the city. I have slight interest in books/movies but not really. Besides that, there is literally nothing else to do. Being alone with nothing to do, my anxiety is going through the roof, I lose desire to do anything, no energy, so miserable and unhappy, can't stop worrying. Hours feel like forever, I wish I could just be put into a coma for two weeks. How can I deal with this? Thank you</t>
  </si>
  <si>
    <t>IBS and Anxiety Hey guys, After my post a couple of days ago, about having **IBS** as well as **anxiety**... I realized just how many people are in the same boat as me, it's actually quite comforting to know **we're not alone!** So with that in mind, I have created a new [IBS Support Group](https://www.facebook.com/groups/ibsociety/) on Facebook to try and build a really supportive community for us all. We can give each other tips, reassure people when they are overthinking things, share stories and other things that will help. Here's a link to the group, hopefully you find it helpful [https://www.facebook.com/groups/ibsociety/](https://www.facebook.com/groups/ibsociety/) Thanks guys, Happy New Year</t>
  </si>
  <si>
    <t>Does anyone experience physical discomfort cause of anxiety/depression? I've had an extreme panic attack some weeks ago and since that I've been feeling anxious almost every day. I often feel very nervous, and this feeling comes up random too. Like I could be feeling fine and one minute later I don't feel good anymore. I feel this pressure in my chest sometimes, nausea and sometimes dizziness. But often just an uncomfortable feeling in my body, which is making me feel so depressed lately. It's not that I'm feeling sad, I just don't feel good or at ease and I don't know why. It's hard to explain the feeling too, it's like a burning sensation in my chest</t>
  </si>
  <si>
    <t>Need to share I'm having a hard time right now and need to write it down I haven't been using my laptop for a month now. It has been a constant source of anxiety for me ever since I first got it 9 months ago(I bricked it in the first month) ever since then the smallest problem has been enough to make me a nervous wreck. I'm afraid that after not using it for so long the amount of applications trying to update at the same time will crash it and kill it, even though I've read thousands of threads saying that won't be the last. After writing this I can honestly say that I feel so much better and that my anxiety has vanished. For those of you who made it this far, writing out my irrational anxieties like this really helps me understand and see how irrational I'm being and calm my down, hence the purpose of me writing this post. I want to let you all know that I appreciate you all and that your anxiety does not define you, instead it only serves to hinder you. Do not let it. You are much more than your human nature unnecessarily amplified, and I am CERTAIN you will get through it. The best of luck and God bless</t>
  </si>
  <si>
    <t>How to work with anxiety I've been suffering from pretty major anxiety (I'm dissociating to some extent basically all the time) for a number of months. I'm trying to figure out how it could be possible for me to make money when I'm like this. I've been living with my mother for a number of months but unfortunately, she is a large contributor to my anxiety. Furthermore, I need to start making money somehow, but whenever I try to work, my anxiety gets way worse and forces me to leave. Furthermore, I've been trying to get on BC financial assistance for upwards of a month, but the number of hoops they're making me jump through is ridiculous, and now I'm finding out that they're only going to give me $400, which doesn't cover much of anything. How can I deal with this? What have all of you done? I'm pretty desperate, but again, my anxiety is kicking my ass.</t>
  </si>
  <si>
    <t>Anyone holding themselves back from treatment because their anxiety is financial-based? It's like I'm truly cursed to be trapped in this cycle. I have so much anxiety about everything-- not fitting in, not succeeding, not having enough money. But I'm out of college now, and psychiatric help isn't free anymore, and I hear stories all the time about how US hospital bills are devastating. I find myself so crippled at times, where I just want to be housed by professionals who will ensure my heart doesn't explode from how fast it's racing, but then I think about how much that will cost me, and then the sense of hopelessness, entrapment, and apprehension gets worse.</t>
  </si>
  <si>
    <t>Does anyone else wake up after 3ish hours of sleep, wide awake? Unless I drink until I pass out, or load up on Bezos before bed, I wake up around 3 hours after I go to bed, ready for the day. I know this isn't enough sleep and I have zero interest in experiencing sleep psychosis (again). Does this happen to other people? How do you handle it?</t>
  </si>
  <si>
    <t>PCS or Anxiety? So background: about 4.5 years ago I suffered a pretty bad concussion and did nothing to treat it and made it worse, developing PCS. Mostly in the form of anxiety and panic attacks (mainly related to my health), which I had no sign of before (I was 22 at the time). It took about 3 years but for the last bearish I have beaten the anxiety and seemingly the PCS, feeling like myself again. Well about two days ago I was unloading my car and hit my head on the trunk, snapping it to the side. I was walking at a slow speed, and it was the underside of the trunk which isn't particularly hard, but, my head did whip back a bit. I stunned myself, but, didn't lose conciseness and remember the whole incident. Immediately all those feelings came back and I felt like I had another concussion. I've felt in a fog for the last two days and am I panicking that I just screwed myself and am in for another long recovery. I know 3 days removed I most likely won't be diagnosed even if I go to the doctor. Is there a way to tell if it really was a concussion or am I just having anxiety over the idea of the PCS returning. Is something I can do to help my situation. Thank you all in advance, any help is appreciated.</t>
  </si>
  <si>
    <t>Day 1 on Lexa pro, again.... Hi everyone, I started Lexa pro again today because when I took it in the past I don't think I could get over the first few weeks of symptoms a gave me. It made everything so much more worse. But after reading some posts here it's giving me hope that if I just tough it out the first few weeks and everything will go back to what I think it was. A life without panic attacks and anxiety and crying and overall just panic. How long did it take for Lexa pro to start helping out?</t>
  </si>
  <si>
    <t>I thought I was doing better. I went without an attack for 2 months. Isn't it funny how after a certain amount of time passes from your last attack, it doesn't feel real anymore? Like it's not a part of you anymore. Almost like it's never going to happen again. I thought I was going to be okay. New Year's Eve, I get a message from this one person. Five minutes later, I'm in the bathroom, praying I don't throw up, trying to stop my legs from shaking. I calm myself by going to sleep. How could a person be such a big trigger? I don't think I care about him this much. I can go months without thinking about him. It doesn't make sense that this would be such a big deal. I hate that I don't control what happens to my body. I hate that the same thing can happen anytime, anywhere, out of the blue, where there's no bathroom, where there's no calmness of my room, where my mom's not there to comfort me. Furthermore, I can't imagine an independent life. And I thought I was doing better.</t>
  </si>
  <si>
    <t>3 great relaxing Spotify playlists to help aid focus/ productivity and relaxation. Feel free to listen and enjoy ???????????????????? Âƒ?? Â‹? ÂA?? Â‹? ÂA?? Â‹? Â :) Here's a collection of playlists I've curated on Spotify to help aid concentration. Feel free to follow and enjoy the playlists COFFEEHOUSE MIX [https://open.spotify.com/user/%2Aruby%2A/playlist/1MIEdE9gfr6wgkylJu64PI?si=p5EL\_n94RoCaEBYY2vnjag](https://open.spotify.com/user/%2Aruby%2A/playlist/1MIEdE9gfr6wgkylJu64PI?si=p5EL_n94RoCaEBYY2vnjag) MONDAY MORNING CHILL [https://open.spotify.com/user/%2Aruby%2A/playlist/1iZWtDZj940zG0tWBMXLez?si=5gyBa2QWT9WNgcnrCD7hGQ](https://open.spotify.com/user/%2Aruby%2A/playlist/1iZWtDZj940zG0tWBMXLez?si=5gyBa2QWT9WNgcnrCD7hGQ) MINDFULNESS AND MEDITATION [https://open.spotify.com/user/%2Aruby%2A/playlist/43j9sAZenNQcQ5A4ITyJ82?si=wEpugq4\_TDKc\_oTsxTlMvg](https://open.spotify.com/user/%2Aruby%2A/playlist/43j9sAZenNQcQ5A4ITyJ82?si=wEpugq4_TDKc_oTsxTlMvg) Enjoy, hope these can help :)</t>
  </si>
  <si>
    <t>Buddy system anyone? I think we could all help one another more. A very kind Redditor pulled me LUT of a panic a week or so ago, and it saved me from a horrible night. It made me think though, why wait until a full-blown crisis? Why not make a few connections that a generally available, even if only for a minute. Just something to not have to walk the world alone lime this. You are all out there, and yet I never see you. Maybe having a connection in my pocket to help and be helped would be something though. I don't have a framework in mind yet. We could pair off or make small groups of four for redundancy. I don't know, it's just an idea, but I would like for this to be a thing and if anyone can help me work it out in a way that's practical for all of us I think it could help. Just a thought. I hope someone else feels the same. It would be great knowing you don't walk alone with this burden any time of day. Or maybe it's a dumb idea, I don't know, but anyone care to share their thoughts?</t>
  </si>
  <si>
    <t>Has anyone here ever tried hypnotherapy? And if yes, how was your experience with it? Did your condition improve? I've been reading a lot of positive reviews online, but there's also a lot of people calling out hypnotherapists as charlatans and hypnotherapy as pseudo-science. What's your take on this?</t>
  </si>
  <si>
    <t>Travel Anxiety I'm hoping for advice. I have had anxiety all my life. I was always over worrying, overthinking, socially anxious. Furthermore, I feel like it's taken over my whole life. Furthermore, I never go out, I question everything I do, I worry about everything. This year I turned 31. I told myself that before I was 30 I was going to show my anxiety who's boss. It didn't happen. I lost my nerve. I panicked. Furthermore, I had an attack (like always). Furthermore, I knew I had to change. Furthermore, I was sweating bullets and hyperventilating when I pressed the book button all those months ago, but I did it. Furthermore, I booked a three-week trip to Thailand all in my own. Now, the trip is 4 days away. On Sunday I get on a plane to fly over the ocean for the first time, to a country with a different language and culture, all alone. My job fired me for taking this trip. They told me if I took it, I'd be fired, but I took it anyway. Another brick to the pile that is my endless anxiety. I'll be coming back completely jobless. Everything is piling up, and I can't stop worrying. I have had two attacks today and I can't sleep or eat, worrying about packing and flights and being alone in a strange place and WHY I ever thought I could do such a thing when I can't even talk to cashiers at the supermarket!! Why did I do this?!?! Why did I think I could do this?! I'm so worried about not getting anything done that I'm not getting anything done! I can't stop freaking out. Furthermore, I know this is a community where everyone's looking for a little bit of help, but does anyone have any tips? Even little ones. Or maybe stories of times when you managed to somehow wrangle in your anxiety to take a chance? Thank you. I'm sorry if this post made no sense, I feel like my mind's been at an 11 lately as I get ready for this. TLDR: I'm going on a solo trip to Asia in a few days. I need help getting over the anxiety of it.</t>
  </si>
  <si>
    <t>No one is gonna fucking see this anyway I'm so fucking done I've literally been doing my work for 4 hrs I'm not even HALF DONE it's just a fucking piece of homework like I AM DONE. It's so difficult to concentrate with my anxiety my mind is constantly buzzing and I end up doing other things trying to distract myself from all the shit ass thoughts I've been having practically all day. And my chest hurts so bad I constantly have to lie on the bed I'm JUST SO KZKZKXJJZKZKZKZ. God, please just let me finish this piece of assignment I am literally JSKZKZKJZJZJZK. I'm SORRY I HAD TO POST THIS BCU I'm REALLY OVERRRRRRRRRWHELMED. Literally the biggest challenge of my mind is to deal with my concentration problems god please help me someone!!!!</t>
  </si>
  <si>
    <t>Calling in at work Question. I work in an extremely stressful field and sometimes become so anxious I get super sick. Love my job and what I do, but I had to call in today.due to actually being sick (doctor confirmed) and I can't help but feel terrible. I feel terrible every time I call into work and I don't know why... I am wondering if anyone else suffers from this type of anxiety. Thanks!</t>
  </si>
  <si>
    <t>Managing medication-induced anxiety I take Concert 27mg to help treat ADD symptoms. I find it necessary to take daily, however one of the side effects that I've noticed is increased and constant anxiety. I have tried other stimulant medications such as Vyvanse, Dexedrine, and Ritalin and all have affected me in the same way. As I stated I do find it necessary for normal day-to-day functioning, but it can be overwhelming and hard to deal with as it makes my OCD worse. If anyone has any tips for dealing with/managing the side effects long term I would appreciate it.</t>
  </si>
  <si>
    <t>Work is causing me anxiety and I can't cope. Recently I got told I was making mistakes at work, and now I can't cope anymore and need some help. I feel like they are basically saying that I'm not good at enough at my job, and I'm now second guessing myself to the point that it is stressing me out so much it's affecting my outside life as well, as I feel far more angry and irritable than usual. I admit that work has declined recently due to having depression, I could have told them this when I had a meeting about my performance, but I was too anxious and just couldn't bring myself to say it. Furthermore, I'm now worried that if I say it that they won't believe me, and I'm trying to make excuses. Furthermore, I know that thought is completely irrational, but it doesn't seem to stop me thinking about it constantly. Furthermore, I just feel like I'm on the verge of a breakdown,any never ending list of mental health problems is becoming too much for me to handle any longer.</t>
  </si>
  <si>
    <t>Going on an overnight trip with my new partner So I've been really anxious these past few weeks due to some triggers from last year's holidays (I had an anxiety attack which lasted months and put me in the hospital). I've also been navigating a new relationship. I'm open with my anxiety with her, and she's pretty cool and supportive. We're going on an overnight trip to the countryside tonight. Sounds lovely, but the one thing which is making me nervous is being away from home. I get really anxious when I'm away from home, and have no escape. When I travel, and I'm in another country, I usually get anxious because I can't retreat to my comfort place. Even though we'll only be 2 hours away, we're only taking her car, and I'll still be away from my comfort zone. I'm kinda freaking out about it. I have Asian just in case, but I'm also nervous about her seeing me having a panic attack. Sigh</t>
  </si>
  <si>
    <t>Anxiety over things that I shouldn't even worry about... STDs I was assaulted in early 2017. He gave me chlamydia. I was treated. I met my SO in early 2018. Furthermore, I took a test for STDs, and it came back negative across the charts. Before my SO I did sleep with 2 guys, but after I did, my tests were negative. Sunday night I stayed up all night sick because I am worried about getting a STI again. I went to go get tested Monday morning. I've been with my SO and only him. He hasn't cheated on me. But now I'm awaiting the test results. We have no symptoms. But I am so scared and my anxiety is taking this too far. I deal with it on a daily basis. But this is really fucking with me. What if I had a false negative? And have it to a person I love dearly? I have no symptoms and am healthy. But I hate this. I wish I didn't have this. It ruins my life.</t>
  </si>
  <si>
    <t>My friends keep blocking me on Instagram. As of today, two of who I thought to be my some of my friends blocked me on Instagram out of nowhere it seems. It's REALLY draining on me right now as I go back to school tomorrow after Christmas Break. The make matters worse, I have classes where I sit right NEXT to them. I have one class where I sit next to one of them and another where I sit right next to another one. I don't know what to do! Furthermore, I feel like they hate me all of a sudden! Please help! Should I talk to them about it? If so, what do I say? I'm desperate!</t>
  </si>
  <si>
    <t>I have a fear of dying and death, is there anyway of stopping this? I'm pretty certain this is where all my depression and anxiety has stemmed from. The thought of one day that I am not going to exist forever causes me to have a panic attack nearly on a daily basis. I can be having a nice day with no thoughts whatsoever and the sudden thought can come up in my head and ruin my day completely. Has anyone else had a fear like this and overcome it at all? I'm not sure what to do because I feel I'm going to have this horrible feeling for the rest of my life.</t>
  </si>
  <si>
    <t>Anxiety relapse exactly one year later So Jan 1st 2018 I started getting anxiety and I went to therapy for it and was doing well, and haven't experienced a panic attack in about six months, but suddenly yesterday, I got a panic attack! It was so frustrating! And today I feel really depressed and sad. Does anyone else experienced this?</t>
  </si>
  <si>
    <t>I'm getting overwhelmed more and more easily and need some advice please. Lately I've been finding I get overwhelmed more and more easily. One or two things on top of the usual stresses and I break down, and stay that way for weeks at a time. I can't stop everything I'm worrying about from rushing though my head, and it's caused me to lose a lot of friends. I need some advice on how to cope when this happens. It feels so much harder now that I have no one to turn to. I have seen a councillor who didn't really seem to care and about 5 doctors, none of which seemed to see this seriously, so now I just feel stuck. I started meditating, and it helps a little, but I quickly go back to how I was before. Furthermore, I would appreciate any advice about how to calm myself down when this happens from those who have been in a similar situation.</t>
  </si>
  <si>
    <t>Does anyone experience long periods of dizziness/lightheadedness from anxiety? Not just when it flares up/during a panic attack/etc. I'm talking 50-75% of the day just always dizzy or lightheaded. Often for many days in a row. I am relatively new to the anxiety spectrum and I just recently started experiencing it regularly and intensely after a few large life events in my family. I've always been somewhat of an anxious person growing up, but it's never really had a control on me in any sort until about the last year or so. Just wanted to know if others have experienced this/any recommendations you may have for addressing this specifically or just anxiety in general! Thanks!</t>
  </si>
  <si>
    <t>Does dating someone in your friend group make things awkward? The possibility of losing my friend is scaring me I went out with my best guy friends and I don't know if pursuing it would complicate our friendship. Is there a guy code or something when it comes to this stuff? I already feel like my friend is backing off occasionally when the guy I'm interested in is around, and he also derails any conversation about him. I don't want to ruin or complicate our friendship. Should I talk to him about it maybe indirectly? I know guys aren't all too emotional, and I don't want to come off as overthinking and worried about something that could not be there. I know if I asked him if it makes it awkward that I went out with his friend he'll say I don't care, why would it be Ward but I feel like it would be an insincere answer as to not come off as caring. Any suggestions on how to approach it? I just have anxiety on how to approach the situation and I know that guys talk, so I don't want what I say to pass around between them two ... I also don't want to put off the guy I like.</t>
  </si>
  <si>
    <t>Non-traditional symptoms? Hi, and thanks for reading. I used to get really bad anxiety, but for good reasons. I am divorced have a son, then got out of the military after 9 years and was going to college full-time while working at least 30 hours a week struggling to pay bills and child support. Somehow I made it through, graduated, maintainer a cordial relationship with my ex-wife, and got a good job that I like and pays enough to live comfortably. Then, suddenly one day while sitting at my desk the sense of fear comes back for seemingly no reason. It feels like all the muscles in my throat are tense and deep breaths only help for a moment. I get very irritable and snap at people only to apologize later. I saw a doctor who prescribed sertraline. It seemed to help at first but not so much now. I don't get panic attacks or social anxiety, just the throat thing and irritable. Anyone else have this type of issue or is my situation unique? Thanks.</t>
  </si>
  <si>
    <t>Does Xanax work? Hey guys I'm new to this Subreddit, and I'm curious, does Xanax receive anxiety? I have used it before, but that was when my anxiety was minor, yeah it chilled me out, but I was using it recreationally. My anxiety used to manageable, but now I am having 2 or 3 anxiety attacks a day. I don't want to use Xanax, but I'm getting pretty desperate. Does it work? If not, what should I do?</t>
  </si>
  <si>
    <t>Is anxiety curable? Hey! Just trying to understand, if your anxiety is properly medicated, and you seek out therapy for coping mechanisms, can you ever be cured? Or, is anxiety something that will mostly always be with you, but the medication helps keep your thoughts on track and therapy exercises help to give you tools to defuse situations when they do arise?</t>
  </si>
  <si>
    <t>Medication for severe anxiety? I have messed up head sensations, constant panic attacks etc. It's a constant 24/7 battle. What can I take for this?</t>
  </si>
  <si>
    <t>How do I deal with anxiety that leads to bad thoughts. (Might be a bit triggering) Hello, New to Subreddit so sorry for any offense. Alright so for years I thought I would have depression because I kept having these suicidal thoughts. Well last year I was hospitalized, and a doctor informed me that what I have is not in fact depression but anxiety. Well after knowing it I am a lot better at managing it and since I've been a lot better with fewer episodes. The problem comes now that if I get into the mindset I can go for days and days with on and off thoughts about suicide and this ruins relationships. I met a girl who I have fallen in love with. She's amazing and helps me with my problems, but we've discussed this that if she can't count on me being here and surviving it's very hard to plan for a long future. I know there isn't a quick fix, and I'm slowly working on my problems. But are there any methods that could help me pass these attacks? I have my own methods that help me, but I would really appreciate it if someone could suggest any meditation or a way to accept what's happening that could calm me down. Thank you for your time! TLDR; I would like some help with calming myself when I get an anxiety attack.</t>
  </si>
  <si>
    <t>I haven't sought help because I'm worried that I use my anxiety and depression as an excuse for being an awful person. I've had severe symptoms of anxiety and depression since 2008 for a multitude of reasons. Furthermore, I've self harmed and I actively have suicidal thoughts. Other than the therapists my mother forced me to see throughout grade school, I have never actively sought out a councilor or medical professional about my situation. There are several factors in play here such as cost and general distaste for therapy (most likely due to my experiences), but the main one is fear. Not fear that it won't work, but the fear that it will. Who am I when I'm not depressed? How do I go about my day when I do not have anxiety? Considering these mental conditions are ongoing battles that no one is ever truly rid of, these aren't realistic postulations, I know this. And yet I worry that even if I were to get a handle on them, I won't change as a person. I worry that I'll still neglect my friends, shirk my responsibilities, and lie about 60 times a day for reasons I don't even know anymore. I worry that my selfish self is taking advantage of my mental illnesses that other people are suffering from so much that they are actually killing themselves over it, and I'm afraid to know the answer to that. If that isn't enough, my concern over the possible atrocity this would make of my morality only furthers my self-hatred and suicidal thoughts. It is a vicious cycle that I don't know how to get out of, and I don't know that I even deserve to.</t>
  </si>
  <si>
    <t>Anxious parent of little kids, Crohn's, and the non-existent appetite So, here's my dilemma. I'm a dad of two beautiful little girls, ages 5 and 3. Everything is great and I love being a parent. For some reason though, ANYTIME the girls get sick or appear to be coming down with anything (cold, flu, stomach bug, whatever), it triggers my intense anxiety. I get super anxious, in part, because I don't know how to help them when they're sick, however, I don't really panic at the moment, nor do I try and run away... I more just suffer in silence and handle whatever needs to be handled. The internal side effects of my anxiety is that my body basically stops functioning properly. I 100% lose any appetite that I had, I tend to not eat for a week or more at a time. And I ultimately lose a lot of weight. I fluctuate anywhere from 160lbs to 185lbs in a given cycle. When things are anxiety-free, my eating habits are totally normal as soon as anxiety is triggered, it's a 100% boycott on food... Like, I couldn't even force myself to eat if I wanted to... It's also worth mentioning that I have Crohn's disease too. I feel like the Crohn's flares up when my anxiety does and vice versa (anxiety when Crohn's issues begin). I mostly manage my Crohn's systems with diet versus medication. Furthermore, I take an anxiety med (bu spar), that sometimes seems to help, but most often doesn't seem to help at all for controlling my anxiety. Furthermore, I feel like I've scoured the Subreddits for someone with similar struggles, but I haven't really seen much. Does anyone else experience something like this? Or just intense anxiety with child illnesses? How do you cope? I've been trying to cope lately by telling myself that "Everything is going to be just fine, kids get sick and that's just the way it is." and "We'll get through this, because we always get through this" and "One sick day out of 365 days a year, isn't the end of the world". Sometimes it seems to help, sometimes it doesn't. Fortunately, I have a very supportive wife who is always willing to step in and do extra when I can't handle things sometimes. I'm very grateful for that, but my inability to be myself in certain situations just adds to the anxiety. Appreciate any thoughts or feedback on this. Thanks fellow anxious people!</t>
  </si>
  <si>
    <t>Instagram deleted I deleted my Instagram account. I felt it was causing part of my anxiety. I'm already feeling relieved.</t>
  </si>
  <si>
    <t>Keeps getting worse I believe I have severe (social) anxiety, especially Agoraphobia. It has occurred over the recent years, and it seems like it's becoming worse. I grew up in a small town with all my friends and was very popular throughout my school-years. I moved to the city 3 years ago to study, while all my friends remained. It was hard committing to new friendships, since I always went to see my old friends during the weekends. The anxiety thing for me started with class presentations, then evolved into an extreme nervousness if a teacher asks me a simple question during class. In those situations I'll be sweating excessively, which is very visible and embarrassing. I faked an illness this Christmas, even though it was only held for my family members, nothing special. I simply hate having dinner, because I'll start sweating like crazy. It's insane, I become nervous by talking to my family members, I mean when has it come this far, and where is it going? Because of past instances I have an extreme fear of certain situations, and it is all in my head - I just cannot get it out. I know that I'm a well-looking person, I'm loved, smart and there are plenty of people who are looking up to me, so all of this is ridiculous. It has come to the point where it affects my mood, grades, social life, and I find myself tired all the time. I wish I could erase the last 3 years of my life because it's not who I am, and I have people to testify that. Sometimes I find myself trying to convince people that I'm at least as cool and popular as they are, but how would they know from what they have seen of me? I heard cigarettes, alcohol and coffee are anxiety-triggers, but I can't seem to find the motivation to quit those things ATM. I know it's click?? But have any of you actually found something to be helpful? The excessive sweating is the worst part, and this whole anxiety-thing really is a vicious circle.</t>
  </si>
  <si>
    <t>Worst anxiety attack - ?Benz crash' Having been taking Valium every day for the past few weeks, about 5 weeks I'd say for bad generalized anxiety. I have stopped, the other day. Apparently it's not long enough to become addicted, (I don't think I am) but I was up all night sweating and shaking and my heart rate is crazy, I feel sick, and it's like anything I've ever been anxious about is hitting me at once and multiplied I've tried everything for anxiety, meds, therapy, mediation, diet, exercise you name it, and Valium was the only thing that had a noticeable impact, but it seems to have made it worse. I've taken it before quite a lot and not had this, usually it just returns to normal. I don't know how to make it stop without getting prescribed more. It wasn't even working towards the end anyway and found myself taking a higher dose and then running out faster. (I know I shouldn't do that) Is there anything I can do to stop this, or speed up the process of it going back to normal. I would call the doctor, but I'm in too much of a state, and I'm worried about them thinking I'm just being silly, or maybe they will give me more, and I don't think I'll control myself. It could all be psychological, but it's awful either way</t>
  </si>
  <si>
    <t>I can't get my computer out of my head. This is probably the stupidest thing anybody could be anxious about. Ever since last June, I had a few physical issues with my computer and since then I just keep worried with what could happen later. I know it's just a fairly old computer, and that I'm probably able to afford to replace parts, but the thought of things starting to break just stresses me out a lot. Every suspicious noise, that 90% of the time doesn't even come from the system itself, just drives me into a fit of worry and I hate myself for this.</t>
  </si>
  <si>
    <t>Does anyone have experience with learn? I am having some very disturbing side effects. I have gone to two doctors about this, and they won't give me a clear answer about when this will go away. Furthermore, I was prescribed 10mg learn a day, I was taking five a day for about two weeks, when I noticed some tightness in my hamstrings at night. By week two it reached a head of being almost unbearable hamstring tightness/pain at night along with flu-like feeling of nausea and joints aching and cracking. I was bedridden for like two days when I decided to stop taking it. I fucking hate this drug with a passion. Furthermore, I have stopped for about a week and a half now and the nighttime weird deep hamstring pain has still been happening, and last night even got bad again. Because of the timing I can't imagine this was anything but the learn, but I'm barely sleeping and pretty disturbed. It is such a horrible and strange deep pain it feels like its driving me crazy. If once person can relate and let me know it would make me feel a lot better. I will never take another SSRI again.</t>
  </si>
  <si>
    <t>Do you feel like venting? Hey guys I need a distraction and just want to talk to someone, if you feel like venting or just think loudly send me a PM and start,</t>
  </si>
  <si>
    <t>Does anybody feel anxious to the point where they want to vomit? It happens to me every day, and I don't even know where my anxiety is coming from.</t>
  </si>
  <si>
    <t>Flight tomorrow and chest pains are preoccupying my mind Hello again all, it is day four of worrying about my chest. Background: I had EKG, CT scan, X-ray, echo and blood test and the doctors at the ER couldn't find anything. Since then, I have on and off chest pains which come and go, they pass and at the doctors I mentioned it at one point, and she didn't seem concern. As some of you may have seen from my other posts, I have been suffering with chest pains over the past few days after worrying about what felt like indigestion. I am very caught up in an anxious loop about it. I woke up in the night disorientated and worried, woke up in the morning crying about whether it was worse or not (it has been same level of discomfort for days, so no) I have to catch a 12-hour flight tomorrow to go home after the holidays, and I am worried that: - I have missed my chance for urgent medical attention, and I am on borrowed time - My heart is going to have a life or death episode in the plane and I will not survive - I am ignoring something that really should be dealt with because I think its anxiety... - how quickly I can get to a hospital after the flight if needed - spending twelve hours alone on the plane with the above thoughts looping round and round in my head. Furthermore, I am constantly pressing my chest to try and analyze the pain. Furthermore, I am focused on it to the point where I cannot focus on anything else. Furthermore, I am simply monitoring it, taking my pulse, asking myself if it feels worse or not. Furthermore, I didn't want to tell my family or worry them about me heading home tomorrow. Furthermore, I was waiting to feel better every day, but instead I am more and more anxious as this deadline of the flight approaches. Furthermore, I want to tackle this health anxiety in 2019 as my New Year's resolution, but right now I cannot see past tomorrow's twelve-hour flight. Furthermore, I keep telling myself I had pretty intense tests at the hospital in September and that they would have picked up clots or tears or damage because that's what they were looking for. Sorry for the multiple posts in the past few days guys. If I can get home after the flight, I will really and seriously go to the doctors and talk to my counselor about this episode to get help. I need to pack my suitcase...sorry for the rambling post.</t>
  </si>
  <si>
    <t>Would Benadryl help with flying anxiety I'm going on a returning flight in 2 hours and I have massive anxiety. Was thinking of buying Benadryl to relax me</t>
  </si>
  <si>
    <t>I feel like my anxiety is driving my so away. I'm even getting anxiety posting this. Furthermore, I really do believe he is hanging on a loose thread because of my panic attacks and mental deterioration. He seems distant and unloving. I know it's a LOT to handle having someone in your life that suffers from anxiety and depression, but I just feel more alone and sadder by the day. Think we're hitting the rocks soon all because of my damn anxiety. I get nightmares about him leaving me or cheating on me. Seriously I think I might break. I feel so alone.</t>
  </si>
  <si>
    <t>Need help I've had anxiety for a goo years but since a few months ago when I did MDMA for the first time it has become much worse. (I had a panic attack during the MDMA trip btw) Now I'm having waves of nausea and I just can't feel good about anything and today it's worse than I ever felt before :(I guess I just need some support...</t>
  </si>
  <si>
    <t>Please help me!! (TW?? If you're really afraid of cars??) Hi! I'm 16, and I have *way* too much anxiety. I've had it my entire life, and it's untreated, but thankfully I'm starting therapy meet week!! Anyway, I can't be in a car for more than a couple of minutes without feeling petrified. Every other car on the road scares me, I always feel like we'll crash or be hit. There's just so many variables, it's like I'm expected to trust hundreds of people on the road that they'll be intelligent, nice human beings and not murder me by mistake or on purpose. And this sucks, because my family and I go out *constantly*, I'm in cars so often.it's lead me to have countless panic attacks. How on Earth do I help this fear?? **Please do not recommend medication. I am aware that meds can help, but I can't be prescribed any for a while. I need days to stay calm in cars.</t>
  </si>
  <si>
    <t>Anxiety Symptoms There a lot of symptoms to anxiety; the ones I get are increased heart rate, odd visual colors, can't stay in a chair (getting the need to stand up). But there's one which I cannot cope and when it hits, game over for me. The feel that reality fades away and everything turns white. I've never fainted, but when my panic attack is sever I seriously feel like my head is as big as the room, and I'm fading away. The amount of fear is unspoken I almost broke my wife's arms while in a car once when I was holding her. I was TOO afraid to pass out (or pass away) and the car might crash and hurt her. Does anyone else suffer from that dreadful feeling of disappearing? It's very hard to explain, actually.</t>
  </si>
  <si>
    <t>I don't know My anxiety and depression makes me feel as though nobody likes me and stops me from talking to people. I just wish I had somebody to talk to. Furthermore, I have amazing friends, but I don't want to burden them with my problems and just talking to them about it hurts me for some reason.</t>
  </si>
  <si>
    <t>Looking to join a gym, but super anxious at people staring at me Struggle in public as it is, let alone attempting to work out.</t>
  </si>
  <si>
    <t>What are the triggers? Hello everyone. I hope you are having a good and peaceful day. Been suffering from something that I can identify as general anxiety disorder. I worry excessively all the time and very often feel angry for no reason at all. I am always afraid that something might go wrong and start imagining future situations which are most likely to make me unhappy. Currently, I don't have an opportunity to see a therapist or a professional. I know most of the motives making me feel this way or another, but cannot overcome some of these traumas. I just want to stop being afraid. Two things I discovered for myself, or, well, people helped me discover are walking and meditation. This help, but only to a certain extent, not fully. I can write endlessly now, but the most important question I want to ask is - what triggers anxiety and constant worry? And also, do cigarettes trigger anxiety? I just need to know whether I will start feeling better mentally if I quit or no. Because sometimes the first thing I do when I feel anxious is to light a cigarette.</t>
  </si>
  <si>
    <t>Dry January As I lay here in the middle of a massive hangover, I'm thinking to myself. ... there has to be a better way. A better way to deal and manage my anxiety and panic attacks. Drinking the way I do isn't doing anything for me anymore. Except give me huge anxiety and nausea. Even the Asian isn't helping me today. Ugh I want to be ok. Dry January is my thing. I need to do this. I can do this. Fuck anxiety. I am stronger than it.</t>
  </si>
  <si>
    <t>DAE feel fake? I know there are probs a name but derealization or w/e doesn't feel entirely accurate. Sometimes I work myself into such a thought spiral, I think about how my emotions probably aren't even real, and I don't care about anything. Obviously, this more happens when I'm starting to feel a bit emotionally overwhelmed- but then I think about how everything about me is fake, how I'm not even a real genuine person. Does this make any sense to anyone?</t>
  </si>
  <si>
    <t>Finally have the courage to post stuff! I've been on Reddit for 2 years, but I've only recently gained the courage to post in the past few months. My comments and posts are mostly short and sweet, I don't really express my thoughts and opinions for the fear of backlash, but progress is progress! :)</t>
  </si>
  <si>
    <t>Hey all, I'm a 16 y/o waiter/ kitchen hand that has been working non-stop 8-hour shifts most days at my understaffed CAF?? For the last 2 weeks. After my shifts I get a wave of anxiety and stress that makes me feel sick. Partly because of what the customers may think of me, partly just because I've been on on on for 8 hours and I have a hard settling down. Advice is much appreciated. Thank-you</t>
  </si>
  <si>
    <t>Staying up all night I went to a real college party tonight by myself and was pretty excited to hang out with people outside of class. Had a great time until I got home and my anxiety just got the best of me. I got home around 3 am, was exhausted and ready for bed until I laid down, and now I'm just staring at my phone and so restless. I don't want to take any Asian because I've been drinking. Furthermore, I just want to sleep, but I can't turn my brain off.</t>
  </si>
  <si>
    <t>Anxiety about my heart rate I'm really scared because my heart rate is pretty low for someone who is not athletic at all. Okay maybe not too low, but I still am getting anxious about it. My heart rate when I lay down is 58 and that scares me because for whatever reason I still feel the palpitations and chest pain with anxiety. I never experienced anything like this, and I was wondering if there is anybody here with the same issues that could make me feel a lot better about my situation.</t>
  </si>
  <si>
    <t>Is this anxiety? - My family camp; my sons Autism. English is not my first language, sorry about my broken grammar. I'm a 38f, married with two young boys - one with mild autism (5yo). I'm happy with my marriage, I'm thriving at work and most important, I'm helping my big boy with his development. I'm having severe anxiety attacks when my mom is around or one of my sisters. If I don't share something related to my sons condition - they (mom camp; sister) tell me that I'm a bad mother, that I'm compromising my sons future and pretty much that everything is doomed because I don't do or say what they want. The point is that I don't know how stop these thoughts at night (reason why I'm writing this) -I can't stop thinking about my sons future and wondering if I'm doing everything possible to help him. My husband tells me that I'm pretty much the best mother my boys can have - we are helping my big boy with every resource available, and we are making progress, like big fucking progress. But I still think is not enough. When they are not around life is beautiful, I feel invincible, and I do accept my sons condition as part of our daily dynamic - but when family reunions are coming, I start having more and more anxiety because I know they are going to demand answers and I don't know everything about autism. I know my boy and how to read him and help him, but I don't have a magic wand to touch him and cure him - we are using all our time and money to help him, he's our priority, but we still have a 3 yo perfectly normal that demands time, love and attention. Being part of a minority that you don't know anything about is scary - we have managed to go through all of this as a family together... but the constant demands of information of my parents and sisters are killing me. I DON'T KNOW! Is this anxiety?...</t>
  </si>
  <si>
    <t>How can I help ease pre-work anxiety? I don't always sleep very well and end up feeling dreadful in the mornings. This then leads to me feeling sick and I have sat on the restroom a lot. I get the bus to work, and I'm always on the verge of vomiting. As today was my first day back after a couple of weeks, I barely slept and managed to drag myself to work, but I've then had to go home as I felt that awful. Normally, it starts easing once I've started and passes after an hour or so. I've not long started this job and can see a future there long term, so I'm worried this is going to hold me back. Does anyone have any advice on how to help this?</t>
  </si>
  <si>
    <t>I'm going on a two-week trip, and I'm scared that something bad will happen to my family and dog while I'm away I booked a trip by myself to relax and have fun because I've been super stressed and my mental health hasn't been good lately. But the closer it gets, the more worried I am. I don't want to leave anymore. I don't want to be away from my family and my dog. Furthermore, I've left them before for trips but not for 2 weeks. Not this long. I feel bad because my mom paid for my trip as a birthday gift because she knows how much I need it, but I'm extremely worried. I don't even want to go anymore if I'm just going to be worried the entire trip.</t>
  </si>
  <si>
    <t>Am very scared to start new medication. After years and years of putting off medication I finally picked up my packet of venlafaxine today. I'm scared, what If they do weird things to Me? What if they make me sleepwalk, and then I hurt someone or what if they make me sleepwalk and I jump off a roof? What if I get so fogged in the brain that I go crazy. I'm so scared.</t>
  </si>
  <si>
    <t>Anxiety meds - advice on which type and the side effects?? (16F) (kinda long post sorry) My therapist has decided that anxiety medication would be beneficial to speed up the changes she's making with CBT. I'm not properly diagnosed, but many GP's, counselors and psychologists have said I have high function Asperger which is definitely connected. I've been doing CBT for years now and feel as though I haven't really made any progress. Furthermore, I'm hoping meds will do that. Furthermore, I've had problems with low appetite before, and I'm not keen on taking anything with side effects that might make that come back? She said she'd put me on ones that doesn't increase the chance of suicidal thoughts, and the ones that are antidepressants as well. (I've had problems with depression before, and I think it's coming back, but it's not as bad, I haven't told my therapist about that tho, she suggested meds purely for anxiety). Just asking for anyone who was/is on them, what was your experience like with the effectiveness and side effects relating to the kind that you guys took/take??</t>
  </si>
  <si>
    <t>Just a new job a few weeks back, and I realized I messed up my salary negotiations. I know that we shouldn't reveal our previous salary in the negotiations, but I thought I was getting a good deal. (and to the average person it's a great deal, but with my qualifications and alma mater it's a solid but low balled deal) I realized that I could have gotten more. Like 20-30 percent more. I'm still young and don't have any dependents. But now I'm feeling a weird kind of anxiety that I didn't perform well in the negotiations. I've always had this imposter syndrome and keep feeling that I'm not qualified enough to demand more compensation, weather it's monetary or just social capital or status. I feel that it didn't help in the negotiations</t>
  </si>
  <si>
    <t>Does anyone else just love the Night? There's just something about the night that makes me feel super calm. That time when everyone in the house is asleep, and you're the only one whose awake. There's no anxiety, no feeling of fear, no sadness, it all just disappears.</t>
  </si>
  <si>
    <t>I swear I have an outgoing, funny, social personality. But my anxiety holds me back camp; falsely turns me into an introverted awkward weirdo. I've always been so insecure unsure camp; awkward yet I've always dreamed of being a singer, can't sing for whizz but won't even sing in front of anyone even like jamming in the car in front of friends or a boyfriend because I'm so worried I'll be judged. I always want to run out on the dance floor, be silly jamming in the car or even give my boyfriend a lap dance, but I'm too insecure and won't. Furthermore, I've even stopped posting on social media because I worry I'll be judged. Furthermore, I don't usually talk to people I don't know camp; a lot of times won't even talk to people I do know because I worry about awkward silences etc. ugh in such a rut</t>
  </si>
  <si>
    <t>What to do if psych refuses Bezos? I've been suffering from horrible panic attacks all my life. Recently they have gotten worse to the point I cannot sleep at night which impairs my function during the day. I understand Bezos have a stigma and are addictive, but I feel I have tried everything and nothing works. Beta blockers and even Vistaril (a strong antihistamine) did not work. I have something for general anxiety which is very helpful, but it doesn't stop sudden panic attacks. My therapist who I have been working with for years believes I would be a good candidate for Xanax or Klonopin, but my psychiatrist office is firmly against prescribing certain medications including Benzodiazepines. What the fuck do I do? I am so desperate for relief I've considered going to the streets for medication, but I have too much anxiety over how unsafe that can be.</t>
  </si>
  <si>
    <t>AmericanSchoolSystem I used to have so much motivation and school has literally made it disappear. I'm a completely different person than I used to be....the American school system is screwed.</t>
  </si>
  <si>
    <t>Anxiety from work conversations Let me do the math here: My manager struggles with self-confidence issues and I struggle with extreme anxiety. I already have a hard time talking to people because I tend to not be very good at articulating, but it's especially hard with my boss as she takes everything really badly. I feel like I have to tip toe with my words, so communication is very difficult. Today I was closing with her and another shift supervisor, Evelyn (I am a shift supervisor too) we got on the topic of hiring new people. I've wanted to be a trainer for a very, very long time and have mentioned it to my manager many times. She's told me that she wants to promote me, so I said am I finally going to do my barista trainer training? Â She said no... I was going to train Evelyn. Â (She didn't train me before as I was in uni, but now I only have one class) I was really shocked by this and said, but I've been waiting two years for this promotion! Â Keep in mind Evelyn has only been with the company for a few months. My manager and I have a very similar outlook in life and a very good relationship. I have told her many times how much I respect her and how I acknowledge how much she's taught me. Anyway, she did feel bad that she hadn't thought of me. I think I might get the promotion over Evelyn, and here's where my anxiety kicks in: I may have just cost one of my friends a promotion. I'm in bed now kicking myself for saying anything. The only reason I reacted that way was because I was genuinely shocked she wasn't going to promote me, and I tend to say what's on my mind. Should I apologize to Evelyn? I really want this promotion and have wanted it for so long, not for the money but because I love teaching people and I think I would excel in this position. I really feel awful right now to the point where I'm thinking I should just tell my manager to give Evelyn the promotion, so I don't feel the guilt anymore.</t>
  </si>
  <si>
    <t>This happens all too often at night It's irrational and idiotic, as are a majority of my thoughts. But, I have a problem with constantly eating ice (2-4 cups a day). I know I need to get blood work done to see if I have anemia (does that even correlate with it?) which would explain all the dizziness. I traveled over the summer and that's when the dizziness/everything started. But, I can't stand these thoughts of me having parasites and worms wriggling in my intestines which give me bouts of dizziness and nausea. I can practically feel something inside me moving and pushing against my organs. In some way they are causing me crave ice in some nonsensical fashion. It's stupid I know, but that's all I've been able to think about for the past hour and I don't feel like I'll be able to sleep. I hope it made some sense, but things like this usually shouldn't.</t>
  </si>
  <si>
    <t>Not wanting a massive spotlight shining down on me after a good deed. About a month and a half ago, there was a blood drive at my colleague and I decided to donate. This was the first time I'd donated blood, so it was a small bag (I think they were just taking blood cells, but I'm not sure). I got a t-shirt in exchange for donating, which I later hid in my backpack. You see, my mom is a cancer survivor, leukemia to be specific, so I knew she would probably get really emotional if I said anything, and that she probably would've told more people about it. I was fine with a few people giving me praise for it, but to deal with what felt like being forced into a massive spotlight was something I actively wanted to avoid.</t>
  </si>
  <si>
    <t>Anxiety interfering with my love of reading? I've been an avid fantasy reader for nearly my whole life, but the last couple of years, my anxiety and perfectionism have been getting in the way. For some reason my brain decided that I have to completely absorb every word and imagine every detail perfectly. If I mess up, I feel like I have to read the same paragraph again. This happens over and over until I get so frustrated I give up. I really want to be able to enjoy reading again, but right now the experience is so full of anxiety that that seems a bit impossible. Any suggestions?</t>
  </si>
  <si>
    <t>Anxious Christmas is over. Honestly never had this feeling before. Yes I have been sad when its over but since yesterday I have had a strange feeling about the new years ringing in, so much that as soon as it did I started to cry. I don't really know if that is from sadness or happiness. Today however has been very hard, I have let go of toxic people and i am Iver the moon happy about it, but it seems that has caused me a lot more anxiety as well. I don't know what I'm trying to get from writing this post but I just want someone to talk to.</t>
  </si>
  <si>
    <t>Is there a way to beat it? I have noticed my anxiety getting worse over the past few months but I have no idea why? It uses to just be social. Now I get anxiety sitting at red lights, I even get nervous if imp laying music to loud in my car as if anyone is even around to hear it. I don\`t understand what drives the anxiety. There is so much I want to do but I'm starting to let it beat me and becoming more and more depressed every day.</t>
  </si>
  <si>
    <t>Starting a new job tomorrow... I'm starting a new job tomorrow. One of the main reasons for the change is for my mental health, but my mind is cycling and has been for a few days. Will I be able to handle my new responsibilities? Will I be a complete failure? Will I let my new work place and my family down? Logically, I know that leaving my old office was the best thing I could do. The environment was toxic and caused me to have lots of panic attacks and occasional suicidal ideation. But starting over at a completely new place after 5.5 years at my last job.... I'm feeling overwhelmed. Could just use some encouragement and support to get through the first day. Thanks!</t>
  </si>
  <si>
    <t>My Anxiety Is Taking Over My Life Hi everyone! I've been suffering from anxiety for a while now. But for the past couple of months it has gotten worse. I can't stop overthinking and replaying past events that have occurred. My mind feels like it's going to explode, and I have no idea what to do. I worry about my future which makes me feel sick in my stomach. I constantly feel so irritated because of my anxiety. Furthermore, I'm so tired of feeling like this. It has come to the point where I can't even focus on school. Please advise as to what I can do. Thanks a lot!</t>
  </si>
  <si>
    <t>Plane anxiety help? I am about to go abroad, and the flight there is about 7 hours long. I absolutely hate flying and have only ever flown alone once, however, the flight was only 1 hour long. Furthermore, I'm extremely nervous to be flying alone on a 7-hour flight. Furthermore, I have been to see a therapist once, and it didn't work out so I haven't gone back to find someone else. This means I was never prescribed any medication. I leave soon and won't have time to go see a psychologist to be prescribed medication for anxiety. Do you think my general practitioner would prescription me a small dosage just to get me through the flight? I've heard of cases like this before, but I wasn't sure. If not, do you have any non-prescription sleep aids that you think will work or any general tips for plane anxiety? Turbulence is what gives me the most anxiety and I'd rather just like to sleep through most of the flight. Thank you!</t>
  </si>
  <si>
    <t>DAE text friends and then think about it for hours afterward For the past 3 years or so I've had real trouble not overthinking text conversations... And in general I end up texting long paragraphs and then deleting them and never saying what I feel because I'm scared my friends will leave me. I spent Nye alone while my best friend hung out with his other friends, and it really fucked me up. Every time I text him we end the convo without really having said anything I just sit for an hour or two and wonder what I did wrong. It's gotten to the point where we've had multiple discussions about this, and I've lost other friends because of it, I don't want to seem needy, but I'm so clingy and anxious all the time because we never see each other (I live an hour away) Any suggestions on putting the phone down for once?</t>
  </si>
  <si>
    <t>Starting a New Job AGT;.Lt; Help me. I'm starting a new job, and it's giving me all sorts of anxiety and panic attacks. The people are nice, and I know it's me who's making it harder than it is. I'm inside my head all the time, worried I'm not good enough, not likeable, not pretty enough. I want them to leave me alone but would hate it if they do. Furthermore, I've tried inserting myself into conversations, but it just never felt natural, and I ended up hating myself. This new job is much better than my last job and I can't help but thinking I got totally lucky and that I totally duped them during interview even though in my last job I kept dreaming about this one. Help me get myself out of my head please, the anxiety is killing me.</t>
  </si>
  <si>
    <t>Magnesium glycine chelate This has literally changed my life. I started taking this, 150mg a day, two weeks ago. All of my physical anxiety melted away. From extreme muscle tension, tension headaches and even psychological symptoms. I highly recommend trying a good form of magnesium,</t>
  </si>
  <si>
    <t>Please someone help me I'm up late by myself, and I'm really scared. My chest really hurts and nothing will make it stop. The panic part is over, but I'm really scared it will come back, or my heart will give out and I'll die. I'm afraid to get up and brush my teeth and stuff because I'm afraid my heart will start beating real fast again. I don't know how to cope I'm really scared please can someone help me my face is still a bit numb and I don't know why my chest still feels weird. Could my heart be overworked? Should I go to the hospital? I'm at a loss at what to do. Does anyone have any coping techniques that could help? I'm so scared that my heart will give out or something</t>
  </si>
  <si>
    <t>I think my anxiety is ruining my relationship. I met my boyfriend four months ago, and I've never been happier with anyone. He's kinda, patient, thoughtful, and all around absolutely amazing. I want to marry him someday. Over the past couple months I've had some pretty intense stresses. My car was totaled, I lost my job, I moved to a new city to be closer to him. I got a new job, but I'm not making nearly as much money as I used to. I feel like such a burden. Furthermore, I'm an emotional wreck 24/7. Furthermore, I cry constantly. All I do is worry. My boyfriend wants me to be 100% open and honest with him, but everything I'm thinking is negative for the past month. It's unfair for him to have to deal with my emotional outbursts, and I can tell he's growing a little tired. I would be too. I know he loves me, but this might end up being too much for him. If anyone can help, how have you helped lessen the emotional load on your partner? I can't afford a therapist at the moment. TL;DR I'm worried my anxiety will ruin my relationship and I want to know how to lighten the emotional burden off him.</t>
  </si>
  <si>
    <t>Any advice for dealing with 'reflexive' anxious feelings? I was seeing a therapist before I moved to a different country for a job. Seeing another therapist isn't an option right now. Most of my anxious feelings revolve around specific social situations, so they don't affect my ability to work very much but trying to make friends or date is pretty tough. Something I never really got to address with my therapist was how to combat anxious feelings that feel more like a reflex than over-thinking. It's a little hard to explain, so bear with me. To take a common example, striking up a conversation with a stranger in a purely social setting. It feels rude, and if there's any possibility that they could interpret my actions as romantic or sexual interest, slightly creepy. There's no thought process behind the feeling, just sudden anxiety, as though being rude in this particular way is the same as running into a wall at speed. Asking why I have that reaction feels like it makes about as much sense as asking why I don't like the taste of mushrooms. I can make sensible-sounding guesses, but that never seems to lessen the feeling. I've tried to just push through a couple of times, and my obvious discomfort seemed to be off-putting for the other people involved. Any advice for dealing with feelings like this, or pushing through without coming across as obviously uncomfortable?</t>
  </si>
  <si>
    <t>Massive Pregnancy Anxiety??? Hey!! So I'm a sexually active (21F) with GAD and OCD. I use a contraceptive patch and withdrawal (can't use condoms due to skin sensitivity) and Gd I always obsess over being pregnant. I track everything religiously, every ache every symptom and use my BC like no one's business - and am a sex educator. Furthermore, I literally always think I'm pregnant though. Without a doubt. It is about the only thing that gives me anxiety now that my meds have gotten my head straight. But like clockwork, I wait for periods to start and sob. It's putting strain on my relationship with my partner (24M). Anyone experience this or have ways to cope?</t>
  </si>
  <si>
    <t>Anxiety recommendation! I was just visiting my parents for the holidays in another state, and so I got a cat sitter for my two kitties (she's a co-worker, actually, so I know her more than a random cat sitter). But I have a history of worrying/panicking that the cats are dead/dying/injured in between my cat sitter's visits (I told her to go at least every 3 days, or more if she wanted). So I got a security camera so I could watch the cats whenever I wanted! It has a motion sensor feature, so my connected app alerted me whenever the cats walked by (or a light turned on in the hallway lol). It was so helpful for my anxiety! I recommend it to any anxious pet owners. Just get a regular security camera (mine is a YI dome camera), you don't need the fancy expensive ones that are made for pet-watching. And I can spy on the cats from work or anywhere else too now! 10/10 would recommend.</t>
  </si>
  <si>
    <t>Propranolol Australia question I have only just learned of propranolol, I've been on SSRI's for years and now quitting alcohol again which causes me anxiety. I can get a limited amount of gallium from my doctor, but he doesn't give scrip repeats and I only get 30, 5mg tabs every few months. Would a doctor easily prescribe me propranolol in Australia? Anyone from here with any experience getting it from there doctor ? I get pretty anxious in social situations and at work, I'm hoping this can help and be better alternative to gallium. Thanks</t>
  </si>
  <si>
    <t>Where does your anxiety stem from? I feel that most of my anxiety comes from financial insecurity my job, regardless of where I work and how much money I'm making. How about you?</t>
  </si>
  <si>
    <t>HELP! Tips for those with Anxious Attachment? And tips for their SO's? I have pretty severe anxious attachment (depending on how stressed I am in regard to work, financial matters, etc.). If you're not sure what an Anxious Attachment Disorder is, [please click here](https://verilymag.com/2017/09/attachment-style) to get a quick idea of what anxious attackers struggle with. For those that either have this anxious attachment, or date/married to anxiously attached individuals, do you have any tips or advice on self soothing for the anxious individual, and for their SO's, healthy, productive ways they can support their anxiously attached partner? My BF is securely attached, so I don't have to worry about any avoidant personality traits when it comes to my interactions with him.</t>
  </si>
  <si>
    <t>What is a normal amount of anxiety? Simply put: I've been on an SSRI for about 7 years, and I'm beginning to wonder if it's no longer as effective as it once was. Obviously I know that medication is not a magical cure, but I've been experiencing panic attacks like I had BEFORE being put on meds. How do you know when your meds aren't working like they should?</t>
  </si>
  <si>
    <t>New job anxiety and need support Hi everyone, I start my new job (my first ever official job like starting my career) tomorrow morning, and I am freaking out! It's going to require a lot of learning, which I'm sure I can handle, but these jitters are triggering my other anxieties... like my xenophobia and overall fear of losing control. Sorry this may seem a bit jumbled, I am just on edge and needed to vent and was hoping I could get some kind words from others that understand the struggles of anxiety Lt;3</t>
  </si>
  <si>
    <t>Lengthy Anxiety Attacks Does anyone here ever experience certain events in life and then spend the next couple of days to a week on the literal edge of a panic attack? Because I've been working really hard on my mental health and lately these things not huge but not necessarily small either keep happening, and it's giving me anxiety to the point that I just feel on the edge of a panic attack constantly</t>
  </si>
  <si>
    <t>What are some things to do when meeting a new potential friend? In a burst of post NYE courage I texted 3 ladies I'd like to know better asking to meet up as I'm desperate to make new friends. I'm meeting the first one in a few hours for drinks, and I'm horribly anxious! I have severe social anxiety, and I'm terrified that I'll freeze up like I normally do in these situations. Any tips for opening up to friendly acquaintances despite the doubts and mind blanks?? Thanks!!</t>
  </si>
  <si>
    <t>Panic attack sufferers-ever check your blood sugar? I am not a doctor giving any medical advice! I'm simply sharing my story- to see if others have gone through something similar. If you feel it might be- go to your doctor! For about 10 years (I'm 28) I've suffered from panic attacks. I've been on every medication known to man- I've gone through phases where I was an alcoholic for many years- I've tried many things including diet sect... But then it dawned to me. I tried recalling all times I've had no anxiety- vs. all times I suffered from panic attacks often- and I think I finally came to a conclusion. I have hypoglycemia. For example- it runs in my family. I was prone to be an alcoholic due to anxiety- but no- it was the sugar my body was seeking. When the alcohol would wear off-major 'panic attacks' would occur. I thought it was due to the sedating effects wearing off- but no- it was low blood sugar spikes. I've been to the ER I don't know how many times thinking I was dying-having a heart attack, stroke or something- but no, it was low blood sugar spikes. And when you go to the ER thinking your having a heart attack, guess what? They do an EKG, chest X-ray- etc.- but-they don't check blood sugar, now, do they? They throw an Asian at you which makes any situation feel better. When I quit alcohol- I went through withdrawals- the whole nine yards. After recovering- I was eating constantly! And my anxiety was gone- I figured hey-they're right-alcohol causes anxiety-which is right- but-it also balances your blood sugar back to normal if your constantly eating small meals and abstaining from alcohol. When I was growing up- I never had panic attacks- but guess what? I naturally ate small meals throughout the day-in other words- a hypoglycemic diet. It all makes too much sense-so I've been testing it- and sure enough-when I have a 'panic attack'- it's because I ate something with too much sugar and hadn't eaten in a while- and eating more sugar-caused the attack to go away. Eating complex carbs, no refined sugar, and many meals through the day completely annihilate my anxiety. Hypoglycemia has the exact same symptoms of a panic attack-irregular heart beat, fear, shakiness, dizziness, really the list just goes on. Now- I've already been to the doctor to verify this- if you think it's a possible issue-please ask your doctor and don't take my post as medical advice. I also want to share that I'm excited that this whole time it wasn't all in my head- and something really was wrong- but-this is not the case for a lot of people- and I don't want to discourage anyone who suffers from panic attacks and there really is no medical problem causing it. I just felt some people might be going through something like me- and find relief in their anxiety. Furthermore, I've had much health anxiety in the past- and don't want to trigger health anxiety in others-thus- take my story with a grain of salt please.</t>
  </si>
  <si>
    <t>Having major Anxiety hey I'm a teen and don't really know what to do having major fucking anxiety and want to curl up into a ball and never come out some backstory a few weeks ago I was texting a girl who I don't know that well she had one of them Dm to talk things and I love talking to new people, so I say why not and start texting her. anyway we start texting and UK at one point the conversation becomes very stale, and I say "why so dry" cause UK I like to make jokes, anyway she responds asking me what she should say, and I again jokingly say ask me how I'm so hot like as jokes. So then the conversation moves on, and eventually she leaves me on read no biggie it is like that sometimes. Now some kid in my class who's fucking hates me for reasons I don't even fucking know gets the screenshots of the convo mentioned above and starts sending it to everybody. Let's call him H He even threatens to expose me and shit which I'm like fuck that, so I go and tell the school what happened. Now before people call me a snitch, 1. I sit in a table group with 3 other people including H those 3 other people have been picking on me since the day I arrived for no fucking reason. Like the usual I fuck your mom and shit jokes like fine whatever. But the second you get my Dms and start spreading them around I basically lost it and told the school. So the school talks to 2 of them I don't why not the 3rd but whatever and basically H is not allowed to bring his phone, and they apologize to me. They still crack jokes about me snitching and shit but whatever they barely talk to me and honestly that's what I'm happy about. anyway yesterday I fucking accidentally click yes on some guy's Dm to talk thing, and he Dms, and I'm like light I won't be rude I'll strike up a convo he then proceeds to bring up the Dms with me and the girl and tells him and H are close like what the fuck. So I block his ass and now basically I'm too scared to talk to anybody on Instagram and having mad stress over the fact that this Dms might get sent to everyone I know I'm being paranoid but like I can't help it I don't want to be the laughingstock of the whole school in all honestly why would the girl screenshot it and why would H be such a dick to spread them around, I'll never fucking know. But right my biggest fear is that when I go back to school which is on Monday everyone will know about this and tease me which again is unlikely to happen since this happened in November but fuck man I'm so scared. Thanks for Listening to my rant if you made it this far really could use sole advice RN</t>
  </si>
  <si>
    <t>Which doctors when?? Looking for advice about treatment. I'm feeling a little frustrated/lost/overwhelmed by how sort of fragmented treatment seems to be. We have therapists, for emotional/talk stuff, we have psychiatrists, for meds and brain chemistry stuff, and we have regular old doctors, for body stuff. But that stuff is all so related, it seems impossible for it to be treated as three distinct areas by three different people who don't talk to each other. I'm not really sure what I'm asking lol. (new to this Subreddit... hi!) I'm just anxious about this. I see a therapist weekly and a psychiatrist every month or two, but I have a lot of physical problems that I think are related to my mental illness (chronic pain, chronic fatigue, stomach problems, etc.) and neither of them seem equipped to help with that. Seeing a regular doctor next week, and not sure if I can expect them to help with it either if it's a psychiatric issue?? Not to mention I was recently diagnosed with ADHD, which I know can be related to trauma and depression, so I don't know if I need my ADHD and other stuff to be treated as related things and not as separate issues.... I don't know. I'm stressed about figuring out who to go to when and how to get treatment that addresses all this stuff as a whole because I feel like addressing each issue as if its distinct and independent doesn't make sense or won't work or something. Does anyone have any words of wisdom about this? (It's possible I'm just being paranoid that treatment will fail if it's fragmented in this way. That might be perfectly fine. If that's the case, I just need advice about how to figure out who can help with any given issue.)</t>
  </si>
  <si>
    <t>Going back to college after three semesters On Monday, I am going back to school after what will have been three semesters of either withdrawing, or not attending classes. All due to anxiety of being on campus and in classroom settings with so many other individuals, not attending, and then depression following doing so. I basically dug myself into a hole, and I am now working to succeed and graduate. My GPA has suffered greatly, and I am now working to regain financial aid. I am starting out this semester with only two classes to get myself situated, but I am now under pressure (from myself) to get all A's from here forward seeing as I am now paying a ton out of pocket. I am now medicated and ready to go, so that isn't where the issues lie. My concern is that I will mess up everything again. What if I fail? What if I just give up? I am so scared beyond belief. I know that a lot of my fears arr irrational, but I really can't help it. It's going to be me against my mental health, and I'm scared I won't win. Any advice or tips on dealing with severe anxiety/depression in a school setting? I really, really want to succeed. Thanks!</t>
  </si>
  <si>
    <t>Worrying/Getting overly anxious when not needed or warranted I have a problem that always seems to come up where I worry about issues that I have no place to worry about, such as now where I'm getting a little stressed over some electrical issues in my family's house (outlets not working, going to call an electrician to take a look). My worries here tend to stretch out to what all could go wrong, even when I'm told not to worry and that everything will work out. I'm not exactly sure what is going on with me here when I start to stress at the slightest sign of something going wrong, but I know that in of itself stresses me out, and that combined certainly doesn't make things easy.</t>
  </si>
  <si>
    <t>Why would my friend say this to me? My friend told me oh my god, can't you see that your husband is trying to trap you? Â And he was yelling this to me.</t>
  </si>
  <si>
    <t>Anxious and impatient around people. Feel like being on my own. I'm always super anxious around people. Avoiding eye contact, awkward smile, twitchy face, not talking much. I can't help but feel insecure. The primary reasons I feel insecure is not having a job or a girlfriend, and because of my appearance. I also have terrible IBS which is part of the reason I don't have a job or girlfriend. It's ruined my life. I feel like people judge me and I hate being anxious thinking people will ask me, so what do you? Â and I have nothing to say, just nothing at the momenta. Then they're all confused why someone wouldn't be working or actively searching for a job. I also feel impatient around people. I feel like the more time I spend with people the more chance there is I'll do or say something embarrassing, the more questions I'll be asked, the more focus there's likely to be on me. Furthermore, I also get jealous of people being able to have fun and be great at socializing while I just suck. Furthermore, I feel very drained being around people, very on edge. Furthermore, I often wish I could just get the hell out of there when I'm with people at dinner and that sort of thing. How the fuck do I relax?</t>
  </si>
  <si>
    <t>I'm at a party and i don't know anyone. This is torture. My friend is leaving for college, and she asked me to come to her house for a goodbye party. I often make up excuses to get out of this kind of things, but I figured this time I owed it to her to come. However, when I got here it was so much worse than I thought. There are lots of people here, but I only know about 3 of them and I haven't spoken to them in years. It's so awkward it hurts. More than anything I just want to leave, but I know if I do then I'll look like the person that just left first for no reason. So basically I'm stuck here for 4 more hours with nothing to do.</t>
  </si>
  <si>
    <t>My anxiety is holding me back, and I need advice Hello! Longtime lurker but I decided to post because I'm in need of some advice and I thought someone on here might have a similar problem. I'm really struggling with having people watch me while I do any sort of task for fear of them thinking I'm an idiot or incompetent, and it's affecting my ability to try new things. My dad runs a business that I would love to learn more about, but I can't bring myself to work there because I'm scared of looking like an idiot and I just get so anxious about it. I know everyone will understand because I'm learning, but I'm still anxious. I feel like a failure for not even being able to handle a job. Furthermore, I'm in the perfect position to learn some amazing things, but I panic. Does anyone have any ideas on how I can work past this? My dad is completely understanding about my anxiety about working there so he's not pressuring me at all. I'm just so frustrated that I want to work there and learn, but my brain is ruining it for me. I'm afraid this anxiety will follow me for the rest of my life, but I'm so young, and I don't want to be held back by a faulty brain.</t>
  </si>
  <si>
    <t>Is medication necessary to manage anxiety I've been dealing with anxiety for a while now and ever since my mom lost her job I don't have the money to pay for going to the doctor or medication any feedback is appreciated thank you</t>
  </si>
  <si>
    <t>(16m) I feel like I'm not even present when I'm with my peers. I feel left out even when I'm involved in activities. I need help I'm thinking about just stopping when trying to be social and meet new people. It just seems like everyone has it way better than me when socializing and that they're more liked than me.</t>
  </si>
  <si>
    <t>Is this anxiety? I always have an overwhelming sense that I'll never do anything useful to benefit me or society, I can't see my future at all. Every time I think about it, (which is often) I can't help be felt hopeless and miserable</t>
  </si>
  <si>
    <t>Perpetual state of I am not where I'm supposed to be I'm likely just venting, but as I'm in bed and anxiety is kicking into hyper mode. I'm living in this constant state of I am not where I'm supposed to be. This overwhelming feeling that no matter what, I'm behind the curve. I know I'm ahead of the curve, I know I'm doing the best that I can. However, there's this weird internal feeling, right in my ribs that's just screaming at me. What the fuck do I do? What the fuck can I do? I feel doomed.</t>
  </si>
  <si>
    <t>Does anyone ever feel like they are running away from a terrible fate? I am convinced I am 'doomed' to a certain demise and that experiences have been sort of 'portals of insight' into this inescapable fate. I have had a phobia of bats and rabies since age 14. Since then, I've had more than a few casual run-ins with bats. This past summer, I came face-to-face with a dead bat at my job and felt like I was going to lose it. A month ago, a future roommate of mine casually mentioned that their place (my future place) has some sort of bat problem. Since hearing that news, I am convinced living there is going to be my death sentence. I am seriously worried and already feel sick over the matter. I know it is irrational (though I mean not completely unfounded), and I don't know how to calm myself down. Furthermore, I need to talk to my future roommates about the matter and possibly my future landlord. Furthermore, I just feel like I am going to lose it. Guess I just needed to vent more than anything.</t>
  </si>
  <si>
    <t>24f Just am I feeling alone I'm struggling right now and just feel alone. I ended my relationship in August and am just having anxiety about making everyone happy. Does anyone else struggle with this or have tips for me? Fellow people pleasers?</t>
  </si>
  <si>
    <t>Favoring coping method when you feel like you can't breathe? Hi Reddit! I've had GAD since I was 11 (25 now). I've been doing pretty well, but the last week or so like clock work at night I just feel like I can't breathe. Furthermore, I have that lump in throat/tight throat feeling. When I take a Klonopin, and it kicks in I feel fine...but I don't want to be taking spin everyday like I used to. What do you guys do to get rid of this feeling and BREAAAATTTHE again?</t>
  </si>
  <si>
    <t>Anxiety attack, symptoms? Does anyone get random jaw pain and ear pain that comes and goes for a few seconds????? Or is this something else.</t>
  </si>
  <si>
    <t>How I can, I help my mother? I'm hoping this is the right place to post this! My mother (60sF) has always been an anxious person for my whole life, but it was never serious enough to warrant a diagnosis in my childhood. About 15 years ago my dad got really sick (details of this are irrelevant) and he had to sell his business. With this came a few medical bills, my dad had been keeping secrets about their financial situation, and it turned out they were in a lot more debt than they realized. This basically led to my mum's anxiety getting worse, and it has been progressively getting worse since then. She is severely depressed as well. Neither of my parents have worked in the last 15 years and their debt has gotten worse and worse (I'm talking over $300,000). My dad just sleeps his life away and my mum is miserable. She won't get herself help because the idea of it makes her too anxious. She spends her days watching TV and feeling miserable, and is only somewhat happy when spending time with my nieces and nephew. When my sisters and I have talked to her about getting free counseling she says there's no point because the wait is too long. She tutors English and has one student, but it's only $50 a week and her student is constantly traveling, so the job isn't consistent. She has talked for years about needing more students, but she is too afraid to put herself out there. I've tried introducing her to exchange students I work with, but it doesn't work out. We've suggested she just volunteer to feel like she's contributing in some way, but she says she doesn't have time to volunteer because she'd rather work for money... but then her anxiety keeps her from finding a job. My parents have to sell their house and move somewhere smaller in order to get out of their debt. But she is too anxious to start packing or getting rid of clutter. Just this morning she messaged me and said she misses human interaction. I suggested she take the dog for a walk around the block, and she said she didn't want to. It breaks my heart that she is living in such misery. All she talks about is how much debt they have, how miserable she is, and she constantly complains about my dad. All this negativity is seriously impacting myself and my sisters, but we just don't know what to do. How can you help someone that is too anxious to get help? I want her to get counseling because I think a professional will be able to help her through the difficult process of packing up and selling a house. We live in Aus so under Medicare she is entitled to 6 free counseling sessions a year. If anyone has any thoughts or suggestions on how I can help her, I would greatly appreciate it. Thanks, Reddit Lt;3</t>
  </si>
  <si>
    <t>My texting anxiety For some reason every single time I text someone it's like pulling teeth. I have a close group of friends who I hang out with and I can't even text or call them to hang out without feeling like I'm intruding on their life, and they'll be annoyed. This all started two years ago when I had terrible depression for about 4 months straight, and before I could talk and text people all day. Does anyone have any advice for me?</t>
  </si>
  <si>
    <t>I just had my first full-blown anxiety/panic attack for the first time in 12 years and I forgot how brutal they truly are. I 33m just had my first anxiety/panic attack since I was 21 and heavily depressed. For some reason getting a haircut always gives me a tiny bit of anxiety and as a guy who likes the look of his hair faded this is a problem. As she started to cut my hair I could feel it come on like a freight train, my eyes couldn't focus, the lights were so bright I felt like I was in a surgical room, my face went flush to the point it looked like I was having an allergic reaction and my heart was pounding out of my chest. All I wanted to do was get up and leave, but she was only a 1/4 of the way started and if I left I wouldn't have been able to fix it and would have probably had to shave my head. Then she kept asking me questions and having a long conversation with herself and not cutting my hair while doing so and the anxiety/panic kept increasing. My face was so flush I just blurted out I think I'm having an allergic reaction to something and I should probably get an allergy pill, can u just finish the fade and don't worry about cutting the top. I probably sounded so stupid or looked crazy. It may sound stupid but that haircut was my own personal hell for ten minutes, fuck anxiety!</t>
  </si>
  <si>
    <t>Planning on confessing to my crush later tonight, need a boost. As the title says, tonight I'm looking to confess to my online friend that I've grown to have a crush on over the past couple months or so. While I don't like the idea of risking anything with our friendship, the anxiety I've been feeling from it right now is bad enough that I'm finding it difficult to eat, and I think the only way I can get it to calm down anytime soon is to just tell them and get it out of my system. I've been trying to do everything I can to reassure myself and to keep my expectations low to avoid extra stress, but I can just tell my anxiety might spike beforehand and make me change my mind, and that it will most likely make me sick even if I don't do it. As lame as I feel asking internet strangers this, I'd like to ask for some support, even if it's just a simple good luck, because I think I need any boost I can get right now.</t>
  </si>
  <si>
    <t>I think my teacher's getting sick of me So my 9th hour is called resource, and is basically just a study hall and if you want to go to a different classroom, you need to ask your teacher first, and I go to the same place every day and I think I'm annoying my resource teacher by asking him the same question literally every day. What should I do?</t>
  </si>
  <si>
    <t>DAE actually find stressful situations help their anxiety I posted a few days ago about losing my job and how it made my anxiety calm down a lot due to the stress of the job, but now I almost miss it. Now I certainly don't want my old job back, but having something stressful to focus on like a deadline or job seems to be better than having nothing stressful going on but still being anxious. Atm I lay in bed at night knowing full well I have no responsibilities the next day and still being anxious, whereas before if I was anxious at night I could at least attribute it to work the next day and try to logically think through it to calm myself down. For me at least it seems a lot less uncomfortable to think "I'm stressed about work tomorrow" than "I'm stressed about binge-watching Parks and Rec tomorrow".</t>
  </si>
  <si>
    <t>Spending anxiety Whenever I try to buy something for myself, I get worried that I'm wasting my money and should save for college instead. I work part-time, so I have enough money to treat myself once in a while, but I can't bring myself to... I feel like I've caused so many inconveniences because I say that I want to buy something, but immediately back out due to anxiety.</t>
  </si>
  <si>
    <t>"Today I will" I posted before about my bad relationship taking an even worse and more humiliating turn right before New Year's Day. I'm having a hard time waking up knowing time is winding down before he gets back, and I feel like I can't breathe. I talked with my mom yesterday, and she told me she had read my horoscope, and it said "you will begin to understand layer by layer" and that really stuck with me. Furthermore, I said it reminded me of the episode of "Friends" where Chandler was scared to get married, so Ross said "don't think about that, just go home and take a shower, then put on a shirt...etc." so I started my own version of that called "Today I will." I have an index card and I write the date with the one thing I will do that day to get me out of here without feeling overwhelmed. So for example: 1/3/19 Today I will buy 4 boxes and pack them and 1/4/19 Today I will pick up my last check and ship the 4 boxes. I'm feeling better looking at it this way, but I'm still scared and overwhelmed. I currently live in a very small town and there are no taxis to the large airport an hour and a half away, but that's not what I'm worrying about today.</t>
  </si>
  <si>
    <t>How do you handle anticipation and plan for a source of anxiety? As I've mentioned here before, I tend to use sports (which I'm otherwise disinterested in) as a self-esteem proxy, and get way too emotionally invested in the outcome, especially when I'm around people who do genuinely care. This has caused some not insignificant anxiety in the near and far past. Now, my cousin has dinner planned that she's invited me to that will be during such an event. The family and other guests will almost certainly be interested in watching. Even knowing this, I'm going to go anyway, because I shouldn't let this hold me back from doing something I'd otherwise want to do. But how do I prepare myself? How do I keep my heart from pounding in my chest, in suspense, wanting to reload websites over and over again with the score (they'll likely nausea the game for dinner and return to it after) and have as pleasant a time as I can with my cousin and their kids and the other distant relatives? I'm better than I used to be, but still could use some advice and assurance. Thanks in advance.</t>
  </si>
  <si>
    <t>My anxiety is spiking, and I don't know why Over the past week my anxiety has gone through the roof and I have no idea why. It hits me after I've been up for a couple of hours when I haven't even thought of anything anxiety-inducing. The same thing is happening to my mom right now bc we feed off of each other, so it's basically one big cycle of anxiety happening in my house right now. I've been thinking that maybe it's because I'm out of school right now and got used to seeing my teammates several times a week and haven't had any real social interaction in a while? That hasn't happened to me before. Does anyone else get like this? If so, do you know why?</t>
  </si>
  <si>
    <t>Hard night Anxiety is hitting me hard tonight. Watched a movie that was apparently a trigger. I'm almost 40, and want to run home. I also want to run away from everything, but know it will follow me. Furthermore, I'm traveling for work and feel isolated. Furthermore, I hate these feelings.</t>
  </si>
  <si>
    <t>Anyone get headaches / head rushes? (Health anxiety) I have HORRIBLE health anxiety. It's starting to cause me to lose touch with reality. I don't know what to do anymore. I constantly have muscle twitches / head pressures / TMJ issues / heart palpitations. And I'd rather not get on medication. I'm trying to do this naturally as possible. My issue is sometimes especially when I first wake I get out of bed and get a rush to my head and I can kind of hear my blood rushing in my ear. Is this normal??? Or anxiety? Wondering if anyone else experiences it, or I'm an insane haha</t>
  </si>
  <si>
    <t>Does anyone constantly have a ?gut feeling' that something bad will happen? So I constantly hear people use the phrase trust your gut, Â but I feel like anxiety can really get in the way of that instinctual feeling. If I trusted my gut all the time I would probably never end up doing anything. Sometimes I get weird irrational flighty feelings that I just have to ignore to get through my day. My instinct is to flee because sometimes I will think something will go wrong. Or for instance, sometimes I will have this gut feeling that my friends have all stopped caring about me and have turned against me, and if I listen to that feeling, it causes me not to reach out and communicate properly, and I withdraw instead. How does the phrase apply to you? Are these gut feelings, or would you consider gut feelings to be something else? Do you find yourself having gut feelings and following them or does your anxiety get in the way? TL;DR: Can you trust your gut or do you potentially ignore it because of your anxiety?</t>
  </si>
  <si>
    <t>I have a strange and horrible form of anxiety I feel Anxiety in my nose/sinuses. It's like the nerves in my sinuses are going haywire and causing waves of panic and dread. Does that make sense to anyone? I know it sounds weird. I also feel very uneasy in the back of my head, and sometimes that unease moves to the base of my back. It's terrible, and can be constant for days. It makes be unable to cope. If I do break down and take a clonazepam (which I despise taking due to their addictive nature) it all goes away, and I have near 100% relief. Unfortunately this is not a long term solution. I feel like there must be something physically wrong with me to be having these bizarre symptoms. It's impacting my ability to go to work, and it's making every day pure hell.</t>
  </si>
  <si>
    <t>I don't know how to date and not inevitably have an anxiety attack. I was cheated on. It caused some issues. Can't afford therapy, but I can't help but get to know random people here and there who catch my eye. It starts slowly, and then it hits me out of nowhere. I don't intend to get so deeply infatuated, but it always seems to happen without me being able to control it. Usually it's all well and good until they just stop replying for seemly no reason. One second everything is normal the next there's nothing from him. I get led into this false sense of security where I think ?oh no they wouldn't do that to me there's like no red flags' and bam it happens. I can't handle the uncertainty... but isn't dating all about uncertainty? It sucks so much when you really start to like someone but don't know if you're overreacting because of anxiety and everything is fine or your if feelings are completely justified.</t>
  </si>
  <si>
    <t>How do I stop breaking down every time I hear a baby cry? *TRIGGER WARNING: VIOLENCE AGAINST CHILDREN* when I was 10 years old there was a chain mail going around about a little 2-year-old boy who died really violently after being lured away from his mother. Every time I hear a toddler or a small child cry my brain thinks "Oh my god, if this child is screaming so badly even though they're safe and sound I can't imagine how terrified and scared and how hard that little boy must have been crying." It's been almost 20 years since I saw that chain mail. It's a true story. It resurfaces on my Facebook news feed on the anniversary of his death every year and last year, I saw his picture for the first time. Now every time I am around a small child (and that's quite often) and the child cries, my whole body panics and I fixate on how terrified that little boy must've been, and I get horrifying scared for any children. I know I can't save the world and I know I can't control the actions of bad people in this world, but how can I stop these thoughts from paralyzing me and ruining my mood every time I hear a child cry?</t>
  </si>
  <si>
    <t>I feel like I'm honestly at my breaking point and I just need short term ways to cope I was diagnosed with anxiety in September and put on medication which helped for a while, but I feel like the effects aren't good anymore. I'm constantly in a state of mild to moderate panic and this morning I had such bad heartburn and a fast heart rate that I felt like I was going to have a heart attack. Furthermore, I'm passively suicidal, I feel like a massive burden, and it's hard for the people in my life to understand how much I'm struggling, although they really are trying. Furthermore, I'm going to ring my doctor first thing tomorrow for an appointment to discuss upping my dosage or switching my meds, but I need something to help me cope until then. Just something that'll make me feel like life is worth living :(</t>
  </si>
  <si>
    <t>Has anyone experienced stomach discomfort while on or tapering off SSRI's? I've been tapering off Lexa pro, and I'm down to 1mg every other day. I did it way too fast at first, so I'm back on a very small dose every other day, but I've been having AWFUL gastrointestinal problems, and it feels like I have IBS. Cramps, bloating, constipation, diarrhea, nausea. It's like every day there is something new. I even had stomach problems while I was on a full 10mg. Has anyone else experienced this?</t>
  </si>
  <si>
    <t>Anxiety in Certain Environments Hi everyone! So for a quick background, I've been working on my anxiety in earnest for the last ten months or so (coupled with substantial weight loss and other improvements). For the most part, my anxiety keeps itself at bay. However, I've found that there is one environment where it consistently starts waking up, and that is at noisy bars during a happy hour. During these, I just shut down and get real quiet and isolated, especially if I'm standing with a group of people who are having conversations. As far as I can think, this is the only environment where my anxiety really kicks into high gear. Can anyone relate to this, and what is some advice that has helped you cope? Thanks!</t>
  </si>
  <si>
    <t>Had a panic attack. Last night I went online and decided to look up medical advances for my chronic illness. I saw that my meds can cause all sorts of life-threatening issues, and it triggered my anxiety and I had a terrible panic attack. The thought that I'll suffer before dying and that I won't get to see my family as they grow terrifies me. Also losing or seeing someone I love suffering because of a disease terrifies me. I can never enjoy moments because my mind is always thinking about the worst. I just want to Live life and not worry about the negatives. It ruins so much for me and I just want to be happy.</t>
  </si>
  <si>
    <t>I'm not sure if my problems warrant therapy I read the rules, and I'm scared I'll break them, so here's my trigger warning just in case. At the start of 2018, I worried a lot about certain things (money, my relationship, etc.), but it never really interfered with my life. But over the past few months I've been finding it harder and harder to get my focus away from irrational worries and fears. I've never even considered the possibility of having an anxiety disorder, but I'm starting to think I do. Lately it's gotten to the point where I get these bursts of anxiety and I just can't pin down what's causing them. It's interfering with my work ethic and it's worrying my girlfriend. I'm debating whether I should seek out therapy or not, as I'm a broke college student, and I'm scared of the fees. In the past I've been able to wait out most physical and mental issues without treatment, but this feels like it may be different. Is therapy worth it?</t>
  </si>
  <si>
    <t>Build up of anxiety the past few days I had big problems with depression and anxiety before for a couple of years. I haven't had a breakdown in nearly a year, gave up meds six months ago, felt a bit miserable for a week or two in the summer, and then again in October, but it passed, and I'd say I've been feeling largely okay since then. There have been stressful episodes at work, but those are by and large normal things to deal with. This week I'm dealing with some anxiety that I can feel building up. It might be the thoughts of returning to a stressful job next week, haven't hit the gym in two weeks, drank a good bit last weekend, overthinking relationships with friends and wondering what they think of me. I also had a bit of an altercation on a night out last weekend where a guy pushed me unprovoked and punched me across the face. I used some basic self defense and got out of the situation without anyone getting hurt. Furthermore, I'm still a bit angry about it when I think of it. Basically, I just wanted to write this and get it off my chest. I haven't been sleeping or eating right the past week. If anyone has tips on how they keep there defenses up, please share them with me.</t>
  </si>
  <si>
    <t>So today, my husband started talking to me about some stressful things going on at work. And when he was about through telling me, I just started crying out of nowhere. I can't exactly explain why. I didn't feel like anything he was saying was going to affect our lives in any way. Furthermore, I didn't feel like anything he said was directed towards me. Furthermore, I just went to the room before he could see my tears so I could just breathe. Sometimes I just need a minute alone to get back to normal. My anxiety has been pretty high lately, but that's pretty normal for me in the winter. It was just so weird that I just couldn't hold it in and couldn't understand why I felt so emotional. Anyway, I'm pretty new to Reddit and always feel like I have no one to relate to regarding my anxiety or depression, so I'm hoping to find not so much answers as much as just knowing I'm not alone in feeling this way.</t>
  </si>
  <si>
    <t>Anxious for exercise, anyone else feel the same? Hey guys, I was wondering if anyone has had the same experience as I did, and I was wondering if anyone would like to share it. When I was younger, I remember I never liked gym because I was very insecure about how I would look while doing the exercise: I was not the most sporty one, so I was highly insecure about that. Right up until university I have avoided exercising (like going on a run or to a gym or picking up a sport) but when I enrolled, I thought it would be a great idea to sign up for the rugby team. I liked the team but even though I was motivated, I never truly felt comfortable and confident in myself. I noticed I was having a really hard time mentally and could not get out of my head. Furthermore, I have had several panic attacks during training or when going on a run even though I was not even pushing myself to the limit or did anything remotely like that. My body would just give up on me and I would just go down this horrible place in my head. I want to begin exercising again but every time I think about it, I get anxiety and get into my head and tear myself up from the inside out about it (how other people would see me, what they would think, how I would do, how other people do it better). Has anyone maybe had the same experience? And if so: what has helped you through it? I would love to know! TLTR: Anxiety while exercising, hard time with the mental part of it, cannot get out of my head. Any advice?</t>
  </si>
  <si>
    <t>Deathly afraid of talking to older people as I believe they will view me as a stereotypically millennial when I'm on my phone I feel as if everyone is staring at me and characterizing me as a stupid millennial. When I tell people older than me that I am bisexual I cringe at the thought of them labeling me as immature and pathetic. I cant believe my anxiety is using political/social issues as a means to drive itself forward. How do I stop feeling this way?</t>
  </si>
  <si>
    <t>Hello helpful folk! I've been having a few dissociative episodes lately, and I'm wondering if anyone can give me some tips on dealing with them Hello! Pretty much as the title says. I have a neat mix of anxiety related issues, but dissociation is pretty new. I'm finding it difficult to break these episodes and to move on with my day sometimes. It goes from being pretty okay to relatively severe and when it gets bad, I tend to feel pretty hopeless. I wake up feeling like I'm watching my life from the outside sometimes: those are the worst. Then, when that eased, I had a really carefree one where I felt I was playing a video game. With panic attacks and bad anxiety days, I have ways to cope that usually work. I'm yet to find anything that really helps these episodes and some anecdotal advice would be very appreciated!</t>
  </si>
  <si>
    <t>Coming to terms with my anxiety hi, first time poster here. Hope it's okay, I just need to vent a little and talk to someone. My whole life I have suffered from severe anxiety. I mean, as far back as I can remember. I have always thought that it wasn't a big deal though. My mom put me in counseling when I was a kid and I haven't been since. I thought that my anxiety was something everyone felt, in the same amounts as me... really until today. I am feeling like I really need help. Furthermore, I have always had issues with anxiety and depression, and I have been doing so good through the holidays, setting resolutions... all of a sudden tonight while I was cooking dinner I realized that I was beginning to have a panic attack and at that moment I got so itchy. Always thought the itchiness was some skin problem that doctors didn't understand, now I realize it's because of my anxiety. My chest is still tight, I still can't breathe right, and I'm pretty terrified to have this realization that my anxiety is /this/ intense. If you read this, thank you. I'm sorry if this is not the right place to post. Please let me know.</t>
  </si>
  <si>
    <t>24 weeks pregnant and I need help Long time lurker, first time poster due to personal insecurities. Bear with me, as I have a really hard time talking about my struggle with anxiety. I appreciate anyone who reads this. I could use some tips for managing my anxiety, which has gotten exponentially worse since I became pregnant. Furthermore, I used to take 1mg Klonopin on almost a daily basis, but that's a no-go for this developing human being inside my belly. It's been extremely difficult trying to adjust to not taking Klonopin, and while I'm embarrassed to say it, I realize how dependent I became now that I am no longer taking it. My anxiety is WORSE than BEFORE I even started taking it. I feel shaky, on edge, and just all around uncomfortable all the time. I still take an SSRI, and my OB prescribed me Bu spar, which seems to do nothing. Each day feels like a new mountain to climb, even though rationally my life shouldn'tta be as hard as I'm making it. I have trouble getting out of bed sometimes, and I'm struggling with work. I recently changed jobs and am not making nearly as much money as I use to (I'm a therapist, ironically). My husband has been supporting us the past couple months, but this is not sustainable. Also, being pregnant totally sucks physically and emotionally. I already feel paralyzed by my anxiety and being pregnant just makes me feel even more useless. While I am excited about meeting my daughter, I'm terrified at the thought that I won't be able to provide for her, or that I won't be able to handle the stress of parenthood. It all feels like too much sometimes, and I don't know what to do with all of these uneasy feelings. It's funny because if this were happening to one of my clients, I would be able to handle it, but when it comes to me, I have no idea where to start. Sorry for ranting. If you've gotten this far, thank you for reading this.</t>
  </si>
  <si>
    <t>What are some obvious signs that someone has anxiety? I don't know I have anxiety, but I get nervous before nearly all things, like going to work/school, meeting friends, going shopping. Is that anxiety or am I just nervous?</t>
  </si>
  <si>
    <t>New PCP prescribed medicine... First thing first: I tried a medicine, and it was bad for me, that doesn't mean it will be bad for you! Onwards: Two weeks ago I started taking Citalopram as prescribed by my PCP. The side effects after two doses were so debilitating that I had to stop. My PCP gave me a hard time about stopping after two doses and today insisted that I either give Citalopram a second chance or try something new. When I said I prefer to start any new medication after my talk therapy starts (Jan 18th) my PCP said that I need to get a medication NOW to support my anxiety/depression. She said the wait between starting talk therapy and its effectiveness will be too long. She says she doesn't want to push medication on me but that I need it right now. Furthermore, she prescribed Venlafaxine ER, but I really don't want to start it. I'm honestly more anxious after the bad experience with Citalopram and I don't feel like my PCP knows me well enough to start prescribing medications with long term effects and intense withdrawals. I said I prefer a natural approach, and she says she agrees...but still pressured me (with kindness and humor, but pressure nonetheless) into agreeing to take Venlafaxine ER for two weeks. Furthermore, I just don't know what to do.</t>
  </si>
  <si>
    <t>What is wrong? Why do I turn red when I see someone I know? I work in customer service at a local retail store in my hometown. I'm normally very personable and talkative and never awkward. That is until Someone comes into my work that I know personally (high school classmates, friends parents etc.) my face immediately turns bright red, I start sweating, I can't speak without my voice shaking, and I'm completely flustered. It's the most humiliating thing in the world and I can't figure out WHY. I've been on anxiety medication, but that didn't seem to help. Makes me want to quit my job! Any idea what this could be or what could help?</t>
  </si>
  <si>
    <t>Constant anxiety or something else? I almost constantly feel like a tightness in my chest, and I feel really unsure and a bit shaky. I've been diagnosed with social anxiety, but I've mostly gotten over that I think (very suddenly, about when I started feeling like this about 2 months ago). Furthermore, I think my confidence has increased, and I'm more sure of my opinions and stuff but at the same time I feel worse physically and mentally. My head is usually somewhat clear except for I think fogginess from depression, and sometimes I do stay up thinking about an event or something to come, but I don't really think I worry about it. Sometimes I'll feel sick to my stomach, and I'll be shaky, but my head will be clear. Is this anxiety, it's triggered by similar stuff to what used to make me feel anxious in my head.</t>
  </si>
  <si>
    <t>Aced a phone interview and I CAN'T STOP SMILING. PHONE ANXIETY SUCKS Three years ago you would've never seen me pick up a phone. And in the rare moments I did, I'd either pass the phone to my family, or I'd be a stuttering mess and end the phone call hating everything about the call. I'd blank out on the simplest questions, or overthink every second of silence. It would be a never ending cycle of me flinching whenever my phone rang. And then I got to a point where I got tired of it. I was entering university and I couldn't even make a phone call for myself without my anxiety getting the best of me. So then I asked my friends and family to help. I took it step by step, and just called them for a few seconds. They'd be there to help me calm myself down enough to be able to think. And then once I started gaining just a little bit of confidence, I pushed myself to make calls to other people. Sure I had to write scripts for every call, and anticipate replies so I could keep writing scripts accordingly, but nonetheless it got me out there. I started making calls. From booking doctor's appointments to just calling to ask about food at a restaurant, I did it, and the pride I felt every time after the call was unexplainable. I still had those thoughts though, of the things I could've said better, the ways I could've changed my tone. But ultimately I reminded myself after each phone call about what I conquered. I just hung up a phone call today, from a scheduled phone interview. I didn't write a script for it. Instead, I just did everything I would do for a usual job interview, preparing and researching as best I could. And then I just answered the phone call and had a conversation. At points my voice was shaky, but I know I have yet to grow. I ended up getting another interview - in person! Which, to me, is so much easier than the phone, so I'm hopeful it goes well. I understand how immobilizing phone anxiety can be, but I swear to you with practice and the right support it really can get better. If anyone ever needs, I'm here to offer calling practice lol, just because it has helped me so much. We can do this!!</t>
  </si>
  <si>
    <t>I am 18 and need some tips to stop overthinking situations that happen in my life to the worst possible outcome For the past couple of years now I've always been overthinking things that happened in my life to the worst possible outcome when it didn't really happen. Like 2 days ago to make the story short I bought a Hood in a roots store and completely forgot my debit card at the counter when I walked out the store. Luckily the cashier found me 2 mins afterward leaving the store and returned the card to me. After I went home that day my head was going crazy, was thinking all over the place like what if someone took a photo of my card number and how dumb I was to do such a thing. Or how the card that was given back was a fake But in reality none of that happened as my bank statement was still clean after 2 days. I was probably too tired and my brain farted because I stayed at a mall for more than 5 hours that day Also times when I'm sick I start googling the stomps. And overthink how my sickness is getting worse. Finally, I'm currently overthinking about my wisdom tooth. My parents hinted about how they wanted to get my wisdom tooth removed and since then I've been watching other people's YouTube videos about there experience but also been overthinking the outcome for surgery since I've never liked it much. Thanks for any tips that are given as I really want to overcome this</t>
  </si>
  <si>
    <t>Adverse to Music Just want to see if I'm all alone in this or not - but music always triggers my anxiety. I know a big thing to calm anxiety is to listen to music, but I find it has the opposite effect. I can only listen to very few bands/songs. Am I the only one here? Anyone I tell it to acts like I'm nuts.</t>
  </si>
  <si>
    <t>Waiting for hubs to come home My husband decided to go on a quick trip to visit some friends out of state. He left 3 hours ago and will be back late this evening. About an hour after he left, I started having anxiety. I started feeling queasy (anxiety) and my brain went into a spiral of, what if I'm sick? How will I take care of the kids by myself? What if he gets in a wreck? I can't do this alone. Â All of this is ridiculous. I am a strong independent woman who can handle her shit. I'm irritated that I'm having anxiety and I hate feeling weak. Of course, I'll be fine. I'm not sick. My kids are going to be fed and cared for because I'm a kick ass mom. Thank you for reading my stream of consciousness as I decide to grow a pair and rock the rest of this day. Carry on.</t>
  </si>
  <si>
    <t>After failing school 7 times and getting nowhere in life, I am starting school again after a 5-year break, and I am deeply afraid New member so not sure how this works, but I hope it turns out fine. Also on mobile so sorry about any formatting problems. I am 22 and have been working short odd jobs/internships since I was 17 as I have never been able to finish school. I have tried my best every single time and was not sure why it never worked out, but every failing moment made my fear of going to school deeper and right now I'm in a mental state where setting a foot inside a school building gives me anxiety attacks. Furthermore, I had accepted that I was to work short term minimum wage jobs for the rest of my life, but that has also deepened my anxiety over time as I never feel safe nor have any normal routines. Furthermore, I eventually got stuck in a spiral where different internships told me I had potential and a lot of work ethic but not any education for me to stay with any of the companies. It sounds ridiculous but instead of encouraging me to educate myself it put in a very bad place mentally, and I grew too afraid to apply for any jobs at all. It is hard to explain, but it is very similar to the fear I have of going to school. Deciding I'd give life one last go I made an attempt at job hunting and started a 6-month internship. I've been there for three months and as before I have been told I have potential and a great work ethic but sadly no education. However, the boss is incredibly sweet and made an unbelievably kind offer to combine the remaining 3 months with studies. I happily agreed and made a visit to a few schools. The visits were horrible, and they all ended in panic attacks. I did apply though and was accepted to a course that will start in a few weeks. While this is great, I just can't function. Whenever it is mentioned I freak out real bad, and I'm not sure how I'll be able to physically attend class when I can't even talk about it without breaking down. While I've never been afraid of death and honestly see it as the only possible outcome from this situation, I am desperate to find a way to make this work for once. If you have been in a similar situation and/or have any advice, please help me.</t>
  </si>
  <si>
    <t>What makes someone a man child? Why some characters in movies are called dumb or some are unlikeable? Like why some people like batman but I feel like he has no sense of humor and most consider him as manly. Do I have to be like him to be a man? My question is what makes someone a man?? Maybe I'm overthinking by trying to be "perfect" and that overthinking is making me go crazy and end up not doing anything to improve. And FAP all day. I can't even fucking make friends. I try my hardest to be liked. In fact my depression makes me think no one even cares about me enough to even know I exist. Maybe I should be like Indiana Jones... he has quiet cool traits. But i don't know how. Thanks.</t>
  </si>
  <si>
    <t>Putting ones self down over grades When I was going through school and college, I would never let myself think about getting good grades because of my anxiety over not doing well enough. I'd say to myself "expect __ grade" so that I wouldn't become upset or disappointed or let down over it. Did anyone else go through this?</t>
  </si>
  <si>
    <t>Anxious about visiting my mom who I kinda really hate I'm 22 and don't live with my mom. We live in different states and I haven't lived with her since I was 11. We never had a great relationship because she's toxic, materialistic, and self-absorbed. She wasn't the best mother throughout my entire childhood, and I really resent her for it. Honestly I hate her and would rather have no contact at all, at least until I resolve my own emotional issues about her. Still, tomorrow I'm going to fly to her home state and visit for 3 day. This is mostly because she was guilt-tripping me and trying to get me to visit for months and I want her to back off, also my older sister and her two kids live with her and I want to see my niece and nephew. I know for the whole trip I'm going to be on edge and emotional. My boyfriend is coming with me for support, but does anyone have tips for dealing with this sort of thing? I'm anxious about being miserable around my mom for 3 days, and about not being able to show how much disdain I feel towards her because she has no idea what she did wrong or how much is affected me. How do I survive this weekend? I know the kids will be a help because I'll be bonding with them, but I don't know how to stop myself from lashing out at my mom. Thanks for any advice</t>
  </si>
  <si>
    <t>Been working at a supermarket and I want to leave. It's just way too much stress. Nobody gets trained, and then I'm expected to keep the store in order even though I only work 9 hours a week. What jobs could I take up that are low effort and medium pay like supermarkets? Currently, full time at college (14 credits) but I just don't want to be in the supermarket environment anymore. It's degrading.</t>
  </si>
  <si>
    <t>Failed drivers test I failed my drivers test almost instantly with parking, and I'm stressed out because I probably won't pass it next time and everyone I know passed it first try</t>
  </si>
  <si>
    <t>Out of medication for 5 days... I was diagnosed with generalized anxiety disorder and depression over last summer and have been on Lexa pro since. I moved out of state a few months ago and had a few refills to get me through until now. Furthermore, I made an appointment with a new doctor that is in a couple of weeks, but my Lexa pro is going to be done by the end of next week and I will have to go 5 days without it if I don't get a refill. My previous doctor's office is giving me a hard time about getting just one more refill to hold me over until my appointment. I don't expect anything too crazy to happen over those 5 days, but I'm wondering if anyone knows is I could possibly get "bad" again in that short time? I moved out of state on my own, so I guess I'm just being extra cautious. Furthermore, I appreciate you guys!</t>
  </si>
  <si>
    <t>Doctor doesn't take my anxiety seriously Hello, I'm on a private acct, I've been lurking on my regular acct for almost a year now. Anyway, ever since I had my daughter 7yrs ago(I'm 29), my anxiety has progressively become worse as time goes on. Every year I'm back at the doctor because of my anxiety, and I feel like he doesn't take me seriously, all he does is just raise the mg of Pail I'm on (up to 30mg after 3yrs of being on it). I feel like nobody understands. I'm terrified to leave the house, I'd much rather be in the safety of my room. Furthermore, I work full-time, and it's a great paying job, but my anxiety gets in the way, and I'm debating on quitting even though I need it, but I'm just so fucking scared. Furthermore, I don't like to go out at all, and of course since nobody understands or thinks it's just a phase, I get accused of being lazy when I have these bad feelings all around. Furthermore, I can't eat, I can't sleep even though I'm exhausted all the time. My daughter deserves so much better. How can I make my doctor understand the severity of my anxiety?? I've tried telling these things to him before but of course he only raised my dose. I am not prescribed any benzodiazepines for the onset of attacks, he refuses to. Also, a random question - Has anyone heard of being on disability for severe anxiety?? I'm sure that sounds so stupid, but I've always wondered about it. I'm sorry if this is all over the place, but I am coming up on my 30th birthday soon and feel so alone and scared, something has got to give.</t>
  </si>
  <si>
    <t>Trying to Catfish guys to cash app me money because I have complete anxiety over money I have about $9,000 in the bank, but spending money creates so much anxiety in me. I have no idea why. I feel like I need more, now. Furthermore, I've been unemployed for over a month and have spent $900 on food and Christmas. If I didn't have a boyfriend, I'd probably just be a cam girl. But if I can't be a cam girl, I'll try to con men into sending me money with other peoples nudes. So far, it isn't working. I have a job waiting for me at the end of the month, but that's so long before receiving any pay. I don't know why I'm like this. Seeing my bank account number drop terrifies me and I feel like I need to get it back to where it was, and now.</t>
  </si>
  <si>
    <t>Can anyone help? I've been having a pretty severe anxiety attack since 2:30PM today and all of my support systems are unavailable. Can someone talk to me to ground me?</t>
  </si>
  <si>
    <t>Anxiety and sex life In 2018 I finally came to terms that I have anxiety and started seeing a therapist and taking meds. Because of my anxiety it was hard for me to focus on the bedroom with my fiancé??. I had a hard time keeping an erection. I started getting better, and for a month sex was great. Furthermore, I had told my fiancé?? How running and eating right had helped in the past, and I was going to do it, take my meds, and see my therapist regularly. Well I didn't, the only part I stayed true to was taking my meds and had a period where I ran out and didn't have them for three days. It has caused a huge rift between us because of our lack of sex life and my lack of motivation to do what I said. She's disappointed that I lied. I find her so incredibly attractive, and I love her, but I need help on figuring out my problems in the bedroom. Any suggestions?</t>
  </si>
  <si>
    <t>What are the best drugs for anxiety - that the benefits will last to? I'm willing to spend a decent amount of money on a drug that will reduce my anxiety, but I will notice the same effect each time I take it, no reduce. Any suggestions? In reality, I would love to cure my anxiety permanently without taking and drugs if I'm honest.</t>
  </si>
  <si>
    <t>Anxiety is such a liar When I'm really anxious about something, I make myself think about it over and over again. I freeze up. I stop moving. Furthermore, I sit in bed and just stare into space thinking about the thing. Furthermore, I don't leave the house, I don't eat, I don't clean, I don't dare think about anything else. Because the anxiety tells me that if I fuck up and focus my attention anywhere else for a second, then this thing I'm worried about WILL happen. So I just have to think about it. And I want to convince myself that this is not true, that obsessing over it and not moving will not affect anything, but then the anxiety says that's just what they want you to believe. Do you really want to take that chance? Â I struggled so hard today to do the dishes and a little bit of work. I showered and got out of pajamas. The whole time, my anxiety is reminding me that something bad is going to happen. And I'm going to make it worse if I keep moving. Right now it's 3 pm and it's getting worse by the minute. I hate this voice. I am paralyzed by it. Furthermore, I just can't.</t>
  </si>
  <si>
    <t>Can starting learn mess with periods? So I started learn in the beginning of December and ever since then my periods have been longer than 7 days and heavier. Is it from starting this medicine or can stress cause long periods?</t>
  </si>
  <si>
    <t>Anxiety Over Wanting To Take a Girl Over What if she won't like my place? What if she deals something from me in the middle of the nights and goes away? What if anxiety gives me erectile dysfunction? Sorry, I have these questions in me. Anxiety leads me to depression and depression leads me to suicide.</t>
  </si>
  <si>
    <t>Anticipatory anxiety techniques?? First post here. I've looked at past posts and cannot find anything on this. My wife and I just relocated to a new country for my job, and I'm having a ton of anticipatory anxiety at work. Back home, I had a therapist that I was working with on all things anxiety related, but it has gotten worse in my new situation. I'm in the process of looking for a therapist to work with over here. Any techniques that have worked for anyone here that has dealt with this type of anxiety? Thank you in advance!!</t>
  </si>
  <si>
    <t>Even though there have been many studies that show how caffeine is terrible for people with anxiety, it always seems to help me with mine and draws my attention away from worrying. It improves my mood, focus, and happiness and generally just makes my day better. I want to know why this happens for me, while for most other people it is a cause for panic attacks.</t>
  </si>
  <si>
    <t>How to deal with male colleagues who tease and take me for granted. I am the only admin level female in my team. We all get along well and there is a fair bit of playful banter, and for the most part I give as good as I get. However, sometimes they push it too far and I either get pissed or upset, but, I know if I show this they will keep going because they like annoying each other (and me). They also rely heavily on me to organize and get anything done. The last time this happened, with what was meant to be a group project, I lost my cool in front of our seniors and basically snitched on them, saying none had helped me etc. I came across as a brat and I regret saying what I said. Well... I regret the WAY I said it. It happened again today when I asked if a team meeting was happening, was told no by everyone but to ask our manager. I did so, and he replied "It's not my decision, it's the teams", and when I told him what my colleagues had said, they all denied it and said they were waiting for me to say whether the meeting was happening. I have anxiety and hate confrontation, but am fed up with them pushing me too far and always assuming I will do things, so how should I handle them? TL;DR how do I tell my colleagues I'm fed up with their behavior without sounding like a brat.</t>
  </si>
  <si>
    <t>I'm anxious as fuck That's it</t>
  </si>
  <si>
    <t>I can't eat IDK what is going on, but my anxiety is being absolutely terrible. Like the worst it's been in five years. I get so nervous for no reason that I get nauseous, and I can't eat. Does anyone have any suggestions on what to do?</t>
  </si>
  <si>
    <t>Working in a city, I've been able to reduce my anxiety by carrying a self-defense item. I'm not sure if I'm alone here, but traveling to and from my job makes me incredibly nervous. I have to ride public transit, which, when you put a volatile individual who's had a bad day into an enclosed car, can yield nerve wracking results. For this, I've always sat on an end seat, don't wear headphones, and make sure I am seated somewhere where I can observe the entire train. I have come up with plans of action in my head in case anything ever goes wrong, and keep a keen eye on my surroundings to see if myself or anyone else is in danger. I then have to walk half a mile to get to my building in a city where the police are usually pre-occupied with crime that's already occurring, rather than surveillant the streets during busy hours. Usually when something goes wrong (someone threatening people or doing something illegal), the perpetrator has already disappeared by the time the police get there. I try to do the same things to alleviate stress in this environment; no headphones, pay extreme attention to my surroundings, walk behind large groups of people rather than among them, etc. This hasn't resolved my anxiety though, as anyone wishing to do harm still can. I may be better prepared for it, but I still would have trouble stopping anything if it came to that. Well recently I started carrying a self-defense item (it's not a gun), and just by knowing it's in my pocket and touching it periodically, I know I'm better equipped to deal with a bad situation if it ever arises. Sure, I wouldn't be able to stop someone from running me over or shooting up the area, but there are countless robberies, assaults, and other violent crimes that happen in cities on a yearly basis. Does anyone else get crowd-related anxiety? How do you deal with it?</t>
  </si>
  <si>
    <t>Anxious about being sick and off from work Anyone else get anxious being off from work despite being legitimately sick? I went to the doctor and received a doctor's note excusing me from work, but despite that I feel so anxious at night knowing that I'm not at work that I can't sleep. It's like I'm imagining what my co-workers are saying and how me being conveniently sick after the long break lowers my stock in the company or something. It almost makes me anxious to go back to work.</t>
  </si>
  <si>
    <t>Running errands after avoiding the world for days The past two days I was so emotionally and mentally drained that I was avoiding responsibilities. But today I got my butt out of the house finally, and I'm tackling my to-do list I'm even out eating lunch alone right now. It feels great to ignore the anxiety that's wanting me to go home and hide from the world, but instead tell it to f off and get things done!</t>
  </si>
  <si>
    <t>Nervous to ask for an ESA So I took a teaching job 4 hours from home (which for me is pretty far.) My first semester, I was so busy with teaching and coaching one act I had no time nor energy to socialize. Once one act season ended, I have been slowly but surely trying to get out more. However, the town I live in is tiny, like 800 people, so there's hardly any sort of volunteer opportunities. I've tried reaching out to coworkers, but they are all married and/or with kids and busy. My landlady is extremely nice, but the Pennant before me had a cat that torn the place to hell now there's a no pets' policy. She did say I could have a reptile or bird and I did get a fish, but it's not the same. A reptile or bird would be too high maintenance for me to care for, a cat would probably be the best for me. I know that b/c of my ADHD and anxiety I could probably qualify for an ESA, but I feel like it wouldn't be fair to my landlady. She's very good to me, and I don't want to look like "that person". I do have an appointment to speak with a doctor here so on, but I just wanted to get some other opinions as well. Do I try to find a new place to live that allows pets or do I try to go for getting an ESA?</t>
  </si>
  <si>
    <t>How heavy is your body reaction to anxiety? When I get panic my body is also reacting very heavily. I can't breathe, my heart is racing, I get heartburn and need to throw up. Besides going to the toilette every five minutes. How heavy does it affect you?</t>
  </si>
  <si>
    <t>Lungs feel weird during a panic attack even though I control my breathing It's hard to describe this feeling, but it feels like my ribcage is closing in on my lungs during a panic attack, and it causes this intense feeling of breathlessness. I do take control of my breathing during such an attack and make sure I'm slowly breathing through my diaphragm and the feeling will still only randomly and suddenly go away. It can last for 30 minutes after I've begun the breathing exercises and I always feel like I'm about to die. In such moments, I can't even climb the stairs without feeling like I'm suffocating, even though I'm 19 years old and exercise 4 times a week. Anyone else experiences this? (I already got my heart and lungs thoroughly checked out.)</t>
  </si>
  <si>
    <t>Constantly anxious, restless, can't focus and sick to my stomach, how can I calm down when I'm like this? (I'm not claiming to have anxiety or anything else just before I start) I'm 16 and since I was around 11 I've been constantly living with strong worry over the littlest things and my heart beats fast over the littlest things and sometimes I don't even know why I'm anxious. I feel constantly sick and don't want to eat unless I'm calm and comfortable, and I don't like meeting now people blah blah blah. I also get nervous in social interactions which I have been told is just shy. Furthermore, I've never told anyone about it, but it's just getting worse and worse. Furthermore, I'm not looking to claim I have anxiety because people with real anxiety probably get it much worse like can't leave their bed or talk and things. How do I stop feeling very anxious? I have also had waves of depressive periods and feel helpless and worthless which I think is just linked to the whole overwhelming overthinking or something, but I have been really down for certain periods then not as bad as sink back into it. I am always seeking approval from friend group and feel like everyone talks behind my back and I feel like shit if I accidentally say the smallest wrong thing to anyone, or they don't reply as I expected or speak to me the tiniest bit different as I feel like they view me different or don't like me. Furthermore, I think about every little thing for days, and it all just builds up and gets overwhelming I'm quite popular which is confusing I don't understand why I feel like this when I was capable of making loads and loads of friends in school in the past??. Furthermore, I still do get anxious and awkward when talking to slightly less familiar even less popular people I feel very lost I'm so confused as to what's up. Sorry if this is a bit muddled and confusing I just don't know how to explain it I'm bad at explaining lol If anyone could help with what's up or what I should do to relax instead of constantly feeling nervous about every little thing I would greatly appreciate it, thank you.</t>
  </si>
  <si>
    <t>Anxiety out of nowhere. Hello everyone, I hope everyone had a good new year. I just wanted to ask if anyone else has anxiety that comes out no where. When I am doing things I like I always forget about my anxiety, but lately that hasn't been happening, and I have begun to feel the normal symptoms of being anxious such as a little nausea and dizziness. I was wondering if there was anything I could do, I use grounding techniques and methods such as square breathing if I need to and they help. If there is anything, please let me know. Thanks ??? Â?? ÂA</t>
  </si>
  <si>
    <t>Waiting is killing me I have a phone interview in 10 minutes, and I'm so freaking nervous I might puke, ugh....at least it'll be over soon</t>
  </si>
  <si>
    <t>On the verge of a breakdown because my car reset the seat position memory So some background - I've been diagnosed with general anxiety, with OCD tendencies. I have a big trigger with the position of things. For instance, if someone rearranged furniture to vacuum, and it's not in the same place, it feels as everything in the room is off. I start having that claustrophobic feeling of being closed in a tighter and tighter box, and I feel like an out-of-body experience. The position of the driver's seat in my car is another big trigger of mine. My first car didn't have seat memory, so whenever I'd take it into the shop or something, I'd outline my seat alignment with painters tape, so I'd know exactly how to put it back in the right place. When I got a new car, I specifically made sure it had seat memory. Anyway, after hours I finally found a seat position I liked in this new car and I programmed it in. This has released such a huge stressor for me. However, the other night my car battery died. A friend helped start it, and they moved the seat to reach the lever to open my hood. I figured - no problem, it's programmed in, but after jump-starting my car, it didn't reset. I thought it was just because jump-starting it may have put the car in a weird mode, and it would work when I started it on my own. Anyway, I start my car this morning, and the seat memory didn't return. I feel my chest tightening and that claustrophobic feeling begin again. I sit there trying to readjust the seat to how I like it for nearly 45 minutes and nothing feels right. Furthermore, I'm currently inside trying not to hyperventilate and feeling like my world is crashing in on me, all because my freaking seat is out of its position. To top it off, I'm visiting my parents from the holidays, and they are very strong in the mental health isn't real camp. And so they're just sitting here laughing, and imitating me. Anyway - just any advice, or thoughts would really be appreciated. I literally just feel as if I'm going to die from this anxiety.</t>
  </si>
  <si>
    <t>Getting worse as I get older I turned 22 recently, and I've noticed in the past year or so going out to run errands or just going out in general has gotten extremely hard. It's like I have to give myself multiple pep talks in my head and remind myself it's just the grocery store, or the mall, etc. I just feel like everywhere I go people are watching me and judging. It's such a stupid mind set to have because obviously I know that's not the case, and I'm not important enough to have that problem, so why can't I shake it? I figured it has to do with my lack of confidence as well, but I've always been self-conscious, and I was able to go out and not really care. I'm just not sure why this seems to be getting worse and not better for me. Furthermore, I still force myself to go out and get things done, but it's just a constant battle in my head the whole time, and it actually causes me to mess up more and be forgetful. Furthermore, I guess what I'm asking is just for any tips or advice anybody has for dealing with this. Furthermore, I don't want to not be able to leave my house or not feel comfortable in my own skin like this. Furthermore, I've been prescribed Xanax, but I only take that during my anxiety attacks or panic attacks and when I truly can't calm down anymore. Furthermore, I try to not take anything since this is a feeling I have on a daily basis.</t>
  </si>
  <si>
    <t>Not health anxiety, but anxiety from poor health Hey guys, I see so many posts about dealing with health anxiety and worries about potential health problems. I sometimes have this issue, but a bigger problem for me is that my anxiety is elevated when my actual health problems flare up. I have moderate scoliosis which causes back spasms and tingling in my leg - sometimes, the pain is very, very bad and disrupts sleep and daily routine. Additionally, I have pretty bad acid reflux that causes a constant lump in my throat, coughing, stomach pain, heartburn, mild nausea. I also have some issues with my corneas, which dry and scar easily causing burning and blurred vision. Sometimes, I'm fine. Most of the time, one or more of these issues are flaring up. Long story short, I have a decent number of chronic health problems that interfere enough to impact my day almost constantly. I don't know how to stay positive and deal with this - I find myself panicking over feeling bad forever, which is difficult because I don't really have a strong argument against it; I usually DO feel bad. I'm only 30. Can anyone relate? I feel so whiny sometimes. I'm not dying. Furthermore, I'm just really uncomfortable a lot of the time and I feel like it makes me a worse version of myself. Furthermore, I try to work out when I'm feeling up to it, eat well, and do a lot of self-care, but it feels like an uphill battle. Furthermore, I often think if I didn't have these issues, I wouldn't have anxiety, but who knows. Does anyone have any advice or coping strategies? Thanks so much for reading.</t>
  </si>
  <si>
    <t>Anxiety and Sickness Does anyone else deal with anxiety and being sick? I ended up getting a fever last night and sore throat, woke up this morning really, really hot and my heart rate is pretty high. It's hard to keep positive thoughts throughout this. I also had to stay home from work so that's giving me some anxiety as well. It's odd how going to work gives me anxiety and having to take a day off gives me anxiety too.</t>
  </si>
  <si>
    <t>Extreme lack of motivation when I sleep 9+ hours I try to avoid sleeping too long but when it happens I feel tired and not motivated to do anything the rest of the day. I isolate myself and just sit on the couch watching TV or browsing my phone mindlessly. I was planning to clean my house today. Furthermore, I like order and cleanliness. Gives me some rest in my head. After 30 min I just couldn't go on with it. Back on the couch again now. Anyone familiar with the feeling?</t>
  </si>
  <si>
    <t>Is this what Hell feels like? This day started good, but now I feel like everything that I lived for had been crushed and all I see are demons. I can?’t take this anymore. Every day, I ask myself: "Is this what the damned souls in Hell feel?"</t>
  </si>
  <si>
    <t>I don't know what to do any more I've been suffering for roughly two months of panic disorder and anticipatory anxiety. I just can't seem to get better. Every day, I feel like I'm experiencing more and more physical symptoms to my mental state. \-Inability to eat \-Constipation \-Heartburn \-Chest pain \-Abdomen pain \-Rib cage pain \-Weight loss (7kg in one month) I'm completely screwed, and no doctor can seem to help me. My psychologist took 4 week break in preparation for Christmas and New Years and things have been getting progressively worse. I don't care that I suffer from all the mental/emotional symptoms. Those are fine. But when it causes me to physically feel pain in my body it really is frightening. I honestly just do not know what to do.</t>
  </si>
  <si>
    <t>Should I seek help? Anxiety runs in my family, my mom is prescribed Xanax and other drugs and my dad has similar problems just refuses to get anything done about it. When I was young I had severe trouble even calling to order food or answer the door for pizza or something, I would get really nervous and pace for hours. I would get debilitating adrenaline rushes from getting in minor arguments in high school. I am in the military and thought (correctly) I could power through basic training and even airborne school, but now this impending sense of doom hangs over my head at all times. Small things like getting my dress uniform squared away is just making this feeling worse. I went home for Christmas and New Years, and it got better but the thought of it still lingered. When I had to leave my girlfriend who I love very much and my mom I threw up and became almost hysterical. I don't even have a thing to really worry about right now, and I can't find anything I can do to alleviate this feeling. Should I seek help, if so what should be my first step?</t>
  </si>
  <si>
    <t>Guilty for feeling happy and feeling like something bad will happen I've always been anxious, but lately I have been feeling on edge. As a result my OCD has got slightly worse (everything has to be perfect). My anxiety worsened last year. I have been studying a master’s degree (nearly finished now) and I had a few troubles. One of the office staff was generally unpleasant (she is leaving next week thank god) and also one of the module leaders was a jerk who gave me a terrible mark (I appealed this with mitigating circumstances, and it's still ongoing). Basically I felt like people were "out to get me". My anxiety got so bad that I got very angry, and I was worried at one point that I was going to physically hurt one of them in retaliation. I didn't hurt anyone, but I did phone the office woman up at one point to put her straight after she accused me of something. I should have quit the course, but I wanted to keep my scholarship money that I worked hard for. Anyway it's nearly over now. My grandparents also went into care last year as they have dementia (my grandad is now on an end of life plan). That made me feel uneasy, and it also caused a lot of unrest at home as my parents had to get power of attorney and sort out the finances. There were lots of problems, so my parents were stressed. I have turned a corner in the past month or so. I have cut out a few things that were causing me problems and I have also adopted a new attitude. Furthermore, I do not take any nonsense anymore. In the past I would do things that I didn't really want to do, like applying for jobs I wasn't really interested in. I also only did my masters course because they offered me money; I don't want to work in the sector once I finish. Now I have decided to only do what makes me happy. I am 30, and I think this change has come about due to experience (one you experience crap for so long you no longer put up with it). I feel a bit better but like the title says, I feel a bit on edge and like if I'm happy something bad might happen. This is obviously a toxic way to think and (I think) I deserve to be happy, or at least have a normal life like others... the question is how can I stop feeling this way? I am booked in for therapy this month and I also take 5HTP, but I don't know what else to do. Take the SSRI route again? I thought about applying for retail work to get out there and socialize to take my mind off things, but I am anxious about facing the public in a work environment. Thanks for reading</t>
  </si>
  <si>
    <t>Started my blog on my life living with anxiety camp; social anxiety I have been living under a rock for years and finally decided to start a blog. This is probably the bravest thing I have ever done The link is http://findingronide.wordpress.com Hope someone reads it!</t>
  </si>
  <si>
    <t>How do you know if you have anxiety? Hey all, I just wanted to ask how do you know you have anxiety? I don't want to say I have anxiety and like assume, but I'll tell you guys my problems. For example when I go outside in public I always wonder if people are judging me and stuff. At the gym I don't like using the equipment if someone is right next to it otherwise I'll feel like they're judging me. Also, I over stress about what people think about me. Is this anxiety? Or is it something completely different?</t>
  </si>
  <si>
    <t>Muscles That Vibrate, Jitter, Tremor, Or Shake When Used? Curious if anyone else has had this feeling when using a certain muscle? Like raising your arm, you feel it sort of shaking like it's been tense for a long time.</t>
  </si>
  <si>
    <t>Fire flowing through my veins/body. I'm not sure if this makes sense to anyone, but when I google it I don't really get much info on it. But basically one of the most uncomfortable feelings I get from anxiety is this feeling like there is 'fire' flowing through my body, concentrated at certain points. I just want to know if anyone can relate or if it's just a very personal thing.</t>
  </si>
  <si>
    <t>Do you ever get that feeling When your anxious and your chest is tight, and you can't take a deep breath... ugh been dealing with that lately. It sucks</t>
  </si>
  <si>
    <t>This might end up being long but please can someone help me. I want to go and see a doctor, because I *think* I have anxiety. I've thought it for years, and for nearly two years now I've wanted to see a doctor over it, but I can't *because* of it. Furthermore, I'm going to list some of the things here, and I know people here aren't doctors, but please just tell me if I'm not being an idiot, and if it's worth going over. When someone talks to me: ? Ã¸ I start shaking, pretty badly ? Ã¸ my mind goes blank (someone said to me at work "is _____ not in today" and I didn't know what to say even though a simple now was all it took.) ? Ã¸ I can't seem to speak loudly, no matter how hard I try ? Ã¸ even though I'm desperate to talk to people, I'll try to end the conversation as quickly as possible without realizing what I'm doing. ? Ã¸ after every conversation I have the "I should have said "_____" instead" or "I used the wrong tone they will misunderstand (I'm terrified of misunderstandings lol) also: ? Ã¸ I never start a conversation ? Ã¸ randomly I will get shaky/on edge for no reason (had to finish work early because of it before) it's not that I don't want to talk to people, if I said everything I wanted to say when I wanted to say it, I think I'd be one of the more talkative people is it worth going to the doctor? I nearly made an appointment the other day but backed out at the last second. Going to a doctor is on my mind many times, every day. I think it's possible I have depression too but I'd never bring that up to a doctor. If you've read this please help me. Please.</t>
  </si>
  <si>
    <t>Phone sounds set me off So I work from home and on my phone a lot. I get onslaughts of texts sometimes from my boss, so I got an watch to help with the anxiety of having to hold/look at a phone. That way I can quickly check when it vibrates on my wrist who it's from and if I need to respond right away etc.... That part helped me, so I don't panic at every phone call, text or email anymore. Something about just glancing at my wrist helped tremendously. Now, fast-forward 5 months, I can't stand the sound of Facebook Messenger. I don't have it, my s/o of 3 years does, and his goes off a lot. I don't dig through his phone or act crazy, but every time I hear the noise of FB messenger I get the drop in my stomach of adrenaline that accompanies my anxiety attacks and I think the worst. It has a lot to do with the fact he broke up with me twice this summer and reconciled with me. But there's just something about it... that sound. I don't know if it's just me or if there are tips to getting over hearing the sound? Anyone else have issues with phone sounds, and for what reason? What do you do?</t>
  </si>
  <si>
    <t>If you're interested in helping others with mental disorders consider joining r/mentalhelpforyou r/mentalhelpforyou is a Subreddit for people seeking non-professional help. We are currently 14 members, but I hope we can be more. It's also a Subreddit I made, and I feel very proud about it.</t>
  </si>
  <si>
    <t>Prozac help! Hey guys! So I just started taking 10 mg of Prozac and Restored two days ago after seeing a psychiatrist. Next week I'm supposed to up the dosage to 20, then eventually to 40. This is a really huge step for me. I have had MDD, GAD, and panic disorder for almost six years and aside from being on learn for a few months and two therapy appointments, I haven't tried to seek help for it. Anywho, I feel like a fucking crazy person now. I am experiencing depersonalization, a symptom characteristic of panic attacks that I've had only with intense ones in the past. My hands are numb, and I feel like I'm watching my life through a movie. I have diarrhea and while I feel like I can't breathe due to raging anxiety, I also am quite lethargic... lol. My boyfriend says that I am acting weird as fuck, and my boss asked me yesterday if I took any drugs before work. Is this normal? My psychiatrist was worried about starting me off at 20 due to my panic attacks. Should I call my psychiatrist? Should I take a low dose (.5 mg) of Klonopin to ease the anxiety? Will this fuck up my Prozac? Hellllppppp? Any personal experiences or encouraging words would help right now. I am currently couch locked from the anxiety.</t>
  </si>
  <si>
    <t>My neighbor invited me over, and I'm scared I'll have nothing to say. I think this would be a good thing for me. I've met this neighbor before, she is a really nice older lady who brings us food sometimes. She has invited me over before, and we talked for about a half hour. It was really nice and I felt good afterward. I hadn't had a healthy, positive conversation in years. But now I've run out of things to say. I can't really go into details about anything in my life. There's an unhealthy amount of incest in my family, my siblings and old friends are all messed up, I'm currently dealing with mental and physical health problems, and on top of everything I have these constant thoughts running through my head telling me why I should just kill myself. I'll be saying something, and right in the middle of saying it, I'll forget what I was talking about and have to try to remember while I'm blocking out suicidal thoughts. It really makes talking hard sometimes. I'm already in therapy. I've already cut out the toxic people in my life. Furthermore, I'm on the road to better days. But until then, I have no idea what to say. The only thing I can sometimes think about is how much I want to die. What can I do? The half hour that we did talk-we talked about a lot of things. Our pets, jobs, family members, favorites movies, music, etc... I just don't really know what else to say.</t>
  </si>
  <si>
    <t>How to get better? Hi everyone, So I've struggled with mental illness for almost all of my life. During the past six years things have gotten dramatically worse. I was diagnosed with severe social anxiety disorder, generalized anxiety disorder and moderate depression. I've wanted to get better since then but I've been struggling With consistency and perseverance. All I want to do is avoid the reality of life and how far away I am from being normal. I do this through shopping, TV, or just doing anything that doesn't make me think about my issues. Every time I try to do therapy, I feel extremely unmotivated, sad and just can't focus for shit. I'm just extremely tried and sad most of the time. In addition, I haven't had the best experiences with therapists.I've seen a couple throughout the years, and honestly they barely helped me at all. They didn't even seem to care or take me seriously. And For some reason, exposure isn't working as good as it should for me. Despite how many times I try to gradually face my fears I'm still the same. In regards with cognitive restructuring, I have no idea how to do it. I don't know where to start, how to do it right or anything like that. How am I supposed to think straight and change my thoughts? I'm just so tired of life and the way I live it. I'm not living guys, I'm just rotting. Furthermore, I want to reduce my anxiety and depression, but I don't know where to start. Furthermore, I have major self-esteem issues that I believe are like the core of my anxiety and depression. And also I suspect I have body dysmorphia as well. I would really appreciate any advice or thoughts. Thanks for reading</t>
  </si>
  <si>
    <t>Does it ever get better? I don't want to be a downer to anyone in this sub, but I want to ask this to some other people. Does the pain ever go away? Were you ever able to say that you "conquered" it and can live normally without it coming out and consuming you? I have been struggling with anxiety and obsessive thought all my life, but it has become particularly bad now that I am older now (25). I catastrophize on a daily basis about work, my career, and my life. Furthermore, I really struggle to hold it together sometimes. Furthermore, I've been seeing a psychiatrist and a therapist for the past 2 years and while I definitely believe they help, and I have improved, I still get these waves of intense catastrophe and fear, and it affects my ability to function. Furthermore, I know there is no "cure" for this kind of thing, but I worry that I'll never be able to escape it. No matter how many therapy sessions I do, despite all the techniques I've learned, I can never fully overcome the feeling of being a failure, that my life has been ruined beyond repair, that I am trapped. I just want to be happy and live a normal life. I want to feel good about myself and successful learn to cope with intrusive thought to the point where it doesn't consume me anymore. Do you ever reach a point where you've fully defeated it?</t>
  </si>
  <si>
    <t>Lexa pro or Prozac Hey everyone! I've been on learn 5mg for about a week now camp; I'm still having some undesirable side effects (slight headache, nausea, dizzy, increased anxiety). My doctor said I can keep trying the learn for 2 more weeks and see if the symptoms subside, or I can go on a low dose of Prozac. What experiences do you all have with learn or Prozac and which one did you find more beneficial? I've read that Prozac is less stimulating than learn, and I've also read that learn is less stimulating than learn ????</t>
  </si>
  <si>
    <t>Social anxiety and quitting my job I keep getting double booked at my current jobs, and cant get anyone to cover because of my social anxiety, so I am going to quit one but I also can't bring myself to tell my boss, or call to let them know because I have bad phone anxiety. Has anyone ever just stopped showing up to work? What happened when you did? Can I still put that job on a resume, obviously not as a reference but as a job I have worked? (I'm just a cashier) I know it's not ideal, and actually pretty rude, but I keep having anxiety attacks over quitting, so I figure this is easiest.</t>
  </si>
  <si>
    <t>I had a doctor get mad at me The other day I went to the hospital because I had a serious panic attack while I was driving. This is the worst one I've had so far. The ER doctor asked me if I've ever had panic attacks before so I said yes. He asked me if I'm seeing any professional help for it, and, of course, I said no. He then asked me when my first attack was. I told him about 10 years ago, and it happens every so often, but not all the time. His response was "You mean to tell me that you've gone 10 years and haven't seen anyone for your anxiety?" I looked at him and was like "nope." I now have to contact my PCP and get an appointment for anxiety. Needless to say I am under strict orders from a doctor to get checked out. It also doesn't help that I have ADHD (also not being treated) and anxiety is one of the major symptoms.</t>
  </si>
  <si>
    <t>Needs some answers if anyone can help First off I'm looking for help with supplements or really any ideas besides actual prescriptions, any help is really appreciated. I've had anxiety as long as I can remember, just varies how bad it would get throughout my life. Went to therapists and had meds on and off and never had any I thought really worked besides ones I was too out of it on, I did have some luck with supplements but haven't tried for a while and am I hoping someone could point me in the direction of some that actually work. I have terrible social anxiety and general anxiety and am a father of a 2-year-old and his Mom (my GF) has a traumatic brain injury that brings along a lot of problems with it without going into it, some add a lot of stress and anxiety to my own life (not being a crybaby or overdramatic). Since having my son my anxiety has gotten worse than ever and my social anxiety is to the point I won't look almost anyone in the face for more than a second to speak to them and the dreadful thoughts a lot of people with anxiety will have sometimes area lot more common now. So if anyone knows of any supplements or anything that works for them please respond, and I really appreciate it.</t>
  </si>
  <si>
    <t>Waiting for a reply... Just trying to keep myself calm while waiting from a reply from my partner, we've been apart for a few weeks to visit our families, and I'm gradually getting less able to cope when she doesn't reply for hours. She isn't often on her phone, and might be on a long motorbike ride, or at the local pub with her Dad. The idea of being on a ride kinda scares me though, since my anxious brain wonders if anything may have happened to her. Anyway, I guess I just needed to let it out, and I hope this is an ok place to put these ramblings. Maybe someone is dealing with a similar situation right now, or hopefully someone can offer tips to just shut my brain up. It's 2am. If relevant, I have GAD and only recently started to regularly lose sleep over worrying about stuff.</t>
  </si>
  <si>
    <t>Kinda funny story that happened to me the other day. So at the time I didn't find it funny because of how awkward and anxious I felt but now that I look back at it, I think it's a quite funny. Still awkward but funny as well. So basically I live in a residential home, and I was visiting some of my family for a week, so I was staying at my aunties house. I went to my cousins bed (he gave me his bed and slept in his sisters bed which is in the same room) at around 22:30 as I was exhausted because it was a long drive down and for once, I got to sleep pretty fast. I stayed asleep until around 04:20ish, that's when I woke up and started having a panic attack. Furthermore, I'm not exactly sure why it started, but it did. Anyway, when I have panic attacks, I shake like crazy, and it doesn't calm down until I start reducing my heart rate. The problem with me shaking was that I wasn't sure if my cousin was still awake or not, and since I was shaking so much, it sounded a lot like I was masturbating which made me even more anxious because if he was awake, he would've been thinking like WTF is he doing in my bed. I couldn't even try to slow my breathing because if I started deep breathing, it would've made it sound even worse, so I just lay there shaking, and I couldn't think of what to do other than grab my phone and sit up so if he looked over, it wouldn't look too bad, but I still couldn't stop shaking, so I decided to go downstairs and get some water. When I got downstairs, the shaking calmed, but it was still there. After I finished filling my glass, I went back up and got back into bed and went on my phone. Then I started thinking about what just happened, and that got the shakes going again so basically the whole cycle repeated itself until I put my headphones in and listened to some music which finally calmed me down. I managed to go to sleep by 5:30 and when I woke up in the morning, my cousin didn't say anything so hopefully he was asleep. Sorry for such a long post, and thanks for reading it if you did. TL;DR Basically I had a panic attack in my cousins bed and didn't know if he was awake or not, and I had extreme shakes so it sounded like I was masturbating which made everything worse. In the morning he didn't say anything so hopefully he was asleep.</t>
  </si>
  <si>
    <t>Ways to calm chronic severe anxiety attacks? Lately I've been getting regular anxiety attacks around the same time every day on and off... also when the attack is over, I still have that knot in my stomach that won't fully go away, and it's making me have no appetite and nauseous all the time. Last night I got high with a guy I'm seeing and immediately felt like I had to puke... I also had to ask him to leave because I was feeling so shit. Then I got anxiety about asking him to leave etc. hahaha it's a vicious cycle and at this point, my heart literally feels sore as far? Âª*? Â. I can't breathe properly, and I'm out of Zoloft for another 10 days... any advice to calm down?</t>
  </si>
  <si>
    <t>Does anyone have anxiety at night from a constant fear of home invasion/burglary? Hello all, long time lurker, first time poster. I've always had intense anxiety at nighttime stemming from a fear of someone coming in to my house. It's always been "manageable" up until SOMEONE ACTUALLY DID BREAK IN. Luckily for me my phobia actually woke me up the second he opened the gate (I think my brain had prepared me for it), which meant I was able to call the police in time for him to be arrested. It was a very traumatic experience because of my existing fear, the fact the police required that I keep talking to them which made me feel like I would be heard by him (he knew I was there - I heard him react to the sounds I was making), and worse of all I heard him slowly come up the stairs (where I was) and try and open my bedroom door while I was holding it shut. Ever since then, like clockwork at midnight, if I'm not asleep, I will lie in bed listening for any noise. If I hear anything, my brain will actually convince me it's someone breaking in, even if it's just my dog farting, and I become paralyzed by fear. Sometimes, my brain even tricks me into actually hearing the creaking stairs that I heard when the guy came up the stairs, even though I live in a different house that doesn't creak. My mind is actually making up sounds. Occasionally I will sometimes get sleep paralysis where I'll wake up but not be able to move and am already in a state of fear/anxiety. Am I going insane? Does anyone else have this anxiety? Do you have any tips or advice to cope? Financially, I am not in a place where I can afford a therapist. Does it sound like I need to see one?</t>
  </si>
  <si>
    <t>If you want to help others with mental health issues or need help yourself, please visit r/MentalHealthForYou r/MentalHealthForYou is a Subreddit where you seek non-professional help. It's an SFW Subreddit. I myself made it because I have anxiety and depression, and I wanted to help others with problems similar to mine. Please join if you're interested!</t>
  </si>
  <si>
    <t>Extreme anxiety from feeling "stuck" Super condensed version: I graduated from college, got a job offer in an industry I'm not in love with that I took. Now I feel incredibly stuck in a job that's a terrible fit because I need the money and benefits. The job offers no structure or feedback and I honestly feel like I am not qualified to do the job with the education I got. Now I dread going to work and have daily anxiety attacks. I live with my boyfriend who is incredibly supportive, but I feel like I'm really not fun to be around anymore with how stressed and anxious I am. I literally have no one else to go to. Furthermore, I don't know what to do. Furthermore, I go to work, come home, and worry about having to go to work the next day. Furthermore, I'm looking into finding a therapist, but I honestly have no idea where to go from here. Furthermore, I just need support or advice or something. Furthermore, I just can't keep it in anymore.</t>
  </si>
  <si>
    <t>Is it my anxiety or just me? (34/F) I've most likely had anxiety my whole life, now that I look back on it. But lately I feel that people are just ignoring me and speaking over me whenever I'm talking. Also, I'm pretty sure I've been rejected by somebody who I thought I had a connection with, and I'm pretty upset by it. So basically the question is this: Am I creating these situations or am I just making a mountain out of a mole hill?</t>
  </si>
  <si>
    <t>Diagnosed/bridge burned for the better Got diagnosed with anxiety this week. I'm struggling primarily with a disconnect between my mind and heart-like, I'll know something is true intellectually, but I'll feel something that isn't really true, and it will be very hard to get rid of it. Which I guess most people on here experience! Like, for example, I lost a friend a couple of months back. I have no problem losing them, they didn't really add any value to my life if I'm being blunt. I analyzed the situation, talked to others, and I know it wasn't my fault. They have a lot of immaturity to work through, coming from a small town and sheltered family in early college. Basically just a completely irrational person. I know this to be true, and I know the friendship didn't fold because of something I did. But, I still have constant worry that they could do something to harm me in the future, or I really DID do something wrong, you name it. Even though I know others who went through the same thing as me with them... it's just a false fear that I can't exactly place and just want to be gone. Every time I see them, I'm reminded of the fact that they ask and could play a negative role in my future... even though we aren't in the same field, and they have burned far more bridges than me. So, it should be ridiculous to believe that they could actually hurt me. But the irrational worry is still there. Anyone have experience with this?</t>
  </si>
  <si>
    <t>Work Anxiety I want to start off by saying that I hope this doesn't sound like I am moaning, but if it does please tell me. I have suffered from mild anxiety my whole life, but recent events at work have caused it to become debilitating at times. So up until my manager and one other colleague resigned I quite enjoyed my software developer job. I'd be assigned tasks and I'd thrive on solving problems and learning along the way and just working on jobs that I was given. My opinion was valued, and my manager would consult me before making decisions. I felt like I was quite smart and good at my job. So my manager left at the beginning of December, and my other colleague left at the end of October. I was promoted to fill my managers' role with a nice pay rise, to lead the team etc..., all positive stuff in theory. However, I have found there is no real direction for my team from upper management or the business anymore. I wake up feeling sick and anxious. I feel sick and anxious when I have to make decisions. When someone asks me to do some work I feel scared and like I just don't want to anymore. I feel like everything (even small things) become overwhelming. I am a 29-year-old man and I sometimes feel like crying at work. Furthermore, I feel that I'm not adequate for the role. Furthermore, I'd much rather be typing out this post. Furthermore, I'm certain that I want to leave my job for something else with fewer responsibilities, so I can just focus solving problems one task at a time as I used too while learning along the way. However, I have been thinking recently, do I hate my job or do I just not want to work anymore. I've also started to think "Am I just lazy?". I can't answer this, but I'm certain my anxiety is caused by my job situation. Furthermore, I have been receiving therapy (CBT over the phone) over the last couple of months, but I'm not sure if this helps. The past couple of months have been really dark for me, I've even started looking into spiritual things, horoscopes and numerology for re-assurance that things are going to be OK. I even pray for guidance before bed. Anxiety has changed me... Again I apologize if it sounds like I am moaning, the past couple of months have been really dark for me and I felt like I need to write this out somewhere. Has anyone else experienced something like this? Thanks for taking the time to read the post</t>
  </si>
  <si>
    <t>I'm in school now, anxieties bad! We have laptops so I'm on Reddit, tips to get through the day?</t>
  </si>
  <si>
    <t>Lower your Expectations What do you expect from yourself ? What do people expect from you ? What does society expect from you? Don't we live our lives with this need - some kind of fabricated subconscious need that we must achieve certain expectations ? What if we do not have expectations ? Would our lives be better ? Would we end as bums on the streets ? Would be more serene and at peace? If you go to a party, and you are sure the event will be amazing. Most of the time you are going to be disappointed. You have raised the bar too high, way too high. What if instead of that you were to Santa yourself. Whatever happens I'm going to try to enjoy myself. And you do enjoy the moment. See the difference ? Lowering your expectations does not mean that you are not doing your best. It does not mean you are doing nothing. Lowering your expectations may seem counter-intuitive but it's not. When you're lowering your expectations. You tend to exceed them and by always exceeding them you end up doing much better and be much happier. Every time you aim to high and fall flat you are giving your mind a negative nudge. [https://path2inspiration.com/blogs/news/lower-your-f-expectations-1](https://path2inspiration.com/blogs/news/lower-your-f-expectations-1)</t>
  </si>
  <si>
    <t>Are symptoms from increasing my medication an acceptable reason to miss work? I've only been on the increased dose for a few days, but yesterday I was so dizzy at the end of the day I had my husband pick me up from work. Now this morning I can't tell whether I'm just anxious about it or whether I'm actually still dizzy. IDK. I'm nervous about driving, and doing poorly at work due to my head being so fuzzy and the tinnitus. Also, I have increased the dose before, years ago, and had similar side effects during the first few weeks then too, so I'm not worried about it. I'm just worried about handling this adjustment period at work instead of school. Especially since we just had off for new year's and Xmas, it feels silly to ask for a sick day...</t>
  </si>
  <si>
    <t>I have issues going to work. Is it anxiety or laziness? I have been in the same ongoing cycle ever since I started working in my first job at 15. I'm now 31. It always starts with me somehow getting an amazing job. I swear to myself I am going to succeed on the job and never miss a day, never take time off unless I'm really unwell, never be late etc. Usually the first few weeks to months I'm pretty good. Then it starts getting harder and harder to get up in the morning. Then one morning I can't get up at all. Then later down the track it becomes two mornings I can't get up at all... followed by a whole week. Meanwhile, my boss, who is usually always very understanding in the beginning, starts becoming less and less empathetic. Oh, I'll be honest, I've lied to them. I tell them I'm sick with the flu, food poisoning, migraines, car trouble, sick cat, sick boyfriend, period pain... they know I'm lying, and I know they know. With my last job I tried to be honest about my anxiety from the start. I asked for amended working arrangements, but I was denied. That was the start of everything going down hill. Then I get pulled in to meetings with confused and frustrated managers who usually say things like "You produce good work and work so hard when you're here... you're just never here" and "You have so much potential". I apologize, I beat myself up, kick myself hard and swear to myself again that I'll change everything. I always... ALWAYS... end up getting fired. Then I beat myself up more. What's wrong with me? Why can't I just GO to work!? It's so easy for everyone else. Even people with anxiety and depression seem to just be able to go to work every day, or at least most days. They're ambitious and successful. They make money and pay their bills. Meanwhile, my amazing boyfriend has to support me while I feel like I use him because I'm just a piece of shit that can't go to work for no good reason? I convince myself I don't care and even say it out loud. But I do. I care so much. What does it feel like on the days I can't go? I feel tired. Beyond exhaustion tired. I feel sad and stressed for no good reason. I feel irritable and worried. Furthermore, I feel like everyone hates me, and I'm failing in every area of my life. Furthermore, I feel like I'm just a lazy loser. Those are the days my boyfriend cheers me up, and we usually end up having a great day. He's always pissed off with me for having the day off though. Sometimes I just think I have so much other stuff in my life to do that I can justify having the day off to do everything else, so I feel less overwhelmed. Those are the days I usually end up sleeping all day. I've tried googling it to see if anyone else with anxiety feels this way. Nothing seems to come up. After I lose another job I'm back in the same position. I have no references, no job prospects, my resume is full of short term jobs. I have no skills and never finished school because study and school makes me more anxious than work. Furthermore, I don't know how I always land on my feet with a well paying job. But this time, I think my luck has run out. It's January and I have no job after being fired just before Christmas. I have no references. I have so much debt and bills. Furthermore, I have no idea what to do. Furthermore, I'm at my wits end. Please someone help. If you've been through this cycle, how did u get out? I have so much ambition and ideas about what I want to do with my life. I know I'm supposed to do something amazing. Furthermore, I just can't pull myself together!</t>
  </si>
  <si>
    <t>My day so far. Its only 1pm. Okay, so, today I had a panic attack. Over something as simple as a camera being aimed in my direction. I am also incredibly ashamed of it. While there is a reason behind it, it looks fucking stupid freaking out about a camera. I wasn't going to say anything, but I am, because I've come home, and thought about it. Why should it matter what I have a panic attack over? Why do I always feel so ashamed over something you shouldn't ever feel ashamed about? What's that all about? Why the hell do people do this for attention? Because i sure as hell don't want attention while I'm struggling to breath, going fucking purple and making a fool of myself. I don't understand it. If you really experienced what it was like, you'd never do it again. It's hard. And It's even harder admitting to someone what's happening. *Sigh* This is going to be a long week.</t>
  </si>
  <si>
    <t>Can someone help me out? I've never dealt with this before. I don't really know how to classify this problem I've been having, I can't tell if this is just anxiety or something more because I haven't had this happen to me before, and I haven't really had anxiety to know if that's what this is. So, these ?attacks' I've been having started after seeing my Grandpa. He's got Dementia and the beginning stages of Alzheimer's. I hadn't talked to him a lot or been to see him at all in a year before I visited him this Thanksgiving (he lives out of state) and seeing him genuinely messed me up. I don't know how to explain it, he's not all the way gone, but the cracks in his reality are starting to show in big ways, and a huge part of me, as selfish as it sounds, worries it's going to happen to me eventually. The thought of that sends me into a spiral that's hard to come out of. I will think I see something out of the corner of my eye like I normally would before, but now my brain will immediately think of him, and how he looks/ acts now and how that could be me one day. I can shake it off, but random thoughts come into my head and I can't seem to stop them from reoccurring. Furthermore, I just feel like it's important to say that because my ?attacks' have only happened after seeing him and I feel like they are in some way a build up of the reoccurring bad thoughts I'll have because of the thought of him. (I know I may sound like a bad person as it's not his fault he's going through this, and I love him with all of my heart, but I genuinely can't help the way I feel, I feel horrible for even feeling this way and having these thoughts.) The attacks will happen at random but something small always triggers them. For example, I'll lay in one position for too long and my arm or leg will start to go to sleep. I'll have a simple thought like what if this tingling only gets worse and before I can rationalize that I'm okay or even react myself, my body will react in the worst possible way, to the point that I'm convinced something has to be wrong because of the way my body is reacting. It's like I loose the ability to control anything regarding how my body feels, and it acts on its own. It's like I'm having a conversation with my body trying to calm it down, but my body is telling me It feels like there's definitely something wrong. Furthermore, it feels like I'm going to die and something going on with my body will make me die at any second. I don't know how to explain it properly because it feels so surreal when it happens, but the best example is that it feels like, within a fraction of a second, someone else is coming into my body and controlling all emotions and rationalizing for me and all I can do is deal with it. I'll tell myself I'm okay and that nothing's wrong, but my body will genuinely feel like there's something I need to get ready for, like something horrible is getting ready to happen. My feet will feel cold, my head will start to feel flushed, and I get dizzy, all because of a simple what IFA thought that I'm not worried about anymore because I'm worried about how my body is reacting over everything. Then, once it feels like I'm about to pass out because of how intense the experience is, the emotions start, it feels like every ?on and off' switch for every emotion I could have is being flipped on and off repeatedly. It literally burns, and feels like I'm a battery being drained to 0% and charged to 100% within a few seconds over and over, or like I'm a pilot who's only ever flown in autopilot and then in the blink of an eye, while flying, I have to know what everything does and how to fly a plane I've never learned to fly. All I can do is cry when this happens and try to call my mom or brother who think I'm crazy trying to explain why I'm crying and shaking but talking semi normally and responsively. It's out of my control. I've never experienced anything like it before. I normally completely stop worrying about my body at this point, because whatever made my body freak out moved to my emotions, and I just try to manage the emotions because the emotions are worse than the initial attack. Then just as quickly as it all came, it's over. I feel like I'm in control again, of my emotions, rationality and body. I normally just scream into my pillow after this and calm down knowing it's over but cry thinking about it happening again. This will all happen in about 5 minutes. This is hard for me to share and if you made it this far I really appreciate it, I never thought I'd have to reach out for help about my mental health, and it's terrifying to do so. I've only had this happen 3 times since Thanksgiving, but each time is just as bad. If you know what this is, even if it's just anxiety, or maybe you deal with it as well, any response will help me feel better and not so alone.</t>
  </si>
  <si>
    <t>Therapist switch? Other advice-- I've already posted this exact thing on r/Anxiety Depression I am just desperate for anyone's advice, so I'm copy-pasting it here. I posted there first because it's smaller. My therapist doesn't specialize in anxiety or depression, he specializes in marriage counseling. I can tell. All he wants to direct conversation towards during sessions is my new boyfriend. I dropped out of school to work and to address my issues with anxiety, depression, and ADD, *not to talk about when Bob thinks my boyfriend of 2 months will want to have kids*. I don't even want kids. He never even asked. UGH. The school I dropped out of wants some sort of letter to confirm that there was a valid reason for my dropping out, so that I don't have to pay them for the month I was there. Bob wrote me one and faxed it over. So I have a letter from a real therapist, but I've only seen him about 10 times, and I am dissatisfied with the letter. I don't know how this works, but what if the letter doesn't provide enough support for my case? He didn't mention my diagnosed depression or ADD in the letter, but he did mention the wrong medication. (I've switched from bu spar to Xanax, he mentioned bu spar.) Should I go back to see the old therapist, to ask for a letter revision, or is the inaccurate letter enough? Should I get a letter from my primary care doctor instead/in addition? I found a therapist close by who does specialize in anxiety (I intend to switch once I get the nerve to call), can I get a letter from him first visit? Should I see if I can get him to focus on anxiety? Does he even know how to address anxiety? I am starting to doubt that he does, last time I went I said that I was probably going to apply for this job I've been wanting, but have been afraid to apply for, and he said "at this point, I have no confidence that you'll apply for that. None at all." Now I also have zero confidence that I'll apply, thanks. I just need advice. I am so stressed about this. The school emailed me this morning and I just don't know what to tell them.</t>
  </si>
  <si>
    <t>Has anyone else ever had constant anxiety/panic attacks about anxiety without the ability to move on? Honestly, I thought I had seen it all. But I've now got a form of anxiety seems to have broken my ability to move on. It's like I'm scared of my own thoughts, and it's so weird, because nothing is really wrong, but I'm in such a state of panic / total anxiety it's fucking terrible. It's like a meta-anxiety. Any advice/stories/help would be much appreciated.</t>
  </si>
  <si>
    <t>Wisdom teeth removal anxiety I'm getting 2 of my wisdom teeth (on the left side of my face) removed in a few hours. It's the first time I'm doing something like this, and I'm very nervous. How can I stay calm when entering the dentist's office? I feel like I'm going to pass out when the procedure starts.</t>
  </si>
  <si>
    <t>I feel so award when trying to talk to a stranger... Is there a right way to talk to strangers?</t>
  </si>
  <si>
    <t>Heartbeat at night causing distress Hey folks, So around a months ago I had my worst panic attack ever. The following 2 weeks I had panic attacks every day. It then started to calm down, but I have been obsessively checking my pulse several times a day (more like multiple times every 10 minutes) this entire time since then. I ordered CBD cartridges in hopes it would help since weed actually is making the issue worse now. CBD seems to help tremendously by preventing an oncoming attack, assuming I can predict it. (went to the doc's after my bad panic attack, he said it was just panic and referred me to psych again. Psych took a total of two weeks to call me, then I asked to see psychiatrist and there is no longer a psychiatrist within 20 miles of me.... WTF am I paying for kaiser?) It's awful. I used to be able to sleep on my side, it was my favorite. I feel like a prisoner to my pulse. Furthermore, I can feel it when I'm standing, walking, listening through headphones. Furthermore, I can hear it when I'm trying to sleep, which is why I'm posting this thread. It's currently 3 AM, and I'm dying for a solution. When I can feel and hear my heartbeat it drives me insane. When I can't hear it, I'm constantly pressing fingers to my neck to make sure my heart's still beating. I just want to sleep... on top of it tinnitus just kicked in real bad</t>
  </si>
  <si>
    <t>Going to work I work in my job since March 2017 and in the first few months I felt super anxious every time I headed to work because I was so afraid of making a mistake. I think my coworkers like me and I do everything as they ask me to and complete my tasks but for some reason, today I feel anxious again. I have to leave in 2 minutes, and I'm so stressed and don't even know why. Furthermore, I don't even know why I'm typing this. Furthermore, I guess I don't want to annoy anyone personally with it, so I'm posting it where people can choose to open or ignore it... Sorry</t>
  </si>
  <si>
    <t>I have promise, but my anxiety is going to destroy any potential I have by taking over my lifelong story short. I'm a college grad, finance major. Really personable dude. Athletic. Hardworking. Have common sense. Am the last person most people would probably guess to suffer from crippling anxiety. Specifically, health anxiety, but general anxiety as well. For example, I get headaches, and then I can't stop thinking about them, so they get worse, and then I have to get a brain scan to convince me nothing is wrong. Then I think they missed something. Or my stomach hurts, and I go get an endoscopy and figure out everything is fine, but still wonder if it could be pancreatitis. For the past 3 weeks I have had pain in my left leg and some twitching all over my body, and now am afraid I have ALS. If it weren't for this ailment of crippling health anxiety I could accomplish so much with my life. I feel like I am missing out, and I am my own worst enemy but no matter what I can stop being anxious. Does anyone have any advice, I could really use it. Even as a White this I think what if you're not anxious and something is seriously wrong. I need help.</t>
  </si>
  <si>
    <t>Anxious about what other people think of me I'm sure there's plenty of other who worry a lot about what people think about them and I just want to know how others deal with it? I'm trying my best to help myself, so any advice would be nice. Some events happened recently and I guess rumors went around about me and I'm incredibly paranoid and can only think of horrible things people might be thinking of me. It's really wearing me down.</t>
  </si>
  <si>
    <t>Chronic Stomach Noises My stomach has been rumbling, squelching and making strange noises since 4 days ago without any break in symptoms. Usually, this used to happen only when I was hungry, but nothing seems to help now. I'm a little concerned as to the volume of these noises - and I'm wondering if this is the type of thing that eventually gets better? I'm assuming it might be made worse by my anxiety, as I tend to focus in on these things and get stuck on a loop - listening out for any sort of noise.</t>
  </si>
  <si>
    <t>How do I stop myself from feeling guilty when I am having fun? If I take even a day off to have fun, my anxiety kicks in, and I keep thinking about all the work I have to do. This happens even when I have nothing important to do and is genuinely keeping me from enjoying my life.</t>
  </si>
  <si>
    <t>You just gotta do it Sometimes, if you want to get better, you just gotta jump on out of your situation regardless of how you feel. Or will always feel how you feel right now. You just gotta get up and get going, if anxiety comes, just say "go ahead, do what you want to do, I don't give a fuck." Get moving!!!!!</t>
  </si>
  <si>
    <t>How to See a Doctor For Anxiety? Here's the background. I'm over 18, I live in California, I'm on my parent insurance, and I've never gone to a doctor for my anxiety. My panic attacks are getting to be too much, and I can't have this affecting me at work anymore. I've tried for years and my parents are not supportive of me trying to get help with anxiety and panic attack. I'm looking to go to a physician because I feel they could run some tests and help me understand if I have some kind of disorder. The thing is... I don't want my family to know. I don't see a way around this because they'll know about my visit through our insurance if I go to a doctor. Has anyone here been to a doctor for anxiety? Do you have an idea of the costs or what I should do regarding keeping it private? Hell, even some first steps would help, I don't even know where to start.</t>
  </si>
  <si>
    <t>I really need someone to talk to, I'm having a severe panic attack right now. Hi everyone, I don't post much here, but I could use some advice on how to calm down at the moment. So I started taking a different type of birth control, and it has made my anxiety go through the roof. I'm talking panic attacks, nausea, hyperventilating, rapid heartbeat, and dizziness. I just woke up from an anxiety dream, and I'm sweating soon much. Furthermore, I'm shaking and struggling to control my breathing. Please help, I really need someone to talk to right now to help me calm down.</t>
  </si>
  <si>
    <t>Anxiety/Panic Attack ambulance called Was driving home from work at 7am, I started to feel my heart rate rocket high and started seeing red, sweating and terrible sharp chest pain. I pulled over and called 111, and they dispatched an Ambulance. The ambulance crew were amazing, they're done all the tests and everything came back all good, normal blood pressure, normal heart, lungs all good. They talked me through how Anxiety can effect the body and how it can be terrifying and there's nothing to worry about. They sent over my results to my GP and I've made a doctor's appointment. I've had anxiety attack's before, but recently it's been getting really close to one and my Anxiety has been playing uploads. When I go to the doctors, what will they do to help me, medication? Therapy? What will happen? Many thanks guys</t>
  </si>
  <si>
    <t>Too anxious to actually function. That's...yeah. That's it, in a title. I'm anxious about everything: driving, health, work, relationships...the list goes on. I've dealt with generalized anxiety to some degree throughout my life, but in the last year, it's gotten so bad that I can't live anymore. There's no one specific because I can pin down: I wasn't in any accidents, I haven't suffered from any kind of illness or injury, and hell, I even left an extremely stressful job. I should, by all rights, be doing *better, * but I'm not. Every little thing I face in my day-to-day causes me to completely shut down. Sometimes I just can't breathe, other times I completely space out and lose chunks of time. On some days, it's so bad that I genuinely believe I'm completely losing touch with reality and going insane. I've read about people in the early stages of the onset of schizophrenia experiencing similar things, after all, and for most people, it starts around my age. (See the bit about health anxiety.) It's awful. This is no way to live, but I feel so hopeless about the future. Hell, I don't feel like I have a future anymore given how often I think about suicide. I've been robbed of my peace of mind because of this and I can't take it anymore.</t>
  </si>
  <si>
    <t>Severe Anxiety Hi everyone, so lately I've been having really severe anxiety about one thing. World War 3. Now I know that's probably weird, but it's so bad that I basically just lay in bed all day looking at news updates etc. I need help.... Anyone able to help me out?</t>
  </si>
  <si>
    <t>Never really talked about this online but thought I'd give it a shot. (Story) I just want to start my story off by saying that before the night I mentioned I had never had a history of anxiety or at least not prolonged anxiety. The day was Aug 10, 2016 the day before my birthday and I invited my friends over to play video games and hang out. One of my friends had to leave later on, the rest of my friends were spending the night. I remember the night very vividly because this night changed my life entirely. I bought a 12 pack of Blue Red Bull on Amazon, and it got delivered the night they came over, and I drank probably 3-4 of them my two other friends drank about the same amount. Anyway I drank the red bulls and at first I didn't felt the normal effects of Red Bull (i.e. jitteriness, wide awake, etc.) but then about 2 hours after consumer the red bulls I started to feel anxious while playing a board game. And eventually it started to turn into a serious anxiety issue, and I was starting to get scared that I might have a heart attack or something. It only seemed to get worse and worse, and eventually I was literally crying because I thought I was experiencing my last moments alive. Anyway, I eventually fell asleep and woke up feeling different, but I woke up with little sleep as in like maybe 4–5 hours. Afterward I started feeling just a broad anxiousness. My heart rate was thrown the roof, and I was scared for my life. Eventually after having this feeling for a day or two I started to worry that I might never ever feel the same again. I went to the doctor about 2 days after the incident, and he prescribed me Prozac. I took Prozac hoping that it would be some sort of instant cure. While it wasn't a cure, it certainly did help. The prescription did not help immediately, but eventually after taking it for several months it was like a maintenance for my anxiety and to keep it in check. I took it for a long time (I forget how long). Being aware that taking non-natural drugs can alter the brain I wanted to get off it as soon as possible. I recently did get off of it, but at the beginning of December 2018 I started feeling just a constant anxiousness again, and I'm just sick of it. I just want my life to return to before that night. Does anyone have any advice?</t>
  </si>
  <si>
    <t>Anxiety from dysfunctional family. Trigger warning for physical abuse and infidelity. I'm 18, still in high school and currently living with my two parents and my brother who is 20. My family has always been dysfunctional, but I feel like it's gotten worse faster. Growing up I've always felt like my parents hated each other. They would get into fights and break glass and threaten to hurt each other. I genuinely don't understand how and why they've been together for so many decades. We were poor and lived in bad houses with no electricity a lot of the time and no water, usually roaches and rats running everywhere. I'm the youngest of three; me, my brother and my sister who's the oldest. I've always felt like I was considered the bad child, and I will say I did scream and cry a lot. But when ever I had done something bad my mom would scream at me, and I'd talk back, and she'd get so pissed off that she'd chase me with a belt to wack me near my face. Of course, I always ran and locked myself into a room, and she'd put a hole in the door trying to get to me which only made the punishment worse. After many years of this I feel like I barely have any connection to my mom other than we playfully talk to each other sometimes. I don't talk to her at all about what I think about or what's going on with me because she scares me. She genuinely wonders why I don't talk to her about anything, and feels as though her disciple towards me is justified by the Bible. I feel like a lot of this has caused my anxiety and I feel a lot of resentment towards my parents because of this. But I also feel guilt when I start thinking about moving out, because my mom tells me I'm the only one in the family who actually pays attention to her. Anyway, as I've grown I've learned to just try and keep my mouth shut to not cause trouble. And it's been relatively okay between my parents besides the usual fight every now and again. But now since Christmas Eve, they've been mad at each other, not sleeping in the same room together, and not even talking to each other. My dad started it because he accused my mom of not paying bills and spending all her money on stuff she doesn't need, which makes no sense because my dad makes a lot more than my mom, and my mom has to work double shifts just to make sure the bills are paid because my dads money disappears so quick somehow. My mom worked extra hours just to make sure me and my brother had a good Christmas. My dad spent absolutely nothing on anyone. My sister, her husband, and my mom even bought him gifts. So cut to now, my mom has been working double shifts, and every time she does now my dad will just up and leave for hours. And this isn't in the middle of the day, this is at like 11 at night while my mom is working 10pm-6pm He did it tonight, and I just felt it in my gut he was doing something slime, especially because he took a shower right before leaving and when he came back he walked right to the laundry room, doing who knows what because he doesn't do anyone's laundry. Doesn't help that my parents accuse each other of sleeping around every time they fight. This has started to make me super uncomfortable. I'm thinking of probably telling my mom about this, but I'm too scared because I have anxiety attacks when my parents argue. I just want to move out, but I don't want to leave my brother to deal with this on his own (he's autistic). My mom has told me she would kick our dad out of the house if he doesn't get his shit together, but doesn't want me to get involved with it because he'll be angry and might get violent. This absolutely terrifies me, and prevents me from doing anything except just trying to ignore it, which is basically impossible for me. I have no idea what to do, and I can't stand not doing anything anymore. I don't want this situation to just keep piling up until it eventually blows over into something more serious. Does anybody have any idea how I could deal with this at all? I've been stressing so bad lately.</t>
  </si>
  <si>
    <t>Went to Therapist Today Went to the therapist today for the first time ever! We talked for more than 2 hours since she had no extra clients today. At the end of it she said I probably to come back and tell her everything else we didn't get for our next checkup. It's funny, as we didn't make a whole heck of a lot of objective progress, but when I left her office, I immediately felt much better about myself and much more confident. Nice to have some second wind. I feel like I can actually beat this anxiety thing now!</t>
  </si>
  <si>
    <t>I can't sleep without my boyfriend beside me. Home is always quiet and lonely. Typically, when I'm here I distract myself with video games, books, etc. But of course at night when it's time to wind down, my thoughts race and the fears I normally never think about during the day resurface. Recently my boyfriend and I started taking naps together, and can fall asleep almost instantly as opposed to staring at the ceiling for hours. I'm comfortable, and can actually relax when I'm with him. However, I can't rely on him to get good sleep; we don't live together. Any advice on how I can get some shut-eye? I've tried a few things like tea, milk and white noise. I'm about to attempt melatonin supplements, but again I don't want to have to rely on something.</t>
  </si>
  <si>
    <t>College anxiety has pretty much ruined university for me. I'm repeating the second semester of second year because of it. I can't even bring myself to opening my college emails because I don't want to have to deal with it. The idea of logging into my student account literally nearly sends me into a panic. How did you guys get through it? I'm going back in a few weeks, and I'm just freaking out about it.</t>
  </si>
  <si>
    <t>Anxiety within the relationship. Advice? I'll save you the whole story, I moved in with my friend Sam, I was living with him for about 6 months and we're starting being intimate, and we've been together for a year now. I know I won't find anyone better than Sam and I've accepted that fact. My anxiety has manifested in ways that I've never seen it before. I've gotten my worst anxiety attacks from Sam, I've gotten the most self-hatred from Sam. Sam is kinda petty and a very angry person, when Sam gets angry, I get anxious, and I just shut down. Then Sam belittles me, and makes me feel like shit that I'm not doing anything to comfort him, which leads me to being even more anxious. I don't know how to handle any kind of negative emotions. If Sam displays any emotion of anger, sadness, or anxiety, I just shut down, because I don't know how to handle it, or fix it. Communication is my biggest weakness. Emotions in another weakness, and those 2 together is a fucking shitshow. Anxiety has caused me to constantly question and doubt our relationship. We work well together, but there's always that voice that says no. It makes fun of me, Sam, and everyone else. It's like a little voice that hijacks my thoughts and makes me have thoughts I don't agree with. Sam and I have never had an argument, but we have made plenty of double anxiety attacks; Sam gets mad, I get anxious, Sam gets even more mad that I don't do anything, Sam gets anxious, then I get more anxious. It's a fucking shitshow. And every time we have these, I feel like shit and I constantly feel like I need to take pills to fix the way my thoughts are.</t>
  </si>
  <si>
    <t>Anxious about possible emigration. **To start off;** I'm a 17-year-old Guy from Ireland. I've had to stop going on vacations out of the country due to my panic disorder, which my parents are really understanding about. My issue is, my Uncle, who loves in New York has offered my dad a job where he would be making more money than he does here in Ireland. My dad wants to take me over for two weeks next month to see if the job could work out for him. I'm really anxious about that, and that if we move, I would have to sit the last two/three years of High School again, and my older sister wouldn't be there. Would anybody have any advice/tips on how to handle this?</t>
  </si>
  <si>
    <t>Anxious about wisdom tooth extraction next month I know February is still a long time away, but I can't help but worry about getting my wisdom teeth out. All of them are being removed at once, and I'm going under general anesthesia for it, yet I'm still terrified! I don't want to have a panic attack and embarrass myself in front of the people doing the surgery. I don't know how to not worry about it for now and for when it actually happens.</t>
  </si>
  <si>
    <t>Anxiety is ruining my relationship I'm a long time lurker on this sub, but something awful just happened with my relationship. I really wanna talk to someone but don't know who, and I'm scared of putting the entire story of what happened on Reddit. I don't know if this is how it works on the sub but if there is another male that has had trust problems in their relationship do to anxiety I would greatly appreciate having someone to talk to and get advice from. Furthermore, I'm scared and feeling like I'm shutting down. Furthermore, I can't sleep, and I feel like I am about to vomit. Furthermore, I feel weird posting this, but I don't know what else to do, and I hope this works. Furthermore, I'm sorry if this isn't how Reddit works I just figured it was worth a try.</t>
  </si>
  <si>
    <t>Can I get an anxiety prescription without my parents knowing I don't want to go into detail but i basically cant tell my parents about my anxiety/depression for personal reasons? I need anxiety prescriptions because my anxiety is basically ruining my life. Every time I get in an anxious situation I throw up. I mean EVERY time. I can't even go on dates because I always have to excuse myself to throw up. I'm 18 and want to make an appointment with my doctor with insurance without my parents knowing. Is it possible and will they find out?</t>
  </si>
  <si>
    <t>Does this sound like anybody else's experience? I've always thought that there was something wrong with me somehow. I'm forgetful, I lose things and have no idea how. Furthermore, I didn't have any friends when I was little. So I'm going to preface this by saying that I've never been diagnosed with anxiety, and I may just be seeing a problem where there isn't one. I'm trying to get a therapist to help me see if I do have a problem, but my mom says she's going to take a long time looking because she wanted me to get the right one. At first, she wanted me to talk to a church counselor, but there was no way I was going to do that, and I made that very clear. She says there's nothing wrong with me and that she has all the same problems I do. Now with all that said, I do think I have anxiety. I worry a lot about things and I go over them a lot in my head. I'm always worrying about what people think about me and everything I do or say, constantly doubting myself and it's exhausting. But I don't think anxiety prevents me from doing anything, it just makes me feel bad. I also don't get panic attacks or anything. I'm going to tell a story as an example of my experience, but it's not really necessary to read. One day I brought these expensive art markers (Comic) to school. A few hours later I saw on the hallway floor, the box covered in scribbles, with one marker missing. I wasn't sure if I dropped it or someone left it behind after messing with them in the class I had been in. There was a notecard that was scribbled on as well. I told a teacher and immediately regretted it. I thought a multitude of things: *what if the scribbling was my friends? What if I just dropped it? That notecard looked familiar? Why can't I remember what happened? What's wrong with me?* That ate at me all day. I went after my friends that were there, practically interrogated them. My heart beat hard before I talked to the last one, praying I wasn't out of line. And I wasn't. He said that he didn't do any of what I saw. I was still unsure about it, but I felt a little better. Does anybody relate? I've done a lot of late night googling on anxiety, but I wanted to hear actual experiences. Whenever I do those tests with the symptoms it always puts me in the middle of the road.</t>
  </si>
  <si>
    <t>Encouragement for you going into 2019 I want you all to remember this when you are going through hard times: You are brave You are strong You are amazing You are loved YOU CAN DO THIS! I know how hard anxiety is and how much it hurts but just know that you can get through this. You've made it this far already so don't ever give up! No matter how hard it is, no matter how much pain you're in, I promise, it will get better and you will be okay. Your anxiety may not completely go away, but trust me, it will get better. I believe in you. You can do this! I'm here if anyone needs to talk Lt;3</t>
  </si>
  <si>
    <t>Afraid to be out of my house (So sorry for my terrible English) Over four months ago I was diagnosed with panic disorder, and I'm in medication since then. Like six months ago I isolate myself slowly, I cut communication with my friends and teachers, I stopped to go college and therapy. I only feel safe in my house. I mean, I feel that I don't belong to the places where I used to be. Furthermore, I feel like something was broken between the life and I. I preclude myself in my house like six months ago because I think that don't exist something outside my house for me. Furthermore, I'm so scared of leave my room and continue the life in the point that I left before the things gone worse, but I know that I can't live like this forever. Furthermore, I'm hopless.</t>
  </si>
  <si>
    <t>I'm breaking down I have known idea what is going with me. A year ago, I was fine happy. In the last six months I have noticed small things. More recently I have developed thoughts of suicide... tonight I am having hearing things that aren't there I feel like something is going to happen... I can't sleep... I can't eat... Furthermore, I need help.</t>
  </si>
  <si>
    <t>Dealing With Anxiety at College Does anyone have any advice for dealing with anxiety while at college? I go to school very far from my hometown, and support system. I worry a lot about making friends and my classes and just everything. Furthermore, I've tried going to my school's mental support services, but it's way overbooked. Furthermore, I'm really dreading going back in the spring.</t>
  </si>
  <si>
    <t>Some odd shit has been happening to me lately. I don't know for the past week I have had a feeling like I'm going to die, not like suicide or anything, just like I'm going to die, like get Into a deadly car accident or just drop-dead. I've never had this feeling and I have no idea why it's happening. Furthermore, I can't sleep because I feel like if I sleep I won't wake up. Furthermore, I'm not sure what to do, any help would be appreciated. Thanks peeps.</t>
  </si>
  <si>
    <t>I am afraid of going back. I was doing just find a couple of days ago. Hell, even weeks ago. I've talked to my psychologist, and it helped. However, last night, I just felt like shit. When I first had a panic attack, I was afraid of having another one. I was afraid of starting over back to square 1 of my anxiety. I just want to be told everything's going to be okay and that it'll all be over soon.</t>
  </si>
  <si>
    <t>How to deal with society when you have anxiety I live in the Middle East, and I always wanted to go to a psychiatrist to help with my anxiety, but the problem is when I go to get help people will accuse you of being mentally ill and crazy and stuff you'll be shamed and no one gonna talk to you ever again ! Really need some tips or some stories how to deal with people like this.</t>
  </si>
  <si>
    <t>Worried about going back to teaching I suffered a relapse last year and I managed to emerge from it with a higher dose of medication and another new medication that was added. I was not a hundred percent, but I managed to get past each day somewhat OK. I've been on vacation for the past month (I'm a teacher) and I'm experiencing symptoms again despite being away from my main trigger which is teaching. It happens whenever I go to crowded areas mainly shopping malls. My vision gets blurry, my face and chest feel hot and my knees feel like they are going to collapse. I've not exactly been taking my medication on time as I was on vacation mode. I really hope that it's because of this. Furthermore, I start teaching tomorrow onwards, and I'm very worried that I'm going to experience those symptoms again. It's really very demoralizing, and I don't want to start the school year feeling so jittery.</t>
  </si>
  <si>
    <t>Flying with anxiety/paranoia Going on a weekend trip to Vegas Friday, coming back Sunday. I've flown before, but I didn't have the massive anxiety like I do now. I do have Asian I plan on taking before we board. No affine starting tomorrow and until after we get back. Also have some noise-cancelling headphones I'm taking with my tablet with movies and shows preloaded on it. But I can't stop thinking that I'm going to have a total freak out once I'm on the plane. I'm slightly claustrophobic, getting worse as time goes on it seems. Fear of heights. Generally paranoid that something horrible will happen. Considering that I've lost 2 husbands in the last 4 years I can see where the PTSD, paranoia and anxiety come from. But I don't want those things to limit my life. I've never been to Vegas, I'm going with my sister-in-law which happens to be my best friend. This will probably be 1 of the only times to get to do this, and I don't want to miss out. Does anyone have any tips or ideas or something to help me get through these 2 plane rides? I'm more concerned with the claustrophobic issue and well I guess all of it. Thanks in advance. Aka? Â‹? Â</t>
  </si>
  <si>
    <t>What would you do if you've been trying different meds for 3 years and still haven't found the one? I've been on medications for 5 years now. The first med I tried worked for 2 years, then slowly stopped working. Ever since, I have been having the worst luck finding something that would work longer then two months or one that doesn't give me horrible side effects. I took a gene test and a lot of medications have a higher risk of side effects. I started Laical and Clonidine 5 months ago, and I thought they would work, but they started to make me feel worse physically, and they aren't working as good now. Furthermore, I'm getting nervous trying new meds. Furthermore, I feel like I need a break from taking meds, but I'm afraid that I'll get a lot worse without them. Furthermore, I have never been off anything for more than 4 weeks. Furthermore, I don't know what to do...</t>
  </si>
  <si>
    <t>Fear of death I have had anxiety and panic attacks since 14. SSRIs help a ton. But in the last two years I lost my son and then became ill and was diagnosed with various chronic illnesses that cause pain in fatigue. Earlier this year I came off SSRIs because of a drug interaction with one of my other meds. I have come off SSRI before with few issues when I was pregnant etc. but this time my panic attacks and intrusive anxious thoughts got way worse than they've ever been. Pretty much living with CONSTANT impending sense of doom. I'm back on Zoloft because I couldn't take it anymore I was to the point where I was begging to go to the hospital convinced I was dying. The Zoloft has taken the edge off so I don't have tremors etc. type panic attacks, but the constant feeling like I'm going to die is still there. Thinking about what my family would do and how they'd get on without me. Or what if as I'm walking to my bar someone shoots me. All day every day. I know part of it is because I always had health anxiety and becoming sick and finding out I have health issues is hard to adjust to. But it's literally every day I just want to feel normal again. Any suggestions?</t>
  </si>
  <si>
    <t>Anxiety for upcoming trip to a strip club for the first time So I had little to no experience talking to women and I have fear of rejection. I told my close friends about my issue, and they ask me if I have ever seen a woman naked. I told them other than online porn, I've never seen it in real life. So they are forcing me to come with them to a strip club. But I am extremely terrified right now and I don't know how to interact with them. My anxiety is so worse than I'm about to burst into tears for even steeping through the doors of the club. I don't know how to handle this type of anxiety.</t>
  </si>
  <si>
    <t>I feel so dumb I just feel so stupid when I talk. I'm always stuttering as if my tongue is too big for my mouth, and I'm always mixing up my words and not making any sense. It's like I can't think anymore or when I try to my mind just ends up blank. Has anyone else ever felt this way before?</t>
  </si>
  <si>
    <t>Has anyone else been unable to buy a car due to anxiety? How did ya do it? I was never a bad driver, but I haven't had a car in a few years. However, I need one and I need it badly. My social life is too expensive because I have to Lyft everywhere, and I end up looking for dumb excuses to spend the night somewhere or to have people drive me places at inconvenient times. Here's why I am having trouble buying one: I've got to do the research, go to the dealer, haggle prices (which I really don't feel comfortable doing), get insurance, get it registered at the DMV, and find a place at home to park it. Then I have to get used to the traffic where I live. I've never been a regular driver in a place as heavily populated as where I am now, and I've never driven to a 9ish-to-5ish job like I have now. I'm terrified to start driving again, and I have about a month before I can no longer rely on public transportation and Lyft for everything. Has anyone been in this situation? Also can someone give me a car pls?^^/s</t>
  </si>
  <si>
    <t>I get anxiety to play even a single player game because I fear failing to measure up to my past self how stupid is that. I get so avoidant and anxious that i don't even play a game, because if I see myself doing worse, ill see myself as having become worse as a person somehow. I know rationally its ridiculous, but It's still how I feel.</t>
  </si>
  <si>
    <t>Has anyone else tried the supplement 5-HPT? This was recently recommended by my counselor and I finally tried it. So far no drowsy feelings, but otherwise I'm a noticeable calmer. Could be placebo effect but hey I'll take it.</t>
  </si>
  <si>
    <t>Does anyone get a lower heart rate during a panic attack? This is the problem I have, and I pass out because of it sometimes. I just haven't heard anyone else having this issue.</t>
  </si>
  <si>
    <t>All my broken buddies, do we deserve to date the healthy ones? I recently asked one girl out thinking obviously she would turn it down, she didn't, she seems interested, at least I think so. But now I have the feeling that I might ruin her happiness with all my mess, it seems very selfish to me.</t>
  </si>
  <si>
    <t>Need advice on asking doctor for additional heart tests for peace of mind (without sounding crazy) For the past 2–3 weeks I have been experiencing chest pains that come and go (24 y/o female). Last Wednesday I went to my doctor for it, and they performed an EKG that came back normal. She told me I just am experiencing anxiety (which she already knew of my history with, including medications I'm on.) I thought that would ease my mind and the chest pains would go away if it was anxiety, but they didn't. I'm worried the EKG isn't enough, and I feel like I need more peace of mind (really just an echo at the minimum). How can I request an echo or referral to a cardiologist and be taken serious (since she already knows I have anxiety)? Side note: My maternal grandma had a congenital valve heart problem, but it didn't affect her until she was 60 or so. My doctor doesn't know about this because I just learned about it this past weekend from my mom. So that's not helping with my anxiety over the pains either. I've suffered from GAD/anxiety attacks since 2014, but never have I had chest pains outside a full-blown anxiety attack itself, so I've been in a perpetual state of more anxiety because of these physical symptoms, and I'm unable to sleep at night for fear of not waking up due to an unknown heart problem. I'm concerned it will start affecting my full-time job soon. Any help is much appreciated. I feel like I'm losing it, and I don't know how much more I can take.</t>
  </si>
  <si>
    <t>HELP So let me just say that last year in 8th grade the attacks affected me a lot at school, it was hard to concentrate or even hear the teacher at times and this year it's gotten worse (ran out of my meds and the psychiatrist is closed for a month), plus I'm planning on asking out a girl so any strategies or eating methods to reduce this would mean a lot.</t>
  </si>
  <si>
    <t>[NSFW] It's gotten worse than ever/need help making it to my next appointment **Before continuing, please understand that I am not against the LGBT+ community in any way. I support them actively by going to rallies, protests, and other related events.** So, to start, I am a 15-year-old boy having a very, very hard time. I have GAD and ADHD. The thing with my GAD is, it makes me fear the idea of me turning gay despite that being completely impossible. But today, the anxiety has been worse than ever. I'm going to attempt to explain the following events in tons of detail: as much as I can remember. So also please take note of that. It started when I was about to take a bath and my thoughts ran wild. I wondered about being a dominant man because I'm around many women that make fun of submissive men. I happened to be one of them. Furthermore, I have this thing where I constantly feel my thoughts becoming a reality, so I felt it happen while in a dissociative almost a hypnotic state. Furthermore, I panicked as I got in the bath. Starting to think about confining gender roles and how I was really a submissive person. I imagined the dominance leaving me through the bath and thinking "only girls are submissive". My mind jumped to the idea of me having signification fetish which also terrified me, then the idea of me liking guys. I felt the same dissociative state pop up again. I got out of the bath and during the time between me thinking about it and getting dressed I felt more feminine and felt the obsessiveness. Furthermore, I started getting obsessive, and I feel like I've turned gay. IDK what to do because it feels more real than ever. The main problem is, I don't see my therapist till next Wednesday so IDK how to get out of this. Any advice and/or support is appreciated. I just need help getting to my next appointment and I haven't had one in over a week.</t>
  </si>
  <si>
    <t>Nostalgia I downloaded Instagram for like 30 seconds and looked at my ancient account, and now I'm depressed and mentally fucked, so I'm lying in bed wishing I could, will myself to sleep or something other than just sit here. I used to feel like I belonged with my friends, and now I don't talk to nearly any of them and I feel so damn alone.</t>
  </si>
  <si>
    <t>I'm having a hard time I just started on some anxiety/depression medication. I've been on it about a month and overall, I think it is helping. The past week or so I've been having a hard time when I feel hopeless. I feel like I need a hug and just a long talk. I don't know how to fix myself</t>
  </si>
  <si>
    <t>How long can anxiety/panic attacks last? I've been dealing with severe anxiety, panic disorder, and monophonic for several years now. I get panic attacks at least once a day, but they're usually manageable. The past few days, I've had severe panic attacks that seemed to have lasted over 12 hours with very short, almost unnoticeable breaks. They were so bad that I had to leave school. There was also no clear cause of them as I wear earplugs during class whenever I need to block out certain sounds and was not worried about anything prior to them. Also, there was a period of about a month a couple of years ago where I was constantly short of breath and couldn't breathe properly, but every doctor I went to couldn't find a physical cause of it. They even took chest x-rays and found nothing. Could this have been a very prolonged panic attack? Also, are there any tips for managing this besides deep breathing? I usually can't get deep enough breaths to calm down during attacks so it isn't effective.</t>
  </si>
  <si>
    <t>Two Monks and a Woman **I love this Zen story. I find it very helpful when I have had social anxiety about things I have said.** *"A senior monk and a junior monk were traveling together. At one point, they came to a river with a strong current. As the monks were preparing to cross the river, they saw a very young and beautiful woman also attempting to cross. The young woman asked if they could help her cross to the other side.* *The two monks glanced at one another because they had taken vows not to touch a woman.* *Then, without a word, the older monk picked up the woman, carried her across the river, placed her gently on the other side, and carried on his journey.* *The younger monk couldn't believe what had just happened. After rejoining his companion, he was speechless, and an hour passed without a word between them.* *Two more hours passed, then three, finally the younger monk could contain himself any longer, and blurted out As monks, we are not permitted a woman, how could you then carry that woman on your shoulders? Â* *The older monk looked at him and replied, Brother, I set her down on the other side of the river, why are you still carrying her? Â* [*https://www.kindspring.org/story/view.php?sid=63753*](https://www.kindspring.org/story/view.php?sid=63753)</t>
  </si>
  <si>
    <t>When I drink alcohol (even just one beer) my anxiety goes away Should I just start drinking a beer every morning?</t>
  </si>
  <si>
    <t>Managing severe work anxiety I'm a high school senior who really needs to start saving up money for college next fall (thankfully not for tuition (yay scholarships), but for daily expenses and the like). I think I've got a job as a cashier at Food wise lined up if I want it, but I'm already feeling anxious over it. I had a bad time at my first (and last) job at Sonic last year. Management sucked, they were often high and/or would treat you like you were a complete idiot if you messed something up (even if no one explained it to you in the first place). My training was a whole 5 minutes long, and I spent the first few weeks dealing with angry customers because I didn't know how to input orders properly or make all the different kinds of ice cream correctly. The building was small and cramped, and I could barely hear anything of the sounds of the kitchen and order siren blaring constantly. They would often tell me to clock out when I was legally supposed to since I'm a minor and then ask me to do just one more thing-Stock up the cups and straws real quick-Clean off the dirty utensils-Wipe down the ice cream machines-Cut up some limes and lemons- and I'd be there for another 30+ minutes after already clocking out. They just forgot to pay me for an entire day I worked, and would have gotten away with it if my mom didn't catch it. I felt like they would screw me over at any opportunity. I had terrible anxiety every day I went to work. One time I flat out started hyperventilating in the car on the way there and my mom almost took me to the ER bc my hands had gone completely numb and locked up. I quit a couple of weeks after that because it just didn't feel like it was worth it anymore. Now I'm worried that the same thing will happen at my new job. Or worse, what if I'm actually the problem, not the work environment? How will I function as an adult if I can't go to work without having a panic attack? Does anyone have any advice?</t>
  </si>
  <si>
    <t>I thought I've gotten better, but I'm withdrawing again This is my first post ever, I don't normally post or make any comments at all... I'm 21, female, living in Australia. Furthermore, I used to be very friendly and all, but 3 years ago, after my ex broke up with me, I started avoiding every single social contacts that I should've been making, even with my parents, that also included 2 gap years I spent home and literally do nothing. However, last year, as thought I got somewhat better, I started attending uni, and even joined a club, but I rarely go to their activities, just something to tell my parents so they wouldn't worry about me. Despite having troubles communicating to people IRL, I have no problems dealing with online people at all, in fact, I'm pretty active online, especially on Discord. Somehow, I was able to make friend with a person from the club (mostly bout Japanese culture, and I'm a week, so is that person), called Abc. At first, we just talk online, then I got an invitation to his place for gaming and singing, we became closer after that, but since I'm well aware of myself, I always refused to come to their parties or meeting with more than 5 people, which starts to make me feel sick. Everything was still under control, until the 31st of Dec, when a friend of his (L for short), who added me on Facebook, insisted me to come to his party. I thought Abc would also come, and I asked for the confirmation of the number of people that would be coming. When I'm sure that there wouldn't be that many, I asked my mum, she encouraged me to go too, so I ended up coming. I ended up spending time in my own space and tried not to communicate with as many people as possible, I must say I always enjoy spending time by myself. However, as couldn't be helped, the people from the party came and started asking me questions, and even questions that I always avoid: relationships related. I got scared and, made an excuse that I need talk to and online friend, then sat outside the garden for hours, and when I realized it was already 4AM. L offered me his bedroom, so I would come inside, as how tired I was, I unwillingly accepted. The next day 6 of us went have lunch, then I asked L if he could drop me at the movies since I wanted to see Aquaman (he seemed surprised since I went all by myself). After coming home that night, my head hurt, and I got really scared of hearing noises. I went to see my therapist, was advised that I should still see people rather than shutting myself down, and was given a prescription in case I get worse. I've been shutting in for 3 days now, I can't even voice chat, talk to my parents or do anything that is communicating related, I'm ok with chatting still, but seeing people creeps me out. If anyone has any advices or any suggestions that you think I should be doing, please let me know! TSM...</t>
  </si>
  <si>
    <t>Boyfriend didn't die but still can't sleep. My boyfriend woke up with a sore throat one morning. A week later he was put on a ventilator and ECHO (Extracorporeal membrane oxygenation) due to sever Acute Respiratory Distress. Miraculously he was extubated and taken off ECHO 3 weeks later. The doctors expect him to make a full recovery. I am of course very grateful for the outcome. However, my anxiety is out of control. I'm having these attacks where I break out in a cold sweat and feel like I'm going to pass out. I can no longer sleep. Furthermore, I can't seem to turn my mind off at night. Furthermore, I constantly have flashbacks of the crash carts, the codes, seeing him lifeless, the Chaplin, etc. It's also affecting my ability to even be around him without feeling panic. I'm not sure if this is something that will go away on its own in time or if this is something I need to talk to a doctor about. I remember the doctor telling us it's a possibility he may suffer from PTSD at some point in his recovery but man they don't really talk about what it's like for the loved ones.</t>
  </si>
  <si>
    <t>Anyone else have driving anxiety? I'm a mom to a toddler and honestly this has just gotten worse. I think because of him I get so anxious, and my mind becomes my worst enemy and I go through every scenario. Tomorrow I'm driving my grandmother 2 hours away, and then I'll have to drove back another 2 hours. I've done this drive before, and I'm always an anxious mess and I just hate this, I hate how I stress and literally feel that pain in my chest over this. I am a belief in the big man upstairs and I feel calming after praying, but I'm still a hot mess nonetheless. Furthermore, I hate anxiety, I hate that I don't go out with my child as much as I wish I could because I get even more scared with him in the car. Furthermore, I just hate this all and needed to vent.</t>
  </si>
  <si>
    <t>How do I help my friend re-embrace hobbies while he deals with major anxiety? Hmm, my post disappeared, so I'm reposting. I reconnected recently with an old friend. I had completely forgotten how bad his anxiety was. Furthermore, I guess it's gotten quite a bit worse over the last few years when we were out of communication. He had a hobby he loved and was amazing at for as long as I knew him. And today he told me that he hasn't done it in years because of his anxiety. I know he's unhappy with his physical fitness and lack of hobbies; and he has high functioning anxiety with a high level job. How do I encourage him to re-embrace hobbies? (Top thought that comes to mind is to offer to do them with him, but that has never worked; it just annoys him.)</t>
  </si>
  <si>
    <t>Don't know what to do about college presentations I'm in a business school and most classes require a lot of presentations. I had severe panic attacks last semester and was throwing up beforehand. I get extremely nauseous sitting in class waiting to present. Furthermore, I tried beta blockers, but they make me violently ill, so I can't even take them. Furthermore, I thought they were going to be the fix and now I don't have a solution. Furthermore, I don't know what to do because even waiting to say my name to the class makes me on the verge of fainting and throwing up. Furthermore, I can't join any toastmasters because the meetings run while I'm in class. We also don't have toastmasters at our school. I can't drop the classes with presentations because I'm in a full-time program that doesn't allow that. And also it's about 50% of my classes have presentations. I don't want to take Bezos because every medication I've ever taken makes me sick or dizzy and I don't want to pass out during a presentation. I'm a hypochondriac, and I'll think I'm dying from a reaction to it. Even though I know I'm like this I react like this anyway. I don't know what to do because I can't drop classes, and I'm already starting presentations soon this semester. Everyone tells me to just suck it up and do it anyway but they don't understand how close to blacking out I get and what it feels like to be throwing up all night and before the presentation. What do I even do I feel like I'm going to have to just fail these classes because I can't imagine doing these presentations? It doesn't even seem possible...</t>
  </si>
  <si>
    <t>I think I'm having my first anxiety attack. I always knew I was an anxious person, but I'm freaking out right now. Furthermore, I feel like just typing this out will help me through this. Furthermore, I started taking 200mg of Wellbutrin recently, upped from my 100mg dose in December. Furthermore, I always thought I had an anxiety issue, but reading what I'm feeling now comparing it to symptoms online, I suppose this is my first anxiety attack. It has happened 3 times in the last few days. It started with my chest getting tight, then sudden tingling in different spots of my body, one at a time. I started freaking out, thinking something was wrong with my heart, and thus, googling frantically. I started getting this sinking feeling in my heart and stomach every 10–15 seconds. It felt like my heart was being electrocuted and then set on fire. It felt like my body kept getting that sinking feeling like when you go down a steep drop but all over. This fear of impending doom. It felt awful. It felt like I was dying. I was getting brain zaps at the same time. I'm getting heart palpitations, and I feel like I'm going to die. Furthermore, I contacted a doctor I knew over the phone who said it sounds like withdrawal (I did forget one dose of my Wellbutrin yesterday and the day before), however I took my meds over 12h ago. Usually I would feel better pretty quickly with Effector if I experienced withdrawal. Anyway. I'm scared. This is horrifying. I can't help but feel like I'm dying.</t>
  </si>
  <si>
    <t>DAE obsessively google symptoms/ anxiety-related feelings instead of actually talking to a therapist? Title. I've always been afraid to see a therapist and/or talk openly to people about how I feel.</t>
  </si>
  <si>
    <t>I (19M) am attached to my best friend (20M), trigger to my anxiety It's like 4 am and I can't sleep because I got this issue going on. I (19M) have a best friend (20M) and we've known each other for six years, and I feel like I got really attached to him. We enjoy doing same activities together which is fine, but when he chooses for example to go to see his girl instead of spending time with me, I can get so anxious. I experienced the feeling of jealousy for the first time, because he can get girls really easy, and I'm not getting any, which triggers my anxiety hard. It's just like ripping me apart. I understand that we are grown man, but I feel like a brother to him and I don't want to lose him, and I am so anxious about it right now, how can I change my attitude, and why am I like that?</t>
  </si>
  <si>
    <t>This time last year I couldn't leave my bedroom because of anxiety, today I talked myself down from a panic attack during a surgical procedure. I'm a 22-year-old guy and my anxiety was horrible a year ago. I was unemployed, my life ruled by anxiety. Furthermore, I couldn't drive, go out with friends, see a movie, and for a while didn't leave my room. It got so bad I was severely underweight and stayed in a psych hospital for a few days. I began to see a therapist who did CBT 3 times a week, plus saw a psychiatrist and got on the right medication. Now I work in a big hospital operating room as a technician full-time, I drive all the time, go on dates, and I start school to be an EMT Monday. Today I was assisting during a gastric bypass. I was fully scrubbed in, holding a camera where I have to be dead still, and it's just me and the 2 doctors, all crammed around this patient. It wasn't the first time I assisted during this surgery, but it was my first time with this doctor, who's notoriously vicious, and at one point shit started to hit the fan. The room got silent, tensions where high, and my anxiety skyrocketed. My mask started to fog up, and I was sweating, but I can't touch my face and contaminate my gloves, so I was literally trapped. Then I remembered everything I had learned, I started to focus on my breathing and the work the doctor was doing. I thought to myself encouraging thoughts, and within a minute my anxiety dropped back down, and we ended up completing the surgery. The best part? The doctor told me I did a great job, something even the nurses had rarely ever heard him say to someone. The point of this post? To look at where I was a year ago, basically bedridden from anxiety. Now I live a very full life and do things that I want to, not that my anxiety lets me do. You CAN improve and get your life back. If I did it, any of you can do it. The biggest advice I can give is please, get help. I was terrified but it saved my life. I still go to therapy once a month, and I'm still on my medications, and there is absolutely no shame in that. Furthermore, I hope this post maybe inspired even one of you. Dealing with anxiety has been the hardest thing I've ever done, and I failed but didn't stop trying. No one has to live like this, and no one has to do it alone. I wish everyone here the absolute best of luck conquering your inner demons, and I believe in you. If anyone has any questions feel free to ask, and my PMs are always open to help anyone!</t>
  </si>
  <si>
    <t>Hate not having encouragement. I have my flaws and I accept them. Anger issues anti-social social and general anxiety. But I'm truly trying to change. I hate when you're trying to do better and all you get is its only been a day we will see how long it keeps UPA. Or you're going to do XYZ any way, when you promised you would do ABC but are already expected to fail before it happens.</t>
  </si>
  <si>
    <t>How to deal with mean/rude coworkers? I have pretty bad social anxiety and self-esteem. I have horrible anxiety around people not liking me, and due to this I have really changed my personality to be super, super nice and giving to those I don't know very well such as coworkers. Furthermore, I recently have started a job as a server. Furthermore, I wanted to be more outgoing and overcome my fear and anxiety with rude and mean people by becoming a server, where I have to deal with these type of people every day. This has gone fine, and since I'm super nice not many customers have been rude to me. I have always gotten them to understand any problems I have serving them, etc. But I have this one coworker that, to her, I can't do anything right with. Every time I mess up or have a problem (or even an honest question) she talks down to me and makes me feel stupid, using that condescending voice where she emphasizes every word. Sometimes she will talk to other people about me too. It also doesn't help that she is just naturally a very outgoing and confident person, which is something I've always wanted to be. I know to any normal person they would just get over it, or just say fuck her, I'm fine and let it go. But it makes me want to cry in the bathroom every time I have to work with her. It has ruined any confidence I have and really has worsened my self-esteem even more. It's gotten to the point where I am actually embarrassed of myself there and every time I inconvenience someone I have to hold back tears. My anxiety leaves me feeling so weak and child-like. Like I obsess over the littlest things and interactions and I get so insecure and upset easily. Since I can't distance myself from her since there are days we will have to work together, how should I cope? How can I let this not totally ruin me? It really hurts, especially seeing her be so nice to everyone except me.</t>
  </si>
  <si>
    <t>Not to be gross but does anyone suffer stomach issues due to anxiety (constipation or overly using the bathroom) Like I say not to be gross, but I'm dealing with this (constipation) at the moment, and it seems to happen when my anxiety gets really bad anyone else have this problem? If so how do you fix it?</t>
  </si>
  <si>
    <t>How to sea with anxiety if I can't afford a therapist Anxiety is getting the best of me again. It comes and goes and waves - I'm assuming mixed with some depression, but I don't know what's going on. There are so many amazing things happening in my life, but I can't stop thinking about these made up negative events / fears. And my boyfriend is pretty exhausted listening to me talk about my anxiety every day. In fact, a lot of my anxiety comes from our relationship- but I'm pretty sure it's all in my head. I have had anxiety since I was 10–11 years old, so it's not him. I can't afford a therapist, but I wish so bad that I could. What do people do to get by when they have anxiety that is serious enough to make it hard to even get out of bed?</t>
  </si>
  <si>
    <t>How many of you guys are on medication and does it help you? I have Zoloft, Klonopin, and Propranolol. My favorite is Propranolol cause it basically blocks adrenaline and therefore the physical symptoms of anxiety. Anybody else on meds?</t>
  </si>
  <si>
    <t>I don't know what to do with my sleepwalking problems Hi. So I'm a sleepwalker since I was 11 years old (now I'm 19). At the beginning it was okay (I just had some talking while sleeping), then I started to sit down on my bed with my legs crossed, after some months I started to realize that I woke up with muscular pain because I twisted my arms or hands while I was sleeping. A few weeks ago I realized that I started to walk and hit myself until I wake up. I had never sought for help because I don't know where should I start. I stared to make some possible things that made me be on this situation. 2 years ago I got really depressed, I lost 29 kilograms and since then I had never been the same. I don't know if this is connected or not but I'm starting to get tired of trying and failing For those who asked. I already tie myself up with bandages and took sleeping pills, but isn't working.</t>
  </si>
  <si>
    <t>How do I stop overthinking (very serious problem) I can't sleep for about 3 hours from time to time. It often happens but not every day, it sometimes hits me during the day for an hour or so. I tried to stop it but always come back I think so much about negativity and bad thongs that could happen also about good things I fucked up. Last night I was so much into it, I answered a question that I was asked with(in) my mind I didn't make it out throughout my mouth and there was a silence. Most importantly, i though I actually answered the question. To sum, my problems are overthinking anxiety and negativity. I know I can feel good us I am happy for 2 days and next 2 day sim depressed. And so on in cycle. Please help...</t>
  </si>
  <si>
    <t>Borderline having an anxiety attack before working out even though I successfully did it the last two nights So I have a weird fear of working out after having a heart problem scare when I was younger. I'm trying to get over it by slowly inching myself back into a regular exercise routine so I can lose weight because I'm obese. I decided as one of my New Year's resolutions I need to get a lot of this excess weight off of me. Furthermore, I successfully tread milled for 25 minutes the first night, 35 minutes last night, and now I want to go for 45 minutes tonight. Furthermore, I'm not changing the speed or incline. Furthermore, I'm just trying to increase my exercise time because that's what I need. So why am I feeling anxious about working out tonight???? I'm so tired of my anxious ass. I know exercise is good for me. Furthermore, I know it's going to help me, but it's been almost 10 years since I had the health scare, and now I'm probably close to having a real health problem because my weight has literally doubled since then.</t>
  </si>
  <si>
    <t>I'm avoiding my best friend. My best friend, lifelong, is coming to the area this weekend and I’m avoiding his tests and calls. What the hell, I can't even face my own friends now.</t>
  </si>
  <si>
    <t>Muscle tightness around chin and lower lip? I've had pretty bad anxiety lately and today my muscles around my lower lip been feeling tense one side feels like it's doing a slight smirk but when I look it's not and also been getting slight burning sensations in shoulders and arms. I may, I've had something similar before but sometimes when this stuff happens it seems like it's the first time all over again. Anyone else get those?</t>
  </si>
  <si>
    <t>Rant about anxiety and love life (or rather lack of) I'm so over anxiety. I think I have minor feelings for someone @ work who came home for winter break from college, and we vibe pretty well. (today our higher up told him someone else was working with him, but he was like . Can't Complete Tumbleweed be with me instead.) but my anxiety and insecurity gets in the way and I cannot fathom the possibility of him liking me LMAO. I wish I could shoot my shot without feeling so dumb LMAO. I wanted to get his Snapchat and number but I didn't know how to ask for it without being so blunt LMAO. I followed him on Instagram but I feel weird messaging him on there. I hate that I can't do literally anything without second guessing myself. My heart hurts I just want to be able to experience life and relationships and all the perks (and hell even rejection if that's what would happen) but I literally can't do anything without this feeling of overwhelming dread and anxiety.</t>
  </si>
  <si>
    <t>How to ask psychiatrist for a certain med? So I'm finally getting to see my psychiatrist after being on a waitlist for 3 months. I've been taking Zoloft and Wellbutrin for those 3 months, since my general practitioner prescribed them to me. I asked for something to help with my anxiety and panic attacks. Furthermore, I have GAD and panic disorder. The only medication that has ever helped and not made me feel like garbage was Klonopin. I took .5mg for 3 years and never became dependent. Was able to wean myself off easily the few times I had to. I want to ask her for those, but how do I do that without sounding like I have a Benz problem?</t>
  </si>
  <si>
    <t>My overseas cousins went through my phone and read my messages I recently took a trip out of the country for the first time and took a ton of pictures. I had to stay with a few cousins for a bit before meeting up with my dad in another part of the state. I let them use my phone to see the pictures I took only to find out that they were not only looking through all of my pictures but read my messages to my mom and a friend that had extremely personal information. Furthermore, I didn't notice at first because I assumed they were just looking at the phone, so why would I automatically assume that someone would look through someone's messages? Furthermore, I do have certain apps password protected but not all of them as that would simply be annoying. The information in the messages were extremely compromising and life ruining and I feel like I'm completely screwed. I'm not sure what to do. I'm not sure why anyone would look through someone else's messages. It's incredibly frustrating because a simple app like App Lock could have saved my memory of this trip, but now I don't even want to go back.</t>
  </si>
  <si>
    <t>Empathetic anxiety? Someone I deeply care about is dealing with severe anxiety and cut off communication to me. After my attempts to help and listen failed, I feel this constant feeling of dread. My chest is tightened up, my stomach sick, my throat feels tense, and I keep checking the clock hoping that time just passes by faster and faster. I normally don't feel anxiety unless it's in social situations. But this is constant even when I'm alone. Am I just having empathetic panic attacks? Is that's even a thing?</t>
  </si>
  <si>
    <t>Hell on earth Hello (f18) here. I've always had anxiety, but these past three weeks have been hell on earth for me. I'm desperately reaching out to this Subreddit to see if anyone understands. I feel like I'm losing my mind. About three weeks ago I tried an edible for the first time (yeah I know it's not smart to do this) first time every trying anything of that nature. anyway I had this panic attack where I saw my life flash before my eyes (really. I saw visions of everything that happened in life) lasted a few hours. I was freaking out I've never experienced anything like this. I had the occasional panic attacks, but THIS was something else. Anyway, from that day on I've been feeling sick whenever I eat (I can't eat anymore) I've been feeling not myself, every time I walk I'm dizzy, I've had constant blurry vision 24/7 (haven't had any previous vision problems) constant headaches and pressure in my neck, overall pains everywhere. Guys not to be dramatic but I feel like I'm dying, I've realized it could be depersonalization and I still don't understand it fully. I can't do this anymore I really can't. I want to have a family with my boyfriend one day. Furthermore, I want to go to college and work in the field I want to one day. I feel like this has ruined my life. Really not to be dramatic or anything but I feel like my life is over. If any of you have ever experienced anything even sort of like this please comment or message me. And I have gone to the doctor and explained how I feel they said nothing is wrong with me. Lol made me feel even more crazy like what?? Also I have an upcoming appointment with a psychiatrist. But seriously will it get better? Sorry this was so long!!!</t>
  </si>
  <si>
    <t>Anyone else struggling with shame of "unwarranted" anxiety? Hey Reddit, Lately my anxiety has been getting worse. Today was a bad day. I read a lot of stuff on the Subreddit that helped me feel a little more "normal" for having anxiety. It has been really nice to read things that I can relate to. One aspect of my mental illness that I haven't really seen mentioned has been bugging me a lot lately. A lot of people with anxiety and mental illness have some really specific trauma that has caused it. One of my good friends that I talk to about anxiety was molested as a child. Another one of my friends had his father commit suicide when he was 8 years old. Just today I read a post here about a guy with anxiety that set in after his best friend murdered his family. A lot of the anxious people are lonely. Etc. The list goes on. I have very little "trauma" in my past - if you can even call it that. I have a normal life. A good life, even. A million things to be grateful for. Most of all I have an incredible loving and supportive wife that does her best to help me with my struggles with anxiety. When my anxiety flares up I can't help but look around at all the great things about my life and feel a crushing shame that I am struggling with mental illness anyway. Why would I be anxious and depressed when I have so much to celebrate? My therapist always catches me saying stuff like "I shouldn't feel this way" and tells me I need to stop with that. But It's really hard. When trying to relate to others with anxiety, I start to get imposter syndrome because I can see WHY they have anxiety. It makes sense. But when I look at my own life, it doesn't make sense to me. I feel like I haven't "earned" the right to be struggling with anxiety. It always turns into this awful shame cycle where I criticize myself for not being happier or more grateful for the good things I have. Can anyone else relate to this? Any tips for dealing with these feelings?</t>
  </si>
  <si>
    <t>Anxiety about dad's remarriage hi all, first time poster on this thread. Not really expecting too much feedback, just need to get out of my anxiety loop and share with a safe community. My parents have been divorced for 20 years and my dad is getting remarried in March. It was a really rough, spiteful separation and there has not been a lot of love in my family since. I've grown up with extreme anxiety and depression that was exacerbated by my family situation. I'm happy for my dad, his fiancée is already like family to me, but I have so much anxiety around marriage, especially remarriage. Furthermore, I had always thought to myself that, even though my parents were divorced, at least they weren't remarrying. Changing the family dynamic even more, in ways that I don't have control over, terrifies me. It doesn't help that my dad didn't talk to me or my sister about proposing to his then-girlfriend. I have a lot of emotions and stress around the whole situation. I thought at least that I would be able to bring someone to the wedding, a buffer of sorts, so I won't get to overwhelmed by anxiety or feelings of isolation and sadness. But I just found out that I can't bring anyone with me. Even though my sister was allowed to bring her boyfriend and my cousins are bringing S/Os, I don't get a plus one. I'm really freaking out. I know I have time to prepare for this wedding, but I am so scared that I am not going to be able to make it through the ceremony or party or speeches or toasts without completely breaking down and ruining my dads wedding. Furthermore, I don't want to make a scene and ask my dad and his fiancée to alter the entire table setting so I can bring someone. They don't understand my mental health needs and I don't think they would be receptive to my need for a buffer. I don't want to remember it as something I wasn't strong enough for or remembering it as one of the most stressful days of my life. I see my therapist in two weeks, but in the meantime, I don't want to revel in these thoughts during that time. If anyone has any experience coping with family events, any support is appreciated. Thank you for letting me share. I'm glad there's a place I can come to and find that I'm not alone.</t>
  </si>
  <si>
    <t>What do I need help? I'm going away with family on Sunday to Mexico for a week. I am really worried about myself getting anxious being away from home and the flight down. My doctor is not in the office anymore to call in another script and I can't buy them illegally seen as how I'm going through security at the airport. I have six .5s left from when he prescribed them to me last month. How would I get more? I'm kinda freaking out</t>
  </si>
  <si>
    <t>Anxious taking naps I no longer can take naps due to several times I've decided to take a nap I've been wakened up to bad news. One time I took a nap camp; was waken up to a phone call that my brother died. Another time I was awakened telling me my cousin had shot someone camp; almost killed the person. Another time I was informed my other brother was shot camp; hours later died. Camp; last night I was waked up by a phone call telling me my cousin had committed suicide I'm so terrified to even sleep as I feel like life just hits the fan when I'm asleep. The feeling when you get that call and the words leading up. You just don't know who it's going to be this time or what happened. It's so awful. I'm just really struggling. I know it may sound silly to some. Furthermore, I have a pounding migraine probably from being so tired from staying up last night due to my cousins' death camp; then working 8 hours. But I'm just too afraid to shut my eyes. Any advice? Anything would help :(</t>
  </si>
  <si>
    <t>Panic attack I just recently had the worst panic attack I've ever had, it felt like I was having a heart attack. It's been three days since it happened, and it's had an effect on me. My heart rate has gotten faster, I feel weak/fatigued despite getting rest, and I fear it happening again but worse. I have two weeks before seeing my doctor and psychiatrist; is there any advice you guys can give me to help me cope til then?</t>
  </si>
  <si>
    <t>I'm currently staying at an acquaintance's house with their family I have been here since the first of January and my anxiety has made me (as it always does when I'm somewhere new) petrified of moving from the bed I was allowed to sleep in. I haven't been eating... Furthermore, I haven't showered yet (gross I know I hate it) and even going to the bathroom is a huge struggle for me. Does anyone else have anxiety this bad about being somewhere new?</t>
  </si>
  <si>
    <t>I am so sick of this I just hid in the bathroom because of my anxiety was so bad. I'm so sick of doing that. I'm sick of being like this. My whole body is shaking. What the fuck is wrong with me. I just feel like crying, but nothing will come out.</t>
  </si>
  <si>
    <t>Does anyone else feel like people treat you differently. In the past few months, I have had severe panic attacks which usually lead to me crying and distancing myself from the situation. My family, for one, has seen my go through these break-downs and I feel like they think I'm this fragile human being waiting until the next inconvenience to break down again. I've tried to handle these attacks by myself but don't usually have much success, but equally I'm tired of relying on others to reassure me of my negative emotions. In attempts to deal with my anxiety I usually leave for a walk or drive around at night, but usually have to cut them sort, because not two minutes out of my house and I get my family hitting up my phone asking if in ok and where I am. Just anything unusual and they automatically just assume I'm anxious and about to break down. I've tried to talk to them but I feel like i don't have care free conversations with them anymore. I feel like they are on edge, calculating their every word to avoid saying anything to trigger me. I think this has affect how I see others too. When I go to the store or anywhere public where I have to talk to people, I automatically get the feeling that people treat me like a child ready to cry. They just speak to me with a softer tone and look at me like I'm not ready to take bad news. Obviously, it has gone through my head that it might just be how I perceive others to act around me. Maybe they can tell I'm uncomfortable with the situation and therefore change their attitude when they talk to me. Does anyone else feel this way?</t>
  </si>
  <si>
    <t>I wrote this and then cried. The steps to choose happiness are sometimes steep When the anxiety eats up you from the inside Because you've been trained to put on a brave face The emptiness inside of you That darkness That void When the anxiety eats up you from the inside Because you've been trained to put on a brave face And your guts turn to liquid And your heart into a jackhammer And your brain into cotton When the anxiety eats you from the inside Because you've been trained to put on a brave face The choices become More Difficult When the anxiety eats you from the inside Because you've been trained to put on a brave face It's harder to believe that You're worth Anything It's harder to believe That there is A silver lining An end To this Feeling It's harder to choose To see That there can be Something Good It is So much more Difficult To choose To be Happy But it is a choice And I will break this cycle I am not my thoughts I am a survivor I choose to be happy</t>
  </si>
  <si>
    <t>Does anyone else get social anxiety terrible in public to the point where you're nauseous and almost puke? I'm working, and just went out to lunch with a coworker. I'm hungry and I get canes fairly often because, well I like it. Was normally eating, when I suddenly got extremely nauseous to the point of gagging, and almost puking up my food. Has anyone else experienced this, where your anxiety just skyrockets? I usually feel nauseous every morning before work but I get over it. this is nearly throwing up thing is kind of rare though. I always just feel extremely uncomfortable in social places.</t>
  </si>
  <si>
    <t>Am I blowing this up or did I really do some terrible stuff? (Anxiety ruining my education) Hi everyone! I mostly lurk on here and this Subreddit is usually very comforting to read stories from other people dealing with anxiety. My anxiety has become worse and worse since I entered university at 18 (I'm 21 now). In my first year I struggled a lot with assignments and that continued afterward as well. In my second year I had some issues with plagiarism and mistakes that made me reflect on all my previous assignments as well. After this mistake it ruined all of my self-confidence in my studies and for instance in my third year I only got 10 out of 60 points of the year because I was constantly thinking about whether I did or did not deserve my education and the opportunities the eventual degree will give you. This has given me a lot of anxiety, constantly overthinking and even talking with my professor a year afterward if I really didn't do something wrong that required me to be kicked out or something. My mistakes in my second year made me reflect on one of my biggest coping behaviors to deal with my anxiety and perfectionism: making up excuses. I hate that I do it, but for some reason I can't ask anyone for help or fail because then I have to admit I am incompetent and don't know how to do it. Okay so now back on my reflection. I reflected on a course that I had in my first year for writing skills, and then I failed to hand in some assignments because according to me, they weren't perfect enough. This obviously affected my average grade, but I managed to get a passing grade in the end. Now I read back and some of that work was actually compulsory. I am so scared that the excuses I gave to my sweet professor made her sympathetic and made her pass me instead of judging correctly because of the uncompleted work. I am in this loop of whether I did or did not deserve to pass my courses and deserve my education, and it is killing me. A lot of these mistakes are two or three years ago, and I can't solve the damage they did anymore. I really want to do another degree in the future but I'm worried that I am cheating the system by having writing and research skills (course is very reading/writing heavy) that I did not deserve to be taught because I should've been failed before. I explained this to my mum as some of my reasons to drop out, because the guilty is absolutely killing me. She is saying I sound like someone who has gone crazy and that I am blowing up little details, but they aren't little details to me? My old psychologist already suggested ADHD as well as GAD to me, but I'm feeling like I'm looking for excuses for my shitty behavior instead of really struggling like people with actual issues in their life. I have such a strong urge to go to a study advisor and confess everything I've done to them, but everyone around me is saying I'm completely overreacting, and I just need to talk with a new therapist about dealing with my anxiety and stuff.</t>
  </si>
  <si>
    <t>Any tips on reducing anxiety while playing competitive video games? I used to love playing games competitively, but in recent years I've developed severe anxiety and my motivation for playing high-pressure games has gone way down. I was wondering if any of you have gone through, or are going through, something similar and have any techniques for coping. Any advice would be awesome!</t>
  </si>
  <si>
    <t>Waiting for an important phone call. On December 13th I was sideswiped by a metro bus, and they broke my side mirror and did some damage to my front bumper. I know it wasn't my fault, but I'm still exceptionally anxious about what if it WAS my fault. It's not just dealing with a normal insurance company because it's the city/county. I have exchanged emails and was told, thank you for your patience, I'll contact you as soon as the investigation is done from the investigator. I have been losing sleep and can barely look at my phone because I'm so anxious about the response. Furthermore, I am almost ready to just cancel the claim and pay for the damage myself. How do people stand up for themselves on the phone and deal with this? I do not even want to check my email in case he responds that it's my fault. This is crazy :(. I'm really having a bad time.</t>
  </si>
  <si>
    <t>Venting about Anxiety from Intrusive Thoughts I'm doing this on a throwaway because it's kind of embarrassing, but I suffer from this thing where I'm afraid to do things that are "sinful?" I guess? So, I'm afraid to say Jesus Christ or God Damn stuff like that out loud AND IN MY HEAD (I know that's weird but IDK lol). But the thing is, I'm not even religious. I consider myself an atheist, which makes me super confused. I think it's because my mind is always like, "Oh, what if?" and "How would you explain this?" Honestly this just makes everything 10x worse because I think I'm crazy, and I can't tell if they are intrusive thoughts or not (which I do suffer from). So I'm always doubting my religious beliefs. But anyway, I just now said to myself these things out loud to try and get rid of these fears. I said (((btw sorry if you're religious, nothing against that this just helped me))) Jesus Christ out loud and stuff like that. I said some kind of cringy stuff that I won't type LMAO, but anyway I'm not going to lie I was scared that my whole family was going to die right then, and that I was going to die right there of a blood clot or something, IDK I'm still kind of scared, but I think it kind of helped. On treating intrusive thoughts I've read to not ignore them or make them go away but to acknowledge them and then don't give them attention, which I'm not really doing, so this might end up making it worse IDK. anyway just wanted to vent because my mind is very annoying, and I just want to be normal lol.</t>
  </si>
  <si>
    <t>Meds before a work presentation? Hi. I seek advise and encouragement. I have a presentation scheduled for later this month. Just the thought of it makes me anxious. I have some Xanax (0.5 mg) leftover from a few years ago when I was under the care of a doc. I'm considering taking one pill the morning before the meeting. Public speaking is definitely panic inducing to a point where I feel like the room is closing in, my voice trembles and all I hear is my heart beating and I feel it in my head. I plan on rehearsing my presentation regularly until the day of the meeting so I can be prepared and confident in my speech. But I do feel like taking a pill will help. I just don't want people to think/know I'm medicated. I want to improve my public speaking skills... Just don't know this will be occasion for it.</t>
  </si>
  <si>
    <t>Feelings hopeless. Will I ever get better? Living with anxiety is so hard. I'm crying for like the fourth time this week just because everything feels like too much. Even tiny, easy tasks, like making dinner or putting away a few Christmas decorations, feel totally insurmountable. The only thing that makes me feel better is retreating to my parents' home and staying with them. I know they are always happy to have me there, but in the back of my mind I just feel like I'm running away from my problems by going there. I'm in my late 20s and I feel like I should have my shit together enough by now to continue living on my own and being a productive adult but every few months I just crumble. Furthermore, I recently applied to grad school and if I get in then I'll be moving across the country from my family, and I'm really scared about how I will cope without them. Furthermore, I feel like I'm doing everything right to take care of myself- I'm on meds and see a therapist, but this has still been going on for years. Furthermore, I'm not really ask for advice or anything. Furthermore, I just needed to tell someone who I thought would understand.</t>
  </si>
  <si>
    <t>My rats once I had rats, and they had this hanging metal pole you could stick their food to. One day my brain was telling me to swing the metal pole and bash it against them and eventually I did (quite hard I believe) and they squeaked. I cried for hours after on my bedroom floor and I felt horrible, and what I'm most scared about is the fact that I put one of my intrusive thoughts into action. This really scares me. I know I wouldn't kill anyone ever and I know I wouldn't kill an animal. But the fact I even hurt an animal scared me, and I'm not even a big animal lover person. But I didn't want to hurt my rats, I loved them. Has anyone else put their intrusive thoughts into action? What did you do about it? What can I do about it? Am I dangerous? Side note: it's been one year. I get bad thoughts quite often now but I haven't acted on any of them.</t>
  </si>
  <si>
    <t>Girlfriend So I haven't been able to see my girlfriend for a few weeks as she went on a vacation with family. She got back yesterday, and I'm meant to go see her today, but I'm getting a lot of anxiety to the point that I want to throw up, I don't know what to do, and I'm scared I will lose this girl because of my anxiety.</t>
  </si>
  <si>
    <t>How do I deal with anxiety in a relationship?? We've been dating just over a year, and I have a lot of relationship anxiety. I'm quite insecure, but it comes in waves and most of the time I'm 100% secure, then sometimes I'm 10% secure. Recently I had a bit of a wobble because a mutual friend of ours is interested in my partner and I felt threatened as I really don't like the friend. I know I was being stupid! We were also working throughout the holiday period and were incredibly busy, so obviously he wasn't as online or available as I am used to, and I overthought about it all. He recently told me his mental health isn't amazing (he has an ongoing mental health issue), and we plan to discuss this at the next available opportunity. I'm terrified he's going to want a break or just break up with me because I'm too insecure and needy. I know I'm being a nightmare but for the past week or so I haven't been able to deal with my anxiety very well. All morning I felt sick in my stomach because I thought he was just going to dump me. How can I better deal with my feelings and anxieties? I really don't want to lose a good relationship because I'm struggling. Thank you</t>
  </si>
  <si>
    <t>My beloved cat just died, and I am spiraling TW: pet death I am sorry if this triggers anyone, but my beloved family cat died today, and I am inconsolable. She was 18, and I know she had a good long life, but it still hurts me so much. I feel as if I haven't done enough for her, I should have been a better person, didn't cuddle her enough. I feel tremendous guilt because a few years ago I developed an allergy to cats and I couldn't hold her the way I used to before. It wasn't that horrible, but the hair couldn't get in my face, otherwise it was bad. And I feel horrible because she died at night alone, and I feel so guilty. I keep on blaming myself, wondering if I should have done more. On a Saturday, the last time I saw her (she lives with my parents) I didn't even pet her and I feel so guilty. I am crying my eyes out, wondering is she knew I loved her. I am just so sad, I don't know what to do.</t>
  </si>
  <si>
    <t>Feeling hopeless during New Year's Eve I had a massive panic attack, but after half an hour later I was fine again. But now I'm feeling very lonely and hopeless and not interested at anything at all like most part of 2018. Sometimes I think I'd rather go through a panic attack every day but then feeling happy again than feeling this shitty all day long every fucking day</t>
  </si>
  <si>
    <t>Natural methods for anxiety relief? I have recently gone through a very messy and drama filled break up which has caused my anxiety to skyrocket. I'm interested in trying some natural methods to help ease my mind while I'm still processing the emotions of everything. Does anyone have any essential oils or natural pills they recommend for temporary relief?</t>
  </si>
  <si>
    <t>I don't get it I apologized to my dad earlier, and we had a short talk about getting over the past because I went on a vent about some jerks from last year. It was nice. Until he added some random comment immediately afterward saying yeah if you stop watching those stupid videos maybe you'd move on and I just said why did you have to add that comments it's so fucking infuriating and I just want to fucking slam my head into concrete. Why did he have to make it personal immediately afterward? Why did he have to say that, why did he? Why did he why did he why</t>
  </si>
  <si>
    <t>Just got into a relationship with a wonderful girl, but constantly worried that she doesn't like me. This happens all the time with my friends, but I didn't expect it to happen with a girlfriend. A few nights ago was the first day we made things official, and since talking about us all I can think about is that she doesn't actually like me. I feel that she's just agreeing with what I am saying because she doesn't want to hurt my feelings, or she feels awkward. I just want validation from her, but don't want to annoy her by asking too much. Any advice on how to ease my mind? Or ways I can see if she really is into me? Thanks for the advice.</t>
  </si>
  <si>
    <t>Anyone else ever feels like you're too fucked up for any type of normal or healthy relationship Just as the title says. Every time I start talking to a guy I get so much anxiety about whether he likes me or not. Whether I'm good enough. I just got out of a terrible relationship, and I'm probably just not ready.</t>
  </si>
  <si>
    <t>I keep waking up with a racing heart and extremely nauseous. I know this is anxiety, but I'm sick of it. Anyway of coping with these symptoms? Like the title says, for the past few days I wake up with my heart racing and nauseous. How can I cope with these early morning symptoms?</t>
  </si>
  <si>
    <t>Forgot to come into work and now having a panic attack Forgot I said I'd cover someone's shift in the morning, and now I'm on my way in, I was supposed to cover a 7 to 12, and now I'm going in at 2. I have a feeling I'm about to be fired. Wish me luck.</t>
  </si>
  <si>
    <t>I feel lost and need help So I hardly ever post or comment on Reddit, but I decided to write on here because honestly I feel so alone. I'm going to just write a little background about myself: Last year I was laying in bed when this awful feeling of not being able to catch my breath started happening. Furthermore, I didn't recognize it as a panic attack at the time because I had not ever experienced that before, at that moment I thought I was having a heart attack even tho I am only 29. My wife drove me to the hospital while I sat in the passengers side freaking out because I couldn't breathe, and it felt as if my throat was going to shut. At the ER the doctor told me that I was having a panic attack. It scared the hell out of me, but I was told it was nothing serious. I thought that this panic attack was going to be a one time thing, but sadly it wasn't. So now a year and 35k worth of medical bills later I am having constant panic attacks and major anxiety. I don't feel like anyone understands my issues. My family doesn't communicate well so I find it hard to talk to them. My friends think I'm just being lazy as I haven't been able to keep a steady job or attend church/meetings (I grew up in a very religious environment). Most of my friends have abandoned me because they do not know what to do for me and as I said before they are mad that I am not going to church. Even my wife doesn't know how to help me and has threatened me with divorce a few times. I know I have let a lot of people down, but I'm having the hardest time doing simple tasks even at home when it comes to taking care of myself. I am in therapy, and I'm on medication but nothing seems to help. Furthermore, I feel every day the anxiety gets worse, and the panic attacks make me feel crippled. Furthermore, I've met many people who have said they suffer from anxiety but up until a year ago I did not realize it could be this bad. Furthermore, I'm at my wits end right now. Furthermore, I have all these suicidal thoughts, and it scares me that I can even rationalize that being an option. Is there anyone that can relate to anything I've said? I can't seem to relate to anyone in my life right now. I am terrible at explaining myself, but I would love it if anyone out there can at least say they understand or care. Furthermore, I am so tired of feeling alone all the time.</t>
  </si>
  <si>
    <t>Severe anxiety triggered by small setbacks I've recently had some setbacks that are small in the grand scheme of life but have been very expensive and stressful. Overall, I'm safe and can manage everything financially but the resulting anxiety and depression has been overwhelming. It has been years since things have been this bad. Has anyone had a similar experience (small problem, crippling anxiety as a result) and what did you do?</t>
  </si>
  <si>
    <t>How often do you have a conversation with someone and then constantly think about the "wrong" things you may have said afterward? You have a conversation, then afterward you think "maybe I should have said that differently, I shouldn't have made that facial expression, I laughed at the wrong time, saying that may have made me look weird, that subject was the wrong one to bring up" etc...</t>
  </si>
  <si>
    <t>I have nobody to tell, so I'm going to tell you guys! I finally sent a message to my crush and faced my fears and anxiety! About a year ago I met this wonderful guy online. We hit it off as buds and were friends for about six months. We didn't talk much towards the end, but it was still someone I'd consider a friend. Our first phone call was five hours, and I've *never* talked on the phone with anyone for five hours. He told me he was moving. He disconnected from everything for months until he successfully relocated, in which he came back to the online world without saying a peep to me. I went back and forth about messaging him for months - was I ghosted, did he not want to be my friend, did I say something weird, what happened? After all, he did try to call me before he disappeared and wouldn't pick up when I called back. It was all confusing and since he disappeared I didn't even know if he got my call back or text message. So yesterday, I bit the bullet and asked how he was doing for the first time in almost a year. I was so anxious, my heart was pounding, but I hit send and threw my phone on the passenger's seat (was about to drive home) and drove. To my surprise he answered right away and matched my level of excitement! We ended up going back and forth for the majority of the day when I learned he was flying back to his new state after visiting home (erg, I just missed him!). We were getting into good conversation when he left me on read due to the flight. I'm glad I did it. I have no regrets. It's just kind of sad that I don't think he wants to pursue anything further than "catching up" a couple of times a year. But who knows... he's surprised me before, and maybe I'll be hearing from him more often. He told me to let him know when I make it out to his state (which I never will haha, but it was a nice gesture). The long distance thing is tricky. My hope is that next time he comes home here that we can hang out in person and catch up that way. Sending the first message eased my thoughts so greatly, and I'm very proud of myself.</t>
  </si>
  <si>
    <t>How to stop distractions Hello lovely people, I hope you're all doing ok. My question is about being distracted: I have imaginary conversations in my head *all* the time, it's my natural state. It's been like this for years, maybe ever. I don't dislike it. It causes me to look a bit in my own world all the time, but I come up with a lot of cool ideas. My brain is overall a pretty fun place to be. The problem is that it's absolutely impossible to focus whatsoever. Mind that my thoughts are not negative or self-critical or catastrophic most of the time, I'm just thinking about my own stuff and distracted. This has impacted extremely hard my education, since in the past year I took 0 exams and I have no idea how to stop this mess. Seriously, I can't focus (and also I'm a bit lazy by nature, so I tend to give up after a few tries). I don't know what to do. I got tested for ADHD around one year ago, the doctor said she was pretty sure I had it, but it doesn't run in the family, so in the end I thought it made more sense to think my racing thoughts were caused by anxiety (which instead runs in the family, my sister, my mom and my aunt all have it). Furthermore, I was wondering if any of you have the same symptom and if yes what I can do to make things a bit better. Thanks and internet hugs, I'm cross posting to r/ADHD</t>
  </si>
  <si>
    <t>You don't need to fight anxiety One thing that really helped me recover from OCD and anxiety was moving my perspective from fighting thoughts and feelings to embracing and accepting them. It really helped to realize that anxiety wasn't something I had to fight or "beat." I could simply embrace the emotions I was experiencing and continue to live the life I wanted. I made a short video on it (link below) if you want to look a little further into it! [https://youtu.be/2ex4nrVlcDI](https://youtu.be/2ex4nrVlcDI)</t>
  </si>
  <si>
    <t>I faced my fear and sang at an open mic night for my first time! I've been reading How to Heal Your Life by Louise Hay. Furthermore, I'm still in the beginning of the book, but she talks about our thoughts and how we can control our reality via our thoughts. She says when we feel fear, it's an indication of where we have room to grow. So when I was working on my laptop at a café, and they started setting up for their open mic (that I did not know about beforehand) I felt few feelings: First, a desire to get up and play. Second, fear of fucking up camp; doubt that I would sound good especially not having practiced for it, then third I felt compelled again to just DO IT because this fear is showing me where I have room to grow, and I want to grow!!! So I asked a guy if I could borrow his guitar and he put me on the list and I DID IT! Afterward all the other musicians were clapping and encouraging me to play more, that I sounded great, and they hope to see me next time! AHHH I'm so glad I did it!! It was only one song, and I was clearly nervous, but I just had to do it. I want to face my fears so that I can live a life free of second guessing myself. I wanna proudly walk on stage with confidence that I can sing and play and it doesn't matter if I mess up as long as I'm having fun. My heart was pounding the whole time, and I was sweating, but I feel so proud of myself now. Thanks for reading y'all :)</t>
  </si>
  <si>
    <t>I am not always sure of whom I really am!? Am I the only one? It's weird but in my pre anxiety times I never wasted a thought on whom I actually am. Everything just came natural and yeah I did behave different in situation but would always say it was a side of me. Now after my anxiety I have these deeper thoughts and often wonder who I actually am? I can have a great time with friends one night and the next day I would think" was I just acting? Did I really enjoy the time? Dobby friends actually know who I really am?" i don't know HOWTO explain. Its like i haven't found my true self yet. I'm turning 31 soon but ... Hamm don't know lol...</t>
  </si>
  <si>
    <t>Help for dealing with anxiety Hey guys, so about a month ago I had a horrible panic attack, ended up calling an ambulance, and it was just awful. I am now at this point where I'm having a horrible time driving and going anywhere. Has anyone had this happen? How did you deal with it? I have never had issues with driving or going places, I usually hate being stuck at home.</t>
  </si>
  <si>
    <t>Does anyone else mistake the urge to use the restroom for anxiety? Whenever I have to use the restroom I feel like it's an anxiety attack coming on, but really I just need to go to the bathroom (sorry if this is TMI). I was wondering if anyone else shared the same experience.</t>
  </si>
  <si>
    <t>I'm constantly worried about my heart rate. Anxiety? Hello there. I'm a 20yo guy, I don't currently take any kind of medication and I haven't been diagnosed with anxiety (yet), but since a very stressful period that happened some months ago, the symptoms are totally there. However, at first it was simply paranoia, irrational fear, worrying and such, all in my mind basically. Until I had a dizzy spell last month and I started noticing physical symptoms that could be related to anxiety: unsteadiness, dizziness, brief sensations of head pulsating. I kept thinking about it, possibly worsening my condition, until they went away after about three days. Now, I'm having a similar problem with heart rate. After suffering from an anxiety attack a couple of days ago, I noticed that I could feel my heartbeat accelerating and since then I cannot stop thinking about it. Yesterday, while I was measuring it at home, I went into full panic mode, and it spiked at about 120. After that, I tried to calm down, and it stabilized around 90 (still high IMHO). During the day I'm generally more calm and since I woke up today it's swinging in the 70-80 range. However, at night I panic and I really struggle falling asleep. My main concern is that there could actually be an underlying heart problem. I've had my last cardiological visit 3 years ago and there wasn't any issue, but I'm still not convinced. Should I go see a cardiologist or is it all related to stress/anxiety? I'm fully aware Reddit isn't a replacement for medical examination, however I thought I could find some experiences similar to mine on this sub. Any suggestion is really appreciated, thank you in advance!</t>
  </si>
  <si>
    <t>I feel like my family gets annoyed by my exclusivity and introversion, and I feel slightly worried about it. I feel like out of everyone in my family, I'm definitely the biggest introvert. Furthermore, I spend most of my time in my room, and whenever I do go out, it's to go to the coffee shop in our local town, in which I just sit at a table in the corner, put my headphones on and just pull myself away from the world. (In case anyone is wondering btw, I do have friends, and I do go out and have fun with them on the occasion, so I'm not suffering from loneliness or anything) I'm usually very quiet around my family as well (there are a few times when I am able to relax, talk a lot and have fun tho), and whenever we go out, I normally put my headphones on and just keep myself to myself. I notice everyone else in the car talking and having fun, and I think to myself "am I annoying my family by doing what I'm doing right now?" The same goes for all the other 'signature introvert' things that I do: I leave the dinner table early to I can be left to my own devices; I go to the coffee shop on my own a lot; I don't talk much when we visit family; etc. Whenever I do these sorts of things, I can't help but to feel really bad for doing them, even though often times I almost couldn't bear to stay any longer. And the thing is, I really want to be able to feel more comfortable around my family, because I know they're all great people. My dad and my brother specifically, because they're some of the funniest and quirkiest people I know. TL;DR I feel terrible for being overly reclusive around my family and I want to change that. Just felt I needed to get that off my chest, that's all :)</t>
  </si>
  <si>
    <t>Medication and personality? I suffer from anxiety that just recently ruined the best relationship with the best guy because I didn't have it in me to fix it sooner. In my head nothing would help because my thoughts were REAL (obviously not) and just over the last 2 to 3 months I've really come to terms that I really suffer from this and my worries are completely illogical and not normal. I've been in the process of working on it for a few weeks now. I'm waiting for a phone call for therapy, and getting an IUD do help hormones because I believe I suffer from PMDD as well. Furthermore, I'm worried about taking anxiety meds for fear that it will change my whole personality and who I am. Furthermore, I've seen my mom go through so many medications for her depression and some of them made her a zombie. She was a completely different person. I was wondering if anxiety medications have the same effect as antidepressants? Also, I'm not sure if Zoloft is an anxiety or depression pill, but I remember seeing a woman's comment who went through the same issues as me, and she said Zoloft helped, so I'm leaning towards starting there. Could I get some of your guy's experiences with any anxiety medications you've taken and how they affected your personality, if at all?</t>
  </si>
  <si>
    <t>Four months off Prozac Hello guys, I just wanted to share a bit of my story. For more details you can find my other comments on this sub as I utilized it during my darkest times. Summer of 2017, I suffered one of the worst panic attacks I have ever had (and hopefully ever will). It changed me completely, I was a shell of a person for a while after that. I had no choice, I had to seek treatment. I was diagnosed with panic disorder and prescribed 40mg of Prozac. After a month or two, I felt somewhat normal again. Now about me stopping Prozac four months ago... I always knew I didn't want to be on Prozac for the rest of my life but was willing to accept it if that was what I needed to survive. At the end of July, I moved across the country back to where I went to college and close to family. I got a promotion within my company that led to a less stressful job and work environment. My boyfriend and I got an awesome apartment with no roommate (had issues with former roommate the past three years we lived with him). I just felt like I was in a perfect place. Then it was time to refill my prescription... long story short, there was a mix-up on whether I could go to CVS to pick it up or if my insurance required it to be sent to me via mail through CVS Earmark. This whole debacle made it, so I hadn't taken any Prozac for five days. Finally, I got CVS to allow me to pick it up so I went as soon as I was able. I parked out front on the street and ran in to find out that the override was only good for 24 hours, and they couldn't give it to me. I went outside to find my car gone. There was no parking on that side of the street after 4:00PM. It was 4:05PM when I walked out. My car got towed. After dealing with getting my car back and realizing I was completely calm throughout the situation, I thought maybe this is the time. Maybe this is some sort of weird sign that I should stop taking my meds. I have done tons of research and know that weaning off is the best way to do it. Something was telling me that I would be okay though. So I have been off Prozac ever since, and I am happy to report that I'm doing great. I actually feel my emotions more than I did on Prozac. My happiness is more genuine, I cry more often during sad movies. I feel normal, not the normal I was feeling when I first got on Prozac after being diagnosed with panic disorder. I never thought I could be here feeling like this. Furthermore, I was suicidal for a time after the bad panic attack and told myself I'd rather kill myself then go through something like that again. Furthermore, I just wanted to share my story because I know when I was frequenting this sub I wanted so badly to see success stories and I rarely ever did. My intention is not to discourage or make anyone feel less than for taking medication. I wouldn't have survived without it. I hope that those who wish to get off of them are able to comfortably someday. And if not, it's perfectly okay. There is nothing wrong with taking meds to help whatever mental disorder is going on in your life. My best wishes are with all of you out there struggling.</t>
  </si>
  <si>
    <t>Does anyone have experience with Beta Blockers? Looking for some advice... I've suffered from anxiety for a very long time. In my new role at work, I'm going to be required to speak more in front of large groups. No matter how larger or small the group is or how well I know them, I've had a really hard time managing my obsessive thoughts and anxiety around the situation. In conversations with my therapist, he mentioned Beta Blockers, and I've been doing a bit of research. They seem like they might help based on my symptoms around public speaking. I have no issue being prepared, but my heart pounds and my breathing becomes shallow. All of this causes me to get a terrible voice shake and quiver. I know the whole room can tell I'm a nervous wreck and I can't recover. I've become so obsessed with the thought that this is going to happen every time that I've been unable to overcome it and get past it. It seems like Beta Blockers might reduce those symptoms so that I won't have to worry about appearing nervous? Does anyone have experience with them? Are they simple to get? Can I just schedule an appointment with my doctor and get them, or will it be more involved? Don't love the idea of taking medication. I've been able to avoid it for a long time, but I really think I need this to get me to the other side of this.</t>
  </si>
  <si>
    <t>What is your experience with Xanax? I was just prescribed Xanax for my anxiety, and I'm not gonna lie I'm a little nervous to take it. Has it helped any of you guys and Is there any precautions I should take?</t>
  </si>
  <si>
    <t>How to stop anxiety from affecting my relationship.? I have (18F) been dating a wonderful boy (18M) for over a year now. I told him about my anxiety disorder fairly early on in the relationship and explained to him, I was on medication to control it. He was totally okay with it, because he also struggles with other mental illnesses such as depression. However, I'm worried now that he will get sick of my anxiety and will eventually leave me because he can't handle it. We hit a rough patch in our relationship a couple of months ago when I had found out he was being flirtatious with a girl he knew from a summer program he did. Of course, this combined with my already worrisome attitude did not sit well with me. Ever since then I've been having him show me his texts, his Snapchat, etc. I have panic attacks when he goes and hangs out with friends that include other girls and I'm not there. If girls are friendly with him or want to hang out, I freak out. I understand I could be in the wrong here, but I don't know how to change?especially now that the has given me a reason to be like this. I had a bad feeling about that girl he spent the summer with, so now every time I have a bad feeling I think something is totally wrong. He went bowling with people from the summer program and left me behind, so I had the worst panic attack I've had in a very long time and self-harmed for the first time in years. I don't know how to change my attitude. I am very serious about our relationship and I want to marry him, and I have felt this way since the day I met him. He tells me he wants to marry me too?(for the record, he claims he always saw that girl as a friend, but admits he was acting inappropriately with her. He told me he never planned on leaving me). But I still wake up at night having nightmares about him leaving me or being with another girl. If he left me, I really don't know what I would do. He is my rock and the love of my life. I'm determined to make this relationship work no matter the difficulties it may bring. So, how can I calm down and try not to be so controlling? I can't help it. My anxiety won't stop. My thoughts won't stop. Every time something minor happens I can't help but assume the worst. Is there any advice for me?</t>
  </si>
  <si>
    <t>Once you trigger anxiety can it ever be cured? Curious about this. I had my first panic attack when I was 18 over 20 years ago now after smoking cannabis, prior to that never had any issues with anxiety. Since that initial panic attack though I have always had anxiety issues, mostly general anxiety. Sure you have good days, weeks sometimes months but the general anxiety always returns. What I mean by general anxiety is feeling uneasy, like something bad is about to happen or that I'll have another panic attack, just living with fear of the fear basically. I gave up alcohol 3 months ago due to terrible general anxiety I would get the day after drinking, I was reading a book on quitting alcohol and the guy said once you've triggered anxiety or once you start getting anxiety with a hangover you'll always get it, you can not unforged it, you can not go back to the time before you started having anxiety. And I wonder how much of that is true not just for hangovers etc. but for general anxiety in general, once you trigger it is that it? As I say I have always had it since that first initial panic attack triggered it.</t>
  </si>
  <si>
    <t>Anxiety makes me unproductive, and I feel I am going to die. Please help ? I have been suffering from depression and anxiety disorders for many years now. Usually that includes bizarre, incongruent thoughts and fears that paralyze me and makes me want to never leave the bed. This is followed by many compulsive behaviors (like washing hands, checking the house, praying) to deal with the anxiety. This all makes me very, very depressed because I feel like I am not a normal person and I don't deserve to be in this world. ? My recent problem is that the depression and anxiety are really affecting my work and productivity. Some years ago, I could cope with all of this, and I would keep working the best I could and no one would complain of the quality of what I do. People would rely on me and I would get the work done, I would be proactive and responsible. However, nowadays, I feel this has completely changed. I don't feel like going to work, I forget deadlines, I take double of the time in a task than I would take normally, and I feel completely empty of motivation. I start thinking that if I am fired that wouldn't be a problem, because then I could spend the whole day sleeping, or I wouldn't need to leave home, so I wouldn't be worried. Furthermore, I take medicine for depression and anxiety. ? I was wondering if this is me, or the disease. I feel guilty of this laziness, but I am wondering if this is who I really am or this is part of the disease talking. Furthermore, I was thought of myself as someone other people could rely on and someone who would always try my best to achieve it. For instance, I have just completed a very demanding master program (three months ago), in a different country where I don't really speak the language. I had to deal with the pressure of being alone somewhere new, on the other side of the world of family and friends. I manage to go till the end, I got recognition for my marks and my work. But now I feel empty, and I don't want to do what I am doing anymore. I feel guilty because I have an amazing partner camp; family that always support me, so I don't have real reasons to feel like this. Please help. ? Edit: typos</t>
  </si>
  <si>
    <t>I can let go of my worries to feel better, but not really Every time I let go of a worry or an anxious thought, I feel like I'm forgetting something and eventually coax myself into worrying about the same things I just tried to forget. This has been a vicious cycle that I almost defeated.... except this keeps happening. Anyone else have this problem overcoming the anxious thoughts once and for all?</t>
  </si>
  <si>
    <t>Got a nasty feeling in my stomach, probably ulcer, brain attempts to convince me it's cancer. And why does my brain do this? - I've been exhausted lately (but I don't sleep well) - I've been losing weight (because the feeling in my stomach makes me eat less) - If I press just below my chest in the middle, it gives me a really nasty pressure-y feeling - My mom died of cancer in 2008 - I smoke. Fuck. Anxiety. Attacks. With a toilet brush, right up the bum. But yeah, been feeling a bit weird lately, the feeling in my stomach is weird too, somewhere between hungry and full, all the time, and just a tinge of nausea. Large. It's just a feeling, this too will pass with a little time... :(</t>
  </si>
  <si>
    <t>The ... Silence? This might be a little bit silly, since it's only been 2 days and this could easily be placebo since I know medication isn't supposed to kick in properly for a number of weeks. But for the first time in a long time, when I do something, sit down to think, when I walk through town, there's no rushing thoughts, no anxiety, no stress, no worry. There's just silence.</t>
  </si>
  <si>
    <t>Focussing on my shortcomings and downplaying my achievements Title says it all. I have a massive inferiority complex and can't stop comparing myself negatively to others (which makes me feel really guilty). I refuse to believe that any of my achievements are deserved. Furthermore, I can't stop thinking about the things that I can't do, the things others do better than me. The result? I constantly push myself to achieve more and learn more and to do more, but I'm still anxious and hopeless about the future. It all ultimately means nothing. I have no sense of self-worth and the slightest thing that goes wrong can send me spiralling into a depressive state. I have terrible anxiety because I don't have the confidence that I can do anything. Furthermore, I know that it's a problem, a flawed thinking pattern, but I can't fix it. It's just too deeply ingrained into my psyche. I simply cannot justify my worth, so I have none.</t>
  </si>
  <si>
    <t>Coming off tablets suck! So I've been taking citalopram for about a year now to combat my depression and anxiety, but about 2 months ago I decided to come off them. So I've been doing as my GP said and started weaning off them, but I've noticed I've been having more mood swings (I was warned it is a side effect of coming off) and I hate it. Sometimes they are so bad that I go to being an emotionless drone to the point I've made my S/O cry yesterday. Luckily she understands and does forgive me but there is only so many times you can forgive someone who makes you cry. Anyway that is my ranting over.</t>
  </si>
  <si>
    <t>Feels like my life is falling apart again. So I signed up for Fall semester of my freshman year of college and was so excited to go. Long story short, I had a very, very bad experience in the summer which triggered my depression so bad that I could barely get out of bed for 2 months straight. I decided to drop my classes and focus on my mental health because I knew that if I didn't, school was not going to go well for me. I decided that I would go for the spring and summer semester to make up for the fall semester. So this morning I get to school right when registration starts and go to the Financial Aid office to clear some things up. I knew the lady in the office was going to be rude to me because she had me almost in tears last time I was there and was making me feel so stupid for things that were out of my control. So anyway I get there and explain the situation to her. The first thing out of her mouth is, If you dropped all of your classes last semester, what makes this semester different? Who's to say you won't do it again? Â I was dumbfounded to say the least. I've been feeling so good lately. I've been in a good place mentally. Furthermore, I have very very very bad social anxiety and have been working through it the past few months and even managed to score two jobs. Furthermore, I felt like this was going to be a fresh start, and I was finally going to be content with life. Maybe I'm just being dramatic, but if this is any indication as to how school is going to go... I don't know how to handle it.</t>
  </si>
  <si>
    <t>Dealing With Dread I've been spending the last few weeks struggling to come to terms with knowing one of my pets (a guinea pig-literally, a guinea pig) will most likely not make it to 2020. He beat the odds once before about a year ago, but never quite bounced back. I've had not quite nightmares, but anxiety dreams, about him dying. The worst part is I'm a veterinarian; I deal with this situation daily- I deliver this news routinely. I know this little nugget is having the best life he can have, and he'll keep having the best life until he's ready to leave me. It just breaks my heart knowing our time together is coming to an end, and I feel like because of my job, I should be handling it better than I am. I don't feel helpless- I know this is normal, this is natural that eventually, he will die- and that's ok. I just wish I could spend our time together focused on loving him rather than dreading the inevitable.</t>
  </si>
  <si>
    <t>I've probably suffered with anxiety for some time, but now it seems to have manifested into physical symptoms either that or I have a cardiac issue, though my doctor is in the process of convincing me my heart is fine. Warning this is a long post... I guess I'm basically just looking for some support as I'm kind of at a loss of what to think, and I'd really like to stop worrying about the aches and pains 24/7. One night in the middle of December I felt this random small pain in my left bicep. Normally I wouldn't have thought much of it, but earlier that day I read a thread that was going around on Twitter about the symptoms of a heart attack in women (bad idea!!!!). I ended up going to bed super early because I just kept thinking about it and couldn't enjoy the show I was watching on TV. The next day my arm felt fine, but I had some discomfort in my chest. After all this time I still can't come up with a right way to describe it other than it being a feeling that shouldn't or isn't normally there. If I had to assign a number to it, I'd give it a 1 or a 1.5. The discomfort was on and off all day, but I COULD NOT STOP THINKING ABOUT IT. That afternoon while I sat there googling my symptoms, again a mistake, I could feel my heart rate increasing. I couldn't get it to slow down no matter what I did. I ended up going to an urgent care and when they took my heart rate it was 125. My resting HR is usually 55. The doctor examined me and said she believed it was anxiety and not cardiac related. When I left, my HR had gone down to 69. She gave me hydroxyzine to take when I felt like I needed it. I didn't take it until a few days later, and I only took one at night. Over the next week the chest discomfort came and went, and I couldn't find a pattern. My left arm also started to ache again, like I had been using it too much, but this time instead of an achy feeling in my bicep I felt it in my tricep. It felt like I was wearing a sleeve, not something super tight, but maybe like an Under Armor cold gear top. At this point I called my PCP and made an appointment, but I couldn't get one until after the new year. I went to my PCP yesterday, and they did an EKG, which came out normal, and after asking a bunch of questions they said it was either musculoskeletal or anxiety, though it seemed like anxiety was the probable cause. They asked if I had any history of anxiety and I said not really, but thinking back on it, especially this past year I think I should have said yes. In February 2018 my left knee/calf area started hurting kind of out of the blue. It was a kind of pain I never felt before and for whatever reason I got in my head that it was a blood clot. I scheduled an appointment with my PCP, and two days before the appointment I experienced some weird feeling. At the time I thought I was either dying from a PE (unlikely) or having a panic attack (most likely). I was lying on a couch in my basement when suddenly I got really lightheaded and felt like I was falling backwards, and the world was closing in on me. I remember being kind of frozen, like I could only look straight ahead, and I distinctly remember a white circle of light closing in on me. Furthermore, I thought I was dying until I heard someone from upstairs call my name. It took me a moment, but I kind of broke from the trance and was able to go upstairs. That was when the tears started to flow, and I was like shit, I either need to go to the ER or an urgent care for this leg. I can't wait for my regular doctor. About a week or so after my doctor confirmed I didn't have a blood clot my leg felt better, and it felt good for several months until about August/September when it started randomly hurting again. This time though it's more of my thigh. Also, in August I was in my basement again, and I don't remember anything that could have provoked it other than a really severe bit of cramping, but I remember feeling like I had to throw up, and I started to hyperventilate. A million things were racing through my head at this point, what they were I couldn't tell you. I'm sure there were tears because I was scared, and my heart rate was also elevated. After about 30 minutes, though it felt like an eternity, it all went away. I haven't experienced anything similar since, not even during this current situation. Of course when I saw my PCP I hadn't really experienced any aches or pains for about 3 days, go figure, so they said we'll see how it goes. I'm supposed to go for routine bloodworm and then go back to my doctor for a physical. I think when I go back I will bring up the fact that my leg still hurts, though this time in a different spot, and mention what happened in Feb and August. TL;DR For the past several weeks I've had chest discomfort and arm pain. Two doctors have suggested its anxiety, and while I guess I can believe it, I'm finding it hard to accept especially when I've been experiencing physical pain.</t>
  </si>
  <si>
    <t>My anxiety is ruining my life I'm 16, and I really just don't know what to do any more I've been diagnosed with depression, BSD, and social anxiety. Was prescribed SSRI's that made everything worse, but my doctors kept saying Just give it time or I'm going to up your dose and see me in a months. These SSRIs were Pail and Zoloft and even with tapering I dealt with withdrawal for months. My IBS makes me scared to go to school and when I do end up going I have no friends and I have a shit ton of stuff to make up because of the 2–3 days a week I miss. Had my first ever panic attack on New Year's Day as well. I don't know what to do. It's ruining my life right now, and I fear for my future. Sorry for ranting, but I just wanted to get this out.</t>
  </si>
  <si>
    <t>Can't sleep at night Had a bad panic attack a few days ago, and now I'm all wound up with bad anxiety. Couldn't sleep this night, and now it's 7:15 AM. Any suggestions on how I could possibly get some sleep?</t>
  </si>
  <si>
    <t>Something broke me. I've had anxiety for a long time, all my life, probably. I've considered it crippling for a long time, too. Furthermore, I don't socialize, I can't get a job, I don't go too far from my house. Still, I had it under some control. I could go for a coffee, do my groceries, go to the library, answer the door when the mailman knocked. Now I can't do any of those things. I didn't get any Christmas shopping done. I went to the mall once, nearly fainted and had to rush back home. Furthermore, I tried to go to the gas station a few days ago. It's 6 blocks from my house and I usually like walking at night. I'm always nervous about going into a brightly lit store after walking in the dark, but I manage. This time, I only made it two blocks before I had to turn back. My heart felt like it was going to burst. None of my breathing or relaxation techniques worked. It took me an hour to slowly walk home, and I wanted to flag down a car to help me because I didn't think I'd make it back. I haven't left my house since. Today, the mailman knocked and I yelped and hid in the kitchen. Everything is overwhelming me. I've run out of money and food. Rent was due days ago. I need to go to the bank and I have no idea how I'm going to do that. Of course, the pressure of having to is making it that much worse. I don't know what happened. I can't function at all anymore.</t>
  </si>
  <si>
    <t>Shaky hands? I don't think I have full-blown anxiety-I've never had a panic attack or anything like that. I think I get anxious when normal people get anxious; in a room full of people I don't know, before a big exam etc. Since about 11 or 12 though, I've just had this thing where my hands shake, to the point where most people who know me well pick up on it. When I'm actually anxious, it actually gets super debilitating. For example, I turned out for a university friends 5 a side team, where I only knew my friend. I was probably a bit more nervous than a normal person would be, but my body was trembling so much it made me pretty much useless for the whole game. I occasionally use recreational drugs, and have noticed some improvement whenever I have Xanax. Just posting really to see if there's anyone who can relate, or have any advice-should I try to get a prescription for something? PS: I've spoken to my parents and mum said she had a similar thing when she was my age, so I don't think it can be super early onset Parkinson's or something</t>
  </si>
  <si>
    <t>How to stop popping my ears I've been having a problem with constant ear popping lately, and I feel like I can't stop. If I'm very mindful and slow my brain down I can control it for a short time, but typically I pop my ears 30ish times a minute. It's driving me crazy. Does anyone have any tips on how to stop this?</t>
  </si>
  <si>
    <t>I'm so, so tired. I'm exhausted from always being scared all the time. Furthermore, I want a break but whenever I get happy, I get even more anxious because I'm not supposed to be happy and something terrible will surely happen soon. Furthermore, I'm just tired of this affecting my whole life. Don't know why I'm posting, but it helps to vent and if anyone feels the same, you can talk to me. I'm SO tired of this.</t>
  </si>
  <si>
    <t>I just wish people knew I'm a very quiet/reserved person, especially when it comes to feelings/emotions, but I honestly just wish that I had one friend who knows how I feel</t>
  </si>
  <si>
    <t>Anxiety medication suddenly stopped working after major panic attack? (19/f) I'm on bu spar for anxiety and on New Year's Eve I took some Adderall and had a massive panic attack, and every day since I've been crying and having panic attacks and feeling like I'm going to vomit. I've been miserable and empty every day this week even though I was making such good progress with my medication. This is the worst feeling in the world and I have no idea what to do. If anyone knows why this is happening or what to do about it please let me know.</t>
  </si>
  <si>
    <t>Any advice on how to explain anxiety as an unfortunate (but real) excuse for being a bad friend? I rarely call friends back and even when old friends are in town, it's rare that I'll make the effort to see them because I build up the interactions as overwhelming and exhausting. My anxiety is not crippling by any stretch and people are often surprised to learn that I have it at all, so I don't mean to overplay it. But I am extremely introverted in my desire for alone time to recharge (or time only with my husband) and I replay certain social interactions over in my head a million times fearful I did or said something wrong. Being in a large room full of strangers is about a scary a scenario as I can imagine, and sometimes it's not any easier with people I know. I have considered saying something to my close friends who live out of town as a way of explaining it's not you it's MEA nature of my aloofness, but I'm not sure how to do this without it either sounding like an excuse or sounding like I'm seeking pity. Any similar scenarios navigated successfully would be a big help. Thanks for listening and sharing.</t>
  </si>
  <si>
    <t>I can never enjoy being around people because I always question in my mind every single thing I've said, done, how I look, and whether I belong. Every time I am around people I get this feeling that I don't belong. I even get it around my parents. It feels like something is pulling inside you saying 'no one wants you here and everyone wants to have someone else. There have only been a few people in my life that have for the most part not made me feel like this. When I took anti depressants for about 4 years, it numbed me and I became oblivious to that feeling most of the time. Now that I am off them, I have this feeling all the time. My last relationship ended because I became obsessed with relying on him because he made me feel ok, and he wasn't satisfied. But now when I think about it, I feel like I never really belonged when I was with him either. Because I believe in my mind that he always wanted someone else. Is anyone ever truly happy around others or does everyone feel this emptiness inside them.</t>
  </si>
  <si>
    <t>Anxious over fight I had with my boyfriend! Help! So I'm a sufferer of GAD, and I'm very anxious about a (resolved) fight with my boyfriend last week. To sum up the fight in a few sentences: my boyfriend and I were discussing types of girls we think are cute (I'm bi btw), and I remarked that I think super buff girls are cute and he agreed. He then very rudely stated that maybe he would date a girl like that one day, and I was heartbroken. He has depression, and it makes him very irritable sometimes, and he had been snippy that whole entire day. So right after he said it, he apologized profusely and said that he only said it because he was irritable and wanted to say something mean. This is the first time in our 2-year relationship that he has ever said or done something like this. Well I got really upset because infidelity is a very sore spot with me and the thought of him being with another woman is soul crushing. He knows what he said was wrong and has told me that he did not mean it at all. Since the fight, he has done nothing but reassure me as many times as I need it (though it can't seem to budge the anxiety). In addition, he wrote me a letter pouring his heart out to me and telling me how he wants to marry me and grow old with me. However, despite all this I still can't shake the feeling that he meant what he said, and I don't know what to do. I had kept my anxiety at bay for the last few months, but I feel like it's back now with full force and I don't know what to do. Any advice is appreciated.</t>
  </si>
  <si>
    <t>Is it OK to tell what u feel? Disclosure issues? I've been struggling to tell how I feel since my childhood but recently I found out that it's ok to share my anxiety and fears. There is a girl that I like and want to say everything in my mind but I'm scared to death because if I tell I feel like she is going to leave me and I'll be alone with all of my pain. And I know that if she leaves me it's not just going to be about her but everything I've been living until now like my childhood traumas, my family issues I'm going to re-experience everything and remember every person that left me including my family who was not with me when I got sexually assaulted. The only thing i want to do is to stay in my bed and try to avoid everything so I can deal with it but also I like her and want to tell everything to her, it's just confusing me. I don't even know why I'm posting in here, it's my first post and I can't deal with social support it just scares hell out of me. WTF am I supposed to do ^-^'</t>
  </si>
  <si>
    <t>Propranolol withdrawals question Hey guys I have been taking propranolol in the past 2 weeks (5-10mg a day at most), i had 1–2 days break nineteen, It has too many side effects and i don't want to be dependent on a pill. My doctor is away. Can I just stop taking it, or I NEED to taper off ? I don't want to take it as it causes massive insomnia horror dreams, and it makes me feel like a have a cold. Please help, cheers and appreciate your answers :)</t>
  </si>
  <si>
    <t>Vent/ i want to start therapy but On mobile I have really severe anxiety, and I am pregnant with my first... I am terrified, and my anxiety has gotten worse the closer I get to my due date. I want to try therapy since I can't take medications while pregnant...also I don't want to rely on more meds, ( I take Zoloft for depression) Anyway my husband is switching jobs and we won't have healthcare for 2 months...my anxiety is through the roof...I am so scared and I feel like crying all the time.</t>
  </si>
  <si>
    <t>Job anxiety I'm new to anxiety. I've always had a bit, and it runs in my family, but I thought I'd escaped the family curse. Not so much. I took a break from work, thinking I'd clear my head and then find something pretty easily. I didn't. It was a pretty difficult 8 months when I waffled between starting my own business, interviewing and doing consulting. I finally took a job and it was terrible. I vomited every morning from anxiety and dread. Furthermore, I worked 18 hours a day because if I wasn't working, I was having painful anxiety about work. Furthermore, I lost a ton of weight. Furthermore, I couldn't eat. Furthermore, I genuinely felt like anxiety just took over my entire life. Because I'd never experienced this level of anxiety, I assumed it was the job. I switched jobs. The new place is a better fit, job wise anyway. It's a little better, but I'm still having anxiety. I still vomit some mornings. I'm still getting into repeat patterns about getting fired and failing. Furthermore, I have some social anxiety, and I've never had that before either. It's like I'm a completely different human. Part of my anxiety has been dealing with my ADHD. I got drugs for that, hoping I'd eliminate one of the stressors. It's sort of helped, but there's still the vomit. I'm afraid my anxiety about losing my job is actually going to cause me to lose my job. I don't think I can afford therapy right now. Any resources people can recommend? Has anyone tried online CBT?</t>
  </si>
  <si>
    <t>Thinking of calling off - panic attack since 2am. Hey guys, it's 7 am, and I've got to get up at 11 for work - I've been having a panic attack since 2 in the morning and am I thinking of calling off. The thing is, I've already called off a couple of times for this reason and I don't know if I'm going to get fired if I do it again. I work retail, so finding a new job isn't a problem, but I work an 8 and a half hour shift tomorrow and I don't know if I can make it through the day on only 4 hours of sleep. On top of all of this, I really have been struggling to hold down a job for a couple of years now for this exact reason. I've finally got a job I don't explicitly hate and still I can't hold on to it. I feel like a failure. Furthermore, I don't know what to do, the only thing I can even do anymore is my art and my music. That's the only thing I have the energy to put work into. If I'm doing anything else I'm almost always panicking. I don't know what to do.</t>
  </si>
  <si>
    <t>Breathing Problem For 2 weeks now I became aware of my breathing. At first, it was for one breath or two, but as days pass it gets even worse. When I say I became aware it means that I feel like I have to breathe or else I stop breathing until I think about something else, and I start breathing unconsciously again. At night, it gets even worse, I think about my breathing a lot more, I can't fall asleep easily. I feel like I am suffocating and it's really frustrating. I don't think it's a respiratory problem and from all the posts here I can't find something that is exactly like my situation. So if you experience or experienced, something like this, what do you do to stop it?</t>
  </si>
  <si>
    <t>Can I please be happy for once It seems like no matter how hard I try, I always end up in the shit, and it happens to be my fault? No matter what I say, or do, or try, I always fuck up I always have shit to worry about. And I have no one to talk to, because God forbid I try to explain how I'm feeling or what's going on to my parents. They'll just tell me the cold solution I already know and call it a day, _if I'm lucky_. Otherwise, they get offended or worried about some small detail or about me telling them that they just don't get it. Then they start blaming me. Then they start complaining about how bad their lives are. Then they say I need to give _them_ moral support. Oh, yeah and I don't have friends, because no one's ever available. And how do you start talking about shit like this to others without making it awkward? Therapy only happens once a week at best and costs money. Reddit is just text on a screen that responds when it wants to. Alcohol makes me feel worse. Drugs are illegal. Food makes me fat. Suicide is just burning the whole house to kill a rat. Tetris makes me connect to the goddamn internet just to play a game for fuck’s sake. I really just don't know anymore. I'd really like someone to talk to. Someone who gets it. Preferably female, but I'll take anyone I can cuddle with. Rant over.</t>
  </si>
  <si>
    <t>School At 19</t>
  </si>
  <si>
    <t>I overanalyze every single second. I feel too aware. Life feels almost like a movie. I have anxiety and for almost a year now I experience depersonalization pretty often. I think it just comes from me obsessing and overthinking every little thing. I'm just so tired of thinking too much, I feel like I'm going to drive myself insane.</t>
  </si>
  <si>
    <t>My coworker found out about my self-harm issues, and it's making me nauseous Background: Coworker A and me have been friendly since I work here (4 months) and he's occasionally flirty, but even Though I was anxious at first I just ignored his approaches. So today I was talking to Coworker B who mentioned how surprised she is by my attitude, I always sounded so weird when CW A talked about me. Apparently A has been telling B a lot about me and, even though I don't know any details, most of it wasn't exactly nice. CW B also told me that A texted her saying that he thinks I'm 'a cutter' and how that totally turned him off. Especially this made me extremely anxious, I'm nauseous and dizzy and took the long way to my Office to avoid running into A. I don't know why him being 'turned off' by my scars is so hard for me. I really, really don't want a relationship with A bit I feel so abnormal and somehow freaky. To encounter how judgmental people are just scares me because how many others will think the same of me? I've made an effort not to let anyone at work know about my mental health issues because of stuff like this. The talking behind my back thing just worsens the situation. I feel so shitty avoiding him And I know I should talk to him but just thinking about bringing the subject up makes me shaky. Has anyone experienced something similar and has advice for situations like this? Thanks for reading.</t>
  </si>
  <si>
    <t>Directionless I feel like I'm not going to achieve anything in my life. I feel like I don't know what I'm doing or what I want. I stop liking things once I have to do it for school or work, so how am I ever going to find something that I won't grow to hate enough to end everything? Furthermore, I've been having this thought constantly since the end of 2016. That's when I decided to stop in university to take a year off and find out what I really like. I did take a year off, but I didn't find out what I really like. I ended up choosing a different program in a different college in a different city. Now I have the same feelings of "this isn't it" and I'm behind in many courses because of it. It's not that I'm not good at these programs, hell I'm more than qualified, and my grades can attest to that. I just feel like I'm not going where I want to go with this, and I'm too impatient to wait for the penny to drop. I'm also dealing with the feeling that I'm able to do more than I'm currently doing. Furthermore, I could do university level stuff if I wanted to, so why aren't I? The reason is pretty simple: I couldn't find any program that piqued my interest but for some reason that is not acceptable in my head. There are a hundred reasons why I don't like what I'm currently doing, and they're all pretty shallow. Like, they feel like they shouldn't be reasons. Actually some of them are reasons to choose this program in the first place... It's like I'm trying to find excuses to stop so I can do nothing and make no progress every single day. It doesn't help that I can't deal with stressful deadlines and end up procrastinating literally everything. So now I'm just sitting here, stressing about wanting to make the most of my last few days of Christmas break. I got anxious about the new year, because I feel like time is flying by way too fast, and I'm still not doing the things I wanted to by now. I'm going to be 21 in four months, but it feels like tomorrow. Furthermore, I thought I'd have things more figured out by now, but I'm still as hopeless and directionless as ever, if not more...</t>
  </si>
  <si>
    <t>How it feels Does anyone else feel like their anxiety, to best explain it, would be if you walked into your room and all the furniture was slightly changed, but not enough to pick out what exactly it is, so you're kinda just walking around really slowly and looking around like what the fuck what the fuck what the fuck. Or it's like the suspense before a jump scare- but there is no jump scare- and it's like that forever.</t>
  </si>
  <si>
    <t>Anxiety is destroying my relationship Hi I've been with my GF for over a year now but recently things have been rocky (at least from my perspective). For the past couple months my anxiety has been getting way worse than normal, and I'm scared that it's going to ruin my relationship. I constantly have intrusive thoughts of her cheating on me or not loving me or being sad, and I keep on asking if she's okay. This has started to really annoy her because it's gotten to the point where I ask her once every two hours just because I'm terrified that we are/she is not okay. It would be greatly appreciated if I could get some advice or know if this is normal. Thank u for reading this</t>
  </si>
  <si>
    <t>After years of anxiety I'm starting my first 'real' job this Monday. I feel underqualified and scared. TL;DR I was a mess all my life in varying degrees, picked myself up along the way, got to a stable and workable emotional level which enabled me to work on my professional future. Graduated and landed a dream job which starts this Monday. I still feel like a failure and idiot. Now I'm nervous, scared and full of ice cream. Help. To be honest I kinda doubted to post this for quite a while now, but here we go. I could really use some input in how to deal with my worries. I've had a history of anxiety and other psychological issues for about half my life now. Turns out that being emotionally neglected in an abnormal household isn't a great start for a stable and confident personality. 2013 and 2014 (age 19/20) was my lowest point after a very dear friend died by suicide. I started having panic attacks on top of my already present psychological issues and my depression got really severe to the point I dropped out of school for an academic year to start therapy. I was diagnosed with generalized anxiety disorder, agoraphobia, dysthymia, avoidant personality disorder and a panic disorder. The therapy was successful. To this date the therapy helped me to have a workable emotional baseline. I can function again, don't have panic attacks and constant agoraphobia anymore. This enabled me to continue my education and build a social life. Things aren't ideal though. The old me died along the way a long time ago. I can worry intensely about mundane things like certain expected social interactions or my professional future and I still tend to be avoidant from time to time. So yeah, workable, but not great. The therapy I had was mainly focused on the debilitating issues like my panic attacks, depression and suicidal tendencies that prevented me from living my life. Looking back I feel certain baseline issues may have been overlooked. Dysthymia is also a constant persisting factor in varying degrees and I figure it will stay this way. This is the part I'm anxious about for posting this here. I'm really worried someone will think this is humblebragging and will say something mean. I really can't use that at this moment, even if it is from some random or the Internet. Silly, I know. The language barrier also doesn't make it easy to express myself as accurately as I'd like, so please be kind. All that constant worrying about the things I should do? It paid off. After wrapping up my therapy I continued my education. The constant worrying kept me really focused and even more ambitious than before. I did well. I got my law degree last December. A day after my graduation I received a call I was accepted for a job I'm really excited about, but now I'm also scared shitless. Feels really awkward saying this, but it plays a big part in why I worry so much about it: it's a really prestigious job which isn't generally fitting for someone with my level of education and being fresh out of uni. If this plays out well I have a great start for my future career. Cue crippling anxiety. I really feel I'm in over my head this time. For the first time in many years (!) everything is looking really bright, and I can't fucking deal with it. I start this Monday, and I'm so worried about it. Don't know why, but it really feels like I cheated myself into this job and that I'll fail miserably once I actually start. I have a way with words (in my native language at least) and I feel like I don't actually have the capacities required for this job, I'm just good at giving that impression. I still doubt if this is true from time to time. The answer varies from day to day. Today I feel like a cheat. Also really worried about the social aspect. I tried to keep this short and failed miserably already, so without further detail my social worries: not blending in well socially if the work environment turns out to be very masculine, not remembering names or addressing someone with the wrong name, not being liked, visible excessive nervousness (sweating, shaking) and mainly that people will think that I'm awkward. God, I sound like an awful mess lol, but I'm really anxious guys. For the first time everything is looking perfect, and it's giving me greater anxiety than when I still was a drop out. It really sucks, I didn't work this hard only to feel even worse. My plan is to pick up therapy along the way again. There's still a lot of work to do. This is however the long term plan and my job starts Monday. I could really use some pointers on how to make my anxiety about my job manageable again. Any other person would be so happy graduating and landing a dream job and I feel really shitty that I just can't feel that way. I want to enjoy this. I want to be proud and feel capable. This is my shot at leaving all my past failures behind me for good, and I don't want to blow it.</t>
  </si>
  <si>
    <t>Dealing with the 'fear of missing out' Hello all, I find it very difficult to deal with the fear of missing out. There are certain things I want to do and certain things I want to achieve, and I constantly feel that I am missing out on living life to the fullest. This in part also stems from comparing myself constantly with my peers who are doing better than me (in terms of hobbies, career, travelling etc.). This creates a constant sense of being not enough. There is a big disconnect (in my personal self-image) between where I am now and where I want to be, and this creates an impatience and fear that further generates anxiety. Have you experienced similar emotions? How do I deal with these mindfully? On one hand it also motivates me to always keep pushing and exploring, but on the other hand it generates a lot of negative emotions like anxiety, discontent and self-loathing.</t>
  </si>
  <si>
    <t>Chronic tightness/pain linked to anxiety? Hi guys, I suffer from chronic tightness specifically lower back/hip flexor/proas/ and IT band and upper shoulder and wrist, and also have varying degree's of anxiety. I was wondering if any of you guys experience anything similar and if there is anything you do (readings/exercises) that help? Thanks in advance:)</t>
  </si>
  <si>
    <t>Starting again after sick leave at university This may just be an incoherent ramble, but let's hope for the best. In October last year, I just crashed. I was crying all the time, I could barely eat, shower, get up. It was the lowest point, I've ever been at. A well-made mix of depression and anxiety. I wasn't getting any help then, but since I've started group therapy to deal with the anxiety, which is slowly helping, but the results are not overwhelming. Since I am one of the most stubborn persons on this planet, I decided not to take the whole year off, but try off with a few months, in which I should have written the most important paper, I have to do for my education, in order to finish my degree. This was supposed to be group work, but as I had to take the sick leave, I now have to do it by myself. Which also means that I have to do the oral presentation by myself, which scares the living shit out of me. I'm starting exams on Monday, another one later this month, lectures for about three months and then another exam (thankfully in a group), and at some point in between this I have to finish my bachelors degree. I am already SO stressed out. It seems like staying at home, just doing the regular stuff like dishes, washing clothes, taking care of my cat and boyfriend, making food and shopping is *enough.* I just don't feel like I can do all those things AND write papers AND go to lectures and socialize - but I don't feel it's a choice to extend my sick leave. I have been given the choice of medication - sertraline, to be more specific. I've been on fluorine in my late teenage years (I'm almost 24 now) for a couple of years, and it was hell. Furthermore, I keep reading about the side effects of sertraline, and it doesn't seem worth it, but somehow it seems like the only way to go, to be able to do all these things. It just seems so meaningless to keep pushing myself to get this education, because I don't have any particular plans with it. I just needed SOMETHING to do, something that would give me time to mature more and get better. I have no dreams of getting a fancy job, I just want to get a decent pay to support my future family. Furthermore, I just want to be happy, but I don't know how to do this. Furthermore, I feel like none of the choices I have, are good enough. Furthermore, I could get a job now, but I'm afraid that I can't keep it because of the anxiety. TL;DR: Took a few months of sick leave from uni because of anxiety and depression, now have to start again, but it seems overwhelming. Have the opportunity of starting sertraline, but will it help? I have a major lack of motivation to continue (thanks, depression)</t>
  </si>
  <si>
    <t>Too Late to Call Someone. Need to Talk I just woke up from a terrible dream where I died in a car accident. That was enough to wake me up with my heart pumping fast. I tried brushing it off and falling back asleep, but it didn't quite work. I then texted my boyfriend about it thinking getting it out might be nice and relieve from stress. But now I'm just thinking about things that aren't really related. I recently just started living by myself temporarily. But I've been so anxious about it. Making sure I locked the door. I just am unrealistically imagining someone coming in to hurt me, but I know that isn't going to happen. I know I'm being irrational, but I can't stop. Furthermore, I just want to sleep. Forget about it all. And wake in the morning, so there is some distance to the feeling I have now.</t>
  </si>
  <si>
    <t>Does anyone else get this? Do you ever get this random wave of anxious discomfort that almost covers your entire body but lasts like a couple seconds? Sometimes it's brought on by overthinking</t>
  </si>
  <si>
    <t>No autonomous breathing Sometimes when anxious I will unconsciously concentrate on my breathing, and it feels like my body's autonomous breathing system is turned off, and it is up to me to control it. It happens mostly before bed and I stay up for hours and this feels like torture because every time I fall asleep I'll instantly wake up because I'm not breathing!! Anybody get this or know how to get rid of it?</t>
  </si>
  <si>
    <t>I have never felt this much dread in my life I am severely depressed and anxious with several forms of anxiety. Over the past few weeks I have just been feeling this nonstop dread that something is going to happen and/or I'm on my last few days here. Now I'm not suicidal even though I have had some thoughts before, but school is beginning very soon and that may make my situation worse</t>
  </si>
  <si>
    <t>I think/know I changed, and it makes me sad sometimes because I never feel like I belong any more I'm just always with people questioning if I even belong here, if people even want me here. It hurts. Mainly because I feel like they would be happier without me being around.</t>
  </si>
  <si>
    <t>Intense Anxiety for 2nd Semester Study Abroad So I was studying abroad this past fall, but because of the way my program works, we do trimesters, so late September-early December, January-March, April-June is about how it goes, and I'm about to return for the 2nd stretch. Here's the thing: I don't want to go back. I fly out on Saturday (it's Friday 3AM here) and I want nothing more than to go back to my normal university, hang out with my school friends, and eat Trader Joe's and work with the professors I know and love for the next 6 months. I had a good time last trimester, it's not that I was miserable or homesick the whole time or anything, but I just really don't want to go back, like I feel like I did my time. After spending a month at home with my boyfriend and my friends and people who love me, I can't see myself being happy going back to having 4 people I'm close with and living on rice and spending 6 hours in the library every day. Looking at the calendar and seeing that I'll be gone for 6 months makes me want to vomit, I've been crying over it all day, and I just absolutely do not want to go back. Anyone else ever experience this? Anyone have any tips to curb this? I'm worried that I'll get there and feel so terribly homesick and awful and want to come home immediately.</t>
  </si>
  <si>
    <t>Starting Seroquel, I'm nervous to start, have you had experience with it that you could describe to me? What can I expect? Hi, I have been prescribed Marquis, and I'm too nervous to start it, have you taken it? What's your experience with the drug?</t>
  </si>
  <si>
    <t>Can't sleep So the past few days my anxiety has been rapid, much more than it usually it. It feels as if I have at least 3 panic attacks a die now, Its 3am now, and I cannot calm down at all even tho I have no reason to be worried (beside losing my debit card, but I'm canceling it TRW anyway). Anyone else experience this? Any tips. I'm on zero medication besides marijuana</t>
  </si>
  <si>
    <t>I want the 2-weeks-ago me back. So I started a new job which I was so excited for. The job is a systems engineering position for a large company, and I was super excited to get the chance to father my background in IT. First week was great (started December 17th) went home for Christmas everything was great, coming back the week after that, on Thursday, December 27th I was sitting at my computer and had a massive panic attack, I tried everything to ground myself but being that this was my first one I've ever had, none of it was working, I somehow got home and my girlfriend was there to help me with a weighted blanket at that was nice, but it was still about 5 hours of a panic attack. The worst was that I've never had an attack before, so I was scared shitless not knowing what was going on. I was hoping I'd get better by the end of the day, but I couldn't sleep for shit I was like hallucinating or something with my dreams where half of them were reality and the other half weren't it was awful. The anxiety then kicked in after that, and I spent the weekend, New year's, and all of this week in a brain fog. Went to the clinic, they couldn't do anything, called my doctor for a medicine adjustment (going to lower my dose of strutter from 80 to 40 mg). Also made an appointment with a therapist for the first time since I was like 12 going to see them on Tuesday. Things were looking good I was hoping g to return to work Friday (today) but here I am at 2:30 am writing this post because I was locked in anxiety almost the entire night. I had a massive panic attack yesterday (Thursday) afternoon at 3:30 pm while just doing some work from my home computer but was able to control it pretty quickly, but it still just added more fuel to the fire. I'm upset, tired, and this is only feeding the anxiety, and now I'm terrified that my job is going to fire me because I'm still on probation because I'm new for 3 months. Furthermore, I think the main stem is that I'm lonely as fuck right now. Two of my roommates are gone leaving only me at my house and work I only know 1 or 2 guys well. I went from being a social butterfly to a shut in without me being aware. I just want to fucking work, I've worked my ass off to become an engineer and to get the position I'm in. Furthermore, I've gone my entire life without a panic attack but now that I've had my first one my life has gone to shit so quickly after just one fucking panic attack. Furthermore, I was so fucking happy 2 Weeks ago and now the only emotion I feel is crippling anxiety. Furthermore, I just wish I could fucking restore the emotional state I had two weeks ago. Just needed to vent really. Seeing the community here helps me know that I'm not alone. I don't really know what else to do in the meantime anyway, if I lay here I get stuck in my head and will trigger another panic attack. My chest hurts from how tense I've been. I'm fucking exhausted. I want the old me back.</t>
  </si>
  <si>
    <t>Anyone get anxiety for no reason and can't concentrate in class? I'm in a college level chemistry class in high school and the curriculum itself is easy, but I have no desire to learn it and I have no interest in chemistry. I hate it and it's extremely boring. The only reason I signed up for it was because I thought I needed it for graduation. Anyway every single day I regret signing up. I always and extremely anxious and don't have any motivation for taking notes or paying attention. Also, everyone around me is paying attention and knows what they're doing, and I am clueless because I don't want to learn because I'm so disinterested. Also, almost every day I feel sick and either need to use the bathroom or feel like throwing up and my mind is in cycle of anxiety and I definitely wouldn't take any notes or pay attention. I feel this everyday and an overwhelming sense of fear. I'm thinking of dropping the class at the end of the semester because it's too stressful.</t>
  </si>
  <si>
    <t>Running out of learn, can't get a refill. What do I do? I'm deployed right now, and I've got about 11 days of 10mg learn pills left. I won't be able to get a refill for about 3 weeks. What do I do? Should I start taking half doses or just go normal until I run out?</t>
  </si>
  <si>
    <t>Does anyone else find themselves repeating certain phrases that don't necessarily make sense when you get nervous or scared? This may sound stupid, but I'm honestly curious if this happens to anyone else. I'm 20 and a lot of times if my anxiety flares up I end up saying something about chickens being funny. Socializing is not my strong suit, and sometimes if someone in my family asks a question that makes me nervous I sometimes answer half the question, and then it just becomes chickens are funny. Or if I get a very obscene thought that I don't want to think of I think that repeatedly occasionally.</t>
  </si>
  <si>
    <t>I can't breathe or function from when I wake up until I sleep It's been like this for 3 weeks. All day every day. I did Xanax for most of it, but I don't want to do it anymore. It won't go away. I've been clean for 3 days and I can't function. I usually make music every day and other than work and the girl I'm seeing, it's all I do. But I just can't. Not from lack of creativity I just cannot function. I don't know what to do. The only time I'm okay is when I'm with her. But she's been distant. We were talking a lot, and FaceTimed almost every day, then on New Years her friend mentioned she's more publicly affectionate with me than with anyone else she's been with. And she's been distant since then. I've never been on this Subreddit I'm so sorry if I did something wrong or if I'm annoying I just don't know what else to do. The alternative has been FaceTiming my ex. Just because she's been depressed and lonely, and I feel like I'm going to die 24/7. But we haven't been together for 2 years it's nothing like that I'm crazy about the girl I'm with, she just pulled back at a bad moment and I feel like I can't be alone right now. I just don't want to rely on anyone. My music was going so well, and I was finally making moves and being productive, then something happened. That I don't want to talk about but life-long type shit. And since then I just can't do anything. I feel like a slob, and it makes everything worse. It's been almost a month of not doing shit, and nothing has changed. I don't know what to do guys. Before this I was at "ok, so I'm definitely going to have to kill myself" and now I just want to be ok so that's progress. But the inability to breathe, function, shaking, and tight chest have not gone away. They won't go away, it's there the whole day. Being awake is torture</t>
  </si>
  <si>
    <t>Anxious for days Everything came to a head over new year and ended in a dumb argument. I have been feeling a stone in my Chest for days now. Can't stop thinking about it. Do any of you have experience with this? Something happens, and it's painfully stalking you for days? Can't stop thinking about it? I just can't put it aside, my head is my own worst enemy. Would be nice to know I'm not alone with this. Every few months k have an episode like this.</t>
  </si>
  <si>
    <t>Feeling like I'm going to lose control while driving and other issues I'm using my throwaway About a month ago I was overly stressed while driving on a highway and I nearly blacked out for no known reason. I was fine then all of a sudden I was having trouble feeling like I was in control. I got off the road, did some breathing exercises and made my way back home by residential roads. Since then driving is fine until I think of that instance and I again have that feeling like I'm out of control. That's when I thought I might be panicking about things. Then at work the other day they loaded me with more work than I could ever handle. I have to do the work. But my body just felt like it was struggling to stay up and going and my chest hurt so much. I've never felt pain in my chest, but I did then. Since then, I've been so stressed, and I've had so many instances where my heart rate is terrifying (how accurate are Apple watches?). I'm exhausted from it all. Any advice?</t>
  </si>
  <si>
    <t>My job makes me feel physically ill regularly. I feel paralyzed. What do I do? I've felt physical symptoms from stress and anxiety related to work since I started the job (I work as a paralegal) Honestly? I'm so tired of it. Furthermore, I recently came back from a vacation, and immediately I felt the feel of sickness and psychosomatic symptoms come back. Part of me thinks I should quit, but part of me also thinks every job I have will feel this way, whether that's because I have anxiety or because I'm lazy/stupid. I just feel totally paralyzed. I can't focus well, and I feel that I struggle with critical thinking because my brain is always on alert. And I am so fucking tired and terrified that I'm going to ruin a client's life because my anxiety is so overwhelming that I am not working to the best of my ability. When do you know when to quit a job, especially when it's due to anxiety and stress?</t>
  </si>
  <si>
    <t>Fucked things up again How do you get yourself out of the mindset you fuck everything up? I'm so down and my anxiety is ripping me apart. Everything I do, I fuck up.</t>
  </si>
  <si>
    <t>I had a great interview, so why am I more nervous NOW? I've been applying to and interviewing for jobs for over a year now, but every time I receive an offer, I get cold feet and decline. Even though I dread going into my current job most days, I've convinced myself that it's better to work with the devil you know than having to experience change and new challenges. I also like my current team. We're up against a huge project/trip overseas, and I've been assigned so many responsibilities. Surely if I were to leave now I would be the absolute worst person and everyone would hate me. The guilt would eat me up. That's basically my mindset right now. But the place I interviewed at today is great. It's established, an industry standard, lots of growth, and the people I met seem awesome. They've followed up asking for my references already. Not to be too arrogant, but I could easily see an offer being extended. Everyone in my life is telling me to leave my current job. I'm so stressed and I can't sleep. I feel like if I received an offer, I'd be an idiot not to accept. Furthermore, I also feel like I would be screwing my current team over if I left. But it's been 5 years at this place and nothing ever changes, I don't know why I hope that it will. At this point I could receive an offer to earn a million dollars a day for doing nothing, and I'd still feel this way.</t>
  </si>
  <si>
    <t>I (suddenly) have the energy to chat people on messenger! I have no idea how or why, but I suddenly have the capacity to message and reply to people on Facebook's messenger, I can now sustain a conversation for a while and I can also bring up topics to talk about! Compare that to a few months back, I just leave people on read or reply with just words or phrases like oh cool. Â, Nice. Â, OK, sure, bye. I hope this strange energy lasts for a while!</t>
  </si>
  <si>
    <t>Anxiety because of my anxiety. So I'm a teenage female and I soon have to make huge decisions about my future, what career to pursue and what-not. I'm extremely anxious about being anxious. My anxiety will prevent me from being a social worker or working in a market even. How do you deal with this?! I feel like I'm falling behind, like I barely have any opportunities due to my anxiety. I want to work from home as I'd feel most comfortable, but I also want to study psychology, which can't be practiced at home, at least not always. Furthermore, I'm so worried, so stressed out, and I genuinely don't know what my future will turn out as.</t>
  </si>
  <si>
    <t>How to combat Nausea? My anxiety has left me with a decent amount of nausea almost daily, and I was wondering if anyone else with this issue knows any ways to combat it?</t>
  </si>
  <si>
    <t>Too loud. I have dealt with anxiety and depression for over 18 years now... but recently my anxiety has produced a new thing. Or at least I think it's my anxiety. It's often too loud. Regular daily noises are just too much. And I LOVE my daughter with my whole being, but I find myself plugging my ears because it's too much [talking, toys, TV shows]. In reality, nothing is above normal volume... but for some reason I can't deal, and it makes me irritable and to where I can't concentrate. Please tell me I'm not alone? And if I'm not, how do you cope?</t>
  </si>
  <si>
    <t>I (early 20s M) had one of my worst anxiety attacks today After almost 6 years of university, during which my mental health gradually deteriorated, I finished my what were supposed to be my last couple of courses. While I was busy looking for jobs during Christmas break, I received a letter from my uni saying that I still don't meet the requirements. Although I was pretty sure this was an error, I had anxious and shitty mode until earlier today where I was able to reach my registrar to inquire about the letter. The lady puts me on hold, then transfers me to someone more specialized with graduation. I leave them a voicemail and hang up waiting for a response. While I was waiting, I double-checked the requirements only to find out they might actually be right. Cue one of the worst hours of my life. Paralyzing anxiety, self-hate, shouting, self insults, hysterical laughter, suicide ideation, and even self harm. Just imagining how I, a full-grown man, was laying on my bed punching myself to the point of bruising sends chills down my spine. I started thinking about everything I did wrong in my life and how I deserve this. Started picturing how I'll go back to university after I told everyone that I'm done with this place and how everyone will judge me to no mercy. How the shitty news will affect my parents. After about an hour, the lady calls me back and tells me that it was an error and I should be good to graduate. I fight back the tears on the phone and then breakdown crying on the floor after I hang up. Hours have passed, I've gone out with a friend, ate, and came back, but I still can't shake how I reacted out of my head. What the fuck am I going to do for the rest of my life? How the fuck am I going to survive worse news? I have no clue. I've barely seen anything in my life and I can't imagine myself living until even 30. My existence feels like ongoing torture. 6 years ago I was a normal kid, how did I get to this point? Uni has destroyed me mentally, and it's going to be hard to lead a normal life after all what I've been through.</t>
  </si>
  <si>
    <t>How to cope with a bad grade? I've just received my lowest grade in high school, I will not specify m, but it is significantly lower than what I usually get. The grade was on an in class essay on a topic that we do not know in advance. We were Ill prepared and let's just say that and a mixture of anxiety on the test day lead to a not so great test. I just took another test of the same type, and I'm not sure I did well, but I at least did better. Worse is this test might keep me off honor roll for this quarter, and as a junior that is not a good thing. There are no more grades left, and in just really anxious and angry frankly. I really need a good grade in that class and my parents are going to be mad when they find out. Can anyone offer me any suggestions to deal with how anxious I'm feeling.</t>
  </si>
  <si>
    <t>Getting over unreasonable fear of traveling Any advice guys? Even the thought of it makes me nervous. Having these constrictions just seems to really bring down quality of life.</t>
  </si>
  <si>
    <t>30(M) Finally doing something First Reddit Post! I just wanted to say thank you to everyone on this sub for sharing your stories and experiences. It's been very helpful for me to be able to relate to others who have had been in similar situations. I just had a heavy drinking night, where I stormed out of my house, and really upset my SO. I've been considering seeking a therapist or psychiatrist for a few years because I've been coming to terms with my own anxiety. Furthermore, I've finally worked up the courage to call my insurance network to set up an appointment with an in-network doctor and OF COURSE the psychiatric department is closed on the weekends, so I'm posting to keep myself accountable for Monday morning. Over the holidays I was terribly sick - some kind of virus got to me and definitely had a weird moment with chest pains. Starting to think I've had a few of those over the past decade along with rapid/irregular heartbeats. Doctors have always said I'm healthy, but I'm thinking I may have had panic/anxiety attacks and I just never understood that's what it felt like. My anxiety has been seeping out into my life more and more in the past several years. I was always a bit of a workaholic, and I'm starting to realize that it helped keep the buzzing voices and self-doubt out of my head. Right out of college I moved to NYC, and worked in the Times Square area for five years before moving. I was usually okay on the subway, but I absolutely could not function around the crowds in Times Square. Podcasts helped significantly, and I found myself listening more and more so much that I would panic when I forgot my earbuds (or they broke) and would HAVE to get a new pair immediately. It only got worse over the years and I eventually had to leave NYC because it got to be too much. I'm now terrified of crowded places and I have a pretty hard time in crowded grocery stories. So much so, that I often have to step out and take a breather. I can now see with 20/20 hindsight that this is likely agoraphobia. I moved to break closer to family, but I feel paralyzed about seeing them. My brother lives 20 minutes away, but I can't work up the courage to call him to see him. Christmas this year was terrible, and I had s very difficult time with shopping and seeing family. FWIW - my parents, my wife and my nephew's Birthdays are all within two weeks of each other over Christmas. It has been very difficult the last several years. I've been abusing alcohol for several years now, to help quiet my brain. For s while I wouldn't be able to sleep unless I was inebriated. It's been a point of contention with my SO for a while now, and it's gotten to the point where any night that she is working late or out of town. I would do my best to get drunk and fall asleep early. Dumb to try and hide it, I know. My work ethic has been really flailing lately. I shifted careers recently and when things are slow I have a hard time getting even simple tasks done. I've been procrastinating on everything, and I'm starting to worry that I may be let go because of it. (I'm also terrified that when my supervisors are behind closed doors they're discussing my poor performance, even though I just got a raise 4 months ago and a bonus.) So here I am, on a Saturday night holed up with my wife who is furious at me, and I think may be thinking of leaving me. Most weekends, I don't go out much - I've more or less drifted from all my friendships, and social interactions flare up my anxiety unless I'm inebriated. I guess that's why they call it social lubricant. I've been telling my SO for years I'd see a therapist, but I always chicken out, and get nervous about finding someone who is a "good fit." I don't even understand what a good fit would look like. After a day of trying to find help, and just driving around to avoid my life, I felt that I had to accomplish something in achieving my goal of self-care. I'm sharing my story here to help keep myself accountable. TL;DR - finally recognizing I might have an anxiety disorder and am finally doing something to help hold myself accountable in seeking professional help!</t>
  </si>
  <si>
    <t>Anybody know if Celadon can provide me an excuse note from jury duty for severe anxiety/panic attacks/agoraphobia? I have jury duty in a couple of weeks and have a scheduled phone appointment with Celadon next week. I know they can diagnose, prescribe medications, and provide excuse notes upon request. But I saw on their website that the length of excuse notes is limited. I believe for mental health conditions, the limit is 7 days and that for long-term excuses, I would have to see a doctor in-person. Has anyone used a Celadon doctor's note to get out of jury duty for any reason? Can I be excused from jury duty for a 7-day excuse for mental health? I can't go to doctors in-person at this point due to the severity of my agoraphobia.</t>
  </si>
  <si>
    <t>My mom is drowning me with support. My mom discovered from one of my Instagram posts that I have been in the market for a psychiatrist. She was of course very concerned and texted me saying what's wrong. I eventually got to telling her what the general problem was (anxious thoughts, perfectionism), and she says that she wished I came to her first. And of course mentions that she is there for me over and over. She ALWAYS comments on my posts on Facebook and Instagram being all happy and saying not to sweat things and such. And it's starting to get to me and actually make me feel worse. How do I break the news to her that I love her, but I don't want her involved with my mental health (and the social media commenting)?</t>
  </si>
  <si>
    <t>Question about anxiety and tingling/numb feeling Been dealing with anxiety this past year. Couple of panic attacks, but I've been getting better at dealing and preventing them. I recently started having these like weird waves of tingling/numb feeling that would affect my forehead and the top front of my head. No pain or anything just a weird feeling. Wondering if anyone has experienced this? I started an acne drug called accurate around the same time they started coming, but it's such a small dose I'm convinced it couldn't be from the meds. Any insight?</t>
  </si>
  <si>
    <t>Questions about side effects from Circle My doctor has prescribed my Circle for my anxiety/depression. I have been taking 10mg daily for about 2 weeks. I've noticed a significant disruption to my sleep patterns. For a while, I would barely sleep at all, but would feel tired all day while I was awake. For the past 2 days, I've been sleeping 13–15 hours and feeling groggy during the day. I'm wondering - are these side effects temporary? Should I just try to wait it out and see if my body adjusts? Or is this a sign that I should try something else?</t>
  </si>
  <si>
    <t>I was going to post this my social media, but I just couldn't bring myself to do it, so I thought I'd do it anonymously. Thanks in advance if you read this. My mind is... I don't know... I seem to have lost it. Furthermore, I'm like an empty shell, and it doesn't feel good. Furthermore, I am depressed and confused, I struggle to build a coherent thought, always seeking some sort of distraction to take away this feeling. Regret, resentment and guilt. Guilt that I never gave it 100%. At the same time I feel somewhat enlightened to find out how shallow and empty I am, holding back as if I have a badass poker face while holding the worst hand the cards could give. I have so many mental blockades, what was once a great mind is falling apart and in the most critical situation all I can to is freeze to feel nothing. I hope that one day I hope that I can find the strength to overcome my greatest enemy which seems to be Myself.</t>
  </si>
  <si>
    <t>Angry I feel like a piece of shit person. I have been lashing out in anger. I have been far more anxious. Furthermore, I had a UTI for 4 months now. Furthermore, I have gastritis and nightmares every night. Furthermore, I have insomnia and migraines and anxiety. Furthermore, I am 5 weeks pregnant, and I lost the last at 9 weeks. Furthermore, I need help. Furthermore, I'm just lashing out in anger at this point.</t>
  </si>
  <si>
    <t>I'm feeling really hopeless today So in comparison to some of the posts I've read on here, my anxiety and depression is not nearly as bad as some, but everybody's got their own struggles right? Recently it's just gotten a lot worse, and I've been having to fight off thoughts that I know are wrong and ridiculous, and I'm just so tired. I can physically feel the anxiety in me making my chest tighter and my eyelids heavier and my stomach get tied in knots, and it's always there. It's been a while, and it's there all the time, and it won't go away no matter what I do. I can't get it to go away because I'm trying to get rid of it I just think about it more, and then I'm in my head and that makes everything worse. I also recently went to a psychiatrist where I was prescribed an antidepressant, but that's not supposed to start working for about another month. Even though I've been dealing with this for years already, the closer I get to help, the longer a month seems and the worse it feels to have to keep going like this in hopes the meds kick in. And a few months ago I started dealing with it better and then had a setback and I just feel like I'm back to square one. Then even when I make progress one day, as soon as I go to sleep it's like hitting a reset button, and it starts all over. I'm just getting tired of dealing with this every minute of every day, and I'm beginning to lose hope for right now that I'm going to get better at all. I'm sure in a week or too I'll feel differently, but for right now I just want to give up. Furthermore, I just want to be able to be awake without feeling like something's wrong and being nervous all the time.</t>
  </si>
  <si>
    <t>Magnesium for anxiety? Has anyone tried this? If so, what dose should you start with? Also, there are so many different kinds of magnesium. Suggestions, please! And pros/cons welcome too. :)</t>
  </si>
  <si>
    <t>Bu spar Experiences Has anyone taken this med before? Just started yesterday, and was wondering how long it takes to work and what your experiences are.</t>
  </si>
  <si>
    <t>Does anyone find that alcohol makes their anxiety worse? I know a lot of anxiety sufferers turn to alcohol to calm their nerves, especially in social situations. While that works for me temporarily, I find that later on (when I'm in a disorientated state) my anxiety is a million times worse. Anyone else?</t>
  </si>
  <si>
    <t>Prescribed Diazepam for GAD, will it help? First time poster here, I have had a terrible flair of general anxiety / depression the last few months, and it finally got bad enough that I went to the doctors about it. I have been prescribed 5mg Valium, but I am worried about taking it (probably anxiety again....) I read that these can be really addictive, and stop working etc. Any advice guys and gals? Will these help THX</t>
  </si>
  <si>
    <t>Advice on Overthinking? Lately I have been overthinking on every little thing I've done in the past few days, critiquing it and thinking how stupid they were, and how I should've done things better. I am also stressing on what will happen in the near future. The little voice in the back of my head always tells me everything will be a failure. I have no motivation or inspiration. How do you guys cope with overthinking about small, stupid things?</t>
  </si>
  <si>
    <t>I spilled water on my laptop, and it appears to be working normally, but now I can't stop shaking I can't calm down. It's been two hours since I had a brief minor spill on my Microsoft Surface damage and my roommate is trying to reassure me that it's okay because my laptop is working normally as if nothing happened, but I still can't calm down, and I feel so sick. What if it's fine now, but later it stops working? I'm trying to make myself believe that if there was damage it wouldn't be working right now. I'm scared. This was really expensive. My dad is going to kill me if he finds out. I hate this feeling. I don't even know if this is the right sub for this. Furthermore, I already posted to r/laptops inquiring if my laptop would be okay and describing what happened in greater detail, and I'm thinking maybe this post belongs in r/rant. Furthermore, I need to calm down but I can't. Furthermore, I don't know what's wrong with me. Furthermore, I've never felt like this for such a long time - two hours! Usually I begin to calm down before that point. I'm thinking maybe spilling water on my laptop released some trigger that let loose a bunch of other issues I was having and gave me an excuse to freak out. But besides that, I'm worried about my laptop. I've checked all of its functions (I.e. sound, typing, touchscreen, etc.) and it appears to be working normally, but I'm terrified. I just need to be told to calm down in a non-forceful manner. Furthermore, I feel like people get annoyed with me and just want to tell me to shut up and stop acting mental. Â I don't know what to do. I don't feel like I have anyone to talk to right now. I called my roommate, but I feel like she doesn't care that I'm freaking out. My teeth are chattering, they do that when I get nervous, or whatever this is. I tried to reach out to my friend, but she hasn't responded, and I just want someone who won't be fake with me and who will honestly care about what I'm feeling. I want to feel supported. Furthermore, I've been close with my friend since freshman year of high school, but sometimes I feel like I'm not connecting. Furthermore, I just need to talk to someone and hear their voice or just know that they really care. Furthermore, I hate being in these situations and not having anyone like that. Furthermore, I feel so alone. None of this makes sense. I'm falling apart, and my second semester of college begins Monday. I don't know if I can handle any of this anymore. It's like one thing happens, and it sets me off, and I start projecting how I feel about one instance on everything and I keep imagining the worst scenarios. I want to know that my laptop will be okay. (Any tech people here, let's chat about what happened? I'm concerned.) I want to know I'll be okay. Like during my life. I want to know that I find a good career and a good man and have children and am happy. I'm going to stop this dumb ranting now. Furthermore, I can't believe I spilled water on my laptop. Furthermore, I'm a wreck. Not even sure if this is the right sub for this, probably not. Thanks to any lovely soul who read this far.</t>
  </si>
  <si>
    <t>I want to make new friends, but my anxiety won't let me basically I moved to another city last summer and one entire college semester later, I still have 0 friends (that I can physically hang out with). I also have a little less than one whole month until school starts again and I have nothing to do except work and stay holed up in my room all day when I'm not at work. What do you guys recommend for someone who wants to make friends in a place where they know absolutely no one, but is too scared of people and socializing to go out and actually meet people? If you've been in a situation similar to mine, how did you make friends? Before anyone asks, i *have* tried to make friends in college but the last time I tried it **did not** go well and since then I've been even more afraid of initiating conversations with people I don't know. :-)</t>
  </si>
  <si>
    <t>I wish I didn't have anxiety so I could be brave enough to live the life I want. I'm such a coward. Furthermore, I wish I could live carelessly. Furthermore, I wish I could just pack my bags and move to the country I want to go to. If I were brave, I would quit college and pursue my dreams of being a writer. I would tell the person I love how I feel. I would put myself out there more and meet new people. Anxiety stops me from living the life I want to live, and I hate myself for it. The worst part is that I feel like there's no cure. I'm stuck being like this till the end of my days.</t>
  </si>
  <si>
    <t>Sharp pains Do anyone ever get any sharp shooting pains throughout their body multiple times a day? I have one in my foot at the moment, and it's just a constant stabbing feeling. It always moves around as well, I feel pain in different parts of my body each time, and it lasts around 5 or so minutes. Just wondering if anyone experiences this at all?</t>
  </si>
  <si>
    <t>Tips for getting over this anxiety "trigger"? Not sure exactly what to call this, I guess it's a trigger but IDK. I have terrible anxiety surrounding my cats. So much so that just typing this right now is making me tear up. I'm in my early 20s and have had 11 cats in my life including the 3 I have now. All the ones before have died from being outdoor. Hit by cars, eating by wild animals, etc. I have anxiety in general, but being such a cat lover and having had so many of them die before their time in such traumatic ways has made my anxiety terrible when it comes to worrying about my cats. I've even developed weird OCD with it where I can't have my socks match in the slightest way or a cat will die. Furthermore, I know that's not really true, but my brains tricks me into thinking it is. Anyway, my mom helped me build an outdoor enclosure earlier this year when our last cat died. I had him since I was 13, and it was/still is really hard on me. I had a really strong connection with him, more so than any other cat I've had. Furthermore, I was finally able to convince my mom to keep our cats inside/in the enclosure, especially once she brought home a new kitten. It was kind of a hard transition for our other 2 cats who were used to going outside, especially Spunky who is specifically my cat. It's gotten a lot better now, but he still sometimes meows to go outside. I'll just open the cat door for him so he goes into the enclosure but if my dad is home he'll let him straight outside. He usually comes back within a couple of hours, but that still doesn't stop me from worrying. It was pouring rain about a week ago, and he didn't come back all day/night until it was bedtime. My mom was even worried looking down the street to make sure he wasn't dead. I've asked my dad literally every single day to not let him out, and he still does. I've asked so kindly, and I'm ALWAYS the one cleaning the litter box and feeding them so it's not like it's any burden on my dad. He just doesn't care. I think I'd be able to live with this if it was once in a while and in the daytime. But it's every. Single. Day. And he always lets him out at night for some reason?? I think he waits until I'm in my room, since I'm usually up and about during the day so he waits until I'm not around to let him out so I don't see it. But I still know it happens, and I have constant anxiety until my cat comes back inside. It's really starting to drain me. I can have a perfect mental health day, but then this will ruin it. Sorry this is so long...but I'd really just like some help. My dad won't change, so I guess I have to, but I'm not sure how.</t>
  </si>
  <si>
    <t>Friends I don't have friends really. I am a mom and spend most of my time working and taking care of the kids and upgrading my education. My boyfriend doesn't really hang out with me after work and on weekends because he is busy doing his own thing playing video games and I feel so lonely all the time. He said I should make friends to keep myself busy and I won't be lonely, so I have been trying to join mom groups to meet friends, but I am having a hard time connecting with anyone. I feel like I must just be some loser or something. Like why can't I have friends? The one person I would consider my friend is from my work, and she overthinks everything and is very negative and only talks about her self, if I start talking to me, she just overrides me, so I have been trying to not associate with her much. Any ideas how I can make friends</t>
  </si>
  <si>
    <t>School / work dread Hey everyone. Age 20, live in Canada. Have been diagnosed with an anxiety disorder for about eight years now. Have gone to tons of therapy and I take medication I've come so far since that diagnosis eight years ago, but I still struggle of course. The main issue right now is dread about school and work I am a university student and I constantly dread going to school. I dread all aspects of school, including the bus ride there and back, sitting in class for hours, assignments, etc. I love learning, but my anxiety has me so stressed. For work, I only work about three times a month on average because the company I work for is an event company (I work as a cashier in food service for events) and I constantly dread my shifts (even though I've been there for a few years now). Sometimes it keeps me up at night. Sometimes I start crying because I think about all the schoolwork I have to do, and I feel like I can't breathe. Sometimes I feel like throwing up when I remember I have a work shift coming up. I never look forward to school or work anymore. Pretty much it feels like I get small panic attacks without the shaking I used to get. It's hard because right now school is my life, so I have to find a way to deal with this feeling of hopelessness and dread. As for work, I need the money, so I can't quit. It feels like I have to drag myself to the bus stop every day for school, like I have to work consciously against myself to keep going. I've been in post secondary school for almost four years now so I should be used to it. Instead, my anxiety has just gotten worse. Note that I am on waiting lists for counseling. Any advice? Thanks</t>
  </si>
  <si>
    <t>I'm having a panic attack right now I went to an event where some old friends were. I arrived to a party with a lot of inebriated people all over me. I couldn't break away just to chill. Eventually I freaked out and started panicking and crying and ran out. I feel like the grossest, most pathetic unwanted loser. I had noble intention of making a scene. Furthermore, I didn't expect to accost by girl after drunk girl. One even told me she was glad to see I'm comfortable gaining weight. I'm trying to tell myself no one is thinking about you now and if It's that bad, It's okay to let them go. But it's not working. I feel like it's the end of the world and I'm such a sack of shit.</t>
  </si>
  <si>
    <t>I'm not diagnosed but i don't know where else to turn I've always worried, when I was younger (8-12) I used to worry to the point of no sleep that my mum wouldn't show up to pick me up from school if something happened to her Fast forward to now, in-between the time I've worried about loads of stupid stuff but most recently it's been about my girlfriend, I know it seems stupid because I'm only 16 so it shouldn't matter but IDK maybe I'm being an idiot, but it feels different with her, I actually feel like I know what love is because of her, anyway since I've been with he rive lost sleep over her thinking she'll break up with me, she likes other boys more, I'm not good enough etc. I've told her about it multiple times and she's reassured me I have nothing to worry about but I hate telling her because i don't want her to think I'm unstable or something, she deserves someone who doesn't worry 24/7. All of this was bad enough but on Boxing Day I think I experienced my 1st panic attack (I'm not sure what it was) I was with family and I was feeling kind of down for no reason and my family kept getting me to get off the sofa on my own and come join them, I did it because i didn't want to seem boring but after that I found myself backing into a corner, my cousins tried to get me to join in but i couldn't take it for some reason and I just ran out the door and started crying for no reason, I started hyperventilating and then after about 5 minutes I was fine. I don't know what's up with me.</t>
  </si>
  <si>
    <t>Does anybody else get little moments of panic, and you can only see what's directly ahead of you? Also, I'm not sure if this happens to everyone but my legs go numb with a pulsing sensation around my body. What is this?</t>
  </si>
  <si>
    <t>How ghosting feels for an anxious person This is something I feel like I need to address. Not because I'm placing blame, but more because it's an important topic that no one touches on. In my opinion, ghosting isn't a good idea in most situations. My anxiety causes me to want honesty. I would much rather a guy tell me straight up he's not into me, instead of just disappearing off the face of the earth. It sucks when weeks go by, and you're talking to the same person, and then they drop you and stop responding to your texts. I'm wondering if this happens to anyone else? I know in this day and age, I can't expect much. Social media is so prevalent. But if we're hanging out, texting, and hooking up- don't I at least deserve the respect of a reason? I just wanted to hear any other input. It just makes my anxiety crazy. I start to wonder what I did/if they're okay. I just started opening up to my therapist about it, but it's just so difficult. Especially as a single, overthinking female in a sea of dating apps. Sigh.</t>
  </si>
  <si>
    <t>Things We All Can Do To Embrace Our Vulnerability Hey guys, I started reading this book *Daring Greatly* by Been?? Brown. So far it is perfect. She talks about vulnerability and how it is seen as a weakness, when in reality vulnerability makes us feel alive and human. Vulnerability is neither good nor bad, it is at the center of emotion and feeling, two crucial aspects that make us feel alive. I want to start living more a vulnerable life. I would love it if you guys comment/suggest things to do that will make someone vulnerable.</t>
  </si>
  <si>
    <t>I got myself back In January 2017, I had an awful encounter with a newly diagnosed mental illness I had. I'd never had a diagnosis of a specific illness before, so navigating was hard. On the day of that awful encounter, my head pushed and pushed away the most important thing in my life until I felt I'd lost it completely. In April 2018, for the first time in well over a year (exact days were January 9th 2017 and around April 20th 2018) I felt I had finally gotten back what I lost all that time ago, even if just for a second. Since then, I think I've held onto my important things better and have dealt with situations better. I never thought about how big this was for me until the end of 2018. I'm horribly scared of New Years now, the anxiety of coming up to a new year just reminds me of what I lost in 2017. But we just had reached January, and it's now several days in, and I still feel okay. Getting back my happiness was the biggest success I've ever felt in my life, I feel I can breathe again. Anxiety certainly doesn't disappear, but for the first time in a long time I can say I've been better at being happy and being me again, it's like I got myself back. Hopefully this year treats you all better than any year before. Hopefully every year after gets better and better. Happy New Year everyone!</t>
  </si>
  <si>
    <t>Does anyone else think their anxiety is largely circumstantial? This article really resonated with me. https://www.buzzfeednews.com/article/annehelenpetersen/millennials-burnout-generation-debt-work I've always been the anxious kids and worried adult, so I think it's definitely in my DNA to trend towards high-strung neuroticism, but I also think an inability to relax or be okay with nonproductive activities is a source of anxiety as well. I really resonated with the part about the to-do list that just gets longer, the resistance to mundane-yet-complicated adulting tasks, and navigating as a millennial parent, and the expectations thrust upon you as such. The push to work ever harder, despite enormous resistance, if only to be more competitive in the workplace. The hamster wheel has been picking up speed every year.</t>
  </si>
  <si>
    <t>Staying Home: not afraid to go out, just don't want to go out. I have something that is making me feel very anxious...husband traveling in the next couple of weeks...and I am just holed up in the bedroom with the cats, alternating napping and computing. I'm not afraid to go out, I do choose to just stay inside and hole up. Furthermore, I don't know if this is the most effective coping mechanism there is, but it's what I am capable of right now. It will pass. Until then, I'm going to remove any possibility for further anxiety because then I will get completely and totally overwhelmed. Does anyone else do this? Do you think it is okay to do this?</t>
  </si>
  <si>
    <t>The years just feel like a blur at this point It's honestly crazy. I do so little with my life, and it just all goes so fast. Weeks camp; months go by, nothing meaningful happens, it all blurs in to one. The older I get, the same I stay, still accomplishing nothing with my life, and my anxiety still hovering over like a massive shadow, questioning every choice I make and placing seeds of doubt constantly. I'm just can't seem to wrap my head around the fact it's 2019. It's really starting to scare me. I like to think this will be the year I finally turn things around, but I'm still scared of going anywhere in life, I'm still friendless, my anxiety still stops me from doing the simplest of tasks that involve going outside. Sometimes I just want to cry at how lonely I am. At times, I'll just sit and look out of the window, and just wonder where it all went wrong for me. Why did my life have to end up this way? It seems like the only place I can find solace and support is through online means. And the interactions are still very distant. I just want to feel loved again, and feel like people care about me and want to share life with me. Nobody should be this alone all the time. I just loathe Anxiety. I just needed to get something off my chest, even if it's just text on a screen. Maybe you guys are feeling the same right now, up late at night, unable to sleep, thinking of the many ways things have gone wrong. At least we have each other at this moment. I really hope things get better for us. Life is leaving me behind, and leaving no room for me to catch-up.</t>
  </si>
  <si>
    <t>I have something very important to complete, but I get incredible anxiety around it... haven't been able to start ... I nearly graduated from college this past spring, but a series of unfortunate events prevented me from actually doing so. Within the last 2 months of graduating, my creepy roommate threatened to kill me by strangling me which triggered PTSD from a past abusive relationship - a trigger that I didn't even know I had until I was too in-shock to function for weeks. Because of this, I lost my job, had to move without any money saved, and didn't finish my last quarter of college. It's 7 months later now, and I was able to make up 2 of the 3 classes I needed to finish by doing online courses. However, now I am left with my senior project to complete. I haven't even started it. I have tons of ideas of what to do but every time I sit down to start, I distract myself. A few weeks ago, my senior project advisor reached out to me asking what I want to do about it since I have a set amount of time to do it before I can't do it at all and will have to re-enroll to finish my degree. Part of the reason I'm so anxious about it, too, is that I desperately want to go to graduate school and need it to be a good senior project so that I can have it as a sample of work. But I don't feel like I have the support, even with my senior project advisor, to be able to create something good on my own. I'm working full-time now (I told them I was going to get my degree sooner) in addition. I don't know what's keeping me from starting this. Furthermore, I feel like I have control over my mental health aside from this. It brings me so much shame and anxiety to think about. It brings me back to how terrible the end of my senior year was and the events surrounding that, the reasons I didn't get it done in the first place. I wish I just had someone to push me to do it, but I know that, now that I'm an independent adult, I have to be the one to get it done. I feel like I'm failing myself and just ruining my chances at going to graduate school.</t>
  </si>
  <si>
    <t>I don't feel like a person Basically, the title. For some background, I'm a 16 y/o kid who just got his license and a debit card. Today, my mom wanted me to head to the store and pick up like 4 things for dinner. This just instantly makes me scared, as I've never used my debit card alone and driving in big parking lots is really nerve-racking. Naturally, my parents are like "you'll be fine, don't be nervous, etc." So I drive there, and once I get to the lot i just kinda copy other people and manage to find a spot. The whole trip inside is just a mess. I feel like a fool the whole time, but eventually I get all the stuff I needed and head to check-out. I openly let the lady at the check-out know that I'm new and that I've never used my debit, and it was generally just really uncomfortable and made me feel really stupid. The point I'm getting at is, I feel like a stupid kid, and not a 16-year-old. I'm really short for a guy my age (5'5) and it hits my self-confidence pretty hard. I'm not dumb, at least I don't think. I've got decent grades and stuff, but I can't get away from this feeling. Every time I get hooked on it, I irrationally want to just stop trying at everything. Just kinda stop existing so I don't have to drag others down. I don't know. It was hard to even post this because I was genuinely just going to give up on myself. And yes, I know. I'm only 16 and things get better and whatever, but the point is I know many other 16-year-olds who are just way better at this stuff, and they seem like real people and I don't. I've never really called this anxiety, so let me know if you think it's something else.</t>
  </si>
  <si>
    <t>I'm finally doing therapy I recently found a therapist that I believe is a great fit thus far for me. Things have been spiraling out of control and I decided that I can no longer do it on my own, and it's not right for me to put unnecessary stress on my loved ones. I'm very excited at the thought of working towards better mental and physical well-being. I feel hopeful.</t>
  </si>
  <si>
    <t>Anxiety: a superpower in disguise Sometimes I can't tell if my anxiety is helping or hurting me. Unfortunately, I pick up on people's routines and habits very quickly. When it comes to guys, I notice the smallest changes and my brain spirals and my anxiety is through the roof. I find myself trying to figure out what causes this change, if there's another girl, if he's no longer into me, if something shady is going on etc. 8/10 I'm right. When I'm wrong I feel absolutely crazy. Either way I still end up feeling down.</t>
  </si>
  <si>
    <t>Exposure Progress Food background: I have been working really hard with my therapist to overcome a phobia of having a severe allergic reaction to food. I have been especially avoiding peanuts despite never having a reaction. Anyway I have been having a really hard time lately with this and was starting to think get really down on myself. But tonight (after about 2 hours of building up the courage) I ate a handful of peanut camp;ms and lived to tell the tale! ???? I know I have a long way to go, but it feels so good to finally be taking a step in the right direction.</t>
  </si>
  <si>
    <t>A bloody man My friend with anxiety says she can't sleep because she knows a man will break into her room (she was quite detailed about what would happen). She also says that she unwillingly vividly imagines the deaths of her loved ones. Is this unheard of? More importantly how can I help?</t>
  </si>
  <si>
    <t>Can GAD alone cause self injurious breakdowns? (TW for self harm mentions) I'm diagnosed with mild GAD and OCD traits. Ever since I can remember, I've had pretty bad breakdowns sometimes, usually triggered by frustration and occasionally by anxiety (over exams, social gatherings etc.), but the ones from frustration are much worse. I started throwing myself on the ground as a child, around three years old, then stopped and started getting the impulse to hit myself. It got worse lately. If I could, I'd break something or punch something else, but doing it to myself is more immediate and less damaging. When I'm in this state, I also yell at people furiously. It's a purely physical instinct to let out the anger and frustration more than the anxiety, anger over things not being how they should, over unexpected events. It's like I feel so much over so little that my body can't contain it, I can only express frustration through violence, that's the only way I can do it, because just vocalizing it would never be enough. Furthermore, it's too strong for words, it's too strong to just cry and do nothing else. I have to say that after a couple of years of therapy, I rarely get the classic GAD symptoms, more than anything I fall into obsessive thought cycles that can lead to self harm out of frustration. However, these breakdowns are very rarely linked to feelings of anxiety itself - when I feel anxious I can't do anything, I just feel sick and struggle to breathe. Can GAD alone cause this type of breakdowns, or should I seek help to get tested for some other disorder?</t>
  </si>
  <si>
    <t>Does anyone have anxiety thinking about the afterlife? What do you believe in?</t>
  </si>
  <si>
    <t>I can trigger a panic attack on command If I focus on the idea of a panic attack really hard then I go into a panic state where my heart rate goes crazy, and my brain goes into panic mode. Can anyone else do this?</t>
  </si>
  <si>
    <t>Feel like I'm on the edge of having a panic attack Okay, so I have dealt with anxiety and panic attacks for quite some time now. This past week / month, however, it's been worse. I have had a constant feeling of anxiety and for the past day or two I've also had the feeling that a terrible panic attack is coming. That feeling tends to become a self-fulfilling prophecy, especially since some of my panic attacks have been terrible (I've had one that lasted over an hour) resulting in a fear of having one. At the moment none of the people that are capable of getting me out of a panic attack are around so I just cannot afford to have one. Anyone know how to deal with this? I really don't want another panic attack, especially since the last major one I've experienced. Any help of dealing with the general anxious feeling is also appreciated :)</t>
  </si>
  <si>
    <t>I've been diagnosed with anxiety and depression and today I've constantly been thinking about taking my life. I always have terrible anxiety and I constantly get lost in episodes of depression. Furthermore, I have been prescribed Zoloft which I took for about a month but I have had a horrible time with it. The Zoloft has given me multiple side effects including worsening anxiety and depression, an overheating sensation, insomnia, constipation, diarrhea, agitation, confusion, suicidal thoughts, and more. I have recently been told to stop the Zoloft because of a bad anxiety attack, and to deal with the anxiety attack I have been prescribed Asian 0.5 mg. I have had many drug problems in the past and today I'm thinking of either killing myself or getting high with the Asian to deal with my ongoing mental disorders. Furthermore, I'm not making this post for sympathy or to make people feel bad for me, I just want to hopefully relate with people. Furthermore, I have had suicidal thoughts for what feels like years now, and today I think I might actually go through with it. Furthermore, I'll update you if possible.</t>
  </si>
  <si>
    <t>Long distance Sorry, wasn't sure where to post this, and I think this is my first post here. Basically when you don't get to see your friends or family often, first I can get pretty anxious about the whole situation as I'm always overthinking and everything... Then, when you do see them, have the greatest time and don't feel too stupid about what you said or how you acted, but at some point you have to part ways, and you feel shitty/sad. Because you'd actually like to get to spend much more time with them during the year or whatever (even though social interactions take a good amount of energy from me) and you don't know when you'll see them again (which will probably be in months if not years) :/</t>
  </si>
  <si>
    <t>I had my first anxiety attack in almost two months, and I?’m proud. I suffer from anxiety, and panic attacks followed by derealization. Basically, I feel like I\`m in a dream, and nothing of reality is true. It went too far once, leaving me lying in my bed for 1 hour, shaking and feeling that I was in a dream, and in "the reality", something very, very bad was happening to me. So I decided to see a psychiatrist. He made me understand that it?’s something very normal, and that I?’m not going crazy (thank fucking Jesus, I was very afraid of that). He gave me antidepresives (looks like panic attacks start depression on people), and anxiolytics. I have been feeling very OK, until I saw Bandersnatch with a friend. You know, that Black Mirror movie. In the movie, they talk a lot about drugs, reality, control, etc. EVERY thing that triggers my panic attacks. I took and anxiolytic, and went to bed, because I was starting to shake a lot. A few days ago, I decided to see the movie, alone. I said to myself "I want to fight this shit", and watched it. I made every decision related to my panic attacks, on purpose. And I felt fine. I knew it was just a movie, and actually, a good one. My fears are just fears. I?’m not in a dream, a coma, or anything like that. I?’m in real life and I just suffer from panic attacks. Fuck that shit. I just have to keep fighting, take my pills, go to the psychiatrist once or twice a month, and everything will return to normal. Yeah, it?’s a stupid thing. Just a movie. But it scared me a lot. And I went for more, and won some of my fears. And I?’m very proud of that. And I had to share it with you. Have a good night, and I wish you all a happy new year, with no (or less) anxiety.</t>
  </si>
  <si>
    <t>Childhood experiences Need advice for trauma Parents beaten us and Said that they do not Want to live on. I tried EMDR it helped I want to know other Treatments. Xanax Temporarily helps.</t>
  </si>
  <si>
    <t>Does anyone have tips for sleepless nights? So I have had quite a few nights in the past few weeks in which I just can't sleep. I have this anxious feeling but don't even know what I'm scared of, just this sense of impending doom. It's like I just can't turn my brain of. I feel like I tried everything, no phone, no caffeine, going to bed early. I've even been prescribed multiple kinds of medication for this but nothing helps. Furthermore, I'm pretty desperate at this point. Does anyone have tips or experience?</t>
  </si>
  <si>
    <t>Anxiety disorder has a cure? Sometimes I just keep thinking that I will never get better, I go to the therapist 2x week, for about 2 years and I still sometimes struggle about it (it comes and go), sometimes everything is good and sunshine, and look like I will get better, and sometimes really gets me, and make me question if ever I will get better for good. I know anxiety is a normal feeling, so I will have anxiety in anxious moments, but I'm talking about the disorder, like this feeling that I feel mostly days (even when nothing is happening) this can get better and stop coming with the right work in myself?</t>
  </si>
  <si>
    <t>Wife's depression still causing anxiety attacks after she got better For the last decade or so I've had anxiety attacks, some milder than others and time in between varying. It was usually busy/loud places doing the trick. But in the last year they've been worse/more frequent, and I've begun to realize events in my marriage could because. I met my wife when working in the US for a while, and when moving back we did LDR until we got married, and she moved here - leaving everything behind. The first number of months are generally very boring after moving - you don't know anyone, you can't work, ... This can all work into your mood, and so it did for her. So I tried to be there a much as possible, do everything I can for her. Try to get her past the "I'll NEVER be able to find a job here" days. But yes, she found a job, where she felt good at first, her co-workers seemed nice, ... But after some time she started noticing toxic behavior in the office, which she tried to bring up to management and fell completely onto deaf ears. It got increasingly worse, and she ended up staying home with burn out and depression. Luckily I convinced her to go to our doctor. Good days when she was the sweetest girl you could wish for could suddenly change into days of depression, triggered by e.g. something not going according to plan, missing out on something, feel pressured to do something, ... I tried whatever I could think of to help, but usually she wouldn't accept help - nothing was good/right, and she couldn't sleep because of overthinking. She didn't want anyone to know anything, not even her family. I was walking on eggshells, and I'd start to increasingly feel helpless. This depression went deeper and longer with every episode, and eventually she started being suicidal. At one point I even caught her wanting to swallow a bunch of sleeping pills but got to her before she was able to. Probably important to note that my mother once attempted suicide this way when I was younger. My feeling of helplessness started causing bad anxiety attacks, have constant stomach aches, lost weight, ... I also had to live with the knowledge that if she decided anything while I was at work, there's nothing I could have done - she's a diabetic so it would just be a matter of injecting too much insulin. Eventually, after her contract ended with that company, and when she discovered that multiple other people left the company and/or had burn-outs, she felt validated in her feelings and started getting better and better. These days she's her old optimistic, happy self again. But I still can't help having anxiety attacks when something happens that previously could have triggered an episode of depression, but now she shrugs off. I haven't told her about this, as I'm afraid she'll feel guilty. She's an amazing, caring person who deserves the happiness she's finally found again. TL;DR wife's suicidal depression up to half a year ago causes me to have anxiety attacks to this day and I don't know if/how I should tell her.</t>
  </si>
  <si>
    <t>DPDR advice, anyone? Recently, I've been having episodes of feeling detached from my body - almost like I'm watching a movie. My brains almost trying to second guess what my body's about to do. My anxiety's been pretty bad the last few months, and I'm sure it's a consequence of that. I don't necessarily need to be in a state of panic - it randomly comes on, and intensifies the more I think about it. Has anyone felt like this, and managed to overcome it? Any tips? It's more annoying than harmful, but very scary.</t>
  </si>
  <si>
    <t>Help to eat? My anxiety has been really severe this week. I haven't been feeling hungry at all, so I forget to eat and I've been lightheaded. My vision is blurry today, which is really worrying me. I've tried setting an alarm, but I keep snoozing it/ignoring it. Does anyone have any tips?</t>
  </si>
  <si>
    <t>When your anxiety strikes back... Hey! Posting here for different reasons. For a couple of days now my anxiety is back. Not as bad as it can be but... mainly high anxiety right when I get up and more or less a constant tension all day long. I wanted to post it because I know how to stop it, but I'm kinda stuck. My anxiety is linked to loneliness/low self-esteem. I've been moving around a lot and recently moved to a new place. I basically don't have good friends and mainly old distant friends just on Facebook. Furthermore, I feel quite easily lonely and feel crap because I can't get good friends nor keep my previous ones. Furthermore, I did meet someone who became quickly my girlfriend. We've been together for 2 months now, but it has been far from great. The 31st triggered everything. Despite knowing, I would be alone my GF didn't invite my with her friends. When she realized that I was getting overwhelmingly low she decided to cancel to be with me... out of pity and not to feel like an asshole (her words). I did manage to spend my night with unknown people, and it was a much better night than expected. Here is the problem. I know I'm not happy with her. Since we are together she lowered my self-esteem, increased my insecurity. Because of the 31st it got weird on her side. I'm anxious at the idea of being dumped, I'm anxious at the idea of breaking up with her. I'm so scared of being lonely. Furthermore, I've been in the same position 7 months ago so I know what I should do, but I can't. Sorry if I'm not posting where I should. I needed to share that and wouldn't mind knowing what you think about that. Thank you.</t>
  </si>
  <si>
    <t>Med management help/ideas? I've been regularly misusing my Klonopin for the last month or two, and my doc is unaware of this but wants to start weaning me off of it soon. The problem is that at my prescribed dose, it does actually help my anxiety, so I don't want to go completely off of it. Without it, my anxiety is so bad I can hardly function, and even if she does start to wean me, I have enough saved up to last me at least another month. I think having someone to help me manage my meds would be helpful, but I don't have anyone that can do that. Has anyone encountered a similar issue and came up with a creative solution? Or have any possible ideas? I know how I have been using it is terrible and am I having trouble using it as prescribed. Any feedback/suggestions are greatly appreciated.</t>
  </si>
  <si>
    <t>I had a panic attack at work today It didn't go as bad as it could have, which is fortunate. But it sucks that my coworkers/superiors saw me like that. It's over now, and I'm okay, I just feel really stupid for not being able to calm myself down and worry that people at work are going to see me a certain way. I just need some reassurance camp; a hug.</t>
  </si>
  <si>
    <t>Looking for some help with my wife Wednesday she had her first anxiety attack, she suffers from health anxiety mainly, so this is new. She now has anxiety over having another anxiety attack. Is there anything I can do to help break this cycle?</t>
  </si>
  <si>
    <t>Anyone else?? Ok so I got diagnosed with anxiety last year. Before I was diagnosed I wasn't as cautious and observant as I am now, sure I had moments when I got scared that I was going to have a heart attack and die but not like this. I feel so ridiculous but whenever I read something, and it says something about like a health problem I'll get so freaked out and immediately think that I have it. One time I was on Snapchat and I saw this thing about maple syrup disease or something and I got so paranoid (still am) so now I think I have a fungus growing in my bladder, and I'm literally like a sitting duck waiting to die. Another time I thought that we had carbon monoxide leaking out of our boiler and I wouldn't sleep for days until I just passed out from exhaustion. Also, sometimes I'll think that my family (usually my mum) is trying to poison me, so I won't drink anything and I get really dehydrated. Same thing with food. Is this just me? Is this something I should be concerned about?</t>
  </si>
  <si>
    <t>Does anyone have experience with Abilify ? I was prescribed Abilify because my other anti depressants seem to be losing their effectiveness. I am on Zoloft and Wellbutrin. At first, I took a half, then the doctor said to take a whole one. But my anxiety got progressively worse. So he told me to take 1.5 and my anxiety was worse than it's been. Finally, I tapered back down to a half pill. Since I've been on Abilify I notice anxious thoughts more but am not having suicidal thoughts. I don't know if I should just taper off of it or continue with the half of pill I take. I would like to know about others and their experiences with Abilify.</t>
  </si>
  <si>
    <t>Can't ever be happy Anytime I start to feel happy, or just feel like things are OK, something happens. It never fails, and its things that I can't control. So now I'm just scared to ever feel happy, and alright. Because I don't want to be disappointed when something happens. I know it sounds SO stupid, but it's just easier to deal with always being down. I can't remember the last time I was genuinely okay. Furthermore, I've had anxiety for as long as I can remember, but it didn't get this bad until I had got the birth control implant in my arm. Furthermore, I had a seizure right after it was put it, then the whole 9 months I kept it in it made me mood, and depression, and anxiety sky-high. Furthermore, I ended up getting it removed, but the anxiety and depression never ended up. Furthermore, I fear literally everything. Furthermore, I'm scared when I'm driving, I fear the unknown. Furthermore, I have to physically make myself leave my bed in the mornings to care for my daughter. Furthermore, I hate myself for putting on fake smiles sometimes so she doesn't ever see me that way. IDK I just needed to vent.</t>
  </si>
  <si>
    <t>Every day that I fail to get over my anxiety I get more convinced that my brain is just hardwired to live in constant dread. Every time a day passes where something happened that I've been dreading for weeks if not months (dentist appointment, exams, job interviews, you name it) the relief of getting it is almost immediately washed away by the realization that my brain has already started to focus on the next thing to dreadfully anticipate. I can't remember a single day in the last 4 years when I was not worrying about shit. It's like being on a rollercoaster at that moment right before a giant drop, except the feeling of that moment has lasted for years. The fact that my brain does this on its own, and there's nothing I can do nothing about it pisses me off immensely. What's even more infuriating is that I know all these fears are completely irrational, and that there's nothing to be afraid of, yet I can't stop fucking worrying. And every time this happens I get more convinced that I'm just hardwired to think like this, and that this shit is never going to end.</t>
  </si>
  <si>
    <t>Work anxiety No matter what job or how easy the job is I get too much anxiety and just end up quitting, I've done this for like 3–4 jobs. I don't want to quit my current job, but I spend every waking hour dreading it. I only work 22 hours a week, and that's nothing compared to what I see other people pulling off, and it makes me feel like I'm just not cut out for life if I can't even hold a simple job. There's no solution I just want to run away, but that's what I always do I'm tired of being like this. If I quit my job I can't even show my face to my family because I have a history of quitting. I get so stressed out at work I'm holding back tears even if there's nothing stressful going on, then I come home and spend my free time worrying about how I just have to come back tomorrow. Quitting is the only relief, but it will only bring more stress. I don't want to be an adult lol get me out of here</t>
  </si>
  <si>
    <t>29 [M] First supposed anxiety 'episode' This is my first post here, and it's a post I never really saw myself making. To my disbelief, I've recently been told by multiple doctors that I have anxiety. Two weeks ago I had a normal day at the start of my Christmas holidays. At the end of the day I kicked back and played a few games with some friends online. I noticed about an hour into gaming my vision was blurring a wee bit. I thought, "Well, that's strange", and I packed the game in and went to bed. Pretty much as soon as I hit the mattress I felt shaking/tremors coming on and noticed I felt feint in the chest with a pulsating heart-beat. It's a feeling I'd never felt before. This pretty much continued all night, during which I found it hard to remain calm because of what was physically happening to me. It very gradually subsides the next day. The next day I went to see my doctor. He did some regular checks like blood pressure and listening to my heart, but played it down and said it could be the flu. Basically wait it out. This didn't sit right with me, especially because I felt 100% most of that day, and I've had the flu - it doesn't feel like that. I demanded blood work and an electrocardiography test. I had those tests done, and they indicate I'm healthy. Fast-forward 2 weeks later. I've been enjoying time with family and put that episode behind me. At this point, I put it off as a one-off event - maybe the doctor was right, it could have been the flu. I sense it creeping in again. This time I'm surrounded by family and starting to feel the same physiological effects. Shivering, pulsating heart-beat, feeling faint. Again, it lasts all night and into the next day. It very gradually subsides. OK, now I'm convinced something is wrong with me. I saw a doctor today, and he was pretty much convinced I was experiencing anxiety related symptoms. This doesn't make sense to me especially because 1. I'm a healthy individual (pride myself with gym/exercise/eating habits, 2. I've never experienced this before in my life, and here I am at 29, 3. Furthermore, I can't think of anything overbearing in my personal life that could be the root cause (not ruling out something majorly subconscious, but I can't find anything). My questions for this community: Does this description resonate with anybody here? Similar symptoms? Is it normal for episodes to last so long?</t>
  </si>
  <si>
    <t>I have my first interview For a tattoo apprenticeship tomorrow. I'm extremely anxious... Furthermore, I feel sick I'm so anxious. This is my Dream career and I don't want to mess this up... I'm scared, and I'm going to go and people think I will back out at the last second and choose not to go. Which doesn't help, it makes me feel bad about myself and I don't want it to be like other times when I get too anxious to leave the house or go out places... I want to be good enough for the apprenticeship, and I'm afraid I'm not.</t>
  </si>
  <si>
    <t>Relationship anxiety - how to progress First time poster here. I am 30F and have had anxiety issues for most of my life - which escalated until I was medicated from 2013. My history with relationships is not fantastic. I've not had a long term relationship since I was 20 and with each relationship I do have which subsequently crashes and burns my anxiety about them increase, which in turn leads to more problems in relationships going forwards. I started dating someone [29M] November last year, and warned them explicitly that Christmas and New Years are really hard times for me. SAD is a big player, the extra sensory stimulation around. In addition, I have never had a relationship survive over Christmas even prior to the other factors. They know about that later aspect but not about the underlying brain chemistry issues. Due to living in different cities and his being busy we haven't seen each other since before Christmas and only really contact via text message, but this is every day. This hasn't been an issue before but over the past couple of weeks, as my anxiety has been skyrocketing, I have become more defensive, passive and sarcastic in textual language. I know this simply means that it is not the best form of communication, phone calls would be more appropriate, and I am trying to introduce that, but it may already be too late - he snapped at me this morning about it (to be fair he has flu). I am trying to deal as best as I can with getting through the month. Furthermore, I have found working helps, and so I went back to work early. Furthermore, I had taken time off over Christmas but having that time to myself and my own mind really did not work. Going to the gym as well did wonders, but that is short term - and less practical this week due to the early January influx. I have invested in an SAD light, and I am being stringent with that. I am trying to be kind to myself. And finally I am going to Australia in two weeks to get some much-needed sun. My question really is does anyone have any advice as to how I can manage this? I would love to be in a relationship with someone and I don't struggle to necessarily meet people - OLD primarily as I like to get to know someone's personality - I don't find men attractive based on looks alone at all. But it's just actually getting through the first few months just alludes me. When do I introduce the fact that there is a problem? Is there any coping strategies that people have found helpful? I have done CBT, and so I do conceptualize how my thoughts are not rationale, but when I am at a more low ebb this doesn't help in the short term.</t>
  </si>
  <si>
    <t>How was your psychiatrist experience? Hello, I went to a ARP to get diagnosed, and I told her my symptoms, and we decided I most likely had OCD. We didn't really talk much after that she just gave me an SSRI and anxiety/sleep meds that don't work. What if I have GAD? I have tried Luton to help my OCD, but it's not working much. I have tried trazodone and hydroxyzine for sleep/anxiety, but that hasn't helped either. How should I tell her that I might have GAD and OCD? I have all GAD symptoms. Or maybe they're just alike? Any input would help. If so is there medicine for GAD?</t>
  </si>
  <si>
    <t>How to stop doomsday thinking? IDK if this is the official or well known term for what I'm experiencing, but I find that my anxiety manifests itself a lot in the form of feeling like everything has gone to shit and will stay shit forever, and I'll be pretty melodramatic about it and kind of start a cycle where I'm anxious about something, start doomsday thinking, and then get more anxious as a result, etc. As an example, today my boyfriend and I had a discussion/argument about me having to go away for school this summer and us having to be long distance. I started getting very worried and started thinking well, is the time leading up to the summer just going to be spent arguing about this?? Â Even though we've only had 2 discussions about it, and things like if I go away for the summer our relationship is gonna fall apart, and he's going to forget about me and things like that. My boyfriend stopped me and told me I was being irrational, and he's right, I'm sure that we'll have a lot of fun and be happy spending time together before I have to leave and that the distance isn't going to compromise our relationship, but I find that I often fall into this rabbit hole whenever something negative comes up. I can't seem to stop myself from feeling doomed and like this one thing I'm worried about is going to ruin everything else. Does anyone else experience this? And if so what helps you recognize it and nip it in the bud or what calms u back down?</t>
  </si>
  <si>
    <t>Anxiety at the Barber shop Ever since I had social anxiety, going to the barber shop has been a real problem. I hate the barber shop, people look and talk and that's the two things I hate the most. I tend to cut my hair very low to avoid going to the barber shop frequently, but it is still a problem. People often judge when someone going to the barber shop act shy or awkward. But how do I deal with my anxiety at the barber shop?</t>
  </si>
  <si>
    <t>A major milestone for me. So, a few mere moments ago I asked an old crush out for coffee. I did this with confidence in myself. A kind of absurdity I haven't ever seen in myself. I bluntly asked if he wanted to meet up, and he did say yes. I am going to send my therapist the longest thank-you email, this would have been unthinkable a few months ago. Furthermore, I would have had a full on panic attack before I could press send. However, I managed to maintain my confidence. My friends are proud of me, and I am for once also proud of myself. I kind of don't care if the meeting goes well or not, I miss talking to this guy and after high school we have kind of lost contact. If it goes somewhere, great, if not that is fine too.</t>
  </si>
  <si>
    <t>I don't know what I have I just created a new account for this and I really would like to hear opinions or experiences that could help in any way So, I'm a young man that is between introversion and extroversion - sometimes I'm silent, sometimes I'm the person who fills the room with energy, depends on my mood I've been improving my social skills for some time and I went from not knowing what to say to going very deep with someone, even if sometimes I don't pick the right moments for that (lack of social intelligence I suppose) I have something that no one knows - excepts two friends, and are these shakings and blockages that I have in my body. I've been searching for a long time about this, but I cannot find a definite answer When I'm in places where there's people, my neck starts to shake AF and my body feels blocked. This always happens when I'm near a girl, but not when I'm around one that I know (ex : school girls) Even if I improved my social skills, this uncontrollable and unreasonable shaking is always there. Sometimes I feel my throat or chest blocked, sometimes not only my neck shakes but also the rest of my body I come from an abusive family and that made me repress my sexuality (but even before that repression I felt this) . I sometimes wanted to talk with girls in the street, and it was a draining experience, I simply couldn't do it Normally this doesn't happen around boys but depends on the situation Does this happen to anyone or have heard about this ? Would love to hear anything that may be helpful</t>
  </si>
  <si>
    <t>I hear working out helps anxiety. What if you're too scared to work out because you're scared your heart rate will increase too much? I've heard from an EMT that people who are having a panic attack have had their heart rate go up past 200, and they've been fine. So I know it isn't a rational fear. I went to the gym and rode a bike for 2.5 miles and my heart rate didn't go past 100. So I know that it's just in my head. How do you guys overcome this? Like right now I'm sitting at work trying not to freak out because my heart rate was at 96 after I had sex with my fiancée this morning, and it hasn't gone down from 102 now since I'm feeling anxious about it.</t>
  </si>
  <si>
    <t>Crippling fear of pregnancy I have a crippling fear of pregnancy, even with proper, simultaneous use of condoms and withdrawal. I worry that there will be a micro tear in the condom, or that somehow semen will have escaped, or that somehow, I will get a girl pregnant. It's THE only thing holding me back from being sexually active in my relationship. Has anyone experienced this? If so, how do you deal with it or cope with it? Thanks in advance.</t>
  </si>
  <si>
    <t>Fears about Teeth Hello, hypochondriac here. I can talk myself into think I have just about anything. This is specifically related to teeth though. TLDR end. Along with the general dreams that I have probably twice a week about my teeth falling, breaking, decaying, no one helping everyone to laugh, not being able to speak or eat, everything imaginable, I'm also becoming increasing concerned that those fears are because my gums are receding, and my teeth are going to fall out IRL. I have an activated charcoal tooth powder that I've been using to help fight yellowing (drink a lot of coffee), and my teeth feel clean, but my gums look pale. Maybe I'm sick with something else, but he powder could be bleaching my gums which is fine, but I feel like I can see more of my tooth than I'm supposed to. I also chipped one of my front teeth recently and that's been more and more a source worry. I'm also concerned the chipped top is changing the way my teeth fit together and bringing back my underbite and undoing all the work my braces did. Furthermore, I'm terrified of the dentist ever since I got my wisdom teeth out, the stitches' situation there was terrible. In high school I went through a phase where I was brushing my teeth four and five times a day as a control thing related to other anxieties/issues. I've also been told I'm a perfectionist, and I'm very vain so my teeth matter because people will look at them and judge me. Help? TLDR- long history with teeth insecurities including anxiety dreams about tooth damage etc., but now I'm actually concerned all my teeth will fall out, too afraid of the dentist...need guidance.</t>
  </si>
  <si>
    <t>Anxiety and Intimacy Does anyone else get anxious over the thought of initiating sex? It's been a dry few months for the SO and I due to some anxiety and depression spells that have surfaced, and I want to so badly start leading back into that intimate part of our relationship. The thought of it makes my body so excited but then a wave of anxiety crashes down for the fear of being viewed as inconsiderate of their current standpoint. Have any of you gone through this?</t>
  </si>
  <si>
    <t>I need constant reassurance that I'm still ?liked', and I take things V personally and overthink. Any experiences with this?</t>
  </si>
  <si>
    <t>Panic attacks I used to get panic attacks almost every day, but they've eased up, however when I get a bad one it's hard to cope with it, how do people cope with theirs? Anything you do that helps it please?</t>
  </si>
  <si>
    <t>Meds If you go to your doctor for anxiety is there a typical med they start with? Like I know not all meds work for some people and they have to try a couple or more before they find one that works but is like there a go-to starter anxiety med they typically prescribe first or is it more tailored to your circumstances and personal specifics or some shit?</t>
  </si>
  <si>
    <t>Blurred Vision camp; Tingling Lips Does anybody else suffer from blurred vision and tingly lips when an anxiety attack is coming on? This has been happening to me for about a year now, and I'm curious if this is more common than I think. It started with lip tingling and then has slowly progressed into blurry vision as well if my anxiety is really high.</t>
  </si>
  <si>
    <t>Cardio phobic husband may be the death of me. The past 8 years has been filled with hospitals, doctors and pills. A lot of mental anguish and anxiety in between. My husband never had a major health problem. In fact, he was the type of guy to push himself when he was too sick to do so. Then he had a heart attack, a real bad one. It was a piece of plaque that had broken off and traveled to his heart. It caused a great deal of pain and scared the living shit out of him, which is understandable. When he was released from the hospital, he was sent home with hardly no meds and no real change in diet or exercise. During the months that followed, he started paying attention to his heart more. More attention than I knew was humanely possible. By now he tells me he can feel the blood flow through the valves and feels when his heart rhythm changes. This is insane to me because I don't even know mines beating unless my BP is elevated. Then he started having chest pains. Being new to all of this, I call an ambulance. We get to the hospital and that's where things get weird. When asked, he claims his pain LVL is a 10. I've seen him at a 10, this is a 3 at best. His EKG doesn't look "right" but the other test results are unremarkable. They always sent him on to a cardiac care hospital just in case. 2–3 days of tests with nothing found to be wrong, he's sent home. The next 6 years of my life was consumed by heart issues that only he could feel and weren't detectable by any test. Over and over the same OL pains show up, and we are in the hospital again. I have had my fill and let his cardiologist know, husband sitting right there. Doc says "ok, next time you come in with these symptoms, and we can't find a cause, we are going to open you up." And, just like that, the pains stopped. Fast-forward 2 years, he starts having pains again. But, this time I can tell he's truly in trouble and call an ambulance. The EMTs and hospital staff are even jaded by his shit by now. They send him to the bigger hospital where they find 2 blockages and put stents in them. Now, he's scared to get his heart rate up for any reason. He pushes himself to be at rest so bad, he never leaves the couch, like ever. His life has completely come to a halt. The chest pains have now returned which led us to another hospital visit. This time they found pneumonia but nothing cardiac related. But that hasn't stopped him from driving an entire PULMONARY floor insane. The cardiac response team has been called in at least twice daily because of chest pains that are over before the morphine has a chance to help. I'm no doctor, but I'm pretty sure pneumonia can cause some chest discomfort too. I know he can't help it and doesn't mean to drive me insane. In his mind, he is truly in danger, but I can't deal with all this again. What can I do, and what should I avoid? Where does my 20 years of experience studying this man come into play? What rights do I have in his care? How do I care for my own mental health?</t>
  </si>
  <si>
    <t>Period after DPDR ? Can anyone describe to me period after DPDR because I don't know if I am out, or I am still depersonalized ?</t>
  </si>
  <si>
    <t>DAE worry they are annoying to everyone when they're drinking? I'm a super lightweight and a smaller female, so I usually get really drunk after two drinks. I start to get friendly and not think about my insecurities and anxiety. Sometimes I worry that my friends think I'm super annoying. Does anyone else feel that way?</t>
  </si>
  <si>
    <t>I feel like I'm in a deep hole and a mess sometimes due to anxiety. Sorry its such a long and Randy post, but I just feel like I need to write here. I'm a 22-year-old guy (on an anonymous throwaway account). A college student who feels like I'm not going anywhere in life due to the anxiety I have. I got about 1 year left (should have graduated last summer if I didn't change my major as a sophomore) and am not ready to graduate in my opinion, and it's a waste. I have always struggled since I was young to communicate, start conversations, or relate well to others that aren't in my immediate family. Furthermore, I don't really have any friends, never had any girlfriends, never even had a real job of any kind due to the thought of having to interact with people all day, as well as fear of getting fired easily for not being a great communicator and messing up, or fear of blowing it in the interview, even though I know I'm a hard worker. Furthermore, I have been making a bit of money to support myself by flipping mainly electronics locally for the past 2 years using mainly my financial aid money though, but it probably won't count on my already lacking resume since it wasn't under a real job. Furthermore, I do have a few things on it like school volunteering for a year and a club I was a part of but haven't been able to attend in the past few months due to moving far. Furthermore, I did put the bit about selling things for 2 years as self-employed but think I should remove it now. Things haven't been going as well lately with reselling and due to not being classified as a "full-time" student, my financial aid was significantly cut to the point I get no extra money besides money for class and as a result I had to move in with my parents this school year after my last apartment lease was up since I can't afford to live on my own with no random roommates and have no proof of income. I was sharing an apartment with a family member, but they decided to move somewhere with a friend this year. I do help by offering to pay my parents a bit of rent each month camp; am fairly independent (I know how to cook a bit, I do my share of chores mainly without being asked, my own laundry, etc.) so it's not like I live here as a waste of space. Furthermore, I get pressured a bit by my mom to find a real job, but sometimes I don't think she understands what goes through my head. Furthermore, I feel like to her, it's something that should magically happen overnight. Furthermore, I actually applied to a few different places but no response to most and even one rejection email (possibly due to my lacking resume). Furthermore, I feel limited to where I can work since I can't drive due to a minor disability and live where transportation is not reliable. Furthermore, I also don't know where to even start for what to do after college, while I hear my peers are getting internships and are already a few jobs in. My school has career services and even many counselling and other help services for things such as anxiety, but I still feel nervous and or embarrassed get help. I just go to school camp; go home after, barely saying a word to anyone or anyone saying a word to me. It feels depressing and monotonous after a while. Sorry this was long, just needed to let this out.</t>
  </si>
  <si>
    <t>Does anyone feel heartache? Recently, I've been pressured at my internship. Since I haven't been doing so well my supervisor is going to give me a C grade. Which will drastically affect my GPA to that will affect my next stage of academics. After thinking about it, it gets me anxious, and it makes my heartache and my stomach flip. Any tips?</t>
  </si>
  <si>
    <t>I tried to help people in a thread. I was met with harassment, sexual advances and threats. My anxiety is getting worse. I made a thread in a sub. People were looking for friends, I gave up on that years ago. I asked if anyone wanted an ear. Talking to people is difficult for me, because of my anxiety. I made it clear I didn't want sexual advances and that I'm not a trained professional. My anxiety prevents me from revealing too much about myself. I have self-confidence issues. I was met with sexual advances. Some of which turned threatening when I said no. I had people comment, comparing me to perverts. Some called me names. I wish I was brave enough to ignore it. Instead, I panic and hate myself. You know when people wish for superpowers? I would wish for thicker skin.</t>
  </si>
  <si>
    <t>The anxiety while driving a car. How do you deal with this besides obviously confronting the fear itself? Anyone else here able to relate?</t>
  </si>
  <si>
    <t>Don't roast me pls I need advice... this is a little embarrassing... IVD had yeast infection for a while... I'm so scared of it turning into a kidney infection... but I'm horrified of taking antibiotics because of my xenophobia - these meds make me sick to my stomach. Not only that, but I can't swallow a stupid pill anymore because I choke on them... How the hell do I deal with this? I'm so fun*ING embarrassed because I START MEDICAL SCHOOL SOON. How am I going to be a good doctor if I can't even take my own medication... I feel like an idiot... I'm so embarrassed to tell my psychiatrist.</t>
  </si>
  <si>
    <t>Stuck in this vicious circle While I have been feeling pure guilt for avoiding everyone's calls and been isolating hoping that the floor would open up and hopefully swallow me then close back up.</t>
  </si>
  <si>
    <t>Dizzy Is it common to feel dizzy when going through periods of anxiety? Just not feeling as sure of your balance? Not falling over but more the sensation of feeling dizzy.</t>
  </si>
  <si>
    <t>Stuck at Work (Again) New Year always brings more anxiety. I feel a clock ticking constantly. I hate this. Hard to deal with this sort of stuff here. Just want a hug. Preferably to stay in bed all day as well. Four hours left I hope. I need to get a grip.</t>
  </si>
  <si>
    <t>What to expect at first doctor's appointment? So I've been suffering with anxiety and depression symptoms for over 3 years now, and I've convinced myself that this is due to work related stuff. I've even been at my doctor a year or two ago with complaint that I am constantly tired and moody, one of the symptoms of depression. He has done some blood work and concluded that I was under stress and I should change jobs. Not very helpful. Now I don't work anymore, I returned to uni full-time, but I still feel like shit. I wasn't very anxious before, just mildly depressed, but this winter my anxiety skyrocketed, most of the December I felt sick to my stomach and not very optimistic about my life and alone, although I have my family and some friends, plus I've isolated myself from my new classmates instead of making new friendships and connections. So because my mental health isn't getting better but worse, I've decided enough is enough, I need to seek professional help. My first step is seeing my family doctor, but I don't want him again saying to me that I'm just under stress or something, so how should I proceed at my appointment? Any advice from someone who went through something similar? Thanks!</t>
  </si>
  <si>
    <t>Over a day I don't know what's going on with me. I have been worrying about nothing for the last 24 hours. My breathing is erratic and forced. My mind is running in circles. Every feeling is magnified. My hands are shaking. I'm trying to distract myself. I have dealt with some form of anxiety or the other but this just seems so much more amplified. I don't know how to react or respond. First I was thinking it was an attack but it hasn't blown over. It has been so long. I don't know how to fix it.</t>
  </si>
  <si>
    <t>Panic attack I woke up and was automatically having a panic attack about work, even though I'll be there 30 minutes tops. I can't take this anymore. It feels like my back and neck is all knotted up and stiff and I just don't want to be alive.</t>
  </si>
  <si>
    <t>Terrible anxiety with my insomnia? I have a super hard time falling asleep, and I find during my worst waves of insomnia, I get the most anxious. I find myself having literal panic attacks about, say, the prospect of having lost a library book. Furthermore, I knew I saw the library book on the piano before I went to bed, but what if got lost between then and now?!?!? Or, what if my grandmother secretly hates me because I didn't post happy birthday on her Facebook timeline last year!?!? Stupid things like that, but I end up totally freaking out about them. I know anxiety gets worse at night, but during these waves of insomnia I get so freaked out and irrational, it's insane.</t>
  </si>
  <si>
    <t>Mirtazapine and weight gain So my anxiety has been crazy this past month at the point that I just don't sleep anymore. The only drug that worked on anxiety and depression for a while was mirtazapine (Cameron) but it made me gain so much weight ... I developed anorexia Negros while taking it. I was later introduced to aborigine and started taking it along with dirt. Furthermore, I had a bit more energy and I think my appetite was less strong, but I had a few bulimic episodes. Furthermore, I don't know if my weight was doing ok because of control or because of aborigine. Aside from that the combination was working well for me, my sleep was great my anxiety manageable. But I had a panic attack about the weight stuff (you don't get rid of eating disorders easily ...) and stopped it cold turkey. I slept less but felt less tired (TBH I was staying home all day). Nowadays, I'm only on aborigine and feel so anxious it makes me suicidal. I just came out of a week of inpatient and hospital is not an option. I'm so scared of weight gain, but I miss the sleep the anxiety relieve so much... It's the only drug that was effective on my sleep, I was prescribed Mercian, but the confusion is horrible, I'm really hesitating asking for a mirtazapine try once again. Has anyone tried the dirt/aborigine combination ?</t>
  </si>
  <si>
    <t>Anxiety episode that I'm having trouble getting through. So for about 1 week now I have had the fear that I would forget how to use my arms and legs. As silly as it is I am finding it incredibly difficult to get past this. I have had similar worries such as worry I would forget how to breath or forget how to talk which I was able to get over but this I just can't seem to shake. I am current seeing a psychologist and am I having my second session next week. However, in this current time between sessions I do not know how to cope and could really use some input and what you guys think about this.</t>
  </si>
  <si>
    <t>Does my Fitbit worsen my insomnia? I've always had some trouble sleeping. It's usually by cycle, and it's mostly because I'm having trouble falling asleep and then stress over it the rest of the night. However, I think my fitness tracker is making thing worst. I do not feel anxious at all, and I've been unable to sleep for several weeks without medication. Today, I decided not to take it, and I've been unable to sleep for 8 hours. It never happened to me at that extent. Does anyone else experienced the same thing?</t>
  </si>
  <si>
    <t>Anyone else's anxiety feels more intense than just anxiety? I miss the days when anxiety just meant butterflies in my stomach before a speech or talking to a guy I liked. For the past 3 years, I panic over just about anything. I'm *slowly* trying to get a grip on it but it makes it so hard to do anything. In all social events, I start getting shaky and my limbs feel weak. I hate when people pass me things because my arms are all wobbly and shaky, including my voice. My voice becomes faint when this panic comes on. People look so concerned when they look at me, but they're nice enough to not say anything though. I recently got a job after not working for almost a year. My last job I was having such bad panic attacks it felt like I was having heart attacks to the point I couldn't speak or move. One time during rush hour I ran to the back of the kitchen while there was a long line. I felt so bad for my coworkers. They didn't understand that kind of anxiety and I guess I don't blame them. I'm holding it together for the most part at my current job, but I catch myself getting the symptoms. I always have a sense of fear hovering over me. This anxiety makes me clumsy, tremors, manual breathing, and talk like I had a stroke. When I'm nervous I catch myself holding my breath and IDK why I do that, but it happens a lot. By the time I catch myself doing it, my head camp; hearts racing, and I'm far from my center. I work in retail and when the anxiety gets that point it feels like my hands don't function. I'll try ringing people up, but my hands barely have enough strength to lift/grip their products ? And they're not heavy at all. My doctor prescribed me propranolol for the heart racing, but I try not to depend on it. I've had MRI's for the stroke-like speech and tremors, but everything was healthy. 2 semesters ago I prepared a speech for a class assignment. I literally froze and started shaking in front of everyone. I want to cry thinking about it. Furthermore, I quit self harm, but sometimes the anxiety gets so bad it's all I can think about. When I'm in public I feel only safe in my sunglasses and headphones so I can get to my destination at ease. Sometimes in public I forget how to walk because I'm so self-conscious. Is anyone going through this intense type of panic? It's like I'm worried I'm screwing up. I'm hyper aware of myself to the point it's unhealthy. It's ruining my fucking life and makes me want to off myself. Thank you to ever takes the time to read this.</t>
  </si>
  <si>
    <t>I'm having some major anxiety about death. I have suffered from anxiety for years, but recently, it's been a lot worse. Furthermore, I'm 21, I shouldn't be worried about dying. But it's taking over my mind. All I can do is pace around my house and cry. I've had several panic attacks today. I scheduled an appointment with a therapist, but I'm looking for tips on how to cope in the meantime. How have you dealt with this feeling, if you have? Any general advice? I've lost some people in my life recently, and I'm thinking that may have something to do with it. My grandma died recently, and some of my friends have split off from me. I feel super isolated and lost, and I've never really thought about dying before. I just want peace from this fear.</t>
  </si>
  <si>
    <t>Anyone ever experience tightness? Ever since my anxiety disorder was official diagnosed, I've learned about a lot of symptoms I never knew existed. One that's been happening for a bit, is basically it feels like my face is being squeezed. It's not painful just uncomfortable, usually lasts an hour or so. Anyone else felt this?</t>
  </si>
  <si>
    <t>My half sister have her new boyfriend over, and I went to bed with anxiety and I woke up with anxiety. I'm 20 and I never had a relationship. It's her second boyfriend in a year. My stomach is filled with anxiety. She's very outward as a person and has a network of friends etc. I don't have any friends and I have been isolating for a year. I use tinder that's it. Furthermore, I can't help but think I don't think I will ever be happy with someone else. Seeing them how they melt in with my family. I don't even melt in with them. I feel pathetic. Furthermore, I can't imagine how it is to be in a relationship, how it feels to be loved by someone.</t>
  </si>
  <si>
    <t>Scared I might have schizophrenia Trying to sleep but whenever I close my eyes my thoughts just race. Random things that happened throughout the day that I heard or saw just pop up all at once and it's awful. I'm scared I have schizophrenia or something help</t>
  </si>
  <si>
    <t>Why do people ring when they can just text? I associate all phone calls with emergencies and urgent situations. Also, people who have insisted on calling me in the past have actually called instead of sending a written message because they know it's easier to manipulate me if they're speaking to me. If they send a written message, I have time to write a well-thought-out reply and can't be caught off-guard. Certain people have called me because writing is more my forte, but it's not theirs. They choose the terms of the engagement by calling me when seeking to manipulate me. Of course, I'm not going to answer if I know this is their real motive for calling! It bugs me that friends know I hate answering calls because of my anxiety and previous experiences with frequent, manipulative callers. I've had the same number for years and get a lot of scam calls as well. Why do my friends still call me for non-urgent reasons? Like asking me when I will get somewhere? That is easily done via text or Facebook Messenger. There's no logic to calling someone when they're late for something either, as wasting their time talking to them when you don't need to just makes them even later. Texting/messaging saves time and is far less anxiety provoking. Getting calls from work and family I can deal with. But getting frequent calls from friends for no reason really bugs me. I get anxious every time I see/feel my phone ringing (I keep it on vibrate, of course). Anyone else feel this way or have similar experiences?</t>
  </si>
  <si>
    <t>What makes you guys happy or centered? I've reviewed what makes me happy and the only thing I have constant access to is alcohol. I have interests, but I'm not happy with just distractions. What do you do that keeps you happy or gives you peace?</t>
  </si>
  <si>
    <t>I'm experiencing panic again I was in a constant state of panic for about two years. I thought it was Benz withdrawals as I was using to keep me calm. After a long time of non use the bad feelings emergence out of the blue. Those feelings came back while I was at work. I ended up in the ER, what a mess. I thought I was dying. It was just panic. I've been crying all night. I don't know what to do. Furthermore, I'm too old for this. Furthermore, I'm in my 30s. Furthermore, I don't want to feel like this. What has helped you?</t>
  </si>
  <si>
    <t>Is there a name for what I'm dealing with? Need some advice. Hi everyone. This is my first post here. I'm not perfectly sure if my question fits with the Subreddit, but it doesn't hurt to ask. By no means I'm asking for some kind of diagnosis. I just want to hear your opinion on something I've been dealing with for a long time now. Many years, actually. When I was in high school (around 6 years ago) I started dealing with random anxiety attacks in that I would fixate on a stressing thought for days to the point where I'd even experience a panic attack. That led me to visit a therapist during the last year of high school. The therapist confirmed that I had some form of anxiety, probably an anxiety disorder, but he was never very clear about it. I went a few times and then stopped because I found him mediocre. For these past 3 years or so, I don't deal with panic attacks, but I have a different form of the issue I described. I basically overanalyze things, almost all day. In most cases, they are things that I might feel uncomfortable about thinking. Not necessarily taboo or offensive. Just a tad bit inappropriate. And the thing is that If I avoid the overanalysation I start feeling stressed. As if I haven't completed something important. As if I have to do it, otherwise my day won't be right. It certainly isn't tremendous stress, but it is annoying. Do you have any idea what could be causing this? Is there a name for it? Is it something specific? I can't afford to go to a therapist in the meantime, so I guess just having a possibly clearer picture of what I might be having would make feel a bit better. Thanks in advance.</t>
  </si>
  <si>
    <t>. I just need to vent. Anxiety has ruined my life. I beat it after 7 years. And now 5 years later its back with a vengeance. I almost killed myself tonight. Only to realize that I am so mad at anxiety that I would rather destroy it than give in. I'm so sad on the inside. The pain runs deep. But I refuse to give in to this puny fucking demon I hate anxiety so much. I wish I could eliminate it. I've been to the brink so many times how do I escape it</t>
  </si>
  <si>
    <t>Anxiety cause by certain sound frequency? I went to visit a new psychologist to talk about how I could work my ADHD symptoms, and she mentions that social anxiety or anxiety in general could because by some certain sound frequency triggering the fight or flight response in some people. She didn't talk much about because we didn't have enough time. Still, it caught my attention. Never heard of this before, so I'm quite curious. You guys have any idea about this topic?</t>
  </si>
  <si>
    <t>How to get into sports again? Hey guys, hope someone might have some helpful Tips or support. Last year I was quite active, exercising like 2–3 times a week. Work related Stress drove me into health anxiety and panic attacks during the last three months and I have been scared to exercise since then. I went to different doctors to have my blood and heart function checked and everything turned out to be fine. Even though I am still scared to exercise again. The thought of running and having my heart pound scares me, I am scared to have a panic attack again. Is there anything I can do except just go for it? I feel so weak since this last months and I want to get better again.</t>
  </si>
  <si>
    <t>How do I stop having anxiety over browsing history Not trying to be Vulgar, but I don't watch porn or anything! Why does it give me anxiety to have browsing history, I mean stuff happened in the past but now?!</t>
  </si>
  <si>
    <t>I just woke up with my heart beating fast and breathing was intense I never felt like this before. I'm completely afraid now. Furthermore, I'm back to normal, however, I am still shaking and earlier it felt like my heart was going to stop suddenly. Furthermore, I never had this happen before.</t>
  </si>
  <si>
    <t>This all-nighter is brought to you by anxiety. Providing tears and panic for 25 years. Anyone else with me? Laying awake with circular thoughts?</t>
  </si>
  <si>
    <t>Am I a fraud? I have been diagnosed with GAD and depression and have been prescribed medication. When I'm depressed (anxious all the time but only sometimes depressed) I want to just hide in bed/under a blanket/in the toilets. But I have two young kids so often HAVE to get up and do things. I'm always reading about people with depression that can't go to work because they can't get out of bed. Is this not actually linked to my illness, and I'm just being lazy, as I can force myself to get up, or is it just that I only have mild symptoms?</t>
  </si>
  <si>
    <t>Medication Anxiety Does anyone else get medication anxiety? I was given medication for a sinus infection yesterday and have been too nervous/scared to take it. Same for my vitamins that I have been taking lately I can't even take them. Has anyone found a way to better overcome this? I was thinking about going and sitting in the ER and taking them but that just seems irrational, and I feel like everyone would judge me for that asking for a ride to the ER just to take medication.</t>
  </si>
  <si>
    <t>I think I just had a panic attack, I'm not too sure ok so its like was like 1:30 when it ended, and it felt like 20 minutes, not sure if it was. Staggered heavy breathing, not a lot of tears, I have a dry mouth and I'm lightheaded now. It might have been me just crying, I don't really know, I don't want to over-classify it help many thanks</t>
  </si>
  <si>
    <t>I'm not sure if I got the job so it'll be a long weekend. Had a phone interview on the second day of the year that somehow went well. I was just trying to get into the idea of submitting my resume and not expecting a response. They invited me to an in-person job interview today. At the end of the interview, one of the guys pulls me aside, asks me when can I start, expected pay, and that HR has to make the offer. But he didn't say the words exactly, so I feel I can't celebrate. I also got some photos published in a small mostly online magazine, but feel like it's not something I should be excited about, and I'm not sure why. And all this without my therapist, not sure if this means I don't need her. As this is the most productive I've been in the entire year that I saw her.</t>
  </si>
  <si>
    <t>I just don't know what I'm doing wrong I feel like I annoy my friends and make them angry all the time. Everything is going smoothly talking and playing some game and then suddenly for some reason one of my friends acts cold with me and just leaves and at this point I don't know what I'm doing wrong. If she doesn't want to talk with me, I just wish she would tell me or something, so I wouldn't have to go to bed scared that I did something to upset her again and not being able to fall asleep and just panicking like now, and I don't know what to do anymore.</t>
  </si>
  <si>
    <t>Does anyone else panic when people are over your shoulder watching you work on your computer? I can be at work at my IT job and do everything completely well and peacefully, but as soon as someone comes up to me and asks me to show them anything/how to do something on the computer, I freeze. I suddenly start to forget what I'm doing and get shaky. Furthermore, I think it's because I have this underlying fear that people think I'm dumb or are constantly judging my intelligence. Same thing happens when people ask me questions over the phone or in meetings. I feel like everything is an exam and that everyone is smarter than I?waiting for me to fail.</t>
  </si>
  <si>
    <t>Is this a part of my anxiety and not true? Whenever I go out with friends or family, afterward I feel guilty and go over every situation worrying about what people thought when I said something or whether I talked too much. Did I ask them enough questions? Did I sound like I was boasting or annoying when I said this? I replay every situation and feel bad that it changed peoples opinion of me. It tortures me.</t>
  </si>
  <si>
    <t>I have to swallow everything and face a big problem I created tomorrow. My husband of 7 months wants to add me to his bank account. I am terrified because my banking/credit history is less than stellar. He is not aware. I'm so afraid of being rejected in front of him. I try to escape it any way I can, (I've pushed it back as far as it will go), and he says it's time. We will do it tomorrow. Â I've already gone into slight manic mode, and I'm hoping my body just shuts down to sleep tonight. Sigh</t>
  </si>
  <si>
    <t>Needing support: insecurities are making life so difficult I wasn't sure where to post this, anxiety seems a good place. I've struggled with it as long as I can remember. Feeling insecure about things other people might not even give a second thought to. I am early 40s, and it feels like I should be more comfortable with myself by now. Not stressing over trivial appearance related things :(I'm sad that I'm struggling with this. I could write so much here, I kept it simple, and maybe some helpful replies will come my way. Thank you A??</t>
  </si>
  <si>
    <t>How to calm my anxiety about sneaking out? I'm 22 and I'm planning on going to my boyfriends tonight once my parents go to bed. Yes, I'm an adult, but my parents are strict and still don't let me live my own life. I have a membership to a 24hr gym so if they called or anything I was just going to say I'm there. Regardless, my anxiety is still over the roof. What do I do???</t>
  </si>
  <si>
    <t>Group for the anxious/depressed We are reading a book called Feeling Good: The New Mood Therapy by David D. Burns. He is an adjunct professor in the Department of Psychiatry and Behavioral Sciences at the Stanford University School of Medicine. You can google the book name to see the reviews of the best-selling book that popularized the field of cognitive behavioral therapy. In group call, one of us reads the book out loud to listeners. Sometimes we brainstorm since it helps to apply the advice given in the book. If you are interested in joining, PM me about your level of depression/anxiety, country (for timezone purposes), about yourself (just to check if you are not a psycho or weirdo) and if you have Snapchat or discord. Why should you join? If you are too depressed to do anything, if you are procrastinating, if you are lost, if you feel bad, someone reading this book to you can help you. Why I'm doing this? I'm too depressed to read a book about depression alone. My attention span also got shorter due to anxiety. Doing this with others makes me somehow accountable, and I feel like I'm doing something good for myself.</t>
  </si>
  <si>
    <t>I would not wish an anxiety disorder on my worst enemy I am on mobile in bed, so excuse any formatting errors. My anxiety disorder has steadily been getting worse over the past few months. I have made a doctor's appointment for next week, so I will be able to figure out where to go from the point I'm at, hopefully some therapy will be involved. I can't eat anything without stomach pain. My stomach feels like it's permanently in knots. I have diagnosed IBS, and it makes eating nearly impossible. But, when I don't eat I am dizzy and acid builds up in my stomach. It's a vicious cycle. I have been having anxiety at night that I can't pinpoint the cause of. I see other 23-year-olds out with friends, having a good time and I can't do these things. Furthermore, I am going on a weekend get away less than an hour away from my home, and I am incredibly worried. Furthermore, I am only gone one night, but I am still very worried. Furthermore, I want to be okay. Furthermore, I want to be okay so badly :(</t>
  </si>
  <si>
    <t>I'm doing 3 minutes of stand-up comedy tonight My heart has been racing all day at work. I haven't been able to concentrate. Furthermore, I barely slept last night. Furthermore, I feel anxiety all the time, but this time I'm going to try and push through the fear. Thanks for reading.</t>
  </si>
  <si>
    <t>Taking a trip with agoraphobia So I've dealt with generalized anxiety with agoraphobia for a few years now. This started out as just getting anxious in traffic which evoked the psychosomatic symptoms of nausea and need to escape. It turned into fear of driving to a location that I couldn't retreat or be helped from (people in my family have agoraphobia). It also turned into xenophobia, vomiting freaks me out. Thus, I've been limited to the degree of where I go, spend time, and drive. Nevertheless, a band that I enjoy is playing a show in the city, which I haven't been to in 4 years before this all developed. I bought a ticket and figure I'll use motivation as my way to kick agoraphobia. I'm unsure of whether I'll drive with some friends, take mass transit, Uber, or allow someone else to drive. All of the above are going to be tough for me. I have thought about using systematic desensitization and either driving a little bit further daily (or taking the train one more exit) leading up to the show, but I was wondering if anyone had some other ideas of how I can prepare for this!</t>
  </si>
  <si>
    <t>Anxiety about my child Ever since my son has been born I've had extreme anxiety about him growing up and that I could never be a good enough dad for him. He's now 4 and in pre school. I've just had 2 weeks vacation off spent with him, and he's starting back school tomorrow, and I'm having a super hard time. The idea of him starting kindergarten next year is making me freak out also. My dad sucked growing up, and I so badly don't want to do the same thing, so I continually obsess about it. I feel like I rambled, but these are my thoughts right now.</t>
  </si>
  <si>
    <t>Got invited to an event. Just found out I was asked because the original invitees bailed. Feels bad man. What makes it worse was I thought I was their first choice. The vindictive part of me wants to cancel because of that, but I would ultimately feel guilty if I did that. I know it's not the healthiest way to look at it, but... Oh, well.</t>
  </si>
  <si>
    <t>Anxiety about love Hello everyone, first I am not very good at english, so I'll do my best to explain. My ex-girlfriend broke up with me 3 years ago. I did not see other girls since then, and I have a lot of anxiety thinking about dating and seeing other girls. I am not doing well alone, and I am on meds to boost my mood. Furthermore, I don't know where to start, and I don't know if I will be able to date someone. Furthermore, I am seeing a social worker to help me with my mood and all, but I don't think he will help me with that. Is there something I can do to help my situation and start somewhere? Thank you.</t>
  </si>
  <si>
    <t>Sugar and anxiety - is there any correlation? I don't have anything to be anxious about at the moment and I feel happy. I haven't had an anxiety attack in a while. Yesterday, I consumed an ungodly amount of sugar (lol) and while I don't feel anxious, I have that feeling of wanting to jump out of my skin 10+ hours later. It's like excess nervous energy. I recall that this physical feeling usually goes along with my anxiety attacks... I know caffeine has an awful effect on my anxiety, and now I'm thinking that sugar does too. Furthermore, I can't think of anything else that may have triggered this excess nervous energy. Has anyone else researched this or experienced it?</t>
  </si>
  <si>
    <t>I graduated from college and... I don't know what to do next. Like every option makes me throw up. I went to school in Atlanta and I hated it, but I have to get out of my hometown. I've burned every bridge and there's nothing left for me here PLUS my parents want me to start going to church again like I never left (can never do that again). But all my friends are here, and I'm terrible at making friends so the thought of jumping blind into a new city is terrifying, but the longer I stay with my parents, the more I realize that most of my friendships are already dead. I'll never start dating if I stay here and there's so much bad blood. I have to get out, but I don't have anywhere to go, and I'm just freaking out.</t>
  </si>
  <si>
    <t>Panic attack I'm having a panic attack. My son graduated from BMT, and it was an eventful, social weekend. Everyone in my hotel room is super loud and noise is triggering. I'm trying to act calm, but I want everyone to just please shut up. I'm not well. Please help.</t>
  </si>
  <si>
    <t>I think I'm too broken to be fixed I'm 42, alone, and I can't trust anyone not even my family. I'm trying my best to trust God, but I've never been where I am right now. Furthermore, I don't know why I'm posting this. Its not like anyone can change my situation. I've not been happy in over 4 years and my anxiety has gotten so bad that I'm losing time/memory. I've had a brain scan...all is good, and I'm not having hallucinations. But this nagging voice...my own conscience...will not let me rest. I'm always worrying, analyzing and trying to fix things but by doing this I make it worse. I'm on two different medications, and it's like I'm taking a placebo. Furthermore, I need relief. Furthermore, I cannot take this anymore.</t>
  </si>
  <si>
    <t>My daily meds lost efficacy when I went through sudden menopause - anyone else experience this? Has anyone experienced their regular daily meds and/or OTC meds suddenly lose efficacy when they began menopause? If so, do you have any suggestions or medical knowledge? I'm totally lost as I can't even find anything online referring to this phenomenon. I am baffled. There is a longer question I posted in r/Menopause and I also posted here a few days ago - but with zero responses. It's a long post - sorry, I'm not familiar with Reddit and probably overshared, but it's complicated. I'm really trying hard to find solutions or even causes for this phenomenon. Thanks again!</t>
  </si>
  <si>
    <t>My Anxiety Attack Anxiety. I don't want to live anymore, but I don't want to die. Medications, therapy. Everything is a struggle. Hopeless, stupid, unwanted, unloved. Feel like I need validation from others who probably don't matter or don't care. Does it ever end.</t>
  </si>
  <si>
    <t>Broke up with BF and struggling with so much shame I broke up with my boyfriend two weeks ago and since then I have been struggling with so much shame. I am ashamed because I let the relationship go on for so long and kept trying to communicate and work things out, and now I feel like I had no dignity and should have put my foot down and advocated for myself. I am ashamed that I care the relationship ended. Most of all I am discouraged because we had some mutual hobbies, and now I'm afraid to show up and run into him there. Things ended badly and a lot of negative things were said. I felt like my BF was always putting me down and manipulating me, so I feel like he has told some of our mutual friends things that aren't true. I don't have proof, but that's what my depressed brain has been telling me. So it's like I don't want to show my face anywhere or do any of my old hobbies. I feel isolated and like I lost a bit of myself and I hate myself for it. I have an appointment with a therapist this week and I don't even want to go because I am worried that she will judge me and think I am stupid for caring so much about what he thinks or does.</t>
  </si>
  <si>
    <t>How to minimize side effects? Hey guys, this is my first post on here ever, and I am not sure where else to go as I have already talked to a Dr about this. I was put on Zoloft for my GAD in November starting at 25mg. I felt fine but thought I maybe needed a little more so talked to my Dr, and they upped the dose to 50mg. Since I started taking the 50mg I have had awful, frequent diarrhea. Non-stop. I kept on the dose for a month with the hopes that it would subside. I was in the bathroom upwards of 4 times a day. Before this I rarely had more than one bowel movement a day. I tried taking Medium, it did not help. I tried Pesto, it helped a tiny bit but not enough. Furthermore, I tried taking the Zoloft after eating rather than on an empty stomach. Kind of helped but not much. Finally talked to the Dr again, and he had to switch to Elena 20mg. I am still shitting my guts out. I know Zoloft takes a few days to leave the system, but I have chapped my skin and made my asshole bleed from the constant wiping... Furthermore, I'm sorry this is super gross and TMI, but I'm seriously considering stopping the meds just so I don't continue to hurt myself. Should I just wait for the Zoloft to leave my system and hope the Elena doesn't give me the same side effects? Is there food I can eat that won't have me running to the bathroom right after? I have anxiety about bathroom stuff already and am now in constant fear of soiling myself at work or in public. If this should be posted elsewhere please let me know as I am at my wits end.</t>
  </si>
  <si>
    <t>Who has used Lorazepam (Asian) for a long period of time? Hi all, I have been prescribed Lorazepam almost 2 years ago. Dose is 1mg a day, but I rarely take it daily. There are times I take 0.5mg or 1mg up to 5 times a week or sometimes not at all during the week. I have read stuff online about how Bezos are not good to take long term, but I feel like I may have to. I started a high stress commission sales job which I left this line of work 3 years ago due to anxiety, and now I am back because of the money it can make me. My first week I have taken 1mg every morning and I feel it greatly helps me at work, but I am also scared of the long term effects. I wanted to hear any experiences people have had with long term use of Asian bad or good.</t>
  </si>
  <si>
    <t>I'm not ready for classes to start back up tomorrow and I can't fall asleep I am not ready for classes I am not ready I am not ready I am not ready I'm panicking, I said to myself "what's the worst that could happen?" until I realized so many things can go wrong, and now I can't fall asleep I failed my first class last semester and am so terrified of that happening again</t>
  </si>
  <si>
    <t>Does anyone else feel like their anxiety makes them bitter and miserable? I'm sorry if this post comes off messy/confusing/cringy, but I just need to vent. I don't know what's going on with me, but I've been so fucking angry lately. There are good things in my life and I could potentially be happier, but something inside me is just holding me back. I'm doing it all: self-care, eating well, exercising, socializing, working, finishing up my degree, meditating, blah blah blah. I'm in good health, and fortunately have a loving family and a few good friends, but I still feel like death. Furthermore, I've always been an anxious guy, and it's really helped motivate me at times, but it's turning me more into a fucking asshole. What gives? I'm probably just having a moment, but it seems like lately I've been having a lot of moments. Ugh, I don't fucking know. End of rant. I just needed to let this shit out.</t>
  </si>
  <si>
    <t>Small amounts of money giving large amounts of anxiety I recently started university and my parents are helping me pay for my first year which I'm super great full for but the anxiety of all the money spent is making it, so I can't sleep, and I get nauseous just thinking about it. Recently I bought a textbook which turns out I don't need, and I was going to return it, but it has some small marks from when it was in my bag, so I don't know if they will take it back and the idea of the $60 spent on the textbook basically going to waste is all I can think of right now, and I was just wondering if any of you worry about things like this and what can help.</t>
  </si>
  <si>
    <t>In your experience, was an SSRI effective in dealing with generalized anxiety disorder? I've been diagnosed with GAD and am I considering medications. What has your experience been?</t>
  </si>
  <si>
    <t>I don't have any friends where I live. I moved to a foreign country about 4 months ago, and while I fit into the culture pretty well I don't know anybody to talk to other than people back home. I'm pretty lonely, and it makes me kinda sad, I worry it's going to be a long time before I have someone to regularly hangout with. I'm an extroverted person with a pretty significant amount of social anxiety. I've been completing all of my daily tasks of living well, but as I return from home from the holidays, seeing all my old friends is that I have absolutely not connections to any other people here in this country. I love it a lot, but like I do *Ea›VA›Ea›RA›y* thing alone, and that makes me a little sad. When I planned this move my social goals were a bit overstated, ill have to re-evaluate and scale back some social goals for year-end kinda purposes.</t>
  </si>
  <si>
    <t>My own personal savior I recently have come to a breakthrough point in regard to my anxiety. We all worry so much about the future and subconsciously predict negative versions of future situations without even fully realizing it. However, your body reacts to it as if this imaginary threat were real, creating the physical sensation of anxiety. After about five+ years of suffering from anxiety I have FINALLY found a strategy that works for me at almost any time, any place. And can reduce my symptoms by up to 90%. This method is as follows: Become mindful of when you become anxious. Whenever you feel your body starting to tense up, this typically means an anxious spell is beginning, even if you aren't fully aware of what you are anxious of at the time. Upon noticing the sensation, immediately tell yourself in a neutral, detached tone I cannot predict the future. I don't know what will happen, literally anything could happen. Â After this, focus on a future even that you are maybe feeling anxious about (walking into a meeting at work that you are nervous for) and imagine yourself feeling totally calm, competent, and performing successfully. Being able to tell yourself that you don't know what will happen is the priming for allowing the anxious emotions to lose their power, then focusing on a positive outcome for a situation (where you are anxiety-free and achieving your goal easily) will help to effectively replace the anxious thought with a positive one. This has been working wonders for me. While it is not a permanent fix, it has reduced my symptoms of anxiety (and in turn depression) dramatically over the past few days. My goal is to get this style of thought to become a habit. I honestly feel much more relaxed believing that I don't know what will happen rather than trying to predict negative versions of situations. TLDR: when you're feeling anxious tell yourself you cannot predict the future and then immediately focus on situations you're anxious for working out, as well as you feeling calm and confident.</t>
  </si>
  <si>
    <t>Recently I discovered that write music helps me I have anxiety since I was a kid, and it was always very intense. One time I went to the hospital thinking I was literally dying, but it was only systems OS my anxiety. Recently, during an episode of anxiety crisis, I wrote a song about it and realized that write my feeling could help. Now I have some musics on SoundCloud that I wrote in these moments, and I'm happy for doing nice things with my suffering. Write is an amazing way to calm down and I recommend to everybody... (sorry for possible English errors, I'm Brazilian)</t>
  </si>
  <si>
    <t>How do you get over something you absolutely do not want to do but have to? I'm in the military and a paratrooper my last jump out of a plane ended with me being sucked up midair by another chute and watching another person get paralyzed/listening to his screams of agony on the drop zone. I have to jump again tomorrow and after not being able to sleep after learning about it and having non-stop nightmares about it, I'm told to either do it or get punished by the military judicial system. This previous jump has been keeping me from sleeping for months. Has anyone overcome similar situations where they ended up doing the thing they hated despite the insane anxiety surrounding it?</t>
  </si>
  <si>
    <t>Dating with Anxiety I've been feeling a lot better in the past few months, so I downloaded tinder and got myself out into the dating world. It's been going really well, I went to meet new people, and I was honestly surprising myself with how courageous I was being. Six months ago I never thought I'd be doing this. Anyway, I'm clearly feeling proud of myself and more confident, but I met someone I really like, and it's making my anxiety come back worse. All I think about it whether this person likes me as much as I like them, what their text means, why aren't they doing this or that, and I'm driving myself crazy with all these thoughts. For example, I always drive myself nuts deciding whether I should initiate a conversation. On top of this, even though we're not officially together, I've been worrying so much about possibly getting rejected by this person and how much that would crush me. Fellow anxious friends, how do you date without letting anxiety eat you up? How do you go with the flow?</t>
  </si>
  <si>
    <t>I am never at ease I've recently started to realize that my body is never at ease anymore. It's always buzzing, always tense, always on guard. It seems like I'm constantly bracing for impact, if that makes sense. I'm also more shaky than usual. I was out for drinks with some friends the other night and my hand was shaking so badly that I couldn't even pick up my beer. Furthermore, I also feel like my face has been more tense and sometimes develops weird random twitches, which is hindering me from having good conversation. Does anyone have these issues as well? Is there anything I can do to reduce this, maybe sooner rather than the latter? I'm generally an extroverted person who can hide my anxiety pretty well, but now it seems to be manifesting physically, and it's tough to deal with :(</t>
  </si>
  <si>
    <t>Workplace anxiety Long story short we had a bad management situation that was going unchecked. I really showed my ass, got written up by HR, but also my groups' manager was fired, and the other manager pushed out. We have a much better manager now, but I still have a record in a sense. Somehow I was validated by their actions to make drastic change, yet I am a troublemaker. I am certain I could be fired at any moment (or so my anxiety says). Any advice?</t>
  </si>
  <si>
    <t>19 yr old student talks to NOBODY. Need help/advice First time using this sub, but I'm getting kinda desperate. First to correct myself, I do speak to a couple of friends I had since elementary school. 99% of my social interactions with them though are over discord when we play games. I'm a business student in my last year, I'm done in about 6 months. But I'm on the edge and feel like I can't continue. I felt like this for a long time, but I'm really feeling it now. I speak to NOBODY the first 8 hours a day when I go to school and I don't interact with anybody. The only time I stand from my chair is to go take a breather when I'm getting really anxious, usually 1–2 times every lecture. I shiver the moment I hear the teacher mention group work because everybody finds a group instantly, and I just sit silently with a dead stare like I just saw a ghost And even worse, because I'm so close to graduating there are a lot of events coming up like exams, student parties/gatherings, galley etc. which makes it even worse, and I can't stop thinking about these things CONSTANTLY. I'm just coming off of Christ break and intended to drop out the rest of this school semester and try again next year after working on some self-care. But now I'm unsure. I'm so close to done and just can't give up. I wrote an email to my school with all the details and were so close to sending it when I got scared and decided I would go to school tomorrow anyway and seek help where I can meanwhile. (Mostly Reddit and or my elementary school friends I talk to which probably will read this whole post because they stalk my Reddit account) I don't want to make the post too long but a quick mention. I felt like this for 2–3 years, I used to be into fitness and very close to having my ideal body but the anxiety and mood drops have caused me to gain a lot of weight and drop fitness. So I went from almost achieving my goals and ideal body figure to being heavily overweight which you can probably imagine took a hit at my mood and confidence a lot. Besides that I'm getting stressed into the pits of hell because I'm hanging by a very, very tight thread being on the edge of being kicked out because of my absence (due to my fear of attending). I really want to finish so I can take time off after and focus on myself, but I'm so close to giving up. I really appreciate if anybody in the same situation or anybody at all can give me some tips to get through this</t>
  </si>
  <si>
    <t>2019 has been horrible so far. This has possibly been the worst way I could've imagined myself starting a New Year. My anxiety has been taking over everything. My heart is constantly racing, I hate waking up, and every morning I wake up I'm drenched in sweat and I instantly have an anxiety attack, I can't go more than an hour without having a cigarette (just a week ago I was having one cigarette maybe every other month) I snap at everyone around me so easily because I'm so in my head and all I want to do is have a cigarette all the time. I've never suffered from an eating disorder, but I haven't eaten a meal for a week now, I have no appetite and when I force myself to eat a little bit of anything it makes me feel worse. I feel so hopeless and alone it's getting really hard for me to keep taking this, I don't know what to do anymore at this point. Furthermore, I need to get anxiety meds, but I don't know how I can handle waiting for them to kick in, or whether they'll even work for me. (I've never been on anxiety meds) I need help...</t>
  </si>
  <si>
    <t>Does anyone else post something on Reddit, and then immediately remove it the second one-person comments negatively? I feel like I need to be better at accepting you can't please everyone, and Reddit should be an easy place to start.</t>
  </si>
  <si>
    <t>How do you tell someone they cause you to have extreme anxiety? Something that triggers my anxiety/fear of abandonment is when my sig. Other or friends open a message or Snapchat of mine and don't respond. It makes me panic and feel like I did something wrong or said something that made them hate me and want go stop talking to me forever. I want to be able to communicate that this makes me anxious so that maybe if they are busy or don't want to talk, they can just tell me instead of ignoring me or hours and causing me to panic. I don't want to sound crazy though, because I know these thoughts of anxiety are not rooted in reality and make me sound obsessive, I just haven't found a way to ease the anxiety otherwise. Any advice would be helpful</t>
  </si>
  <si>
    <t>Anxiety about a new job, anyone feels like this ? So tomorrow I'll be starting at a new location for my job, and I'd been stressing out and so anxious ever since they told me about it, two weeks prior they told me, and I'm a mess. But maybe this change would be a new experience and things will be better for me since at my old job there were co-workers who were bullying me and kept assaulting me, even though I reported it they never did anything they just sugar coat it so they thought changing me locations will be better and benefit me. But now I'm anxious because I think I'll be going from a bad environment to a worse environment, like what if I fail, and they don't like the way I do things? Or if they're the same as everyone else? I have no one to talk about it since people tell me "get over it, or "well, you didn't know when you first started that other job you'll get used to it" they think it's easy for me, I hate environment changes and warming up to new people, so how can I better deal with my anxiety about working? Thanks.</t>
  </si>
  <si>
    <t>Can anyone please help me I'm a sixteen-year-old male, and I've always thought I was straight and have had countless crushes on girls. I'm really shy and have never able to ever date a girl because because I'm really nervous. However, I've also had a small history of cross-dressing, and when I say small I mean small like maybe 10 times out of 4 years. I could take pleasure from dressing up like a girl and pretending to be penetrated. I always have thought this was a way for me to feel like there was a girl in the room and to act out what she would do. After I was done master bating I felt like crap and had a lot of self-hatred, it's like I was a totally different person when I was horny. Even still though I was obsessed with girls, and it didn't stop me from wanting to be with one. Today I feel like I'm stuck in a tornado. I'm less and less obsessing over girls and becoming more anxious obsessing about my past cross-dressing incidents. Sometimes I'm able to be turned on by thinking about sucking dick or being penetrated and other times I feel ashamed, and I feel like absolute shit for thinking that way. It's this constant battle in my head that won't go away. One thing is consistent though while I can be turned on from the concept of sex with another man and hate myself afterward I have never taken pleasure in thinking about dating another man. I don't want to kiss another man or hold his hand. So I'm just so confused why can I be aroused by it if causes me so much mental frustration. And if I just had to deal with this, because you can't change your sexuality. I feel like it would conflict with my desire to fall in love with a woman. Does anybody have an idea of what I'm going through and if there's any way to change it.</t>
  </si>
  <si>
    <t>How do you best describe your lump in the throat feeling from anxiety? Is it painful at all to swallow? Does it come and go or last all day long? Does it feel like mucus is stuck in the middle of your throat? I'm just getting over a cold and have the lump in the throat feeling, but I've also been feeling anxiety lately, so it's hard to differentiate between the two.</t>
  </si>
  <si>
    <t>Scaring the shit out of myself, fear of mental illness Last week I watched the most recent episode of the YouTube series "Down the Rabbit Hole" about Temple OS. It's the story of a schizophrenic computer programmer that thought he could contact god through his computer OS. I've always been freaked out about psychosis and schizophrenia despite being under a microscope psychologically and considered extremely low risk (because of advanced age, no family history, lack of childhood trauma, lack of substance abuse, etc.) This video freaked me out so bad that I can't think about anything else. I keep thinking, what if I become delusional and think that songs on albums or radio are about me (which I know is impossible). I just think "what if" even though I know it's total bullshit. Furthermore, I'll listen to a song and keep thinking about how the lyrics apply to my life, and it drives me crazy with panic. Anyone else get feelings like this? Watch the Down the Rabbit Hole video if you get the chance.</t>
  </si>
  <si>
    <t>Does anyone else sometimes get a mess of emotions if they're particularly startled by something (like a bang) Sometimes when something particularly shocks me, I find that I have a rush of emotions including laughing, rapid breathing and sometimes crying/ almost crying. I think I've seen it in small children when they're scared and start laughing then uncontrollably crying. I'm wondering if anyone else has experienced it before and if there's a name for it Thanks!</t>
  </si>
  <si>
    <t>Seasonal anxiety Has anyone moved to a warmer, sunnier climate because of seasonal anxiety? If so, how did it work out for you?</t>
  </si>
  <si>
    <t>What's your reason to keep going? I once read a post about how there is no bad reason for staying alive, even if it's just because your fish needs someone to feed it or your favorite show has a new episode coming out. I'm feeling a little down right now, so I'm wondering what your reason is to wake up tomorrow?</t>
  </si>
  <si>
    <t>Just decided that from today things are going to change so for the last year I've been struggling with infrequent but bad anxiety and depression which has peaked over the last 6 months. I've had counselling for the past 6, and I have just realized that my councillor is really not good. He never challenges my thoughts and I have realized that things have got worse ever since I started seeing him. Since I started seeing him I started hitting walls and myself more, and have thought about cutting more regularly. So for the last month everything has got a lot more tough and I'd been burying my guilts and bad thoughts. But yesterday me and my friend took 70ug of acid. I thought I could handle it, but the trip grabbed hold of me and really slapped me about. It made me realize how badly I'd been treating my friends and family, how badly I'd been treating the girl I'm seeing, and it also made me realize how I was running away from the idea that my therapy wasn't working out. Today things are going to change, I'm going to get my life in order, I'm going to fix my head, I'm going to be the best person I can be, and I'm going to change my perspective on life</t>
  </si>
  <si>
    <t>Does anybody else have eye tricks or see stars? For the past couple months I've been seeing black figures in the corners of my eye but when I try to look at them, they disappear. Same thing with seeing stars in the sky. After some googling I found that it can be a symptom of anxiety. Is this a common thing with anxiety? https://www.anxietycentre.com/anxiety-symptoms/eye-tricks.shtml</t>
  </si>
  <si>
    <t>Whose Approval Are You Looking For? I was about to visit my family back home for the first time since I moved away. I had a really terrible panic attack the day before my flight. Furthermore, I couldn't breathe, I started crying uncontrollably, and I really didn't want to go. During the trip, my family was judgmental, and I relived everything I wanted to leave. It wasn't all bad, but I was more uncomfortable than not. I was able to see my best friend while I was there. She was able to come with us to look at Christmas lights, and she mentioned that she was mad. She was mad at the way my family was talking to me and I didn't even know what she was referring to. This is how much I needed a change in my life. I didn't even recognize the kind of language my family was using that made me feel the way I did before I moved. When I got back home, my wonderful boyfriend and I went to church for the first time in probably 9 months. Now I'm not here to convert anyone, but rather share the wonderful comfort that I got from the message that Sunday. I never felt like I was enough for my family, and they always shared their love for me in such a weird way that I rarely felt it in the way I felt from others. The message I heard for so long was one that I finally understood. That God loves me and that I am enough. I could tell you in what ways I felt about all of this, but I also understood that there was nothing I could do to earn any MORE of God's love. It's been a long time for me going through these changes to realize that I had been trying to get everyone's approval around me. I was looking for approval from friends, family members, people who are supposed to be supportive of me, and I had no idea. I kept checking myself and second guessing my actions based on the approval of others and I think that's what seriously triggered my anxiety. Let me know if you've had any similar experiences and what you did to help calm the nerves.</t>
  </si>
  <si>
    <t>Why am I like this so I have anxiety, like everyone here, but I'm only 15 y/o. and I'm so worried about it getting worse bc sometimes I can't leave my bed in my breakdowns. I get worried that I'm easily replaced, so I become clingy in hopes others don't forget me, and this just causes them to not like me and this becomes a vicious cycle. Not to mention the fact I feel like I'm not good enough for anyone and I'm just wasting people's time? And I fear that it'll only get worse as time goes on. My family tries to help but I can't share this with anyone and I'm always reluctant to take anything, so I was hoping you guys could help me get through this</t>
  </si>
  <si>
    <t>I don't know how to cope. I'm 22(m) and I have gone completely blank and numb whenever I try and process things that happened to me as a child. There's really no easy way to say it, I was molested as a kid. By an uncle over a period of about 2 years. About a year ago my anxiety began to flare out of control and take over my life. I went to a therapist and was diagnosed with PTSD and along with the therapy many different bad memories of my childhood resurfaced. I dissociated as a child, as my only means of protecting myself from the things that had happened to me. And now as an adult it's happening again whenever the thoughts drown my head. I want to be able to put it behind me, and cope with it properly. IDK why I decided to post this on Reddit, maybe it's because I'm looking for advice or maybe I just need to vent it. TL;DR My mind goes blank whenever I try and cope with my past and I dissociate. Leaving me in an awkward state and unable to process my feeling or what really happened.</t>
  </si>
  <si>
    <t>I go back to school tomorrow, and I'm feeling anxious. Tomorrow I'm going back to school since it's the end of winter break. I had two weeks off, and I don't think I'm ready to go back. I don't want to deal with the embarrassment I cause myself when I try to socialize with people. Furthermore, I don't want to deal with my grades. Furthermore, I don't want to feel lonely again. Furthermore, I mean, I have friends, but I always think I'm the least important, and I'm just annoying them (which I know isn't true, I just can't help think that way). As for my grades, I have about 3 weeks to fix them since it'll be the end of the semester. I can't be happy with myself unless I get all A's. If I don't end up getting perfect grades I'll just hate myself even more than I already do. What makes me even more scared is that I'm just a freshman. How will I deal with 10th grade? How will I deal with college? All of this plus the school environment in general causes me a lot of stress and anxiety. Apologies if this sounds really negative, but I just needed to vent a bit. Thank you to everyone who took the time to read this :)</t>
  </si>
  <si>
    <t>The Anxiety Cure Anxiety comes from Desire. Do you have anxiety over death? That comes from a desire to live. It often comes from thinking about what you don't Desire. Meaning, you desire the exact opposite of what you're thinking about. But because you're thinking about what you don't want, it causes the experience called Anxiety. Anxiety is cured by overcoming the Desire that is causing it. Having anxiety over death? Let go of all the reasons that you want to live. Suddenly, death isn't some bad experience because you no longer have anything to lose if it happens. But... that's easier said than done, right? Join us at our grand opening of our community at [community.etiyeti.com/register/](https://community.etiyeti.com/register/) Because, why not? Sometimes you just need someone to talk to.</t>
  </si>
  <si>
    <t>Anxiety for the future and past mistakes Hey guys, So about a month ago my boyfriend and I were on a break due to him not being sure if he wanted to continue being in a relationship with someone (me) who is anxious all the time. During the break, I finally sought out help, and I ended up being able to change most of my outlook so far. We got back together because he felt like we are making a stride to a positive direction. I'll be visiting him soon in a couple of days for 2 weeks, and I'm extremely nervous of making the same mistakes again. Disappointing him and myself in the long run, and also giving in to my intrusive thoughts and such. Sometimes throughout the day, I think about how I wish I did not act a certain way, or I hope I don't continue it after seeing him again. I'm just using this post as a way to vent it all out, but any words of encouragement are welcomed.</t>
  </si>
  <si>
    <t>I'm 17 and I've never kissed a girl. I was never really put in a situation to do so. Should I be worried?</t>
  </si>
  <si>
    <t>I'm anxious for no reason I don't even know why I am anxious right now, and I'm so tired of this, I want it to stop</t>
  </si>
  <si>
    <t>My snow driving anxiety has gotten out of hand howdy friends. My anxiety surrounding snow driving went from like, a normal and manageable level of fear these past three Maine winters to a 10/10 this winter. It's been, in a word, awful. I only usually need to drive to and from work (20 minutes away via back roads). I also drive myself to and from school several times a week, but I can take the bus there if necessary. I plan to do that more this semester. anyway, even this minimal amount of driving has almost become too much for me. This is my first winter in my new to me vehicle, whereas I spent the other winters in my older first car. However, even though my current car is much newer and mechanically sound, it's *awful* in snow and ice compared to my old car. Toward the tail end of last winter I had just gotten the car and rear ended someone (albeit very gently) because the brakes didn't engage with the tires in time when it was slushy out. It's very light and the studs on the winter tires are worn, but i don't have the money to spend on new tires. On Thanksgiving my boyfriend and I were driving to his parents' home (usually an hour and a half away) when it started snowing like crazy. We slowed to 30 on the interstate, almost a whiteout, and I was hyperventilating and couldn't drive anymore so we got on a back highway, but it was even worse. I went to turn, and we slid and almost spun out and I just pulled over and started sobbing and panicking even more. We had to leave my car at a gas station and have his parents pick us up. Ever since then I just haven't been able to do it. I obsessively check the forecast and make plans around the slightest chance of snow. I've had to have coworkers and friends give me rides home from work like 3–4 times since then when the weather was unexpected. I've had crying breakdowns at work twice when I see it begin to snow. I've almost cried and panicked just backing out of my boyfriend's slightly icy driveway. Most of my coworkers are sympathetic and kind, but it must seem so irrational honestly. Like, we live in Maine, deal with it. Everyone is used to it and drives with minimal fear or complaining, even with cars like mine. But I just can't. I get so down on myself and feel like such a useless baby who is a burden on people. IDK why I made this post because it's just a rant but I just want someone to tell me my fear is valid, and it's going to be okay and that it's not stupid to be afraid...anyone relate?</t>
  </si>
  <si>
    <t>Insecure Attachment -- want romance though Today my Therapist talked about Attachment Theory, I have an insecure attachment in romantic relationships. Which makes sense, I've been abandoned by 3 different moms/stepmom's, and had to live through two of my Dad's divorces. I'm 28, and have only had one serious romantic relationship (lasted 7 months - but we'd been friends for 2 years beforehand). I'm attractive (not ugly) and could easily settle down with a guy, but I have standards (not that high: must have job, vehicle, and place of his own (apartment or house/ doesn't live with parents). Furthermore, I guess, I don't want to ruin any potential relationships, anyone know more about this Attachment style? Furthermore, I've read a bit, the person (me) gets into a relationship, takes things quickly, is afraid of abandonment. When things slow down/get into a more relaxed relationship, partner pulls away, and breaks it off</t>
  </si>
  <si>
    <t>Feeling okay! Anxiety crept up on me only last year and it's scary stuff. I go back to school tomorrow and have to leave to comfort of my home and family to be around the people who contributed to causing the stabbing pain in my head and chest, but I've been my own rock (as well as some great friends). Before going to bed I've set out some encouraging notes for myself to read in the morning as well as some water to chug down and start my day. This has really lifted my mood and hopefully will give myself confidence in the morning, so I thought I'd share this.</t>
  </si>
  <si>
    <t>Undiagnosed Anxiety... and Resolutions So, as title says, I have undiagnosed (but almost guaranteed) Generalized Anxiety Disorder (henceforth referred to as GA). I'm really nervous about 2019, because so much is changing in my life this year. First, I'm going off to college in late August 450 miles from home and my family. I'm really nervous about it, but also excited. I graduate high school (and the International Baccalaureate) at the end of May. Second of all, exams. Second semester of Senior Year is when all my International Baccalaureate exams and papers are. I never do well under tight time constraints, but don't qualify for extra time due to my diagnosis of GA being "provisional" by my high school counselor. Thirdly, I need a good journal software (with password feature) for Windows 10. My goal for 2019 (starting ASAP) is to have a journal entry every day that talks about the good and bad things that happen to me daily so I can look back in December and see how my year was. Thanks for everything, Red Sky</t>
  </si>
  <si>
    <t>Incredibly anxious/nervous about another semester I'm currently a junior at University and I will start my 6th semester tomorrow. I have loved being home over break, and I am incredibly anxious about returning. I feel like at this point in my college experience I should be excited to go back. Furthermore, I have never felt entirely comfortable during my time in college, but I have never been this anxious about going back. Did anyone become more anxious the longer they were in school?</t>
  </si>
  <si>
    <t>What's the best way to motive someone without being mean to them? Hey, I want to know what's the best way to motivate someone to do something without being too harsh on them. I tend to think that the only way to motivate my boyfriend into doing stuff is by being "mean" to him, like, actually calling him out, but he gets really sad and so do I. I always make an effort anyway, because I think that in the end it's for the best, but I'm now wondering: is there an equally effective way to do it?</t>
  </si>
  <si>
    <t>Tell me I'm ready (21F) I left university in September and missed what would have been by 2nd to last semester. I'm supposed to go back tomorrow and do my last semester so I can graduate. I've tried 4 SSRIs in the past year with no real success, 3 in the last several months since I've been home. Furthermore, I'm extremely anxious to go back, I ended up hospitalized last time for severe panic attacks and full body tremors and lost 15 pounds in just a couple of weeks. My mom had to come down to basically rescue me. Everyone says I have made progress, but I'm petrified to go back, what if the same thing happens? What if I can't do it and I never get my degree? What if I lose my mind or become suicidal? What if I can't care for my dog and something happens to her? I'm terrified. Someone please tell me I can do this or tell me you've been through something similar and lived to tell the tale.</t>
  </si>
  <si>
    <t>Nostalgia sadness? Not sure if this is tied into my anxiety, but I wanted to know if anyone else felt like this. So basically anytime I see pictures from whenever ago or think of things in the past I get really, really sad and just start to cry. It's not that I'm not happy now with how my life is because I am. I don't understand why I get so sad? Like it triggers something in me, and I'm trying to understand why. Maybe it's totally normal. But I feel like the pain it causes in me is a little extreme. My emotions are also very extreme though.</t>
  </si>
  <si>
    <t>Starting to feel anxiety while grocery shopping. I see a lot of posts on this sub about people having anxiety while grocery shopping. Usually it's not a problem for me (I actually work at this store in the bakery) but after tonight I completely understand why, because I got super anxious tonight. I don't know what happened, but I found myself pacing up and down the aisles trying to read my list and figure out what I need when I'm like wait, what about this? Maybe try this recipe. Or this one, or this one OR THIS ONE!!! Â until I was just confused like okay, why the fuck did I come here? Â Maybe it's just having too many options or that it's Sunday and everyone and their mom is out shopping, but I'm just nervous as hell. Since I'm a full-time employee at this store, I actually got a $25 gift card for Christmas and I figured I was going to put it toward a grocery shopping spree. I don't know why, maybe I just had this image of me walking out of the store with a cart full of everything I need (and some stuff I don't), walking out in slow motion wearing sunglasses with Formation by Beyond?? Playing in the background, but instead I'm sitting around trying to figure out what I want to make for dinner this week!</t>
  </si>
  <si>
    <t>Can't convince myself it's not an arrhythmia I've had 3 episodes over the last 2 years that medical professionals call panic attacks but I'm having a hard time being convinced. These episodes all come from me having a rapid heartbeat. This has ranged from 110 bpm to 150 bpm (the 150 bpm was during a severe bout of the stomach flu). I become acutely aware that my heart is beating faster, and I have the immediate OH NO I'M DYING thought which triggers a whole host of symptoms including dizziness, chills, my face, hands and feet going numb and much more. Eventually the major symptoms subside, but my heart rate takes hours or days to decrease (which is gradually does). I've worn a holder monitor for a month (twice) with normal results, but one of these attacks didn't happen while I wore it. No matter what my doctor tells me I'm not convinced that I don't have some rare form of arythmic that only shows up once in a while and is going to ultimately lead to my death. I'm a hypochondriac with severe GAD on a daily basis and my symptoms are so bad I just can't imagine they escalate that much more during a panic attack. Help!</t>
  </si>
  <si>
    <t>I'm having severe nighttime anxiety due to a fear of bedbugs and mice. Can someone help me out? To cut a very long story short, I'm living abroad, and I'm really struggling the January blues after I went home to visit family. I'm constantly on the verge of tears and I feel very anxious and overwhelmed whenever I am on my own in this country. Its just bad luck that I've had such bad experiences with accommodation. I have a severe fear of mice and rats and I lived in a mouse ridden apartment when I was 18. The fear of them was so intense that my best friend had to sleep at mine for months on end as I could only sleep with him near me. When I moved here I was actually homeless for two weeks due to bedbugs in my flat. I moved from that place, and I'm now in a house share with other people. I've not actually seen any mice or bedbugs for the two months I've lived here, and I was sleeping soundly until I got back here a few days ago. This house is filthy and I'm constantly scared that a mouse is in my room. I turn the light on at the slightest noise and I sit scanning all corners of the room. When I do finally convince myself to sleep I toss and turn because I imagine bed bugs crawling on me and biting me. My skin gets itchy and I scratch myself raw. I think this is psychological, and I'm really struggling as I work long hours and have to be awake early. It doesn't help that I always seem to be upset and teary at night because I'm alone at really miss home. I miss my mum and my cat and my clean house and cozy bed. I feel that my fear is now holding me back. Furthermore, I wanted to be a camp counselor in Canada this summer, but I've given up on the idea after I read an Internet article about bed bugs in summer camps. Furthermore, I can't realistically go home as I don't have a job or anything at home and I feel that I would be miserable if I gave up. Furthermore, I have another three and a half months left on my work contract. Help me Reddit. How do I make myself less stressed at night? How do I calm myself down and stop panicking as much? Tl:dr- I get severe anxiety before bed and can't sleep because I'm constantly scared of mice and bed bugs. I also miss home as I am abroad, and I cannot stop crying at night. Please help me to sleep soundly Reddit.</t>
  </si>
  <si>
    <t>New to r/Anxiety, searching for advice or just an ear to listen Hi there I am new to r/Anxiety and Reddit in general, have also posted in r/ROAD as I suffer from OCD and compulsions linked to dating and relationships. Just thought I'd post something here tho about my anxiety because I've been having such a hard time recently, and sometimes it helps to know people can relate / that it won't be like this forever. I moved back to my home country after a great year away studying in Central Europe and ever since then I have been in the lowest most depressed mood. I have experienced generalized anxiety before and used to even experience panic attacks but never have felt so apathetic and unmotivated and disinterested. Furthermore, I have moved back to my parents house just for this year whilst I finish off my degree. Furthermore, I have a very complicated home situation with my parents who have marital issues, but there is a lot of stonewalling - we don't really talk about it all or acknowledge emotions etc. Furthermore, I can't move out til the end of my degree because of money. Furthermore, I have been taking an SSRI for the depressed mood, and I am back in therapy doing CBT. Furthermore, I'm just really struggling, I find it hard to concentrate on conversations with friends, struggle to find activities I actually enjoy, I can't even cry because of how emotionally blocked I feel, and I experience disassociation almost daily where I feel like I'm watching a show. Furthermore, I just don't feel myself at all. That said, I'm still doing sport, going to uni and meeting deadlines. It's just everything else socially that I am finding super, super hard. So, can anyone else relate? Does anyone have any tips on what to do? I understand that until I move out I'm going to be affected by the negative environment I live in, but I just feel so helpless as not even the SSRI seems to be doing much, and it's horrible to feel so unreal all the time. Any help or tips would be so much appreciated. Thanks!</t>
  </si>
  <si>
    <t>How to get anxiety meds from my primary care doc until I get a new therapist? My anxiety struggle has been almost life-long, and it gets worse with age. I've asked my doctor multiple times for anxiety-only meds because the antidepressants she keeps prescribing me don't really touch on my anxiety much. Definitely not enough to make it bearable. AGT; no matter how many times I've told her my anxiety far outweighs my depression and that I'd like something for just anxiety, she just keeps giving me antidepressants, and they make me feel shitty and fake after a while. AGT; is there a way to demand I only get anxiety meds? That's all I want. I have multiple panic attacks throughout the day, my mind is constantly racing with unwanted thoughts about the worst possible outcomes of every situation, and I always feel like I'm going to die no matter what I'm doing. AGT; my dad has bad anxiety and takes hydroxyzine and used to take Xanax, but there's a history of addiction and drug abuse in my family (especially my dad) and my doc knows that. Would that eliminate any options of me getting anxiety medication? I hope it wouldn't see as how they still give it to my dad and I only have the intention of using it as prescribed. AGT; then again, I was very closed-minded back when I took antidepressants and I'm more open to them now, maybe that has something to do with it? I'm not sure. Anyway, I just need advice. Any/all advice helps! Thanks!</t>
  </si>
  <si>
    <t>I need to talk with someone ASAP I feel I might, I harm myself now, I don't really, I care only what my mother will feel after I do that. I just found There is high probability I have genital herpes. IA anyone online to chat.</t>
  </si>
  <si>
    <t>DAE get overwhelmed by free time? When I try to relax is when I get most stressed. This is a newer issue for me, and I'm not really sure what started it. Lately every time I think I need to sit and relax maybe watch a show or movie, or color or play a game I get stressed out and worry I'm not doing the right activity? Like as I'm watching a show I start to think I could be coloring right now then I start to color and think I should play my game for a bit and it turns into this spiral of lack of focus. Anyone got any tips for coping with just deciding to do one thing and being able to enjoy that thing??</t>
  </si>
  <si>
    <t>I'm regretting a lot after finally getting help for my anxiety. A few years ago I could never talk to a girl or anyone really. I got a tinder and started talking to my now wife, we had great times together, I got out of my comfort zone and we had a child. I thought I was happy. After years of thinking my anxiety was something normal, feeling like I never belonged because I thought everyone talked about me and took every insult to heart, I decided to get help. I started thinking about it, and it might just be my anxiety still fucking with me, but I feel like my wife manipulated my insecurities. I'm worried she has been using me for the benefits I get from work and the paychecks. Furthermore, I have been paying off a lot of her debt, buying things for her and trying to make her happy, but she is always saying it's not enough for her. Maybe my anxiety still makes me paranoid about what is going on. I just don't want to make a mistake and continue a relationship with someone who doesn't truly love me and make her live a life she isn't happy with.</t>
  </si>
  <si>
    <t>Anxiety Media Hi, I was just wondering, does anyone have a certain song/show/movie or something like that when they're feeling especially anxious, or any techniques they do when they feel on the verge of a panic attack? Also, does anyone have any websites they use to help deal with panic attacks / when they're feeling especially anxious? Thanks.</t>
  </si>
  <si>
    <t>Before work anxiety, how to fix it? Backstory, I moved to Melbourne from a small country town in Western Australia and was unemployed for about 4/5 months. Now I've got an amazing job with lots of hours and lovely people there. I've been working maybe a month. Without fail, every single day before work I have terrible anxiety. NASA, sometimes vomiting, diarrhea (always) and just a massive pit of fear in my stomach from the time I leave my house to the time I arrive. Once working or being there for about 10 minutes I'm usually fine. It's annoying and painful. How can I fix it? Really needing something to help.</t>
  </si>
  <si>
    <t>Constant fears of losing everyone I know I constantly have anxiety over my parents dying and leaving me all alone. I already feel so alone and that would just put it over the edge. I wouldn't survive. Furthermore, I'm 19, and I barely know how to function as a normal human being. Furthermore, I'm a fucking mess. Furthermore, I can cook, can shop, can clean, but that's about it. Furthermore, I can't even drive. So if they left, I would be helpless. I don't know how to deal with finances and stuff like that. I'm just completely useless, and I'm trying to be more independent, but I hate that too. Sometimes I wish I just didn't get up in the morning.</t>
  </si>
  <si>
    <t>Job anxiety Just a spirally rant: Just started a 3-month unpaid internship fresh out of college just to get experience, and I've been having approximately the same number of panic attacks in 2 weeks than I've had in a usual year. I diarrhea (sorry TMI) and either painfully gag / end up puking in the mornings. I feel like suddenly my life's been taken away from me. Feel so fucking isolated especially since most of my friends are away (international students, went home) and my partner's also working and lives really far from me, so I barely see them too. Working 9-5.30 I dread every single moment of that 8.5 hours, and am so sick of pretending to be okay in front of the people. And then when I get home, I'm all alone, and I start dreading the next day again. Come the weekend, I start dreading the next work day again. So I'm constantly feeling like this, and it's so tiring to be dreading and crying every single day. People's been telling me to make some friends, but that's also fucking hard with social anxiety and I don't know if I can even tell them about what I'm going through because no one there understands (I'm the only new person) I feel so scared and so sad every single day, and I'm so sick of it. I'm currently on Valium and am I trying meditation under my GP's advice but while the Valium's reduced my panic attacks, my chest is still so fucking tight and the dread is still so real and I'm still fucking sad. I'm also using my partner as a clutch and literally just been having them on my phone on call throughout my whole work day (we don't talk, I just listen to their background noise to provide me some comfort that someone's there). Literally all I want is to quit and stop this but I know I shouldn't but I really want to. People have also been saying to just stick it out for at least three months so I can get used to the environment, but that's literally the length of the internship and each day already feels so long and so hard. I just made an appointment with a psychologist for next week and I really hope I'm able to stick it out at least till then to get their advice, considering how every day's just so fucking hard. Obviously I'd be looking for validation and "permission" to quit but I recognize (or do i) that it's just my anxiety speaking because I know I shouldn't but I really want to. Sorry for the long ass text post. I am currently on my way to work and feel so fucked up and felt the need to talk to someone about this.</t>
  </si>
  <si>
    <t>Anxiety... Hello, This is going to be long. So I'll put the questions up front. 1. At this point I wouldn't mind getting checked out, but just the thought of going to the hospital sends me into a spiral. 2. Do these symptoms really seem like general anxiety? I had terrible anxiety in my late teens, early twenties. I wasn't even able to go to a movie theater, or a shopping mall. It was fine at the time I was a part-time university student, so I was able to take it easy for a few years and got better. Last few years I have been living fairly normal but avoided things that would make me anxious. So no flying, and lived a fairly low-key life. I was fine. I was cycling played squash. Furthermore, I never had as much drive and stamina as some other people, but it wasn't that bad. Furthermore, I took the summer of it all because I injured my ankle. So I haven't had much exercise since. I have since a year ago slowly got to be more and more tired, though I always thought this was just down to me sleeping 6.5 h on average a night, and work was stressful too. Many times I'd be exhausted and need a nap after work. So in my off time in the summer I gained a bit of weight, about 5kg. 3 months ago I went on a keto diet. Things started getting worse slowly on the diet and 2.5 weeks ago I decided to stop. I managed to lose 8KG so that part is good. This is when my anxiety picked up big time. I was hungry every 2 hours, like insane hunger but at the same time nausea and having a hard time eating. This started up my anxiety, and now I have chest pains and some fairly strong palpitations. A bulk of the chest pains I always had, I have badly healed ribs from a cycling accident so if I reach the wrong way or sit a certain way, it can hurt. Or if I lie on it when I sleep it will just hurt for a couple of days. These I'm ok with because I can reach for the pain and end up touching where bone is sticking out kinda. So I know what those are. I also started getting burps and gas. Sometimes I'll have a crazy pain near my heart, and then a bit later a burp will relieve it, but then It's too late my anxiety has started. I have never felt such pain from gas before. The hunger pangs and burping have gotten better, but the palpitations now still send me into a spiral. I have to go back to work on Tuesday but I'm worried I might not be able to. This is adding to the stress too now. I was thinking maybe I should go to the hospital and have my mind eased, it would sure be nice to hear that everything is fine, I really hope so. But I can't imagine how I would handle my anxiety if I went there. My friends just said go get it done but... Today I tried to drive to another city to go to a friends house, but my heart palpitated 5 times and I turned around. I was nervous about the drive to begin with as it's a bit far, and I have had an anxiety attack on the way back the last time I was there. It was a brutal drive back. Meanwhile, I spent last night and the night before hanging out at various friends homes, and I was fine. So I don't think there is anything physically wrong with me. But I don't know. I started reading hope and help for your nerves, and it helped a lot till I found a lump on my neck...</t>
  </si>
  <si>
    <t>I had a panic attack about driving in the snow to my new job and had to call my boss crying to explain. I'm very embarrassed. Furthermore, I have terrible driving anxiety, especially in snow. Furthermore, I was in a terrible accident when I was 16 in a snow storm, and 6 years later I'm still struggling with terrible anxiety. If I have to drive in the snow or be with a driver I don't trust in the snow I will usually have a breakdown crying and hyperventilating, and will do anything to avoid driving in the snow. It's been fine the last few years because I walked to work. I've moved, started a new job three days ago and today was the first day I would have to drive in the snow. I was okay at first, but when I got out to my car to clean it off and start it I broke down. Furthermore, I sat in it and cried for 15 minutes trying to get myself going. At my shift start time I had to call my new boss and apologize and tell her I have terrible anxiety and I could not get myself to drive, and I was trying. She called my coworker who was super nice and understanding and picked me up. But when I was on the phone with my boss she said "oh no ... What are you going to do when it snows?" Because we live in Colorado and it snows a lot. And I honestly don't know. I know I should see a counselor, but you have to drive there, and I hate doing unnecessary driving. I feel embarrassed and don't know what to do.</t>
  </si>
  <si>
    <t>I got punched in the face, and now I'm constantly anxious about it happening again. I've never been good at confrontation. If anything, I always try to avoid it. But sometimes there are things I find extremely unfair, and I need to speak up. About a week ago I was at a store where they had two rather huge macaws. One of them looked stressed as it had been pulling her feathers off and was almost featherless on her whole torso. The birds were not happy when people were close to the cages, which was usually followed by a lot of screeching and agitated flapping of their wings. As I was leaving the store, unable to handle the situation of those caged birds, I saw a woman harassing them for about 5 min by yelling and taping on the cages. I finally got the courage to walk up to her and ask her if she could leave the birds alone because they were already stressed. She was extremely rude, asking me if I knew who I was talking to. I didn't (she didn't look particular special, more like a very basic Kardashian knock off) so I said "no, please stop harassing the birds and leave them alone" She then proceeded to grab me by the hair (cat fight style) and punched me in the eye. Closed fist, I was wearing my prescription glasses which she destroyed. My family called the police. They arrived and upon telling them my story, they proceeded to tell me I could get arrested as well. I freaked out, she was laughing as she had managed to scratch her face to testify I had attacked her first. It was awful. In the end, I got a massive black eye, brand new prescription glasses destroyed, and a partially broken nose for trying to help. I didn't get justice at all, and now I'm afraid of people. I haven't been able to go to crowded places or stores anymore. Furthermore, I can't look at people in the eye anymore. Furthermore, I'm just absolutely afraid that people will react irrationally for no reason and I end up getting assaulted again. Furthermore, I'm terrified. Furthermore, I really have no idea what to do with this irrational fear, and I'd appreciate any advice. Thank you!</t>
  </si>
  <si>
    <t>Looking for an effective way to reduce anxiety symptoms ? Hi everyone. I'm looking for advice or to help to deal with anxiety symptoms like nausea, diarrhea, headache etc. My brain always finds a way to invalidate me and stop me from overcoming my social anxiety by giving me new physical symptoms. I'm feeling especially sick these days undoubtedly because I broke up with my boyfriend, because I was too depressed and anxious, and he couldn't handle it. It was a bad relationship, and I'm happy it ended but still, I feel like a failure because I'm afraid my mental sickness will stop me from being loved by someone... AND I have exams in one week... so everything is changing in my life suddenly. For the best, I still hope ! Therefore, it's the perfect moment for me to start taking care of myself. I'm starting a therapy to understand better why I'm having this anxiety but maybe some of you have good recommendation to sooth these uncomfortable manifestations like physical exercise or hypnosis ? Thanks ! I'm waiting for your magical advices</t>
  </si>
  <si>
    <t>Looking for a Panic Attack Friend Sorry if this is weird. I've been having daily panic attacks (I guess that's what's wrong) and talking to people helps me. I'd be happy to return the favor!! We can text. I don't use any IM's. Just kind of would like someone to talk to until it passes. Usually lasts about an hour for me, but it's the first 30 minutes that really get to me. My name's Tiffany.</t>
  </si>
  <si>
    <t>Anxieties. Or not really. Just a story of my anxiety and how I'm not taking shit from it any more Eight years ago, I was diagnosed with chronic anxiety. That time, I shrugged it off thinking, "hey, this is normal, right? Everyone gets anxious sometimes. This will go away, right?" Wrong. Here I am, eight years later, cringing at past me for even thinking that anxiety goes away like a seasonal flu. I spent some time going through therapy sessions, and while those helped, they didn't really cure me of my anxiety*, because for people like me, anxiety is ever-present -- an annoying, unwanted companion I am eternally cuffed with. I struggled to battle anxiety for a long time. It was hard to be a fully-functional human when every speed bump looked like a giant boulder in the middle of the road. Instead of looking for ways around it, my focus was on the speed bump-boulder and how impossible it was to conquer it. Anxiety paralyzed me and made me feel like I was always bound to fail. The smallest tasks would sometimes trigger anxiety and panic. I would cross the road planning my funeral because what if the bus hits me? I would get invited to parties, and yes I craved to socialize, but I would bail because what if I spill the drink and make a mess of myself? Public speaking was the worst subject ever, because that triggered so much what-ifs. I was sweating with just the thought of mispronouncing words and forgetting my lines. There were days when I thought I was perfectly fine, then I would be attacked by constant panic and pressure that took away my ability to function, and I would shut myself in, because anxiety was crippling that way. I quit a lot of things in my life -- school, jobs, relationships -- some, i didn't even get to start, all because I worried i wasn't good enough. I was scared of taking a course I wanted because what if i couldn't find a job after I graduated? Furthermore, I couldn't take these programs because what if I fail them and I had to retake them? Furthermore, I resigned from my teaching job because I feared no one would take my subjects the following year, that I might not be a good enough instructor. Furthermore, I was scared to build relationships and would stop talking to people I really liked or wanted to be friends with, because what if they don't understand me? Because that was what I felt, that no one understood me. I craved validation and support, but instead, some of the people I cared about left me for being "over-dramatic" and a "cry-baby," only because they didn't understand what I was going through. Well, same. How could I blame them when i myself couldn't understand it? After years of battling anxiety, I got fed up with it and I internally told it to fuck off. It didn't. But I knew I had to do something about it, or else, i wouldn't be able to really live. I knew that there was only so much I could do to help myself. So I did. I read self-help books, which, if I would be honest, really didn't help that much because they all say the same things I already knew (still good reminders, though). I started reaching out to my fellow anxious people and asked for advice, because, you know, it takes one to know one, and they were the best people to talk to if I wanted to really get myself. Little by little, I gained confidence about whom I was and what I was capable of. It took years and a lot of hard work, but I learned so much, and i couldn't be any more thankful to the people who helped me and made me feel a little better about myself. Fast-forward to a few years later. I can't say that i don't get anxious anymore. After all, anxiety is already a big chunk of whom I am. Maybe I just learned a few tricks to manage it somehow. Or maybe it just doesn't scare me as much as it did before. The fact is, there is no one-size-fits-all approach in managing anxiety. Some people fight their anxiety. Some people try to ignore it. If it works for you, then it must be for you. But if there's one thing I realized for myself, it's that fighting my anxiety is a losing battle, so I embrace it instead. I take a break. I breathe. Furthermore, I ground myself to my surroundings. This way, I know that I have control of the environment I'm in. I recognize the situation and try as much as possible to think logically. I acknowledge the facts, and while I can't really do anything about my emotions, I talk about the situation to the people who care to listen. If I'm alone, I express what upsets me through writing. I walk. I go for a run. Not to try to escape the situation, but to shake off the excess nerves. I look back to what makes me anxious and assess what I can do about it. If I need to take a break and feel the emotions as they happen, I allow myself a few hours, or maybe a few days to let it run its course. I think to myself, "it will pass." It always does. To my fellow anxious people, you got this. It is a hard road, and you may sometimes feel alone, but you're not. Be kind to yourselves. If you need to cry, do it. If you need to rest, take as much break as you need. If it's too much to bear alone, seek help. To everyone else, anxiety thrives in a person's inability to take control of a situation. When someone feels lost, it is important that they feel secured, heard, and validated. This is why it is important to show kindness and compassion to everyone. (*Disclaimer: I'm not saying that people should ditch therapy like I did. It just didn't work for me, but I'm sure it helps others. Please, please go/continue going to therapy if you feel that it helps.)</t>
  </si>
  <si>
    <t>My story So I'm lying here in bed 8.20pm Ireland. Here's my story. I've had a traumatic childhood. My Mother cheated on my dad numerous occasions. She developed OCD and left 5 kids with their daddy. Practically my childhood was hell, except the times I was with my dad. He's an angel! I'm the youngest in my family, now 21. I never spoke to anyone about what happened with my Ma'am, when people asked where she was I said on holidays! Furthermore, I put a brave face on. And I was good at doing it! I've done a lot of stupid shit in my life, got a DUI when I was driving home with my bro after being in Amsterdam. That fucked me up a little bit as I had aspirations of being in the police etc. So since then I've partied hard in college! I drank way more used drugs more commonly, and I was loving it, this only lasted 4 weeks though! Woke up after doing MDMA and had a massive panic attack #Yikes. I thought I was dying and on the cold kitchen floor at 5am in the morning all I could think about was my dad and how I let him down, between everything. 3 months on and I'm suffering really fucking badly from anxiety panic attacks etc. the panic attacks have kinda ceased, but I'm in a constant fear and stressed out about the anxiety - and its symptoms. This is all so new to me! Anxiety symptoms (Weird vision/headaches/inability to swallow/heart palpitations/this realization) I've started seeing a guy in Dublin, he's a holistic therapist. He's helped so much compared to all the other avenues I've tried in my bid to feel ok again. He believes it's all this trauma I've experienced coming out now, and I don't have any mental disorder etc. rather an emotional one! To my relief. I'm very sporty and outgoing usually, but I have now deferred college and stopped working. Literally isolated myself so much to this day, I just can't seem to get back out there. CONSTANT FEAR is really starting to make me suicidal. That's why I'm writing this tonight is the worst night I've experienced, I have been planning my death the past week. Getting money in order for my dad and writing letters. This needs to stop, I know I have the power to change this, but I don't have the courage or strength. I just cry. I'm so alone. Furthermore, I'm so afraid. Furthermore, I'm so lost I just want to be loved. Furthermore, I wish I had a mother who I could love now more than ever. Furthermore, I want my life back. Thanks for reading. Goodbye</t>
  </si>
  <si>
    <t>Don't know how I'm going to make it I have suffered from anxiety more or less since I was a teenager. At times my anxiety (i.e. social anxiety) has been more tolerable and I have been somehow able to get through all kinds of anxiety giving and to me terrifying life events. This hasn't been easy and because of this I have not progressed in my studies at the same speed as others. About two years ago I had major changes in my life that somehow burst my anxiety in flames. I was diagnosed with GAD, social phobia and depression. My studies at the university have been mostly at recess since then. And I feel like shit. I have only my master's thesis to do so that I graduate and I have tried to do it as much as I can. Although I feel like my IQ has lowered since I have nowadays trouble concentrating, remembering things and most of my time goes to being anxious. I'm also terrified that I have to give three oral presentations within 6 months if I want to graduate. Feels like I'm between rock and a hard place. I have also a bunch of anxiety about a million other things. Don't know how I'm going to survive through my studies... and life. I'm not sure why I wrote this here. Maybe I'm longing to hear about similar experiences, dunno. And sorry for grammatical errors etc. English isn't my native language. Thanks for reading and wishing you all nice upcoming week!</t>
  </si>
  <si>
    <t>Any advice for communicating relationship anxiety to boyfriend? About six months in to first real adult LTR and I'm pretty confident he's the one and this is it. We are very similar people but of course have our differences and something I don't think he naturally understands is my anxiety. I feel secure in the relationship except some days all it takes is one little comment or look (such as widening eyes at something I say or joking about not seeing me the next day - pretty much anything that isn't perfectly Prince Charming) and I spiral. For at least 48–72 hours it's an exhausting, nauseating, and obsessive he doesn't like me he wants to leave me he decided I'm not right OMG I'll never be loved the way I need to be this is it the relationship is dying... etc. Â (Lack of punctuation in there was fully for dramatic effect, haha). I'm googling, reading blogs, pacing and talking myself through it, and working to calm the thoughts until he happens to say something extra cute and I feel better. I've shared a bit of this with him but only after the fact. Furthermore, I'm scared that he'll interpret my need for reassurance as a criticism that he isn't doing enough, and I'm well aware the problem lies with me more than him. So I cope with it alone, but I hate that. Has anyone else struck a good balance between self-help and leaning on a partner? Any tips when I'm in this spiral? This is consuming my whole day and I need to be more proactive against revisiting this feeling.</t>
  </si>
  <si>
    <t>Work related... I don't know what! Just after some advice. I'm in constant fear of losing my job. No one else I work for has this mentality and if anyone do, they don't show it. I had a career in the RAF, I'm an aircraft engineer by trade and never had a care in the world as I always knew my job was safe. When I had children I left and joined one of the biggest companies in the UK. Virtually from day 1 the company has been room and gloom and all the old timers have said this is how it is here. But since the Brexit vote and what is happening now I seem to be at a level where I'm constantly agitated. I'm always down, I don't want to go out I honestly feel like bursting into tears with how I feel. It's gotten to the point where even work colleagues take the Mick and gang up on everything to what I'm wearing to how I do things. I've always been cautious and have a rainy day fund of close to 10k for emergencies. One work member found out about this spread it now I can't even vent at work as someone will always twist it and I get even more shit back. I try talking to my wife about it. But I don't really get anywhere as my shifts and holiday are always changing. I know it is down the company I work for but leaving at this economical time I feel would be worse... or would it. I want to progress in my career and have started a degree which I'm on my 2nd module, but it's again loaded up my time, and it's another thing to worry about. Furthermore, I've never been to see medical help about this and I think I still hold a stigma about using the A word and D word as it's still not fully understood and in my line of work can be used against you. Furthermore, I suppose I'm just using this platform to vent to as work side no one understands that it's all beginning to be too much. Furthermore, I'm a double Afghanistan veteran that never saw the dirty side of war but people expect or think that I am. My family are brilliant but as the main bread winner I can't and don't want to pass my worries to them. Would riding another job help with this, or would I be stuck on less pay worrying about something else instead?</t>
  </si>
  <si>
    <t>Please tell me to stop panicking. Right now I'm worrying myself sick over something ridiculous, and I just need someone to reassert how ridiculous it is so that I may stop worrying. I've been dating a guy for about a month now - we'll call him J. J and I speak online every day and have met up a couple of times, and it's always been lovely. J always takes the time to send me a quick message to let me know when he's on his break at work, always says good morning, etc. I'd noticed that over time we've been speaking less and less. We still speak every day, and across several hours, but the messages are few and far between. We use Snapchat so that isn't necessarily too bad, and because we use snap maps I'm able to see his last activity (I'm not a stalker, I just get major anxiety about being ignored). He'll go hours without opening the app and obviously that's fine, but my anxiety tells me he doesn't want to speak to me as much as he used to. We're not in a relationship, but he'd told me he wished to be exclusive until he was ready to be my 'proper boyfriend', and because of this I've tried to justify the infrequent contact as simply being the end of the 'honeymoon phase' - we're still into each other, but we don't need to be OTT with the messaging anymore. So I saw J a few nights ago, and after a few drinks I told him I'd been worried that he didn't like me anymore. When I gave him my reasons he laughed and said I was being silly and that of course he liked me and wanted to keep seeing me. At that moment I was so relieved, but now I find myself feeling paranoid about the whole situation all over again. I know it's probably because I was ghosted quite a lot in 2018, and it's left me with many insecurities, and I always assume anyone who comes into my life is going to leave without warning. The worst thing is that I've been told by basically everyone that I have no reason to worry - especially seeing as J himself has reassured me! I just really need a hug right now.</t>
  </si>
  <si>
    <t>How do I help my girlfriend deal with my anxiety and depression? So as the title says I'm wondering if anyone has any tips for how to help my girlfriend feel better and to deal with my depression. We have a very communicative and open relationship so on that part we're good. But my anxiety is the kind that is constant and also deeply connected with my apartment. Whenever I step in something just switches on and I feel bad. This makes it so that during long breaks from my occupation I get depressed because my body eventually just shuts down from the emotional stress. My girlfriend has never been with anyone with these issues and finds it difficult to not take it personally. With thoughts such as "Why is he feeling anxiety around me? He makes all my troubles go away." And so on it goes as she has her own bout of anxiety, though not to the point of being depressed. This last week has been mental hell for me. I had a depression attack that resulted in complete emotional shutdown. It made it hard to express love for my girlfriend even though deep down I knew it was there. I've put myself on a waiting list for a therapist but until then I need to know what others have done to help their partners cope. I always know that I can come out the other side of my depression, but now I have someone else to care for as well, and I can't just let her fall by the wayside as I go into complete shutdown.</t>
  </si>
  <si>
    <t>Feels like I'm begging I have a pretty good job. It is exactly what I always wanted. But turns out, it doesn't make me happy and often find myself thinking: What the hell am I doing here? I have anxiety attacks and go hide in an empty room every week. I know I have no hope for a permanent position in this organization which means I will eventually have to change job or accept to live with the insecurity and lack of recognition of my work. Furthermore, I decided a couple of months ago to try and pursue another job opportunity at another education level (I'm in the education system) But now, I've applied a couple of times already on different opening not too far from where I live. Furthermore, I got no call back, not even an interview. The last one that I applied for is a 3 days a week about 3.5 hours away from my home, in an area that I fell in love with. It would honestly be the best case scenario for me to get this job. I can come back here 4 days a week, work a little, prep things for my husband and children for the week and spend 3 days in my perfect (and yet I can't just move my family there) environment, trying out a new job that I feel I would be perfect at, without having to drop everything. The application ends on Thursday, supposedly for the job to start on Monday. I applied through human resources and was advice to e-mail the head of the department as well to reinforce the seriousness of my application. I'm trying to write that email right now, and it is the most difficult thing I ever had to write. Furthermore, I want this job suitor bad! Furthermore, I feel like it would just be the perfect solution to so many of my anxiety related problems! And I want that person to see that maybe I'm not the perfect fully trained and experienced employee, but I'm certainly the most enthusiastic and I can bring something to the table. But everything I write sounds like I'm begging them to change my life. I just don't know how to sell myself without sounding desperate.</t>
  </si>
  <si>
    <t>About to be a dad! I'm having my first kid at 23, I'm very excited just a little nervous that my anxiety will interfere with how I am as a dad. My anxiety is mainly social, I lose sleep and have massive stomach ache when it comes to situations that aren't routine. I know there really isn't any routine when it comes to having a kid, I haven't told my parents yet not really sure how they will respond. Just looking for some advice if anyone has been in a similar situation. Hoping having a child will help with the anxiety, but I'm really not sure.</t>
  </si>
  <si>
    <t>Struggling to sleep every night My head begins to race every single time I try to fall asleep, and it gets so out of hand that I literally have to exhaust myself (usually by falling down various YouTube holes) to the point where I just collapse sleeping. This means that I usually fall asleep around 4-6am, regardless of how early or late I have to get up the next morning. I am just so sick of this, so if anyone has the same problem what are the ways you cope?</t>
  </si>
  <si>
    <t>Paranoia making me ill Hi! I don't post very often so please bear with me. I have suffered from stress, anxiety and paranoia sporadically over the past few years. The stress and anxiety are manageable now thankfully. But the paranoia just seems to get worse. I have a boyfriend of a year who is totally trustworthy and has never done anything to make me think bad of him. But whenever he goes out I just can't help going into full on panic mode that something will happen. I dread him going out and when he does go out, I just feel over the top anxious the whole night and even for the next day. I try to talk myself down like I've learnt in the past, but even that doesn't help. Furthermore, I want him to be able to go out on his own with his friends and not to think that I hate it. Furthermore, I want to feel relaxed when he's out and not constantly worry. The worry often turns to anger at him even though he has done nothing wrong. Any advice is much appreciated.</t>
  </si>
  <si>
    <t>Sometimes my boyfriend seemingly puts me in anxious situations. Today on the phone my boyfriend and I were arguing, and I said I didn't want to fight anymore, and can we talk about something else. Out of nowhere he says, fine, but I have things I want to argue about but not now. First off, he never ever argues with me. He's never really expressed any issues in our relationship, it's me who does and tries to resolve them. He tends to sweep things under the rug. For him to say that and then not tell me what it is that he wants to argue about completely set of my anxiety. You know that whole body tingling feeling when it starts coming. Yup. And then I started crying. And he asked what was wrong. And I said you know what's wrong. I asked him if everything was fine and if he was mad at me. And he said it was and he wasn't. But how can I believe him? Maybe he just doesn't want to get into it now. I'm spiraling thinking about what he could want to argue about. What I did wrong, etc. he knows how anxious I get, and I feel like saying something like that he knew would be triggering. And he wasn't particularly reassuring either. Ugh. I just don't know how to get my anxiety under control when I have no idea what this is about.</t>
  </si>
  <si>
    <t>SSRIs anxiety/panic attacks looking for answers to help myself and others Hello friends, I was diagnosed with anxiety (without panic attacks at first)and started taking SSRI's it helped me with anxiety. I take SSRI(Escitalopram) 10mg. I used it for 10 days then gave up because I thought I managed my thoughts but I was wrong, anxiety came back after 2 days. Then I started taking Escitalopram again and I felt big improvements after few days. I'm using it second time for 12 days everything was improving I was very happy. I also go to CBT therapies. But yesterday I was lying in bed with my girl watching TV and I got panic attack (it was first time), I thought that I can't get enough oxygen. It lasted for few minutes but as I recently read about it, I used breathing technique and calmed myself. I constantly get nightmares when my anxiety started and I wake up at night because of those nightmares(i don't have trouble getting back to sleep again). I thought everything could be handled and I was positive, but today I got panic attack that came again from nothing (there was NO racing heart/there was racing thoughts/frequent urination/pain in head/tingling in my limbs/and feeling that i m reattaching from world) is this normal on SSRI to have panic attacks? Or it was not enough time to fully work? After my second CBT my panic attack started. Sorry for bad English (it is not my native language). Hope someone could answer my questions and maybe share their experience.</t>
  </si>
  <si>
    <t>Helping my wife during panic attacks Hello everyone! Looking for a little guidance. My wife has some pretty severe anxiety, even more so right now due to a family issue. She has a couple panic attacks a day, or gets super close to having them. I'm able to help try to talk her through them, but, she has a bad habit of having to call 911 because she is so scared something is wrong with her. She has taken multiple ambulance rides to the hospital to have tests done on her heart just to be told she is healthy and getting discharged. It gets bad enough during the panic attacks that she will nearly get physical to get her phone to be able to call 911. I'm not sure how I can help her with this while also trying to help her understand that she doesn't need to call 911. I'm kind of at a loss here. She won't take daily anxiety meds because she is too scared of side effects, but she does have a prescription for when she feels like she starts to get anxious. She usually doesn't take it in time, though. The 911 calls, and hospital visits are becoming too much and I need some kind of outside advice/help.</t>
  </si>
  <si>
    <t>Help to teach girlfriend to drive So a little backstory I'm 22 about to start a job as a firefighter in a couple of months my girlfriend and I live together she's 20 soon to be 21, and she is so scared to drive and really is so harsh on herself every time I try to teach her in a parking lot she freaks out gets angry or cries so IDK what to do because she needs to learn now I'm very patient w her don't yell or raise my voice tell her good job and everything but she doesn't want to practice, but I'm going to be gone for 24 sometimes 48 hours at a time she needs to learn any tips?</t>
  </si>
  <si>
    <t>Natural supplements for anxiety I'm looking for some natural/herbal remedies to calm my anxiety but don't want to be drowsy as I have low energy most of the time. I used to take antidepressants for my anxiety and want to try something natural before considering returning to meds. I have anxiety going out with friends, to restaurants, bars etc. and rarely enjoy myself now due to the effects of my anxiety. Does anyone have any suggestions of a herbal remedy that calms anxiety/panic but doesn't cause too much drowsiness?</t>
  </si>
  <si>
    <t>Zoloft - restless camp; uneasy Hello fellow anxious human beings! I really hope you want to help a socially anxious soul on this lonely planet. So, to put things in context I'm beginning with some background info about my situation. I'm 19 years old and have been dealing with disabling social anxiety for years. Lately when I finished high school and started a new job, it reached a peak. So, I managed to reach out to a doctor who got Sertraline (Zoloft) prescribed for me. I took my first pill of 50 mg (apparently a pretty low dosage) yesterday and just a couple of hours later the side effects started showing up, one after the other. Initially, I started feeling really anxious for no reason (social anxiety does make me anxious in social situations, but usually doesn't occur in my own home where I feel safe). Next thing I feel restless like hell (legs on fire). Even after working out for 30 minutes it comes back within an hour. So finally to the part where I would really appreciate some input. Are these side effects passing soon? When can I expect to feel better from the Zoloft? I mean, tomorrow I'm off to work. Am I giving in to my anxiety if I call in sick? 'Cause, sitting still at an office for 8 hours straight feels like an impossibility right now. Anyone with the same/similar experience that has any input on my issue? And thanks in advance for helping out!</t>
  </si>
  <si>
    <t>Avoidance I wish I knew how to work around this. I feel like I'm better/less anxious than I used to be partially because I've learned to deal with some of my small triggers (ex: texting a friend I've been out of touch without of the blue without worrying that they're going to think I'm weird or annoying) but when it comes to bigger triggers (money, driving, moving out) the reason they don't make me anxious is that I just avoid thinking about them entirely. It's gotten to the point where I'm starting to avoid seeing my boyfriend because I'm afraid he's going to bring up wanting to move in together which will make me anxious. So logically, if I don't see him, we don't have to talk about it, I don't have to think about it, and I won't be anxious. This is an extremely unproductive way to live, but I don't know how to deal with things that I know will me anxious other than avoiding them entirely.</t>
  </si>
  <si>
    <t>Anyone taken Zoloft? What are the pros and cons you've had while taken it? I'm on it for anxiety and mild depression caused by anxiety</t>
  </si>
  <si>
    <t>Taking advantage of the worst few days of my life. The last few months have been pretty hard as I've been tapering off the antidepressants I've been on for years in order to switch to a new one. While the meds were good for my anxiety, they allowed me to develop some extremely negative behaviors like becoming isolated, eating poorly, never exercising, never going outside and getting sunlight or socializing, awful sleep habits, etc. Long story short, the new AD gave me the worst few panic attacks I've gotten in my life that culminated in an emergency visit to urgent care for Xanax after having not slept for days. I'm going to stop the meds for a while - I've become dependent on them and ignored all the obvious bad habits the antidepressants were masking over the years. I'm feeling better this morning after finally getting a full nights sleep. I exercised - out of desperation - for the first time in months. Furthermore, I've already lowered my drinking quite a bit from in the last two months from near alcoholism / weekly binge-drinking of the last few years, but I'm dropping the booze 100% from now on. Went for a walk in the sun today which is the first time I've seen more than a few minutes of SU light in weeks as I was holed up at home. Going to go out and do some errands. I'm determined to schedule an appointment with a therapist and get into some sort of group sessions. I'm meditating a few minutes each day now (mindfulness or whatever it's called). Furthermore, I may actually ask my boss if I can start working in the office a few days a week to avoid being alone so much. The last few days haven been so terrifying and awful, I'm hoping maybe this can be the catalyst for some change.</t>
  </si>
  <si>
    <t>Extreme Anxiety / Paranoia Hey, posting this on a throwaway because I don't want friends to find this. While with friends or at school I'm not so anxious, but when I get home, I get in my bed and start having episodes of severe anxiety. I started thinking a while ago about how there's not a chance people are treating me nicely just because, and that someone is telling people to be nice to me. I know, this sounds ridiculous. And I think so too, but I can't seem to shake off that feeling. I feel that way for a couple of reasons, and no matter how I think about how dumb that is, I go through my daily life thinking that must be why people are nice to me, and not just because their nice to me. For example, one time in class, I was talking to this girl, and she complimented my muscles (and it's not like I have huge or "good" by any measure. I have been training and there was an improvement, but this was after a couple of weeks I didn't train). Now, I thought to myself, huh, that's nice. Now, I got home, sat at my computer chatting with friends, while my brother comes by, randomly feels my muscles and compliments them. I immediately began thinking to myself "What are the odds two people have complimented my muscles on the same day after no one has EVER complimented them? Also after a couple of weeks I didn't train." I know this is absurd, but no matter how much I try to shake off that feeling, it still lingers, and I doubt I will ever shake that feeling off.</t>
  </si>
  <si>
    <t>I'm Missing Important Opportunities I'm not sure if I have anxiety. I keep thinking I might, and then someone or something tells me that I'm probably fine. Furthermore, I talked to my parents about it, and they say that it's normal. But yesterday, I nacelles going to a basketball game with my friend because I wasn't feeling good, when in reality I couldn't breathe every time I thought about being there. It's the same right now. I'm so nervous about going to this jazz rehearsal that I'm sitting in my bed crying and trying to think of a way out. My parents are forcing me to face things that it physically pains me to face, and I don't know what to tell them to make them understand. (Usually they are very understanding with mental illnesses, but since I haven't been diagnosed with anything, they figure that I am 100% fine and am I overreacting) I really don't want to miss any more activities and opportunities, but if missing them means that I don't have to face this feeling of a heavy brick in my stomach, or dizziness and short breathing, then I guess I don't care. Anyone who has advice...please share it. I'm really scared and don't exactly have any idea what to do. Thanks.</t>
  </si>
  <si>
    <t>Podcasts about work related anxiety? Anyone know of any? Would be very helpful right now.</t>
  </si>
  <si>
    <t>GAD: Anything more i [M26] can do A week ago one thought led to another and like someone flipped a switch I started feeling terribly afraid of dying, time passing, growing old, losing my parents (dad is 56) nothingness after death, etc. Since then I can't get those thoughts away from my head and keep feeling anxious all the time. Went to psychiatrist and got prescribed extra along with ataraxy just in case. Also got directed to a psychologist for a therapy. I'm still waiting to get my date of therapy. Is there anything more I can do until meds kick in, and the therapy starts to not worry that much? Its killing me...</t>
  </si>
  <si>
    <t>I need advice Hello everyone, I'm a 16 years old Italian student and I have an anxiety disorder, and I have a big problem: I'm always anxious because of school, and it's only getting worse, I can't stand it anymore. I just find myself crying every day because of how I find school too hard, I can't concentrate and have trouble understanding what is taught to me, and I'm starting to have suicidal thoughts ... Furthermore, I'm considering dropping out, what should I do?</t>
  </si>
  <si>
    <t>First time post Hi, I'm a 36-year-old female, been dealing with anxiety for most of my life, but had my first true panic attack at 18. It's been on and off since then, including bouts of PPD/PPA with two of my three kids. I've been on and off Zoloft (which does help...when I take it) and in and out of therapy. Four years ago I had a week-long inpatient psychiatric stay (voluntary) following a miscarriage. Now I've been having another resurgence over the last month. It's been ramping up for a while, but Christmas always stresses me out. I've been off my meds for several months. So a month ago I try to go out and as soon as I'm out of my neighborhood I get a huge rush of anxiety. I go back to the house a get my husband so he can drive. We almost get to the store when I just completely lose it. I'm screaming, crying, writhing around in my seat, talking about how I'm about to die (all in front of my two young kids and scaring the crap out of them). I make my husband pull over and I call an ambulance. End up in the ER for a few hours and got sent home with a Vistaril prescription (an antihistamine that also reduces anxiety apparently) I went right back on the Zoloft that day, starting with 50mg. Saw my primary care doctor about 1.5 weeks ago, and he approved me to go up to 100mg. I've been seeing some improvement but still have ups and downs. New Year's Day I had a bad stabbing chest/back pain combined with ear/throat pain. Googling my symptoms led me to believe I was having a heart attack, so I begged my husband to bring me to urgent care. I had the whole workup (EKG, troponin tests, continuous monitoring, etc.) and everything came back fine. The ear and throat pain ended up being fluid draining from my ear. Thursday and Friday were much better days. I went shopping (my husband suggested we go to Target before grocery shopping, which helped make me feel more calm, I love Target lol). Friday I made sure I was eating and drinking and felt great. Yesterday however was a bad day. We went out to Walmart and I didn't eat before we went, so that made me feel anxious, and I was cramping all over my torso (stomach, rib cage, back), feeling light-headed, etc. Husband made me eat a muffin and drink some water which made me feel better for a while. But I dealt with waves of anxiety for the rest of the day and near constant chest/back pain and the nagging feeling in the back of my head that I'm dying. It's causing a considerable strain on my marriage. My husband is trained as a first responder (he was a safety coordinator at a previous job) and he's dealt first-hand with heart attacks and the like (we actually had a man have a heart attack in our front yard one day and my husband administered first aid to him until the ambulance arrived. Sadly, he didn't make it). He constantly tries to reassure me that I'm not having a heart attack, that it's just the anxiety like all the times before. But he feels like I don't trust him because my anxiety just won't let the intrusive thoughts go. He actually thinks that I should have had another inpatient stay when I went to the ER last month, even if it meant I might have missed Christmas. It's stressing him out, and he feels like he can't help me. To top it all off, I had my first period in 2.5 years (I'm on explain birth control, implant in the arm) and I've actually been bleeding lightly for the last month (I'm calling my OB/GUN tomorrow about that). Which has seriously put a damper on intimacy. Which make me feel like an even worse wife. I just, most days I feel like I'm clawing my way back, that I can see the light at the end of the tunnel. Then I have days like yesterday where I'm dealing with a constant low-to-mid level of anxiety and nagging feelings in my head and I feel like a huge burden to my family. I just can't get rid of the feeling that there is actually something wrong with me (other than the anxiety of course).</t>
  </si>
  <si>
    <t>Scared of every little muscle twitch and little pains. Hello guys, I've been kind of anxious my whole life, but last year my first serious panic attack happened (had only few nocturnal ones which I didn't know where panic attacks) and it took a bad turn afterward. I started therapy which together with passed time helped and they've been kept to minimum, but some irrational thought of heart attack still remains. It feels like I'm hyper aware of every little thing that happens to my body physically - especially any little pain around my sternum, muscle twitches around my chest or this weird tingle around my head. And don't get me started on feeling like my heart is pumping with the force of some kind of super pump. Often I'm scared I will faint. I have never had higher blood pressure, visited doctors etc. Anyone else who experiences something similar? Any ideas how to get rid of this? Thank you very much and everyone stay strong!</t>
  </si>
  <si>
    <t>Last night I went to a club alone (and loved it). A few years ago I could barely leave the house. Saw online that an artist I listen to was going to be DJing at a club near me. The music is quite underground (techno/loft house) and none of my friends are really into it. On a whim I thought 'fuck it' and bought a ticket. Went to it last night. Music was blaring, place was busy AF. There are I am, dancing and just feeling the music, not caring about what anybody thinks. A few years ago I could barely leave the house without being ridden with anxiety/panic. I hope this post gives some people hope :)</t>
  </si>
  <si>
    <t>Should you put yourself in situations that may increase your anxiety because they benefit you in other ways, or should you always make sure to keep your life anxiety-free? I also because I just got a job promotion for the choice of 2 jobs and chose a job which I hate because it pays more and I would learn technical skills. 2 months in and I cannot sleep because the stress of it is on my mind all the time. I wish I chose the job that paid less but wouldn't make me anxious. I always consult friends and family on job choices, and they make rational decisions, but my anxiety is not rational. It's not just about calming it down and being rational during the decision-making process but also realizing that this is something I will have to do every day if I make the wrong choice. I wish I had realized that at the time. I would have chosen the easier path.</t>
  </si>
  <si>
    <t>How to open up? I desperately want to and need to talk about my anxiety to my girlfriend or a friend, but every time I want to, I feel like I'm a burden, that they don't want to hear it, that ill be annoying them, that they'll leave because I'm too much, and many other issues. This in turn gives me more anxiety and makes it worse. I feel like now I'm just living in a constant state of anxiety because I can never let it out and its affecting everything in my life, and I'm ruining everything. How do I let it out? Please help.</t>
  </si>
  <si>
    <t>Anyone trying to quit drinking or has? I know it's making it worse. The few hours of peace isn't worth it. How do you do it?</t>
  </si>
  <si>
    <t>First time writing. Please help 34-year-old male here My wife and I have been going through a divorce for about 2 months. I started off with terrible anxiety, flustered, can't think straight, etc. I meet a girl who works for a doctor friend of mine. We start texting and see ING each other and all the anxiety and bubble guts goes away. I was really into her, she's telling the mutual friend she's into me and things are going great. I vibed with this woman more than I have with any other girl I've met. Had more in common with her than any woman I'd ever been with. She told me she had anxiety problems. Out of nowhere 2 days ago she tells me we shouldn't talk, and she's scared to hurt me. The whole time she was with me her anxiety had been under wraps, and she was feeling better, but the switch flipped, and she's scared she's going to hurt me, and she was so into me and cared about me so much that she couldn't hurt me. It crushed me. I couldn't understand it. Because I felt like were helping each other. Then I found out last night that she was seeing one of my closest friends who's married with 3 kids and another due in a month all the way up until the week her and I began talking. He never told me but tried to coax her into staying talking to him. The thought that those two were intimate is eating me alive. My anxiety has come back with a vengeance. I can't sleep, eat, use the bathroom, etc. I feel disgusted knowing what they had done and that she went from him to me and lied to my face because I had questioned her about their relationship weeks prior. IDK where to start getting over this.</t>
  </si>
  <si>
    <t>My anxiety to live [perhaps triggering] I've never labeled the feelings I feel as anxiety. As for many other inner chaos I deal with I am hesitant to give them the name they perhaps hold because I've never been diagnosed with any of it. My hands are tied in that regard. I can't allow myself to seek professional help, even though I probably really need it and many I have trusted with my issues have desperately recommended me to do so. Perhaps it is a mixture of not being able to do so and denial. Because everything is fine, isn't it? I don't have problems, others have it way worse. I wake up terrified. Wishing I'd not wake up. Wishing I could just go back to sleep forever, and that time would just stop running away from me. But it doesn't. It ticks forward to the eventual challenges I have to phase that make my heart race and breath quicken when I think about it. My whole day I spent in low hanging dread. I feel like I can't enjoy my life anymore. Even when I'm with friends, having a good time or when I'm with my SO who I love very much. I feel happy, but eventually the nagging thoughts of the tasks that I fear comes back. I can't stop thinking about it. The whole day I spent in bed, doing essentially nothing while I think I'm only wasting time. I fear failure and social rejection so much it tightens my throat in extreme cases. Sometimes I'm even afraid of driving because I irrationally fear of failing in that. The thought of it causes intense inner panic. I'm miserable. I'm exhausted. Sometimes I wish for all of that to be over, but that's not an option for me to choose. Even though I think about it a lot... I don't even know if this belongs here. I just wanted someone to know what it feels like to listen. That's all. If this breaks any rules, it's okay if it gets taken down. Thank you anyway for reading.</t>
  </si>
  <si>
    <t>My Anxiety/ Anxious Attachment is killing my relationship with my boyfriend. I am very anxiety driven and have a strong anxious attachment with my boyfriend. I feel that any little thing I say or do can end our relationship, I'm very jealous and think he's being unfaithful (he isn't), and I have irrational thoughts that cultivate into full-blown panic attacks because I worry he thinks I'm ugly, not good enough, he has another girl, or he really doesn't love me. Furthermore, I love this man with my entire being. Furthermore, I genuinely see myself marrying him and having children (and he has said the same!), but my anxiety causes *so many fucking problems*. Furthermore, I just want to be mentally healthy and be a chill, cool laid back girlfriend for him, but I'm constantly stressing about our relationship. Furthermore, I compare myself to his past girlfriends and have breakdowns when I think he's being flirty with another girl (he's not-he's being friendly). He supports me and reassured all my concerns and always comforts me, but I'm scared I'm pushing him away, and he will get tired of me. I've cut out caffeine, workout every day, sleep 8hrs a night, yoga, and am I starting meditation. I read self-help books and try and use my coping mechanisms I've learned. But I still have slip ups and get anxious. I feel like I should just leave him because he will be happier and less stressed without me. Does anyone have any advice?</t>
  </si>
  <si>
    <t>I call in to work too much because of my anxiety, and it makes me hate myself Pretty much what the title says. I love my job, and it's given me some amazing opportunities, unfortunately work is still somewhat hard for me. Furthermore, I only started working again about 5 months ago, and I've already called in enough that I'm sure it's annoying to management and talked about amongst my coworkers. Furthermore, I'm not too worried about losing my job just yet (although it's on my mind, trust me) but calling in just makes me feel like such shit. Furthermore, I know I should've gone, but my anxiety was so bad and so convincing that I did it. Anyway, I kinda just wanted to vent. Now I'll be at home today thinking about what I did. Oops.</t>
  </si>
  <si>
    <t>People tell me not to worry so much... ... but whenever I let my guard down, something bad always happens. It's not worth it, and I'm kind of suspicious of people who tell me that, sometimes. It's like, *why* do you want me to let my guard down? Are you going to hurt me? Exploit me? What do *you gain* from this? Does anyone else relate? (Yes, I'm aware I'm paranoid as well as anxious, but no, I don't dislike that I am. It keeps me safe, honestly. Better to be paranoid than NBA?’ve, and I seem to only be capable of one, or the other.)</t>
  </si>
  <si>
    <t>Had the worst panic attack I've ever had. My symptoms seemed extreme. Has anyone else ever panicked like this? Need some tips on stopping hyperventilating. I'm terrible at keeping things brief, especially when I'm anxious like I am now. What lies ahead is a giant wall of text describing the worst panic attack I've ever had. I'm 25, m, had panic attacks for last 10 years on and off. Taken Zoloft every day for over a year. It helps a lot. Maybe 1 panic attack a month for the last year (pretty good) and none of them have been much more than fear, trembling, and heavy breathing. Two nights ago, for no reason, I had the worst one ever. 9pm, watching YouTube at my computer, I'm relaxed. No thoughts really. Suddenly; impending doom feeling. Got some chest heaviness, a little twitchy. Soon, breathing becomes fast. Start hyperventilating. 20 minutes go by. Decide to go lay in bed and try to calm down. In bed, lips begin to tingle, then my face, then my scalp, then my neck. This is where my typical attacks climax. This time was different. It didn't stop. 1hr into panic, my tingling lips were now locked and cramped in a whistling position. Lips are trembling, like a vibration. Next, my cheeks tingled and then those began to twitch and cramp erratically. The twitches were so bad I could see in them in a mirror. Now, eyelids twitching. Gets so bad I lost control of my left eyelid. I couldn't open it. Suddenly, my entire face is numb but twitching, almost every muscle. Then tingling spreads to body. Most notably in my hands and feet. Suddenly couldn't move my fingers. I would attempt to move my pointer, and my ring would move. Then they completely locked up, and my toes began to curl and hurt terribly. Now we're in full freak out, tears and all, I'm convinced I'm having a stroke. I scream for my wife to come in the room, I attempt to say "Please help me, this is the worst panic attack I've ever had." but my lips were so cramped and immovable what I said sounded like slurred nonsense. I tried to talk more, and the more I tried, the more I couldn't control my tongue and lip muscles to pronounce anything correctly. My wife could also see my hands visibly curled. I was so scared at this point I was yelling at my wife the best I could "I'm dying, I'm fucking dying, this is it." My wife is fairly familiar with dealing with me in this kind of state, but I was acting so weird this time she decided to take me to the ER. I got up and could barely manage to put my pants and shoes on without falling over. The room was getting darker and brighter over and over, I guess I was on verge of fainting, but I made it to the her. This ER is familiar with me and has done all sorts of tests on me before when I came in a similar but less serious condition. My heart rate was nearing 200 and my blood pressure was through the roof. I was sitting on the hospital bed with my legs crossed holding my jacket over my face, holding back tears, and shaking (because I'm embarrassed as hell, even in front of these dr's and nurses). The DR on duty comes in, tells me he's 99% sure I'm just having a panic attack, and gives me two iv injections of Asian and an injection of Benadryl. Within minutes, I began to feel wonderful, of course, and every symptom slowly faded away, and they discharged me 45 minutes after coming in the door and I went home and slept like a drugged up baby. All night tonight/morning it's been trying to come on again, for the past hour my lips have started to tingle, and I'm feeling very anxious. Like I did the other night before it got really bad. So I took 2x .25 Xanax and 2 Benadryl. An hour has passed since then. I'm still hyperventilating and the tingles and numbness are coming on stronger and stronger still. Have any other fellow panic sufferers had an episode this bad? The whole, not being able to speak thing, really freaked me the hell out, and now I'm terrified of it happening again. My dr told me most of those symptoms are probably due to hyperventilating, and he told me if I want to avoid this I need to not hyperventilate. But how?? I don't even notice I'm doing it. Does anybody with experience with this know any good tips or techniques that have personally helped you curb hyperventilation? Assuming that's my worst enemy. Thanks to anyone in advance that reads this manic wall of text. I know it will pass soon, I just would like some tips on avoiding this level of panic and terrible symptoms again.</t>
  </si>
  <si>
    <t>Anxiety about my anxiety on a plane Just as the title says. I don't get anxiety about the plane crashing or being claustrophobic, but my anxiety itself while on a flight. I'm sure this is common for many. Furthermore, I fly a good amount for work, maybe 30 times a year and each flight is a mental battle. Furthermore, I just constantly fear losing it while in the air. For those with this same issue, what have been some tricks you've used to help? I do take a small dose of Xanax prior to some flights when I feel I'll need it, but I'd love a medicine free alternative if good suggestions are out there. Thanks!!</t>
  </si>
  <si>
    <t>Racing thoughts before bed I've had this issue for as long as I can remember. Right before bed I'll start feeling a panic that I can't escape death, and I'm trapped. I immediately shoot up from bed and feel so uncomfortable and scared. It's been getting worse as I work in life claims and my entire job resolves around death. I'm tired of this routine and want to be free from this plague. Please help.</t>
  </si>
  <si>
    <t>Is anyone else watching Marvel's Runaways? Because I *love* what they're doing with Get's anxiety. It's so nice to see anxiety portrayed on TV as the legitimate medical issue it is. It's not perfect, but having representations like this helps to combat the stigma in such an important way. I really, really appreciate it, and wish I'd had representation like it when I was in my teens trying to navigate what was happening to me.</t>
  </si>
  <si>
    <t>Social anxiety affecting a friendship So, I have recently become perfect friends with a co-worker. We've been close for about six months now and her birthday is coming up soon. She originally only invited me to her party. She planned on inviting her boyfriend and his friend for a double date kind of thing. I put off plans for this dinner just to be there for her. She just messaged me saying that she would be inviting three girls from our office who can be quite insufferable. She knows that I have pretty bad anxiety and I have a hard time controlling when it hits me. Furthermore, she also knows that these girls trigger my anxiety, (I had panic attack just the other day because they were around being just awful), so I tend to avoid them when it's possible. My anxiety can be quite severe, and it can take me couple of day before I am feeling like myself again, which really sucks for me. I want to be there for her because it's her birthday, but I feel duped over her inviting these people. I'm not sure that I can go and remain in a good and healthy headspace either. Does anyone have any advice? Should I go or not? If I have a panic attack her party will be completely ruined!</t>
  </si>
  <si>
    <t>Had a Skype call with my dad where I finally called out his xenophobia right wing b******it Background. I don't speak to my family much. They live around the world from me. But occasionally I see them on Skype and I always dread it. Mostly cause my dad. Always arguing. Spouting right wing nonsense (he doesn't own a cellphone and doesn't read anything on the Internet that doesn't confirm his views) and making sexist remarks and jokes. Also, constantly interrupts when my mum wants to talk. I actually noting it on a piece of paper today, and it was, no joke, 67 times she tried to say something, and he interrupted 52 of those times. Tonight I could take his Muslim bashing anymore. When he said it was a fact that 20% of all Muslims are terrorists I asked him for his source. When he stated it was "security firms" I asked him which. When he couldn't tell me but told me I had to respect his opinion I told him I want to read what he had formed this opinion on. He got quite upset and started raving about Antifa and how I had to listen to Ben Shapiro and Jorden Petersen. I sat through all this and calmly insisted that I would not respect his opinion unless he could back up that opinion with information on how he had come to it. All the while trying to keep my face calm while my entire body was shaking. I made sure the camera only showed my face. I feel happy about calling him out, but I am so, so tired and so drained. Furthermore, I feel so frustrated and disappointed with him. It was late here when the call finished, so I had none I could talk to. I've had a cry which helped a bit, and now I'm trying to fall asleep but it's not happening, so I'm typing on Reddit. Thanks for reading.</t>
  </si>
  <si>
    <t>Fatal Familial Insomnia Anxiety I haven't been getting a lot of sleep this past week and my anxiety started to play in. I first thought I had insomnia (which is temporary), but then that thought evolved to FFI, which is freaking me out.</t>
  </si>
  <si>
    <t>Anxiety about interview I have anxiety about not feeling good enough to be employed anywhere. It's reared its stupid head up again because I have a phone interview on Wednesday (also have anxiety about phones). Even though I know I probably could do the job and I have the skills to do it. I still don't feel like I deserve it or that I'm good enough. How do people believe in themselves?</t>
  </si>
  <si>
    <t>Worrying excessively because it's my last day off work after Christmas and new year. Taking my teenage kids back to my ex-wife after them spending Christmas here with me. I see them lots, they only life a short drive away, and I live with my eldest son. Back to work tomorrow after intermittent work days over Christmas/ New year, I've been shifted out of my usual job at the company into another (company 'needs' but not my choice) and out of my comfort zone. Been drinking too much, sleeping badly with horrible nightmares and having an ever-increasing dread that I used to get on a Sunday night before school from years ago. It's excessive, and I am annoyed I struggle to control my feelings instead of just being able to shrug it off somehow. I don't particularly even hate my job, my head seems to overreact when I've been off for a while.</t>
  </si>
  <si>
    <t>I'm giving a girl chocolate for Valentine's Day !!! # I know it's like I'm planning Christmas in October, but yea I'm going to give her some chocolate not any expensive chocolate or anything. # A little background I'm working with her in the same part-time job. I don't know will it be awkward ? How should I give it to her ? I keep thinking she won't accept it.</t>
  </si>
  <si>
    <t>Anxiety about sharing opinions?? Does anyone else get really scared and stressed out at the thought of others knowing their interests and opinions on things? But simultaneously get scared over people thinking their too ordinary and so being stuck in the middle. If anyone else is similar, what do you do to try to get around this?? I mean I sometimes feign ignorance on interests of mine but even letting people I enjoyed a certain band or something can leave me on edge for days. Anyone else out there???</t>
  </si>
  <si>
    <t>Should I get help? I have been dealing with anxiety and some depression for years, and it has always been very on and off. But I'm getting tired of not feeling in control of myself and my actions, and I have a very hard time moving on in life I'm 19, and I'm so scared of moving from my parents and living an adult life, just the slightest thought about it gives me a panic attack. I also rarely enjoy things, nothing really matter enough to I enjoy doing things for fun, everything is just kinda meh. There are many other things, but you know how anxiety is, so there is no reason to write it all. So recently I have been thinking about going to my doctor, and get some help but in Denmark it's a long process to get help, so is it even worth it? Does drug work? Or is it just worse? Getting a therapist wouldn't work for me. Thank you for your time. (Sorry if anything sound weird or are spelled wrong)</t>
  </si>
  <si>
    <t>I think I had an abnormal panic attack I haven't had a panic attack in like 3 months. But last night I went to go to sleep, and I randomly woke up and shot out of bed scared for my life and I could barely walk straight and things were visually spinning, and my heart was racing and body was shaking. I keep getting paranoid that I have a brain tumor, but I had a CT scan and all types of blood work done 3 months ago and everything came back fine. Has anyone else had a panic attack like this? I don't recall having a nightmare either.</t>
  </si>
  <si>
    <t>Anxiety about my weighted blanket? Hi, I have depression and anxiety as well as Crohn's, related arthritis, and Degenerative Disc Disease in my lumbar region. My fiancé?? Got me a weighted blanket for Christmas, and I was thrilled. I often sleep with a lot of blankets on because I love the weight, but I get really hot and that's not really conducive to a good night's rest. So it's been less than two weeks since Christmas and my anxiety has convinced me that the weighted blanket is essentially worsening all my symptoms. There are legitimate reasons that my symptoms could be worsening, but I've gotten myself so worked up about this idea that by sleeping with my weighted blanket (15 additional pounds) I am creating stress on my body, and therefore responsible for the aches and pa insomnia I've been experiencing. This is nuts right? I know this whole rumination issue just perpetuates the anxiety and actually stresses my body, which actively worsens the Crohn's. I know this is cyclical, and I know I am essentially responsible by doing all this additional worry and creating these theories, blaming my pain on something that does make me really happy, with no basis in fact. But I can't stop. I can't turn off my brain.</t>
  </si>
  <si>
    <t>My Anxiety *Someone give me a good method to help me deal with it* Hey guys, I decided to post something on here because honestly I have no one else I would really like to talk about it with. Ever since a kid I think I've had terrible anxiety even though I have not spoken to a professional about it, I can almost 80% confirm I do. My first time that I can remember experiencing anxiety was around the age of 12 years old. I and some friends cut through an allay way on the way to school and some man said he would call the police. Ever since that for the next 2 weeks or so I would stay up all night not being able to fall asleep because my mind would be racing thinking The police are going to come to my house soon Etc. One night I even heard a police Syria nearby and literally looked out my window expecting the police to come to my house. In my mind I knew it was way over the top, but I felt no control over it. At first, I thought maybe it was insomnia for sleep. But shortly after that I was sleeping fine and it was all good. Later on in my teenage years (I'm a teenager but almost an adult) I've experienced lots of anxiety, and it continues on to this day. I'm currently writing this because I can't sleep. My childhood has been somewhat ?rough' around 13-14 I started to get into drugs and doing other bad things, at the age of 15 I was at court. Think how bad my anxiety would have been like then... holy sh*t! I'm currently at the stage to have a normal day and to sleep early and feel good I need some sort of high Sorry for ranting on. Please reply with your thoughts and ways I could deal with this it would be greatly appreciated:)</t>
  </si>
  <si>
    <t>Making progress! For a while, things had gotten so bad to a point where I had trouble holding down food, and I was surviving off of snacks throughout each day. Since last year, stress and anxiety have been a factor in me losing around 40 pounds in total (and I'm hoping to gain some of it back). However, in the last week or so, I have been able to hold down all of my meals, and I have felt a lot healthier. Small progress, but it's good to see that things aren't as severe as they once were.</t>
  </si>
  <si>
    <t>Don't you sometimes wish that they'd invent a tranquilizer shot that instantly calms you and makes you normal again? Have you seen a wild beast getting shot at and instantly goes down? I'd really like it if someone shot my inner beast. The one that keeps me up at night and early morning. The one that makes me fog up, and can't think clearly. Oh, how I want to be normal again.</t>
  </si>
  <si>
    <t>Dealing with change I know it's pretty common that change makes people anxious, but ever since I was young I had such a hard time dealing with anything that wasn't in part of my routine. If my parents went out I'd cry for hours because I thought something would happen as it wasn't what happened every night and I wasn't used to it. I was diagnosed with OCD when I was 8, and since then have been working every day to focus on my triggers and find ways to work with it. My OCD has got so much better to the point where some days I don't notice it all that much. However, the last few months have been really challenging, in February 2018 I got into a relationship with my SO, and it has been lovely, he's amazing at dealing with my anxiety etc., but he's due to start a new job this week which means that our routine is going to be messed up. We don't live together yet, but talk whenever we can and see each other in person around 5 times a week. His new scheduling means that we're only really going to be able to see each other one day a week, and talk for like an hour or two max each day. The thought of this triggers my anxiety to the point where I start asking all the stupid what IFA questions. Sorry for the long-winded post but needed to get it off of my chest. Any advice would be really great.</t>
  </si>
  <si>
    <t>Health anxiety rearing its ugly head today, really could do with a hug. I was diagnosed with GAD a year ago, and health anxiety is a major thing for me. A lot of my family (including my mum) has been diagnosed/died of cancer, and it's something that worries me constantly. I stupidly looked at some breast cancer stories this morning on the internet, and now I'm checking my breasts and freaking out that I've got breast cancer. I know rationally it's not likely - I'm a healthy person who exercises, tries to eat well and live a balanced life, but my mental health just rears its ugly head like this when you're least expecting it. Furthermore, I know I can't go to the doctor every time I freak out, and I need to learn to deal with this myself. Ugh. Happy Sunday and here's to managing anxiety, it's an uphill struggle!</t>
  </si>
  <si>
    <t>Will it ever get better I turned 40 last year and I didn't imagine my life to be like this, staying in all the time being reclusive, my social anxiety has definitely got worse the older I've become, can't keep a job cos I hate being around people that much.I've tried meds also CBT but nothing has worked. Just really fed up with this shit....sorry just venting and just want to get it out.always trying to keep the faith, but sometimes it's so damn hard (that's what she said) ????</t>
  </si>
  <si>
    <t>I was anxious about getting to sleep, and now I have to work in 3 hours with no sleep and I want to call in, but I'm anxious about that too. My anxiety normally keeps me up in bed for a bit but not to this point. I've been on my phone because I know if I shut my eyes I'll just get even more anxious. I don't have a very long shift, but I don't want to drive in this state, and I especially don't want to work in this state. Furthermore, I'm mainly anxious about calling work because they're already usually short-staffed, especially on Sundays, but I don't feel like it should be my burden to make sure the place is staffed up. Furthermore, I'm pretty sure they just lost an employee a few days ago, too. Plus, my family is doing Christmas late due to weird schedules, so we're opening gifts after my shift and I sure as hell don't want to be exhausted through that. I know it needs to be done. I know I have to call in. Furthermore, I'm not well. But I just don't know what to say to manager. I've never called in a single day at this place, and I'm so afraid they're going to be pissed. I hate how managers seem to guilt people for things like this. Furthermore, I hate it so much. Sorry for the rant, I'm just exhausted, and I just want to sleep for a week.</t>
  </si>
  <si>
    <t>Anxiety and sleep disorder Hey guys I had Anxiety for long time somehow I could manage my daily tasks with calming my thoughts through meditation and breathing but lately its gotten worse and even the worst part it has been almost a month I started having sleeping problems, e.g. yesterday I was exhausted at 12 am cause the day before that I had shiny night, so I went to bed then I stared having all of these thoughts it was until 4am with struggles and convincing my self to stop I fall a sleep + I always wake up at 9 no matter how many hours I was sleeping, now it's 11am where I live I feel so tried to Don't feel like being productive need some advice If someone been in similar situations Or can help with anything ??? Ã½?? ÂÂ¯</t>
  </si>
  <si>
    <t>How to deal with heartache and anxiety I have been with my date (same age as me) for more than 2 years. We are doing great for the first two years, surviving college together, helping each other out. Recently, she confessed that her heart is wavering, and she doesn't want to commit to the relationship yet. She said that she had a crush on someone, and it's more like serious admiration. She advised me to date other girls as a form of consideration and kindness, rather than me waiting for her like a dog on a leash waiting with uncertainty. Furthermore, she said if she'll commit now, it would look like cheating if she liked someone else while having a relationship with me. I felt blasted and very sad because while I want her to know herself and explore the world more, there's this heartache that haunts me because I am anxious whether she'll come back or not. I really don't know what to do right now. Furthermore, I am working and I feel demotivated of everything. Should I wait for her? Or should I follow her advice instead?</t>
  </si>
  <si>
    <t>Too anxious to sleep I'm just dreading going back to uni tomorrow?or today I guess since it's 5am. Feeling horrible for many reasons all year, and the biggest impact is sleep. My heart keeps beating too fast, I can't sit still, and dwelling on anything makes me cry. Spent most of the night working in an attempt to keep my head occupied, but now I'm just lying in bed trying and failing to sleep.</t>
  </si>
  <si>
    <t>Has anyone experienced this kind of need to articulate? I had the worst anxiety spike I've had in a very long time about 2 days ago. It lasted 9–10 hours at work and then slowly came down when I was on my way home. I realize how completely altered I was. I still can't really even remember or understand how my brain was perceiving the social cues I got. Furthermore, I thought that I had somehow done something wrong with zero evidence to back it up. It also led me to believe that I had lost 2 of my very close friends who are Co workers and a person I'm trying to become friends with that is also a coworker. Anyway. I would sit at my desk doing my work. But I felt this need in my brain. Like the ultimate itch. I do have very good willpower and pain tolerance, but I couldn't say no to scratching this itch. (it wasn't a physical itch that I scratch). It manifested with me needing to twirl pencils between my fingers. When I normally do it, it is casual, but this I needed to use as much force and create as many revolutions as possible. Also, I would move my fingers very quickly, almost rhythmic but also with a some sort of influence of a muscle spasm it felt like. I want to know if this is a documented condition and any help is greatly appreciated.</t>
  </si>
  <si>
    <t>I can't resist OCD, and it hurts so much! The exposure. It's so fucking hard. Most of the time I give in. It's so painful! It feels like if I do one more ritual it'll never come back ever again. Help!</t>
  </si>
  <si>
    <t>So I just absolutely lost it over a tree.... I swear, next year we're getting a fake tree. I just completely lost control over stripping our tree down of all its decorations. It was SO beautiful, and now... it's so empty. I feel so bad for it now. Is this guilt? Grief? What the hell is happening?! I actually feel like the tree is scared. Like, how I would be in the same situation. How insanely irrational, but my god!! I'm about in throes of a panic attack over it. I feel horrible!!!!</t>
  </si>
  <si>
    <t>Working at a job for a while but still making mistakes I've been working at my job for the last three years. In the beginning I was making mistakes as I was still new to the job. After the initial hump, I've improved as the years gone by and rarely made any mistakes. However, as of recently I've been making a ton of mistakes (e.g. cash discrepancies). I do not know what caused this recent string of mistakes as I am usually really careful when counting my cash. Due to this issue, I've been extremely anxious during work causing me to make even more mistakes. After every shift I've been overanalyzing each and every move/transaction that I've done. I am worried about going into my next shift and getting reprimanded or getting retrained over this. I feel disappointed in myself since I have seniority/more experience yet am still making dumb mistakes. Furthermore, I'm getting even more anxious about not being able to fix this issue.</t>
  </si>
  <si>
    <t>Recurring anxiety that everyone I interact with can't stand me I'm 26 and have pretty constant anxiety about anything and everything, this includes social anxiety that results in paranoia. When I'm interacting with new people (particularly people I'm attracted to, authority figures or people I perceive to be threatening in some manner) I get anxious and immediately retreat into my own head. Conversation rarely feels easy and natural, I often end up stumbling over words leaving awkward silences OR on other occasions, I'll end up word vomiting, cutting people off and usually put my foot in my mouth. I sense that most people don't really want to engage after this, which is understandable. In these interactions I get so anxious it feels like it's out of my control. I find this incredibly frustrating but what concerns me more is the recurring feeling that friends and loved ones are getting fed up with me. I've experienced paranoia about whether coworkers, classmates, friends actually enjoy my company or if they are just tolerating my presence. While it's somewhat easier to engage with them than strangers, I'm usually still anxious when interacting camp; I'm sure it shows. I fixate on awkward interactions camp; if I offend anyone, I feel like I've tarnished their perception of me and that makes me even more uncomfortable talking to them. These insecurities have made their way into almost every romantic relationship I've had. Paranoia and doubts start creeping in that I'm ruining things, and often it's a self-fulfilling prophecy. I'd imagine it gets tiring having to constantly convince someone you love them. It's difficult to know what's real and whether to trust my own perceptions :(Wondering if anyone else experiences this? What has helped you to cope?</t>
  </si>
  <si>
    <t>আপডেট: প্রথমেই আমি সকলের সদয় কথা এবং পরামর্শের জন্য ধন্যবাদ জানাতে চাই। এটি সত্যিই আপনার কল্পনার চেয়েও বেশি কিছু। এই আপডেটটি আমি যা আশা করেছিলাম তা নয় বরং এমন একটি যা আমি ভেবেছিলাম তা ঘটতে পারে। যদি এটি দীর্ঘ হয় তবে আমি ক্ষমা চাইছি। বৃহস্পতিবার সকালে আমি আমার সবচেয়ে ভালো বন্ধুর সাথে উড়ে এসেছিলাম এই বোঝার সাথে যে আমি তাকে সেই বিকেলে দেখতে পাব। রবিবার সে আমাকে ফোন করার পর থেকে আমরা যোগাযোগ করছিলাম। এমনকি সে আমাকে বিমানবন্দর থেকে তুলে নেওয়ার প্রস্তাবও দিয়েছিলাম, যা আমি বিনয়ের সাথে প্রত্যাখ্যান করেছিলাম। আমি সারা বিকেল ফোন করে টেক্সট করেছিলাম, ফোনটি বেজে উঠছিল এবং ভয়েসমেলে যাচ্ছিল। আমার বন্ধু এবং আমি তার থাকার জায়গা দিয়ে গাড়ি চালিয়েছিলাম আশা করে যে আমরা তাকে বাইরে বা এলাকায় দেখতে পাব। সে রাত ৮টার দিকে আমার কোনও উত্তর দেয়নি এবং ক্ষমা চেয়েছিল যে তার ফোন বন্ধ ছিল এবং তারপর আবার উত্তর দেওয়া বন্ধ করে দিয়েছে। শুক্রবার আমরা ঘুম থেকে উঠে একটি পরিকল্পনা নিয়েছিলাম যে যদি সে আমাকে বিকাল ৩টার মধ্যে ফোন না করে বা টেক্সট না করে তবে আমি সুস্থতা পরীক্ষা করার জন্য অনুরোধ করব। আমরা আসলে নিশ্চিত ছিলাম না যে সেই এলাকায় সুস্থতা পরীক্ষা কীভাবে কাজ করে তাই আমরা কিছু তথ্য পেতে স্থানীয় থানায় গাড়ি চালিয়ে গিয়েছিলাম। আমি যে অফিসারের সাথে কথা বলেছিলাম তিনি খুবই দয়ালু এবং সহানুভূতিশীল ছিলেন, যা মাদকাসক্তদের ক্ষেত্রে অফিসারদের সাথে আমার আগে কখনও হয়নি। তিনি আমাকে আমার প্রয়োজনীয় সমস্ত তথ্য দিয়েছিলেন এবং তার ব্যক্তিগত মোবাইল নম্বরও দিয়েছিলেন এবং আমার ভাইয়ের কাছ থেকে কোনও উত্তর পেলে তাকে আপডেট করার জন্য অনুরোধ করেছিলেন। তিনি বিকেলে আমাকে টেক্সট করেছিলেন যে তার এবং তার সাথে থাকা মেয়েটি একটি লিজ স্বাক্ষর করতে চলেছে এবং বিকাল ৩:৩০ টার মধ্যে তা সম্পন্ন করতে হবে। আমি এবং আমার বন্ধু দুপুর ২:৩০ টায় হোটেলে গিয়েছিলাম এবং পার্কিং লটের প্রবেশপথের কাছে ক্যাম্প করেছিলাম - এই হোটেলে পার্কিং লটে কেবল একটি প্রবেশপথ আছে তাই আমরা তাদের আসা-যাওয়া দেখতে পাব। বিকাল ৪ টার মধ্যে আমরা তাদের দেখিনি, তাই আমি তাকে ফোন করি, এবং সে আসলে উত্তর দিয়ে বলেছিল, "ওহ, আমরা এখনই ফিরে এসেছি?" এবং আমি বলেছিলাম, "ঠিক আছে, আমরা কি তোমার হোটেলের বাইরে আছি, তোমাকে নীচে আসতে হবে?" ২০ মিনিট পরে তারা দুজনেই নেমে আসে। আমার বন্ধু গাড়ি সরিয়ে নেয় কারণ হোটেলের প্রবেশপথের পাশে একটি ছোট বসার জায়গা আছে যেখানে আমি তাদের স্থানান্তর করতে যাচ্ছি যাতে আমরা বসে কথা বলতে পারি। সে আমাকে দেখতে চাইছিল, যেন কিছু না ঘটে। তাকে দেখে আমার বুক কেঁপে ওঠে, কিন্তু আমি চোখের জল চেপে রাখি। ওরা দুজনেই খুব রোগা। বিশেষ করে আমার ভাইয়ের বয়স ৫-১১ পাউন্ড এবং ওজন ১১৫ পাউন্ডের বেশি হতে পারে না। ওর মুখের চারপাশে ফাটলের পাইপ থেকে ঘা এবং বাহুতে দাগ ছিল। ওর গালগুলো ছিল পবিত্র। ওকে কখনোই খারাপ দেখায়নি, কিন্তু আমি খুশি যে লোকজন আমাকে কিছুটা প্রস্তুত করেছে, কিন্তু তবুও এটা হৃদয়বিদারক ছিল। আমি তাদের সাথে কথাবার্তা হালকা রেখেছিলাম কারণ ওরা দুজনেই একসাথে ছিল কারণ আমার লক্ষ্য ছিল ওকে একা কথা বলার জন্য নিয়ে যাওয়া। আমি ওদের দুজনকেই সাহায্যের প্রস্তাব দিয়েছিলাম এবং বলেছিলাম যে ওরা যদি প্রস্তুত থাকে তাহলে আমি ওদের দুজনকেই এখনই বাড়ি নিয়ে যাব। কিন্তু ওরা বললো না। যাইহোক, ও বললো যে ও সন্ধ্যা ৬ টায় একটা বারে কাজ করবে, আর আমি সেই সুযোগ নিয়ে আমার ঝামেলার কথা বললাম, "ঠিক আছে, তোমাকে ডিনারে নিয়ে যেতে দাও!" প্রথমে ও রাজি হচ্ছিল না কিন্তু ওর সাথে থাকা মেয়েটা ওকে যেতে উৎসাহিত করেছিল। ডিনারের সময় আমি আরও সিরিয়াস হয়ে যাই। ও আমাকে ফোন করে এই কথাগুলো বলেছে বলেও মনে পড়ে না। সোমবার যখন আমি তাকে টেক্সট করে বলেছিলাম যে আমি সেদিন গাড়ি চালাচ্ছি না, তখন তার কেবল কিছু অংশ মনে ছিল, কিন্তু আমি বৃহস্পতিবার সকালের জন্য আমার ফ্লাইট বুক করেছিলাম। তাছাড়া, সে আমাকে বলার চেষ্টা করেছিল যে তারা যতটা মনে করে ততটা ব্যবহার করছে না। আমি তার চোখের দিকে তাকিয়ে বললাম, "তুমি আসক্ত, আর তুমি আমাকে মিথ্যা বলছো?"। সে আমাকে তাদের স্থায়ীভাবে যেখানে আছে সেখানে চলে যাওয়ার সমস্ত পরিকল্পনা বলেছিল। কেন তারা বাড়ি ফিরতে পারেনি। লোকেরা যখন প্রস্তুত থাকে না তখন তারা কী বলে। আমি নিজেকে নিয়ে গর্বিত কারণ আমি তাকে জানতে চেয়েছিলাম যে আমি পরবর্তীতে যা বলতে যাচ্ছি তা নিয়ে আমি কতটা সিরিয়াস। সে আমাকে বলেছিল যে তারা 5/1-এ সুস্থ হওয়ার পরিকল্পনা করছে, এবং আমি জিজ্ঞাসা করেছিলাম "তারা কীসের জন্য অপেক্ষা করছে?" এবং সে কেবল চোখ বন্ধ করে কেঁদে ফেলে। সে বলল? আমাদের মাথা জলের উপরে? এবং আমি বলেছিলাম যে এটি যথেষ্ট নয়। আমি তাকে তার মূল্য এবং তার সমর্থনের কথা মনে করিয়ে দিয়েছিলাম এবং যখন সে সুস্থ হয়ে উঠবে তখন তাকে তার মানসিক আঘাতের মুখোমুখি হতে হবে তবে আমি তাকে সমর্থন করার জন্য সেখানে থাকব। আমি তাকে মনে করিয়ে দিলাম যে তার সবচেয়ে ভালো বন্ধু, যে ব্যবহার করে না (তার বেশিরভাগ বন্ধুই বাড়িতে ব্যবহার করে) তার কাছ থেকে শুনতে এবং সে ঠিক আছে কিনা তা জানতে মরিয়া। সে এমনকি প্রস্তাব দিয়েছে যে যদি সে সুস্থ হয়ে ওঠে, তাহলে সে তার রাজ্যের বাইরে চলে যেতে পারে, তার সমস্ত পুরানো বন্ধুদের থেকে দূরে থাকার জন্য এবং এখনও একটি সমর্থন ব্যবস্থা থাকার জন্য। সে আমাকে বলেছিল যে সে প্রস্তুত নয় এবং সাহায্য চায় না। আমি তাকে বলেছিলাম যে যদি সে এভাবেই চলতে থাকে তবে আমি তার সাথে সম্পর্ক রাখতে পারব না। সে মৃত না জীবিত তা নিয়ে আমি চিন্তা করতে পারি না। আমি এলোমেলো ফোন নম্বরে কল করে সময় ব্যয় করতে পারি না আশা করি এটি তার। আমি পুলিশ স্টেশন এবং হোটেলে ফোন করে তথ্য জানতে পারি না। তার আসক্তির কারণে আমার মানসিক স্বাস্থ্য ক্ষতিগ্রস্ত হতে পারে না। সে খুব রেগে গেল এবং আমার উপর চিৎকার করতে লাগল যে আমি কীভাবে তার সাথে এমন করতে পারি। আমিই একমাত্র ব্যক্তি যে এই সময়ের মধ্যে তাকে ভালোবেসেছি, যাই হোক না কেন। আমিই একমাত্র ব্যক্তি যার জন্য সে যথেষ্ট যত্নশীল যে সে প্রস্তুত হলে তার সাথে যোগাযোগ করার জন্য। আমিই একমাত্র ব্যক্তি যে নিশ্চিত করার চেষ্টা করি যে সে ঠিক আছে কিনা। আমি বললাম যে আমি তার সাথে এটা করছি না, তার নেশা। সে জিজ্ঞাসা করল সেপ্টেম্বরে আমার বিয়েতে তাকে আমন্ত্রণ জানানো হয়েছে কিনা এবং আমি বললাম যদি তুমি সুস্থ না হও, তাহলে আমি তোমাকে সেখানে রাখতে পারব না। সে গাড়ির ড্যাশবোর্ডে আঘাত করতে শুরু করে এবং কাঁদতে থাকে। তাছাড়া, সে বলে যে সে গাড়ি থেকে নামছে এবং তারা আগামী সপ্তাহান্তে কয়েকদিনের জন্য বাড়িতে বেড়াতে আসার পরিকল্পনা করছে। আমি তাকে বলেছিলাম যে সে আমাকে ফোন করতে পারে, কিন্তু আমি উত্তর দেব না। আমি তাকে বলেছিলাম যে আমি তাকে ভালোবাসি এবং আমি সবসময় তার জন্য থাকব এবং যখন সে সাহায্যের জন্য প্রস্তুত হবে তখন আমি সেখানে থাকব। তাছাড়া, আমি তাকে জড়িয়ে ধরে কেঁদেছিলাম এবং বলেছিলাম, "আমি ভয় পাচ্ছি যে এটিই শেষবারের মতো তোমাকে দেখতে যাচ্ছি?" সে গাড়ি থেকে নেমে হোটেলের প্রবেশপথের ধারে বসে কাঁদতে লাগল। আমি গাড়ি চালিয়ে চলে গেলাম। আমি স্পষ্টতই আশা করছিলাম যে ফলাফল ভিন্ন হবে যদি সে বাড়িতে এসে সাহায্য পাবে। যে সে বাড়িতে এসে সাহায্য পাবে। আমি জানতাম যে মানবিকভাবে যদি সে প্রস্তুত থাকে আর সে না থাকে, তাহলে আমাকে তাকে বাড়ি পৌঁছে দেওয়ার উপায় খুঁজে বের করতে হবে। আমি তার বোনের বন্ধু এবং তাকে একা রেখে যেতে পারব না, কিন্তু আমি এটাও জানতাম যে তারা একে অপরকে ছাড়া যাবে না। তাছাড়া, আমি কাঁদিনি এবং তাকে ছেড়ে যাওয়ার পর থেকে কাঁদিনি। তাছাড়া, আমি আমার হোটেলে ফিরে গিয়ে ঘুমিয়ে পড়লাম এবং পরের দিন সকালে আমার বন্ধু এবং আমি কফি খেয়ে আমাদের ফ্লাইটের আগে সমুদ্র সৈকতে হেঁটে গেলাম। আমরা আসলে সমুদ্রে একদল ডলফিন দেখতে পেলাম যা আমাকে এই অদ্ভুত শান্তির অনুভূতি দিয়েছে। আমি জানি রবিবার যখন সে আমাকে ফোন করেছিল এবং আমার যথাসাধ্য চেষ্টা করেছিল তখন আমি সঠিক কাজটিই করেছি। কিন্তু আমি আমাদের সম্পর্কের চারপাশে আরও সীমানা নির্ধারণ করেছি, যেগুলি আমি আর কখনও মেনে নেব না। নিচে নামার জন্য আমার দুটি অনুশোচনা আছে এবং হয়তো আমি বোকামি করছি যে আমি যা বলেছি তা প্রভাব ফেলেছে এবং তাদের বুঝতে সাহায্য করবে যে এটি সাহায্যের সময়, তবে আমি বাস্তববাদী যে তারা শেষ পর্যন্ত ব্যবহার চালিয়ে যাবে। তাদের পরিণতি যাই হোক না কেন, হতে পারে। মূল: আমার ভাই গত ১০ বছর ধরে মাদকাসক্ত। আমি তাকে এই বিশাল ব্যক্তিত্ব থেকে এমন একজনের কাছে যেতে দেখেছি যিনি একটি ঘর আলোকিত করতে পারতেন যাকে আমি আর চিনি না। থ্যাঙ্কসগিভিংয়ের আগে থেকে সে নিখোঁজ ছিল এবং তার ফোন নম্বর পরিবর্তন করেছিল এবং কারও সাথে কথা বলেনি। তার মেইল ​​এখনও আমাদের বাবার বাড়িতে যায় এবং আমি ফোন বিলের নম্বরগুলিতে টেক্সট করে এবং কল করে বলছি যে আমি তাকে ভালোবাসি, এবং যাই হোক না কেন আমি সবসময় তার জন্য এখানে আছি। গত রাতে সে অবশেষে আমাকে ফোন করে বলেছিল যে সে আমাকে ভালোবাসে, সে আমাকে মিস করে এবং সে কতটা দুঃখিত এবং তার আমার প্রয়োজন। আমি জানি না এটা তার সাহায্যের জন্য আর্তনাদ কিনা, তবে আমি কখনই তার উপর নির্ভর করব না। আমি যেখানে আছি সেখানে যাওয়ার জন্য আমার ফ্লাইট বুক করেছি এবং বৃহস্পতিবার যাব এই আশায় যে আমি তাকে বাড়িতে ফিরিয়ে আনতে পারব এবং চিকিৎসার জন্য নিয়ে যেতে পারব। আমি নিশ্চিত নই যে আমি যখন সেখানে পৌঁছাব তখন কী বলব বা আসলে আমার কী করা উচিত। যেকোনো পরামর্শের প্রশংসা করা হবে। যদিও এখন সময় না থাকে এবং সে প্রস্তুত নাও থাকে, আমি কেবল তাকে জানাতে চাই যে যাই হোক না কেন, যখন সে প্রস্তুত থাকবে, আমি সেখানে থাকব।</t>
  </si>
  <si>
    <t>আমি জানি এটা একটু দীর্ঘ, কিন্তু আমি যতটা সম্ভব সংক্ষেপে আমার গল্প এবং অভিজ্ঞতা আপনাদের সকলের সাথে শেয়ার করতে চাই, সেই সাথে এইসব পরিস্থিতির মধ্য দিয়ে যেতে পেরে আনন্দিত, যাতে আমি এখন আমার ছোট ছোট সাফল্য উদযাপন করতে পারি এবং গর্ব করতে পারি। একটু পেছনের গল্পের জন্য... আমার লালন-পালন বেশ বাজে ছিল, বাবা-মায়ের সাথে আমার সম্পর্ক ছিল বিষাক্ত, স্কুলে নির্যাতনের শিকার, কোনও বন্ধু ছিল না, ১২ বছর বয়সে বিভিন্ন মানসিক অসুস্থতায় ভুগতাম এবং ১৮ বছর বয়স পর্যন্ত মানসিক স্বাস্থ্য পরিষেবা/সামাজিক পরিষেবা থেকে দূরে থাকতাম... ২০১৪ সালে, আমার ১৮তম জন্মদিনের ঠিক পরে, আমি এমন একজন ব্যক্তির সাথে ৪ বছরের সম্পর্কে জড়িয়ে পড়ি যে আমাকে শারীরিক, যৌন এবং মানসিকভাবে নির্যাতন করত, আমাদের একটি সন্তান ছিল, যার আমি অভিভাবকত্ব হারিয়েছি এবং ২ বছর বয়স থেকে তাদের দেখা পাইনি। ২০১৮ সালে যখন আমার বয়স মাত্র ২৩ বছর, তখন আমি সম্পর্কটি ছেড়ে আমার মায়ের সাথে চলে আসি। যদিও আমার বড় হওয়ার সময় আমাদের মধ্যে বেশ বিষাক্ত সম্পর্ক ছিল, আমার মনে হয় চার বছর ধরে আমার সাথে দেখা না হওয়া বা কথা না বলা, আমার সাথে কেমন আচরণ করা হচ্ছে তা নিয়ে চিন্তিত হওয়া এবং আমি মারা যাব কিনা তা না জানা, তাকে সম্পূর্ণরূপে বদলে দিয়েছে এবং আমার প্রতি তার মনোভাবও বদলে দিয়েছে। কারণ আমার মা এবং আমি সবসময় একে অপরের প্রতিফলন করেছি এবং একে অপরের সেরা এবং খারাপ দিকগুলি বের করে এনেছি। এই চার বছরে, আমরা দুজনেই মানুষ হিসেবে অনেক বদলে গেছি এবং বেড়ে উঠেছি... কিন্তু এক বছর বা তারও পরে, আমার এবং আমার মায়ের সম্পর্ক ভেঙে যায় যার ফলে আমি গৃহহীন হয়ে পড়ি। আমি কেবল আমার মানসিক স্বাস্থ্যের (PTSD, DID/ব্যক্তিত্বের ব্যাধি, মনোরোগ এবং বিষণ্ণতা) কারণেই খুব বেশি ভুগছিলাম না, বরং আমি সবেমাত্র চাকরি ছেড়ে দিয়েছিলাম এবং আমার কাছে কোনও টাকা ছিল না, আমি আমার বাবার সাথে কথা বলছিলাম না তাই তার সাথে থাকতে পারিনি এবং মহামারীর শুরুতে আমি গৃহহীন হয়ে পড়েছিলাম, তাই আমি কেবল কোভিড আক্রান্ত হওয়ার ঝুঁকিতে ছিলাম না, বরং আমি আমার নানির সাথেও থাকতে পারিনি, যিনি সম্ভবত একমাত্র ব্যক্তি ছিলেন যিনি আমাকে রাস্তায় থাকার চেয়ে তার সাথে থাকতে দিতেন। অবশেষে, সৌভাগ্যক্রমে, আমাকে অস্থায়ী আবাসনে রাখা হয়েছিল এবং আমার বাগদত্তার সাথে দেখা করার আনন্দও পেয়েছি, যার সাথে আমি প্রায় দুই বছর ধরে আছি, কিন্তু নেতিবাচক দিক হল, আমার আসক্তি আরও খারাপ এবং আরও ভারী হয়ে ওঠে এবং আমার মানসিক স্বাস্থ্য সবচেয়ে খারাপ পর্যায়ে ছিল, বিশেষ করে কারণ পূর্ববর্তী পারিবারিক নির্যাতনের জন্য আমার কোনও থেরাপি বা কাউন্সেলিং ছিল না, এবং আমি এখনও এই সমস্ত যন্ত্রণা এবং ট্রমা সহ্য করছিলাম। তারপর ২০২০ সালের ডিসেম্বরে, রাত ২টায়, আমার স্থানীয় হাই স্ট্রিটে আমার উপর শারীরিক নির্যাতন চালানো হয়, এবং মানসিকভাবে আর কখনও এই ঘটনা থেকে সেরে উঠতে পারিনি। এই ঘটনার আগে আমার আসক্তি অনেক কমে গিয়েছিল। আমি Español (যা সাবটেক্সটের মতো) ব্যবহার করতাম এবং আমার ব্যবহার ব্যাপকভাবে কমিয়ে দিয়েছিলাম, কিন্তু এই ঘটনার পর, আমি সরাসরি সেই অন্ধকার গর্তে পড়ে গেলাম যেখানে নিজেকে মাদকের দ্বারা আলিঙ্গন এবং যত্ন নেওয়ার সুযোগ দেওয়া হয়েছিল এবং প্রতিদিন আমার মনে আসা চিন্তাভাবনা এবং ব্যথাকে অসাড় করে দেওয়া হয়েছিল। তারপর থেকে, আমি সত্যিই বাড়ি থেকে বের হইনি... বছরের ৩৬৫ দিনের মধ্যে, আমি সম্ভবত এর মধ্যে প্রায় ৫০টি, সঠিকভাবে বাড়ির বাইরে কাটিয়েছি এবং এইটুকুই, আমাকে প্রতিদিন আমার ফার্মেসিতে যেতে হয় এবং প্রতি দুই সপ্তাহে মানসিক স্বাস্থ্য অ্যাপয়েন্টমেন্টে যেতে হয়, তবে আমি যতটা সামলাতে পারি। আমি বেশিরভাগ দিন বিছানায় শুয়ে, টিভি দেখে অথবা সোশ্যাল মিডিয়ায় ঘুরঘুর করতাম কারণ আমি শারীরিকভাবে বিছানা থেকে উঠতে পারি না, আমার একটা সম্পূর্ণ ব্লক আছে, আমার মস্তিষ্ক আমাকে আর কিছু করতে দিচ্ছে না, আমি উঠে দাঁড়িয়ে নিজেকে প্রস্তুত করি, "ঠিক আছে, এটা খারাপ, আমি হাঁটতে যাচ্ছি" এবং সাথে সাথে আমার শরীর সাড়া দেয়, "নরম, আমি একেবারে ক্লান্ত বোধ করছি, আমি চোখ খোলা রাখতে পারছি না, আমার পা ব্যাথা করছে, আমার শুয়ে ঘুমানো দরকার"। আমি নিজেকে পুরোপুরি ছেড়ে দিই। তাছাড়া, আমি দিনের পর দিন দাঁত না ধুয়ে বা ব্রাশ না করেই কাটাবো, নিজের জন্য রান্না করবো না বা ঠিকমতো খাবার খাবো না, বরং আমি কয়েক প্যাকেট চিপস/চিপস, মাইক্রোওয়েভ হট-ডগ, মাখন/নরম পনির দিয়ে তৈরি ক্র্যাকার, দই, চকলেট, ব্রাউনি ইত্যাদি খেয়ে আমার দিন কাটাবো, আমি আমার ফ্ল্যাট পরিষ্কার করবো না বা থালা-বাসন ধুবো না, আমি খুব একটা কাপড় ধোবো না (যা আসলে আমার করার দরকার নেই কারণ আমি সারা সপ্তাহ একই ট্র্যাকস্যুট বটম এবং জাম্পার পরবো অথবা শুধু আমার পিজে পরবো), আমি আমার সমস্ত ফোন কল উপেক্ষা করবো, আমার সঙ্গীকে উপেক্ষা করবো, কোনও স্নেহ দেখাবো না এবং সম্পূর্ণ স্বার্থপর হবো। মাঝে মাঝে, আমার ২-৩ দিন শক্তি, প্রেরণা এবং আত্ম-ভালোবাসায় ভরপুর থাকে, আমি গোসল করি এবং শেভ করি, চুল ধুই, দাঁত ব্রাশ করি, ফেস মাস্ক পরে নিজেকে ভালোবাসি, নখ পরিষ্কার করি, সুন্দর পোশাক পরি, ফার্মেসিতে যাই, কিছু কেনাকাটা করি, হাঁটাহাঁটি করি, কিছু ভালো খাবার রান্না করি, আমার সঙ্গীর প্রতি স্নেহশীল এবং মনোযোগী হই, আমার ফ্ল্যাটটি স্প্রিং-ক্লিন করি, আমার সমস্ত কাপড় ধোই, এবং তারপর ব্যাম! সেই কয়েকদিন পর, আমি আবার বিছানায় শুয়ে পড়ি। অবশেষে আমাকে নিয়মিত ওষুধ, মনোরোগ-বিরোধী, বিষণ্ণতা-বিরোধী ওষুধ এবং ঘুমের ওষুধ খেতে হয়েছিল, যার ফলে আমি আবার আমার আসক্তি নিয়ন্ত্রণ করতে পেরেছিলাম, কারণ আমার আর আমার অনুভূতি এবং আবেগকে অবশ করার প্রয়োজন ছিল না, কারণ ওষুধ সবকিছুর ভারসাম্য বজায় রেখেছিল, কারণ আমার মাদকের ব্যবহার সর্বদা বেশিরভাগ সময় স্ব-ঔষধ গ্রহণের চেষ্টা ছিল, আমার আর নিজের চিকিৎসা করার প্রয়োজন ছিল না, কারণ আমি এখন এমন কিছু পাচ্ছিলাম যা যথেষ্ট ভালো কাজ করছিল, কিন্তু বছরের শেষের দিকে, ডাক্তার আমাকে সবকিছু থেকে সরিয়ে নেওয়ার সিদ্ধান্ত নেন, বলেন যে আমার মানসিক স্বাস্থ্য মাদক দ্বারা প্রভাবিত এবং আমি যে একাধিক রোগ নির্ণয় করেছি, আমি যে 4 বছরের পারিবারিক নির্যাতনের মধ্য দিয়ে গিয়েছিলাম তা সম্পূর্ণরূপে উপেক্ষা করে, এই সত্যটিকে উপেক্ষা করে যে আমার জন্ম থেকেই আমার একাধিক মানসিক সমস্যা ছিল এবং আমি মাদক গ্রহণ শুরু করার অনেক আগে থেকেই এই সমস্যাগুলি ভোগ করেছি এবং আমি স্ব-ঔষধ গ্রহণের জন্য ওষুধ ব্যবহার করছিলাম তা উপেক্ষা করে কারণ আমি প্রথমে আমার মানসিক স্বাস্থ্যের জন্য কোনও চিকিৎসা পাচ্ছিলাম না। তাই ডাক্তারদের চমৎকার এবং সহায়ক সিদ্ধান্তের কারণে, আমি আবারও অবৈধ ওষুধকে আমার ব্যথা কমাতে এবং আমার সমস্যাগুলিকে উপেক্ষা করতে সাহায্য করার অনুমতি দিয়েছি, আসলে কোনও কিছুর মুখোমুখি হওয়া এবং/অথবা মোকাবেলা করার পরিবর্তে। তাই... এই বছরের শুরুতে, আমি সিদ্ধান্ত নিয়েছিলাম যে যদি আমি বাইরে যেতে না চাই, তাহলে আমার ভেতরের অবস্থাকে মজাদার, উৎপাদনশীল, ইতিবাচক এবং খুশি করে তুলতে হবে, তাই আমি ভেবেছিলাম যে আমি প্রথমেই বলব: 1. আমার স্বাস্থ্যবিধি আরও ঘন ঘন মেনে চলার মাধ্যমে আত্ম-ভালোবাসা এবং আত্ম-যত্ন অনুশীলন করব, আমি নিজেকে জোর করব না এবং প্রতিদিন গোসল করতে বাধ্য করব না, উদাহরণস্বরূপ, তবে সম্ভবত প্রতি দুই দিন বা প্রতি দুই দিন অন্তর গোসল করব। 2. আমি তখন আমার চেহারা নিয়ে গর্ব করব এবং আমার চুল রঙ করব এবং রঙ বজায় রাখব, যেমনটি সাধারণত আমি আমার চুল রঙ করব এবং তারপরে এটি বিবর্ণ হতে দেব এবং শিকড়গুলি আসতে দেব এবং আরও ছয় মাস ধরে এটি আবার স্পর্শ করব না, কিন্তু এখন আমি সবসময় আমার চুলকে সুন্দর এবং উপস্থাপনযোগ্য দেখাতে, আমার শিকড় স্পর্শ করতে এবং ক্রমাগত রঙ করতে বা রঙ পরিবর্তন করতে সিদ্ধান্ত নিয়েছি, বিবর্ণ হতে দেওয়ার পরিবর্তে। ৩. কিছু দিন আমি নিজেকে সুন্দর পোশাক পরব, এমনকি যদি আমি কেবল ফার্মেসিতে যাই বা কেবল খাবার কিনতে যাই, তবে আমি চতুর্থ সপ্তাহ জুড়ে ঘাম ঝরানোর পরিবর্তে একটি উপযুক্ত পোশাক পরব। আমি আমার সঙ্গীর প্রতি আরও মনোযোগ দেওয়ার পরিকল্পনা করছি এবং যদি আমি একঘেয়ে বোধ করি এবং খারাপ লাগার কারণে স্নেহশীল হতে চাই না, তবে আমি কেবল তাকে উপেক্ষা করার পরিবর্তে তাকে এটি বলব এবং আমি আরও ভালভাবে যোগাযোগ করার জন্য কাজ করব এবং আমার কেমন লাগছে তা সম্পর্কে আরও খোলামেলা থাকব। ৫. তবে সবচেয়ে গুরুত্বপূর্ণ, আমি ৩টি শখ গ্রহণ করার সিদ্ধান্ত নিয়েছি যেগুলিতে আমি নিজেকে উৎসর্গ করার পরিকল্পনা করছি, এতে দক্ষ হব এবং আশা করি, আমার শখকে একটি ব্যবসায় পরিণত করব। আমি মাটি দিয়ে বুনন, ক্রোশে এবং মডেল তৈরি/ভাস্কর্য তৈরি শুরু করেছি। আমি আগে মাটি দিয়ে বুনন এবং ব্যবহার করেছি, আমার প্রতিটি সম্পর্কে প্রাথমিক জ্ঞান আছে, কিন্তু কয়েক বছর পরে এই জিনিসগুলি করা বন্ধ করে দিয়েছি এবং সিদ্ধান্ত নিয়েছি যে আমি আবার চেষ্টা করব এবং এবার হাল ছাড়ব না, তবে আমি প্রথমবারের মতো ক্রোশে শিখছি। তাছাড়া, আমার শখের প্রতি নিজেকে উৎসর্গ করতে আমার কষ্ট হয় কারণ আমার মনোযোগের মাত্রা কম এবং আমি দ্রুত জিনিসপত্রের সাথে একঘেয়েমি অনুভব করি এবং যখনই আমি যা করি তার ফলাফল "যথেষ্ট ভালো" না হয় তখনই হাল ছেড়ে দেই। আমার একটা পারফেকশনিস্ট মানসিকতা আছে এবং আমি আশা করি যে আমি প্রথমবার চেষ্টা করলেই একজন পেশাদার হব এবং যদি এটি প্রথমবার নিখুঁত মানের না হয় তাহলে হাল ছেড়ে দেব। কিন্তু আমি গর্বের সাথে বলতে পারি যে আমি এই জিনিসগুলিতেই আটকে আছি এবং নিজেকে অনুশীলন এবং অনুশীলনের জন্য অনুপ্রাণিত করেছি এবং ভালো হতে থাকি। তাছাড়া, আমার মনে একটি লক্ষ্য আছে এবং এবার আমি সেই লক্ষ্যে পৌঁছানোর জন্য দৃঢ়প্রতিজ্ঞ। গত দুই বছর ধরে ফ্ল্যাটে আটকে থাকার ফলে আমার মনে হচ্ছে আমি ব্যর্থ এবং স্থানের অপচয় করছি, আমি পৃথিবী বা সমাজে কোনও অবদান রাখছি না, আমি কারও সাথে মেলামেশা করছি না এবং আমার মনে হতে শুরু করেছে যে আমার অস্তিত্ব অর্থহীন কারণ আমি কারও জন্য কোনও ভালো করছি না এবং কেবল স্বার্থপর এবং আমার নিজের জগতে বাস করছি, নিজেকে সবার থেকে বিচ্ছিন্ন করছি। এই কারণে, আমার মানসিক স্বাস্থ্য এবং আসক্তি নিয়ে আমার যাত্রা নথিভুক্ত করা শুরু করার এবং লোকেদের আমার পথে অনুসরণ করার অনুমতি দেওয়ার ধারণাটি আমার মনে জাগিয়ে তোলে। একা একা অনেক সময় কাটানোর ফলে আমি ভাবতে বাধ্য হয়েছি যে অনলাইনে সবকিছু কীভাবে এত সম্পাদনা করা হয় এবং কীভাবে সবকিছু এমনভাবে চিত্রিত করা হয় যাতে মানুষের জীবন নিখুঁত এবং সুখী হয় এবং মানুষের চেহারাও একই রকম দেখানো হয়, তাই যখন আমার মতো লোকেরা অনলাইনে যায়, তখন আমরা হতাশাগ্রস্ত, ঈর্ষান্বিত, অনিরাপদ বোধ করি, কারণ আমাদের জীবন প্রায়শই দুঃখজনক এবং হতাশাজনক হয়, আমরা অনেক মানসিক আঘাতের মধ্য দিয়ে যাই, বেশিরভাগ সময় আমরা আমাদের সেরা দেখাই না বা আমাদের সেরা পোশাক পরি না, এবং আমরা ব্যর্থ বলে মনে করি কারণ আমাদের জীবন অনলাইনে আমরা যেভাবে দেখি তার মতো নয়, এই চিন্তাভাবনা আমাকে মানুষকে আমার জীবনের সৎ বাস্তবতা দেখাতে আগ্রহী করে তুলেছে। আমার উদ্দেশ্য ছিল মানুষকে দেখানো যে জীবন সবসময় নিখুঁত হয় না এবং আমরা সবসময় সেক্সি এবং সুন্দর দেখাতে পারি, সারা সপ্তাহ বিছানায় থাকা এবং কয়েক দিন গোসল না করা সম্পূর্ণ স্বাভাবিক। (আমি জানি আমি তোমাদের কারো কারো সাথে এরকম কিছু করার সম্ভাবনা নিয়ে আলোচনা করেছি, কিন্তু এখন আমি এই ধারণাটিকে পুরোপুরি গ্রহণ করছি এবং নিজেকে উৎসর্গ করছি, সবার কাছ থেকে পাওয়া ইতিবাচক প্রতিক্রিয়ার জন্য ধন্যবাদ, তাই তোমাদের সকলকে ধন্যবাদ) আমার শখের মতো এটি করাও আমার জন্য পালানোর এবং একটি পরিপূর্ণ জীবনযাপন করার আরেকটি উপায় এবং এটি করার ফলে আমি অনুভব করব যে আমার আবার উদ্দেশ্য আছে, এবং আমি কেবল জীবন এবং শক্তির অপচয় নই কারণ এটি আমাকে মানুষের জীবনে ইতিবাচকভাবে প্রভাব ফেলার এবং সম্ভাব্যভাবে মানুষকে সাহায্য, সমর্থন এবং নির্দেশনা দেওয়ার সুযোগ দেবে এবং সেই সাথে অন্যদেরও এমন অনুভূতি দিতে সাহায্য করবে যে তারা একা নয় এবং পৃথিবীতে এমন কিছু মানুষ আছে যারা বোঝে যে তারা কেমন অনুভব করে এবং তাদের মতো একই জিনিস অনুভব করে। আমার জীবনের এবং মানসিক স্বাস্থ্যের উন্নতির জন্য আশা করা যায়, এই সকল ইতিবাচক ধারণার পাশাপাশি, অবশেষে একজন মনোবিজ্ঞানীর কাছে আমার দেখা হয়েছে এবং আগামী মাসে আমি ট্রমা থেরাপি শুরু করছি... পারিবারিক নির্যাতনের অভিজ্ঞতা অর্জনের পর এই প্রথমবারের মতো আমি সেই পরিস্থিতির কারণে সৃষ্ট ট্রমা এবং যন্ত্রণার সমাধান করব, যা আশা করি আমাকে এগিয়ে যেতে সাহায্য করবে এবং সম্ভাব্যভাবে, আমাকে স্থায়ীভাবে আমার বিছানা থেকে বের করে আনার চাবিকাঠি হবে, আমাকে আবার পৃথিবীতে ফিরিয়ে আনতে সাহায্য করবে এবং আমাকে নিজের যত্ন নেওয়ার এবং নিজের যত্ন নেওয়ার জন্য সরঞ্জাম দেবে। যদিও আমার মানসিক স্বাস্থ্যের কারণে আমি সীমাবদ্ধ এবং আমার জীবনের এই শেষ 8 বছর ট্রমাজনিত এবং বেদনাদায়ক ছিল, তবুও সবকিছু ধীরে ধীরে এবং স্থিরভাবে একটি ভালো এবং ইতিবাচক দিকে এগোচ্ছে এবং আমি আজ এটি আপনাদের সাথে ভাগ করে নিতে এবং উদযাপন করতে চাই।</t>
  </si>
  <si>
    <t>আমার নাম রবার্ট, এবং আমি একজন মদ্যপ। তাছাড়া, আমি এমন একজন ব্যক্তি যে অসংখ্য আসক্তি এবং আচরণগত চ্যালেঞ্জ থেকে সেরে উঠেছে। আমিও অনেক মানুষের মতো ছিলাম যারা হারিয়ে গিয়েছিল এবং ভয় পেয়েছিল যে কিছুই কখনও বদলাবে না। আমার মনে আছে ছোটবেলায় আমি এত একা এবং একা বোধ করতাম। তাছাড়া, আমি এত বিভ্রান্ত এবং ভয় পেয়েছিলাম যে আমি আমার কান্নায় হারিয়ে যেতাম। তাছাড়া, আমার মনে আছে যখন আমি পাঁচ এবং ছয় বছর বয়সে রাতে বিছানায় শুয়ে ভাবতাম যে আমি কেন এত কষ্ট পাই। আমি যত বড় হলাম, ব্যথা আরও তীব্র হয়ে উঠল। যখন তোমার ব্যথা আমার ব্যথার মতো হয়ে গেল, তখন এটি একটি আকর্ষণীয় গতিশীলতা তৈরি করে। আমরা ছোটবেলাতেই শিখি যে আমরা আমাদের ত্বকে স্বাচ্ছন্দ্য বোধ করি না। প্রথম থেকেই, আমার মনে আছে আমি অন্য কেউ হতে চেয়েছিলাম, অন্য কিছু করতে চেয়েছিলাম, অন্য কোথাও থাকতে চেয়েছিলাম। আমি আমার ত্বকে স্বাচ্ছন্দ্য বোধ করিনি। আমি কখনই সন্তুষ্ট ছিলাম না। আমার পারিবারিক গতিশীলতা ছিল একজন মদ্যপ বাবার মতো, একজন সহ-নির্ভরশীল মায়ের মতো এবং আমি ছিলাম সাত সন্তানের মধ্যম সন্তান। আমরা এমন একটি বাড়িতে বড় হয়েছি যা সর্বদা উল্টো ছিল এবং আমার ভারসাম্য খুঁজে বের করার চেষ্টা করা অসম্ভব ছিল। আমি গিরগিটি হয়ে উঠেছিলাম। আমি কখনোই জানতাম না যে অন্য কেউ কী চায় অথবা আমি কীভাবে এমন হতে পারি যা আমাকে হতে হবে যাতে অন্যরা আমাকে গ্রহণ করতে পারে। হয়তো তুমি আমার এই অনুভূতিগুলোর সাথে সম্পর্কযুক্ত হতে পারো। আমি যখন কিশোর ছিলাম তখন পরিস্থিতি আরও খারাপ হয়ে গিয়েছিল। ছোটবেলায় তোমার কাছ থেকে খুব কম আশা করা হত। আমরা যখন বড় হতাম, তখন আমাদের প্রতি অন্যদের প্রত্যাশাও ততটাই খারাপ হয়ে যেত। এটা কেবল আমার পরিবারে, আমার সামাজিক পরিমণ্ডলে, এমনকি শিক্ষাগত ক্ষেত্রেও সত্য ছিল। কারণ আমি মনে করতাম না যে আমার মূল্য আছে, তাই আমি বিশ্বাস করতাম না যে আমি মূল্যবান কিছু তৈরি করতে পারব। গর্ত আরও গভীর থেকে আরও গভীরতর হতে থাকে। আমরা শেষ পর্যন্ত এমন কিছুতে পরিণত হই যাকে আমি "কোন আশার গর্ত" বলে শুনেছি। যখন আমি ১৪ বছর বয়সী ছিলাম, তখন আমি আমার প্রথম পানীয়টি পান করেছিলাম কারণ আমি এটি থেকে মুক্তি পেতে পারি। আমার মনে আছে অ্যালকোহল আমার শরীরে আঘাত করার পর আমার কেমন অনুভূতি হয়েছিল। আমি কিছুই না থেকে প্রায় হয়ে গিয়েছিলাম। যখন আপনি কিছুই না থেকে আসেন, তখন নিশ্চিত হন যে আপনি সর্বদা কিছুই না, প্রায় হওয়াই পৃথিবীর শীর্ষে। আমি যে প্রতিটি পরবর্তী পানীয় গ্রহণ করেছি তা ছিল প্রায় হওয়ার অনুভূতি পুনরুদ্ধার করার একটি প্রচেষ্টা। যখন কেউ নিশ্চিত হন যে তারা কখনই কিছুর সমান হবে না, প্রায় হওয়াই সবকিছু। শুরুতে, এটা যথেষ্ট ক্ষতিকারক বলে মনে হয়েছিল, এবং ফ্রিকোয়েন্সি নির্ভর করেছিল আমার মানসিক যন্ত্রণার পরিমাণের উপর। আমি বুঝতে পেরেছিলাম যে আমার বয়স বাড়ার সাথে সাথে, আমার সামাজিক বৃত্ত বৃদ্ধি পেয়েছিল, এবং আমার পরিবার এবং শিক্ষাগত প্রত্যাশা বৃদ্ধি পেয়েছিল, আমার পরিমাপ না করার উদ্বেগও বৃদ্ধি পেয়েছিল। আমাকে ক্রমাগত মনে করিয়ে দেওয়ার সাথে সাথে, আমি কিছুই নই এমন অনুভূতি বৃদ্ধি পেয়েছিল, এবং তাই আমার প্রায় আনুপাতিকভাবে অ্যালকোহল হওয়ার প্রয়োজন প্রায় বৃদ্ধি পেয়েছিল। যেহেতু আমি প্রায় নিজের মতো হতে পারিনি, তাই আমাকে সুযোগ এবং অ্যালকোহল পূরণের জন্য খুঁজে বের করতে হয়েছিল। এখানেই চক্রটি বিপজ্জনক হয়ে ওঠে। আমার নির্ভরতা আমার সম্পর্কে ভাল বোধ করার উপর ছিল না। এটি এমন একটি পদার্থের উপর ভিত্তি করে ছিল যার ঘনত্ব এবং পরিমাণে আমার ক্রমবর্ধমান প্রয়োজন ছিল। যখন আমি 16 বছর বয়সে পরিণত হলাম, তখন আমি বুঝতে পারলাম যে আমার মদ্যপান নিয়ন্ত্রণের বাইরে চলে যাচ্ছে এবং অন্যদের কাছে স্পষ্ট হয়ে উঠেছে। আমার জন্য অন্যান্য পদার্থের সাথে পরীক্ষা করা প্রয়োজন হয়ে পড়েছিল যা আমার অনুভূতি বাড়িয়ে তুলবে যে কেবল অ্যালকোহল আর তৈরি করতে পারে না। শুরুতে, এখানে একটি জয়েন্ট এবং সেখানে একটি জয়েন্ট যথেষ্ট ছিল, কিন্তু এটি আমাকে ক্লান্ত এবং অলস করে তুলত, এবং স্কুলে মনোযোগ দেওয়ার জন্য আমার কাছে খুব পর্যাপ্ত উপায় ছিল না। কেউ একজন আমাকে মেথামফেটামাইনের সাথে পরিচয় করিয়ে দিয়েছিল, এবং এটি আমাকে দিনের বেলায় জাগ্রত এবং সক্রিয় রাখতে সাহায্য করেছিল। এখন শুধু মদ্যপানের পরিবর্তে, আমি গাঁজা ধূমপান করছিলাম এবং অ্যাম্ফিটামাইন খাচ্ছিলাম। এর সাথে চ্যালেঞ্জ ছিল না খাওয়া, এবং আমার ঘুম ক্রমশ কঠিন হয়ে উঠছিল। তখনই আমি বারবিটুরেটসকে আবর্তনের সাথে পরিচয় করিয়ে দিতে শুরু করি। বারবিটুরেটস ছিল একটি খুব কৌতূহলী ওষুধ; তারা অ্যালকোহল যা করে তা করত, কিন্তু হ্যাংওভার ছাড়াই তা করত। এটি চলতে থাকে যতক্ষণ না আমি হাই স্কুলে আমার সিনিয়র ইয়ারে পৌঁছাই এবং আমার ১৮তম জন্মদিনে, আমি স্কুল ছেড়ে দেওয়ার সিদ্ধান্ত নিই। ৩রা জানুয়ারী ছিল, এবং আমি সেই মে মাসে স্নাতক হব। তবুও, আমার মদ্যপান এবং ব্যবহারের ক্যারিয়ারের প্রতি আমার মনোযোগের প্রয়োজন ছিল। আমি হাই স্কুলের শিক্ষা আমাকে যা এনে দিতে পারে বলে মনে করেছিলাম তার চেয়ে পান করা এবং ব্যবহার করা আরও গুরুত্বপূর্ণ এবং প্রয়োজনীয় বলে মনে করেছি। বছরগুলি যত গড়িয়েছে এবং আমার সংগ্রাম আরও তীব্র হয়ে উঠছে, এমন কোনও সম্পর্ক বা সুযোগ ছিল না যা আমি মদ্যপান এবং ব্যবহারের জন্য আলাদা করে রাখতে ইচ্ছুক ছিলাম না। আমার বয়স যখন ২৭ বছর, তখন আমি আমার আসক্তিতে দীর্ঘস্থায়ী হয়ে পড়েছিলাম। আমার মধ্যে জুয়া, অতিরিক্ত খাবার, পর্নোগ্রাফির নেশা আরও বাড়িয়ে দিয়েছিল, আর আমি দিনে তিন থেকে পাঁচবার বমি করতে শুরু করেছিলাম। আমি তখন একেবারে শেষ প্রান্তে ছিলাম এবং জানতাম যে যদি কিছু না বদলায়, তাহলে আমি মারা যাব। তাছাড়া, আমি জানতাম যে আমার আর কোনও সম্ভাবনা নেই। ১৯৮৬ সালের ৯ই ফেব্রুয়ারী চিকিৎসা শুরু করি এবং স্বীকার করি যে আমি একজন মদ্যপ। অ্যালকোহলিক্স অ্যানোনিমাস, নারকোটিক্স অ্যানোনিমাস এবং অন্যান্য ১২-পদক্ষেপের গ্রুপের সাথে আমার পরিচয় হয়। আমি আরোগ্য লাভের জন্য আমার প্রচেষ্টা শুরু করি। তাছাড়া, আমি সভায় যেতে শুরু করি এবং নতুন লোকেদের সাথে দেখা করতে শুরু করি। তাছাড়া, আরোগ্য লাভের ঘরে যা পাচ্ছিলাম তা উপভোগ করছিলাম। তবুও, অন্যদের সাথে সৎ থাকা আমার কাছে খুব কঠিন মনে হয়েছিল। আমি সত্যিই ভয় পেয়েছিলাম যে তুমি জানতে পারবে যে আমি কিছুই নই। আমি জানতাম যে আমি যদি খুব বেশি কথা বলি বা খুব বেশি সৎ হয়ে যাই, তাহলে তুমি সেটা বুঝতে পারবে, এবং ১২-পদক্ষেপের প্রোগ্রামের ইতিহাসে আমিই প্রথম ব্যক্তি যাকে তুমি ফিরে না আসতে বলবে। তাছাড়া, আমি জানি এটা কারো কারো কাছে হাস্যকর শোনাচ্ছে, কিন্তু এটা আমার জন্য সত্যিকারের ভয় ছিল। আবারও, আমি জানতাম যে কিছু একটা পরিবর্তন করতে হবে, নইলে আমি মারা যাব। আমি জানতাম সততাই আমার জন্য সর্বোত্তম পথ, তবুও সততা থাকা প্রায় মৃত্যুর মতোই ভয়ঙ্কর ছিল যা আমার জন্য অপেক্ষা করছিল। দুঃখের বিষয় হল, ৭১ দিন ধরে সুস্থ থাকার পর আমার পুনরায় অসুস্থতা ফিরে আসে। সৌভাগ্যবশত, আমার জন্য, আমি মাত্র পাঁচ দিন মদ্যপান করার প্রয়োজন বোধ করি। আমি সেই প্রায় হওয়ার অনুভূতি পুনরুদ্ধার করার চেষ্টা করছিলাম। সেই পাঁচ দিনের শেষে, আমি বুঝতে পারি যে আমার জন্য একমাত্র জায়গা হল পুনরুদ্ধারের কক্ষগুলিতে ফিরে আসা। ১৯৮৬ সালের ২৫শে এপ্রিল, আমি অ্যালকোহলিক্স অ্যানোনিমাসের কক্ষগুলিতে ফিরে যাই এবং আমি কখনও সেখান থেকে যাইনি। এর মানে হল যে ২০২১ সালের ২৫শে এপ্রিল, আমি ব্যক্তিগত পুনরুদ্ধারের ৩৫ বছর উদযাপন করছি। ৩৫ বছরের চেয়েও আশ্চর্যজনক হল যে এটি টানা ১২,৭৮৪ দিন ধরে আমার আসক্তিকে হ্যাঁ এবং না বলার মধ্যে অনুবাদ করে। যাত্রাটি অসাধারণ। পথে কিছু চ্যালেঞ্জ এসেছে, কিন্তু আবারও, জীবন চ্যালেঞ্জে ভরা। একজন নবাগত হওয়ার অনুভূতি আমি কখনই ভুলব না। এটা আমার জীবনে ঘটে যাওয়া সবচেয়ে ভয়াবহ অভিজ্ঞতা ছিল, তবুও আমি সেখান থেকে বেরিয়ে আসতে পারিনি কারণ আমি জানতাম যে আমি মারা যাব। আমি বুঝতে পেরেছিলাম যে আমার জন্য পরিষ্কার-পরিচ্ছন্ন ও শান্ত থাকার এবং সুখী, আনন্দিত এবং মুক্ত থাকার একমাত্র উপায় হল আমার সামর্থ্য অনুযায়ী আরোগ্যের পরিকল্পনাটি প্রয়োগ করা। আমি সভাগুলোতে যাওয়া, আমার স্পন্সরের সাথে কাজ করা এবং নিজের চেয়েও বৃহত্তর শক্তির সাথে অভ্যস্ত হওয়াকে আমার আবেগ করে তুলেছিলাম। আমি যখন এই কাজগুলি করেছি এবং আমার ব্যক্তিগত জীবনে ১২টি ধাপ অন্তর্ভুক্ত করতে শুরু করেছি, তখন সবকিছু এমনভাবে পরিবর্তিত হতে শুরু করেছে যা আমি কেবল স্বপ্নেও ভাবতে পারিনি। আমি শূন্য এবং মাঝে মাঝে এমন একজনের কাছে চলে গিয়েছিলাম যার সাথে আমার দেখা অন্য কারো চেয়ে বেশি আশা ছিল। আমি পুনরুদ্ধারের ঘরে যাদের সাথে দেখা হয়েছিল তাদের সাথে আমার মিল হতে শুরু করেছিলাম। তদুপরি, আমি বাঁচতে শুরু করেছিলাম এবং তাদের শোনা কিছু গল্প আমার সাথে ভাগ করে নিতে শুরু করেছিলাম। যখন আমি তাদের সেই গল্পগুলি ভাগ করে নিতে শুনতাম তখন আমার হৃদয় নাচতে এবং গান গাইতে শুরু করে, এবং আমি কামনা করতাম যে এই জিনিসগুলি আমার সাথেও ঘটুক। এগুলো আমার সাথে ঘটেছে এবং আরও অনেক কিছু। আমি এমন একটি জীবন কল্পনাও করতে পারি না যেখানে একদিন (OD AAT) এবং পুনরুদ্ধারের পরিকল্পনা ছাড়া জীবনযাপন করা হয় না। আমি সত্যি বলতে পারি যে আমার ৩৫ বছরের ব্যক্তিগত পুনরুদ্ধারের সময়, আমি প্রতিদিন কৃতজ্ঞতা এবং প্রশান্তি নিয়ে ঘুম থেকে উঠি, কারণ আমাকে এত বিনামূল্যে যা দেওয়া হয়েছে তার জন্য। তদুপরি, আমি অনেক লোকের সাথে দেখা করি যারা আমার মতো সংগ্রাম করছে। তদুপরি, আমি অনেক ব্যক্তির সাথে কথা বলি যারা এমন জাদু খুঁজে বের করার চেষ্টা করছে যা তাদের একাকী মৃত্যু থেকে ব্যক্তিগত পরিপূর্ণতার জীবনে নিয়ে যাবে এবং যা সমস্ত বোধগম্যতার বাইরে। আমার পুনরুদ্ধারের যাত্রায় আমি এটিই পেয়েছি। আমি খুব ভাগ্যবান যে আমি পথে এত আশ্চর্যজনক মানুষের সাথে দেখা করেছি। আমার কাছে গুরুত্বপূর্ণ প্রতিটি ব্যক্তি, (যারা পুনরায় রোগের কারণে মারা গেছেন তাদের ছাড়া) আজ হয় পরিষ্কার এবং শান্ত, অথবা সংযত অবস্থায় মারা গেছেন। যখন আমি এই ব্যক্তিদের কথা বললাম, আমি এমন লোকদের কথা বলছি যারা ৩৭, ৩৯, ৪১ এবং ৪৪ বছর বয়সে সুস্থ। আমার স্পনসর জ্যাক দুই বছর আগে ৪৪ বছর ধরে ব্যক্তিগত পুনরুদ্ধারের সাথে মারা গেছেন। টেক্সাস মাইক, পিট দ্য গ্রীক, রাশিয়ান টেড এবং ডক আইআরএ-এর মতো ব্যক্তিরা ১২-পদক্ষেপ কর্মসূচির সুস্থ সদস্য হিসেবে মারা গেছেন। আমি যে পুনরুদ্ধার পরিকল্পনা অনুসরণ করেছি তার মধ্যে সবচেয়ে উত্তেজনাপূর্ণ বিষয় হল এটি একটি সম্পূর্ণ নীলনকশা। অনুসরণ করা হলে, এর প্রতিশ্রুতি অনুসারে সমস্ত জিনিস পাওয়ার সম্ভাবনা প্রায় নিশ্চিত। আমি বলতে চাইছি না যে যারা অ্যালকোহলিক্স অ্যানোনিমাসের প্রোগ্রাম শুরু করেন তারা সবাই শেষ করেন বা একটি শান্ত জীবনযাপন করেন। আমি যা বলছি তা হল আমি কখনও এমন কাউকে দেখিনি যারা এই পথ অনুসরণ করার পরে পুনরায় অসুস্থ হয়ে পড়েছিল। ১৯৮৬ সালে আমার পুনরায় অসুস্থ হওয়ার পর, আমি মুখোমুখি হয়েছিলাম যে আমি নিজের জন্য কতটা বিপজ্জনক ছিলাম। আবার পুনরায় অসুস্থ হওয়ার সম্ভাবনা আমাকে আগের চেয়েও বেশি ভয় পেয়েছিল। আমি আমার স্পনসরকে জিজ্ঞাসা করেছিলাম যে আর কখনও পুনরায় অসুস্থ না হওয়ার জন্য আমার কী করা উচিত। উত্তরটি সহজ ছিল। উত্তরটি হল সেবা। যখন আমি অন্যদের সাহায্য করার জন্য আরও সজ্জিত হওয়ার জন্য আমার জীবনে পুনরুদ্ধার পরিকল্পনা অন্তর্ভুক্ত করার সিদ্ধান্ত নিলাম তখন আমার চিন্তাভাবনা সম্পূর্ণরূপে বিপ্লব ঘটিয়ে দিল। আমি আর আমার সম্পর্কে ছিলাম না। এটি ছিল "আমরা" সম্পর্কে। এই ধরণের চিন্তাভাবনা বিকাশ করা আমার জন্য রূপান্তরমূলক ছিল। "বিগ বুক অফ অ্যালকোহলিক্স অ্যানোনিমাস"-এর একটি অংশে বলা হয়েছে যে স্বার্থপরতা এবং আত্মকেন্দ্রিকতা আমার জীবনের প্রতিটি সমস্যার মূল কারণ। আমার অহংকারকে দূরে সরিয়ে রাখাই আমার পক্ষে সবচেয়ে ভালো কাজ। সংযত থাকাই হল সর্বকালের সেরা যাত্রা। পুনরুদ্ধার ঠিক এটাই। পুনরুদ্ধার একটি যাত্রা; এটি কোনও গন্তব্য নয়। আমি খুবই আনন্দিত যে মৃত্যু ছাড়া অন্য কোনও শেষ সীমা আছে। আমার লক্ষ্য হল আমার পৃষ্ঠপোষক জ্যাক ফিশার যা অর্জন করেছেন তা অর্জন করা। জ্যাক দুঃখের সাথে দুই বছরেরও বেশি সময় আগে ক্যান্সারে মারা যান। তার মৃত্যুর সময়, জ্যাক ৪৪ বছর ধরে একটানা সংযত ছিলেন। যখন আমি তার হাসপাতালের ঘরে তার সাথে কথা বলছিলাম এবং জানতাম যে এটিই শেষবারের মতো তাকে জীবিত দেখতে পাব, তখন আমি তাকে জিজ্ঞাসা করলাম? জ্যাক, আমি তাদের কী বলব? তুমি কি চাও যে আমি অন্যদের সাথে তোমার বার্তা ভাগ করে নিই?? জ্যাক তার ক্যান্সারে ডুবে যাওয়া চোখে আমার দিকে তাকিয়ে বললো? বব, তাদের বলো এটা কাজ করে।? এই সহজ বাক্যাংশটি আমার সাথে বিভিন্ন উপায়ে অনুরণিত হয়েছে। এটি আমার কাছে সবচেয়ে গুরুত্বপূর্ণ যেভাবে অনুরণিত হয়েছে তা হল, আমরা যা করছি তার সরলতাকে এটি তুলে ধরেছে। কোন জাদু নেই। কোন প্রশ্ন নেই যে, কি বা কিভাবে বা কখন। পুনরুদ্ধারের প্রোগ্রামটি যখন আপনি এটি করেন তখন এটি কাজ করে। আপনার প্রতি আমার বার্তা - এবং আমি চাই আপনি এটি জোরে এবং স্পষ্টভাবে শুনুন - এটি কি কাজ করে। আমি প্রায়শই সোশ্যাল মিডিয়ায় লোকেদের এক বা অন্য পুনরুদ্ধার প্রোগ্রামের সমালোচনা করতে দেখি। এখানে চুক্তি, তারা সব কাজ করে। যখন আপনি বিশ্বের একেশ্বরবাদী ধর্ম এবং অন্যান্য ধর্মনিরপেক্ষ প্রোগ্রামের মধ্যে কিছু প্রোগ্রাম দেখেন, তারা কাজ করে। অনেক মানুষ সফল হয়েছে যারা পরামর্শ দেয় না যে তারা কাজ করে না। সাফল্যের চেয়ে কম কিছুর সাধারণ বিভাজক প্রোগ্রাম নয়, এটি প্রোগ্রামটি প্রয়োগকারী ব্যক্তি। বিগ বুক অফ অ্যালকোহলিক্স অ্যানোনিমাসের অধ্যায় 5 এর শুরুর অনুচ্ছেদে লেখা আছে "আমরা খুব কমই এমন একজন ব্যক্তিকে ব্যর্থ হতে দেখেছি যিনি আমাদের পথ পুরোপুরি অনুসরণ করেছেন। যারা পুনরুদ্ধার করেন না তারা হলেন এমন মানুষ যারা এই সহজ প্রোগ্রামে নিজেকে সম্পূর্ণরূপে বিলিয়ে দিতে পারেন না বা দেবেন না।" গল্পের শেষ। আমি সম্পূর্ণরূপে নিশ্চিত যে যখন আমরা অ্যালকোহলিক্স অ্যানোনিমাসের ১২টি ধাপ এবং পুনরুদ্ধারের প্রথম ১৬৪ পৃষ্ঠায় বর্ণিত পরিকল্পনাটি প্রয়োগ করব, তখন আমাদের ফলাফল হবে স্থায়ী সংযম। আমি বিশ্বাস করি যে এটি মুসলিম ধর্ম, ইহুদি ধর্ম, এলডিএস রিকভারি, সেলিব্রেট রিকভারি, বৌদ্ধ নেটওয়ার্কের ক্ষেত্রেও সত্য এবং তালিকাটি আরও দীর্ঘস্থায়ী। আপনি যদি এই প্রোগ্রামগুলির কোনওটিতে জড়িত থাকেন বা এমন কোনও প্রোগ্রাম খুঁজে পান যেখানে এটি প্রমাণিত হয়েছে যে এটি অগণিত অন্যদের জন্য কাজ করেছে, তাহলে অনুমান করুন, যদি এটি কাজ না করে তবে এটি আপনিই। কেন নিজেদের বিনয়ী করবেন না? কেন কেবল একজন মৃত ব্যক্তিই সৎ হতে পারেন তার মতো সৎ হবেন না? আমি প্রোগ্রামটির সরলতা পছন্দ করি কারণ এটি বলে যে আমাদের কেবল সৎ, মুক্তমনা এবং ইচ্ছুক হওয়া দরকার। আমরা যদি প্রতিদিন এই তিনটি জিনিস করি, তাহলে আমাদের আর কখনও ফিরে যাওয়ার কোনও কারণ নেই। অনেক মানুষ বাইরে যায় এবং কখনও ফিরে আসে না। আমি নিজেকে ভাগ্যবান মনে করি যে আমি এমন একজন ব্যক্তি যে পুনরায় অসুস্থ হয়ে পড়েছিল, পুনরুদ্ধারের দরজা এখনও খোলা পেয়েছিল এবং এটিকে আবার চেষ্টা করেছিলাম। আজ যখন আমি তোমাদের কাছে এই বার্তাটি শেষ করছি, তখন আমি তোমাদের জানাতে চাই যে আমি কতটা কৃতজ্ঞ যে আমি পুনরুদ্ধারের উপহার পেয়েছি। যখন আমি নিজেকে 3 1/2 দশক ধরে পরিষ্কার এবং সংযত বলে মনে করি তখন আমি কৃতজ্ঞতার বাইরে। আরও আশ্চর্যজনক বিষয় হল আজ 12,784 দিন ধরে জীবনকে হ্যাঁ এবং মৃত্যুকে না বলার দিন। আমার জীবনের যে ক্ষেত্রগুলি আমাকে দেওয়া হয়েছে সেগুলি তার বাইরে, তবে আমি বিশ্বাস করি যে আমি এটির যোগ্য। আমার 32 বছর ধরে বিবাহিত জীবন। আমার আসক্তির শীর্ষে আমি যে সন্তানদের ত্যাগ করেছিলাম তারা আমাকে ক্ষমা করে দিয়েছে, এবং আমাদের একটি প্রেমময় এবং কর্মক্ষম সম্পর্ক রয়েছে যা উচ্চতর নিরাময়ের একটি ক্রমাগত প্রক্রিয়ার মধ্যে রয়েছে। আমি কে তা নিয়ে আমি অনুশোচনা করি না। আসলে, আমি কে তা উদযাপন করি। আমি আর এমন ব্যক্তি নই যে শূন্য থেকে এসেছি এবং শূন্যই থাকব। আমার লক্ষ্য আর প্রায় থাকার নয়। আজ আমি আশা, সম্ভাবনা এবং অন্যদের আমি যা অর্জন করতে পেরেছি তা অর্জনে সাহায্য করার জন্য একটি সন্তুষ্ট হৃদয়ে পরিপূর্ণ একজন। আমি আশা করি আপনি এমন একজন যার উপর আমি এই দায়িত্ব অর্পণ করতে পারি যখন আপনি আপনার পুনরুদ্ধারের যাত্রা শুরু করছেন বা চালিয়ে যাচ্ছেন। আমি ধন্য, ভাগ্যবান এবং সম্মানিত যে আমি ভেঙে পড়েছি। তাছাড়া, আমি অন্যদের তাদের পথ খুঁজে পেতে শেখাতে এবং নির্দেশনা দিতে চাই। এমন একটা সময় আসবে যখন আমিও জ্যাকের মতো হব। আমি হাসপাতালের বিছানায় শুয়ে থাকব, আমার শেষ নিঃশ্বাসের কাছাকাছি, এবং আমার ভালোবাসি এবং যে আমাকে ভালোবাসে সে আমাকে জিজ্ঞাসা করবে আমার বার্তা কী, যা তারা অন্যদের কাছে পৌঁছে দিতে পারে। তাদের কাছে আমার বার্তা হবে "এটি কাজ করে।"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</si>
</sst>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Calibri"/>
    </font>
    <font>
      <b/>
      <sz val="10"/>
      <color theme="1"/>
      <name val="Arial"/>
      <scheme val="minor"/>
    </font>
    <font>
      <sz val="11"/>
      <color rgb="FF000000"/>
      <name val="Calibri"/>
    </font>
    <font>
      <sz val="10"/>
      <color theme="1"/>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applyFont="1" applyAlignment="1"/>
    <xf numFmtId="0" fontId="1" fillId="0" borderId="1" xfId="0" applyFont="1" applyBorder="1" applyAlignment="1">
      <alignment horizontal="center" vertical="top"/>
    </xf>
    <xf numFmtId="0" fontId="2" fillId="0" borderId="1" xfId="0" applyFont="1" applyBorder="1" applyAlignment="1"/>
    <xf numFmtId="0" fontId="3" fillId="0" borderId="0" xfId="0" applyFont="1" applyAlignment="1"/>
    <xf numFmtId="0" fontId="4" fillId="0" borderId="0" xfId="0" applyFont="1"/>
    <xf numFmtId="0" fontId="3"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3022"/>
  <sheetViews>
    <sheetView tabSelected="1" workbookViewId="0"/>
  </sheetViews>
  <sheetFormatPr defaultColWidth="12.5703125" defaultRowHeight="15.75" customHeight="1" x14ac:dyDescent="0.2"/>
  <sheetData>
    <row r="1" spans="1:3" x14ac:dyDescent="0.2">
      <c r="A1" s="1" t="s">
        <v>0</v>
      </c>
      <c r="B1" s="1" t="s">
        <v>1</v>
      </c>
      <c r="C1" s="2" t="s">
        <v>2</v>
      </c>
    </row>
    <row r="2" spans="1:3" ht="15.75" customHeight="1" x14ac:dyDescent="0.25">
      <c r="A2" s="3" t="s">
        <v>3</v>
      </c>
      <c r="B2" s="3" t="s">
        <v>4</v>
      </c>
      <c r="C2" s="4" t="str">
        <f ca="1">IFERROR(__xludf.DUMMYFUNCTION("GOOGLETRANSLATE(A2, ""auto"", ""bn"")"),"এই পোস্টের জন্য আমি দুঃখিত। এটা অনেক হাত মুচড়ে দেওয়া এবং মানসিক হস্তমৈথুনের মতো হবে। কিন্তু আমি কখনোই এটিকে অর্থপূর্ণভাবে প্রক্রিয়া করতে পারছি না বলে মনে হচ্ছে - এবং এটি NA এবং AA সভায় যোগদানকে সত্যিকার অর্থে যন্ত্রণাদায়ক করে তোলে। অন্যরা যে ধরণের অসুস"&amp;"্থতার কথা বলছে আমার তেমন অসুস্থতা বলে মনে হচ্ছে না - সেখানে কারও সাথেই আমার সম্পর্ক স্থাপন করতে সমস্যা হচ্ছে। আমি জানি না সাধারণ কর্মক্ষম মানুষের জন্য এটি কেমন, এবং যারা 1% বিয়ার খেয়ে ওয়েহরমাখ্ট ইউনিফর্ম পরিহিত একটি সামরিক কনভয়ে গন্ডারের চার্জ দেওয়ার "&amp;"পর পরের মাসে জেলে যান তাদের জন্য এটি কেমন তাও আমি জানি না। এই সর্বব্যাপী রোগের পরিবর্তে, লোকেরা দলবদ্ধভাবে কথা বলে, এটি একটি সামান্য পলি-আসক্তির মতো, কারণ ADHD-এর কারণে আমি যে খারাপ অভ্যাস শিখেছি তার অংশ - এবং স্ট্রটার শুরু করার কারণে তৃষ্ণা নিজেই অনেক কম"&amp;"ে যায়। একই সাথে, আমি এখন, অগণিতবারের মতো, আবারও মদ্যপানের মাধ্যমে আমার সমস্ত টাকা নষ্ট করার পর, সংযত থাকার সিদ্ধান্ত নিয়েছি - কিন্তু আমি সাহায্য ছাড়াই নিজেকে মুক্ত করতে পারি এবং আমার আসলে এত কিছু করার দরকার ছিল না, কিছু কারণ ছিল। এক থেকে তারপরের স্কেলে"&amp;", আপনার মতে শেষ অনুচ্ছেদে আসক্তদের ঘৃণ্যতা কতটা ঘনীভূত ছিল? আমি কিছুটা হলেও সচেতন, কিন্তু আমার সমস্যা হল এটি কখনই যথেষ্ট বলে মনে হয় না। আমি দলবদ্ধভাবে যাব এবং সারাক্ষণ একজন প্রতারকের মতো বোধ করব, হতাশ এবং একা বোধ করব এবং অবশেষে আবারও আসক্ত হয়ে পড়ব। এবা"&amp;"র আমি আসলে এটি ধরে রাখতে চাই, আমি ঋণী, অশিক্ষিত হাতিয়ার, যার বয়স মাত্র ২৭ বছর - এবং মনে হচ্ছে আমার এখনই আমার জীবনকে সুশৃঙ্খল করা দরকার।")</f>
        <v>এই পোস্টের জন্য আমি দুঃখিত। এটা অনেক হাত মুচড়ে দেওয়া এবং মানসিক হস্তমৈথুনের মতো হবে। কিন্তু আমি কখনোই এটিকে অর্থপূর্ণভাবে প্রক্রিয়া করতে পারছি না বলে মনে হচ্ছে - এবং এটি NA এবং AA সভায় যোগদানকে সত্যিকার অর্থে যন্ত্রণাদায়ক করে তোলে। অন্যরা যে ধরণের অসুস্থতার কথা বলছে আমার তেমন অসুস্থতা বলে মনে হচ্ছে না - সেখানে কারও সাথেই আমার সম্পর্ক স্থাপন করতে সমস্যা হচ্ছে। আমি জানি না সাধারণ কর্মক্ষম মানুষের জন্য এটি কেমন, এবং যারা 1% বিয়ার খেয়ে ওয়েহরমাখ্ট ইউনিফর্ম পরিহিত একটি সামরিক কনভয়ে গন্ডারের চার্জ দেওয়ার পর পরের মাসে জেলে যান তাদের জন্য এটি কেমন তাও আমি জানি না। এই সর্বব্যাপী রোগের পরিবর্তে, লোকেরা দলবদ্ধভাবে কথা বলে, এটি একটি সামান্য পলি-আসক্তির মতো, কারণ ADHD-এর কারণে আমি যে খারাপ অভ্যাস শিখেছি তার অংশ - এবং স্ট্রটার শুরু করার কারণে তৃষ্ণা নিজেই অনেক কমে যায়। একই সাথে, আমি এখন, অগণিতবারের মতো, আবারও মদ্যপানের মাধ্যমে আমার সমস্ত টাকা নষ্ট করার পর, সংযত থাকার সিদ্ধান্ত নিয়েছি - কিন্তু আমি সাহায্য ছাড়াই নিজেকে মুক্ত করতে পারি এবং আমার আসলে এত কিছু করার দরকার ছিল না, কিছু কারণ ছিল। এক থেকে তারপরের স্কেলে, আপনার মতে শেষ অনুচ্ছেদে আসক্তদের ঘৃণ্যতা কতটা ঘনীভূত ছিল? আমি কিছুটা হলেও সচেতন, কিন্তু আমার সমস্যা হল এটি কখনই যথেষ্ট বলে মনে হয় না। আমি দলবদ্ধভাবে যাব এবং সারাক্ষণ একজন প্রতারকের মতো বোধ করব, হতাশ এবং একা বোধ করব এবং অবশেষে আবারও আসক্ত হয়ে পড়ব। এবার আমি আসলে এটি ধরে রাখতে চাই, আমি ঋণী, অশিক্ষিত হাতিয়ার, যার বয়স মাত্র ২৭ বছর - এবং মনে হচ্ছে আমার এখনই আমার জীবনকে সুশৃঙ্খল করা দরকার।</v>
      </c>
    </row>
    <row r="3" spans="1:3" ht="15.75" customHeight="1" x14ac:dyDescent="0.25">
      <c r="A3" s="3" t="s">
        <v>5</v>
      </c>
      <c r="B3" s="3" t="s">
        <v>4</v>
      </c>
      <c r="C3" s="4" t="str">
        <f ca="1">IFERROR(__xludf.DUMMYFUNCTION("GOOGLETRANSLATE(A3, ""auto"", ""bn"")"),"প্রতিদিনই বেশি পরিমাণে THC খাবার এবং অন্যান্য জিনিস খেয়ে আমি খুব বেশি খুশি হয়ে যাচ্ছি। শুরুতে আমি সপ্তাহান্তে এটা করতাম, কিন্তু এখনও করছি। আজ আমার প্রথম দিনটা হবে না, কারণ আমি এলোমেলো ওষুধ খেতে শুরু করেছিলাম, আর গতকাল আমি এক বোতল কাশির সিরাপ খেয়েছি শুধ"&amp;"ু মজা পাবার জন্য। মনে হচ্ছে আমি মজা পেতে চাই। আর আমি খুব বিরক্ত বোধ করি, আর অন্যরা আমার সম্পর্কে কী ভাবছে তা নিয়ে আমার আসলে মাথাব্যথা নেই? আমি BS-তে ক্লান্ত। জ্বালা-পোড়ার ধোঁয়া।")</f>
        <v>প্রতিদিনই বেশি পরিমাণে THC খাবার এবং অন্যান্য জিনিস খেয়ে আমি খুব বেশি খুশি হয়ে যাচ্ছি। শুরুতে আমি সপ্তাহান্তে এটা করতাম, কিন্তু এখনও করছি। আজ আমার প্রথম দিনটা হবে না, কারণ আমি এলোমেলো ওষুধ খেতে শুরু করেছিলাম, আর গতকাল আমি এক বোতল কাশির সিরাপ খেয়েছি শুধু মজা পাবার জন্য। মনে হচ্ছে আমি মজা পেতে চাই। আর আমি খুব বিরক্ত বোধ করি, আর অন্যরা আমার সম্পর্কে কী ভাবছে তা নিয়ে আমার আসলে মাথাব্যথা নেই? আমি BS-তে ক্লান্ত। জ্বালা-পোড়ার ধোঁয়া।</v>
      </c>
    </row>
    <row r="4" spans="1:3" ht="15.75" customHeight="1" x14ac:dyDescent="0.25">
      <c r="A4" s="3" t="s">
        <v>6</v>
      </c>
      <c r="B4" s="3" t="s">
        <v>4</v>
      </c>
      <c r="C4" s="4" t="str">
        <f ca="1">IFERROR(__xludf.DUMMYFUNCTION("GOOGLETRANSLATE(A4, ""auto"", ""bn"")"),"আমার ভাইয়েরা গত ৫ বছর ধরে হেরোইন/মেথ সেবন করছিল, ৩ বছর আগে ক্যালিতে পালিয়ে গিয়েছিল। আমার ছোটবেলার সবচেয়ে ভালো বন্ধু অক্টোবরে ফেন্টানিল অতিরিক্ত মাত্রায় গ্রহণ করেছিল। আমার বাবা, যিনি যতদূর মনে পড়ে, মেথ সেবন করেছিলেন, অবশেষে জানুয়ারিতে সুস্থ হয়ে ওঠে"&amp;"ন কারণ তিনি কোভিড আক্রান্ত হয়েছিলেন এবং মূলত ডিটক্সমুক্ত হয়েছিলেন। আমি সবসময়ই সামাজিকভাবে মদ্যপান করতেন কিন্তু সম্প্রতি আমি প্রতি রাতে প্রায় ২ বোতল ওয়াইন পান করছি। আমার মনে হয় আমি ডুবে যাচ্ছি এবং আমি খুশি হওয়ার একমাত্র উপায় হল যখন আমি উত্তেজিত হই,"&amp;" যদিও আমি জানি আমি কোন পথে যাচ্ছি। আমার বাবার নিজস্ব মাদক সমস্যার উপরে আমার ভাইদের আসক্তির কারণে আমার পরিবারের স্বাস্থ্যের মারাত্মক অবনতি ঘটে। নভেম্বরে আমার দাদির স্ট্রোক হয়েছিল এবং আমার মা তার প্রাথমিক তত্ত্বাবধায়ক হয়েছেন। আমি এখন স্নাতক স্কুলে আছি এব"&amp;"ং যতটা সম্ভব সাহায্য করার চেষ্টা করছি, কিন্তু আমি রাগ করছি যে আমার ভাই আমাকে একা এই কাজটি করার জন্য ছেড়ে দিয়েছে। তার উপরে, রাগ করার জন্য আমি দোষী বোধ করছি। আমি জানি না এই পোস্টটি এখানে প্রযোজ্য কিনা, যদি না হয় দয়া করে মুছে ফেলুন।")</f>
        <v>আমার ভাইয়েরা গত ৫ বছর ধরে হেরোইন/মেথ সেবন করছিল, ৩ বছর আগে ক্যালিতে পালিয়ে গিয়েছিল। আমার ছোটবেলার সবচেয়ে ভালো বন্ধু অক্টোবরে ফেন্টানিল অতিরিক্ত মাত্রায় গ্রহণ করেছিল। আমার বাবা, যিনি যতদূর মনে পড়ে, মেথ সেবন করেছিলেন, অবশেষে জানুয়ারিতে সুস্থ হয়ে ওঠেন কারণ তিনি কোভিড আক্রান্ত হয়েছিলেন এবং মূলত ডিটক্সমুক্ত হয়েছিলেন। আমি সবসময়ই সামাজিকভাবে মদ্যপান করতেন কিন্তু সম্প্রতি আমি প্রতি রাতে প্রায় ২ বোতল ওয়াইন পান করছি। আমার মনে হয় আমি ডুবে যাচ্ছি এবং আমি খুশি হওয়ার একমাত্র উপায় হল যখন আমি উত্তেজিত হই, যদিও আমি জানি আমি কোন পথে যাচ্ছি। আমার বাবার নিজস্ব মাদক সমস্যার উপরে আমার ভাইদের আসক্তির কারণে আমার পরিবারের স্বাস্থ্যের মারাত্মক অবনতি ঘটে। নভেম্বরে আমার দাদির স্ট্রোক হয়েছিল এবং আমার মা তার প্রাথমিক তত্ত্বাবধায়ক হয়েছেন। আমি এখন স্নাতক স্কুলে আছি এবং যতটা সম্ভব সাহায্য করার চেষ্টা করছি, কিন্তু আমি রাগ করছি যে আমার ভাই আমাকে একা এই কাজটি করার জন্য ছেড়ে দিয়েছে। তার উপরে, রাগ করার জন্য আমি দোষী বোধ করছি। আমি জানি না এই পোস্টটি এখানে প্রযোজ্য কিনা, যদি না হয় দয়া করে মুছে ফেলুন।</v>
      </c>
    </row>
    <row r="5" spans="1:3" ht="15.75" customHeight="1" x14ac:dyDescent="0.25">
      <c r="A5" s="3" t="s">
        <v>7</v>
      </c>
      <c r="B5" s="3" t="s">
        <v>4</v>
      </c>
      <c r="C5" s="4" t="str">
        <f ca="1">IFERROR(__xludf.DUMMYFUNCTION("GOOGLETRANSLATE(A5, ""auto"", ""bn"")"),"আমার একটা মতামত দরকার কারণ আমি এই জিনিসগুলো সম্পর্কে জানি না। আমি যদি এটা স্বাভাবিক হয় এবং আমি অতিরিক্ত প্রতিক্রিয়া দেখাই, তবে তার মাদকের অভ্যাস আমাকে চিন্তিত করে তোলে। আমি জানতাম সে অন্যান্য কিশোর/কিশোরীদের মতো এখানে-সেখানে মদ্যপান করে এবং গাঁজা সেবন ক"&amp;"রে কিন্তু আমি কখনও চোখ বুলাইনি। আমি যখন জিজ্ঞাসা করি যে সে কেন এমন করে তখন আমার প্রেমিক আত্মরক্ষামূলক হয়ে ওঠে। আমি বলতে চাইছি সে বলেছে যে সে ভ্যাপিং ছেড়ে দিয়েছে, তাই আমি ভেবেছিলাম তার অভ্যাসের কথা সে জানে না যতক্ষণ না সে আমাকে বলেছে যে সে কী করে। যেমন "&amp;"সে আমাকে বলেছে যে সে মদ্যপান করবে এবং গাড়ি চালায় তাই আমি তাকে থামাতে বলেছি (সে আমাকে বলেছে যে সে চেষ্টা করবে না কিন্তু কোনও প্রতিশ্রুতি নেই। এবং একটু করা ঠিক আছে কারণ তার সহনশীলতা বেশি)। আমি জানি সে অক্সি এবং পার্সি করেছে কিন্তু আমি ভেবেছিলাম সে যোগ দিয"&amp;"়েছে কারণ সে আমাকে অক্সি নিয়েছে বলে বলেছিল, তারপর যখন আমি বললাম, হু, সে বলল যে সে যোগ দিয়েছে কিন্তু সে খুব বেশি মনে হচ্ছে না তাই ঠিক আছে আমি তা এড়িয়ে গেলাম, কিন্তু আমরা OTP ছিলাম। সে সম্প্রতি শরুম করেছে এবং খারাপ ট্রিপ করেছে, সে ঘটনার পরে আমাকে বলেছিল"&amp;" যদিও আমার কোনও ধারণা ছিল না যে সে তা করে?! সে আমাকে আরও বলেছিল যে সে তার ঘনিষ্ঠ বন্ধুদের ফোন করেছিল কিন্তু সে আমাকে কিছু বলেনি/কল করেনি যা আমাকে কষ্ট দিয়েছে, তার উপরে সে বলেছিল যে সে কেবল আমাকে বলেছে কারণ আমি জিজ্ঞাসা করেনি কারণ সে চায়নি। তাছাড়া, সে শ"&amp;"নিবার ট্যাব করার পরিকল্পনা করেছিল যার নাম সে আগে কখনও আমাকে বলেনি, কিন্তু সেই পরিকল্পনা ভেস্তে যায়। সে তার প্লাগের জন্য একটি উপকার করেছিল এবং রবিবার মাদক গ্রহণ করেছিল কারণ সে আমাকে বলেছিল এবং আমি তার অবস্থান পরীক্ষা করেছিলাম যে সে বাইরে আছে কিন্তু তার প্"&amp;"লাগটি কোথায় বিক্রি হয় তা জানে না। একই দিন পরে আমাদের মধ্যে ঝগড়া হয় যখন সে আমাকে বলেছিল যে সে ধূমপান করছে এবং তার বন্ধুদের সাথে জিনিসপত্র বিক্রি করছে এবং আমি তাকে বললাম যে আমি কতটা উদ্বিগ্ন। সে আমাকে টেক্সটের মাধ্যমে বলেছিল এবং আমি সরাসরি টেক্সট থেকে উ"&amp;"দ্ধৃতি দিয়েছিলাম? আমার গোপনীয়তা এবং আমার নিরাপত্তার জন্য গোপন থাকার অধিকার আছে।? ""আমি তোমার সাথে দেখা করার আগে মাদক গ্রহণ করতাম এবং চিরকাল মাদক গ্রহণ করব। তোমার সাথে দেখা করার আগে আমি বিষণ্ণ ছিলাম এবং আমার জীবনের কিছু বিষয় ভালো না হওয়া পর্যন্ত তা অব্য"&amp;"াহত রাখব।?"" ""মাদক আমার কোন কোন ক্ষতি করতে পারে এবং আমি যথেষ্ট বুদ্ধিমান যে এমন অবস্থানে না যেতে পারি যেখানে মাদক আমাকে ক্ষতি করতে পারে? সে বিষণ্ণ, আর কী ভাববে বুঝতে পারছি না, আর আমি তার পাশে থাকার চেষ্টা করছি। আমি বলতে চাইছি, আমার মনে হয় না সে কখনো আমা"&amp;"র সাথে খুব বেশি উত্তেজিত ছিল, কিন্তু হয়তো সে জানে আমি বিরক্ত হয়ে পড়েছি, অথবা হয়তো আমি এতটাই বোকা যে আমি বুঝতে পারছি না যে মানুষ কখন আসে। যেমনটা বলতে চাইছি, এটা কি একটা বিষয় নাকি আমি অতিরিক্ত প্রতিক্রিয়া দেখাচ্ছি???? তাছাড়া, তার পারিবারিকভাবে মাদক সেবনের "&amp;"ইতিহাস আছে। TL;DR আমার প্রেমিক মদ্যপান করে, গাঁজা খায়, প্রেস ও অক্সি করে, এবং মদ্যপানও করে। (আমার মনে হয় সে কেবল পার্টিতে মদ্যপান করে, এবং সে কিছুটা ধূমপান করে কিন্তু আমি জানি না সপ্তাহে কতবার এটা করে এবং কতবার সে বড়ি খায় তার কোনও ধারণা নেই।) এবং আমি যখন"&amp;" বিষয়টি উত্থাপন করি তখন সে তার মাদক সেবনের বিরুদ্ধে আত্মরক্ষামূলক আচরণ করে। তার কি কোন সমস্যা আছে?")</f>
        <v>আমার একটা মতামত দরকার কারণ আমি এই জিনিসগুলো সম্পর্কে জানি না। আমি যদি এটা স্বাভাবিক হয় এবং আমি অতিরিক্ত প্রতিক্রিয়া দেখাই, তবে তার মাদকের অভ্যাস আমাকে চিন্তিত করে তোলে। আমি জানতাম সে অন্যান্য কিশোর/কিশোরীদের মতো এখানে-সেখানে মদ্যপান করে এবং গাঁজা সেবন করে কিন্তু আমি কখনও চোখ বুলাইনি। আমি যখন জিজ্ঞাসা করি যে সে কেন এমন করে তখন আমার প্রেমিক আত্মরক্ষামূলক হয়ে ওঠে। আমি বলতে চাইছি সে বলেছে যে সে ভ্যাপিং ছেড়ে দিয়েছে, তাই আমি ভেবেছিলাম তার অভ্যাসের কথা সে জানে না যতক্ষণ না সে আমাকে বলেছে যে সে কী করে। যেমন সে আমাকে বলেছে যে সে মদ্যপান করবে এবং গাড়ি চালায় তাই আমি তাকে থামাতে বলেছি (সে আমাকে বলেছে যে সে চেষ্টা করবে না কিন্তু কোনও প্রতিশ্রুতি নেই। এবং একটু করা ঠিক আছে কারণ তার সহনশীলতা বেশি)। আমি জানি সে অক্সি এবং পার্সি করেছে কিন্তু আমি ভেবেছিলাম সে যোগ দিয়েছে কারণ সে আমাকে অক্সি নিয়েছে বলে বলেছিল, তারপর যখন আমি বললাম, হু, সে বলল যে সে যোগ দিয়েছে কিন্তু সে খুব বেশি মনে হচ্ছে না তাই ঠিক আছে আমি তা এড়িয়ে গেলাম, কিন্তু আমরা OTP ছিলাম। সে সম্প্রতি শরুম করেছে এবং খারাপ ট্রিপ করেছে, সে ঘটনার পরে আমাকে বলেছিল যদিও আমার কোনও ধারণা ছিল না যে সে তা করে?! সে আমাকে আরও বলেছিল যে সে তার ঘনিষ্ঠ বন্ধুদের ফোন করেছিল কিন্তু সে আমাকে কিছু বলেনি/কল করেনি যা আমাকে কষ্ট দিয়েছে, তার উপরে সে বলেছিল যে সে কেবল আমাকে বলেছে কারণ আমি জিজ্ঞাসা করেনি কারণ সে চায়নি। তাছাড়া, সে শনিবার ট্যাব করার পরিকল্পনা করেছিল যার নাম সে আগে কখনও আমাকে বলেনি, কিন্তু সেই পরিকল্পনা ভেস্তে যায়। সে তার প্লাগের জন্য একটি উপকার করেছিল এবং রবিবার মাদক গ্রহণ করেছিল কারণ সে আমাকে বলেছিল এবং আমি তার অবস্থান পরীক্ষা করেছিলাম যে সে বাইরে আছে কিন্তু তার প্লাগটি কোথায় বিক্রি হয় তা জানে না। একই দিন পরে আমাদের মধ্যে ঝগড়া হয় যখন সে আমাকে বলেছিল যে সে ধূমপান করছে এবং তার বন্ধুদের সাথে জিনিসপত্র বিক্রি করছে এবং আমি তাকে বললাম যে আমি কতটা উদ্বিগ্ন। সে আমাকে টেক্সটের মাধ্যমে বলেছিল এবং আমি সরাসরি টেক্সট থেকে উদ্ধৃতি দিয়েছিলাম? আমার গোপনীয়তা এবং আমার নিরাপত্তার জন্য গোপন থাকার অধিকার আছে।? "আমি তোমার সাথে দেখা করার আগে মাদক গ্রহণ করতাম এবং চিরকাল মাদক গ্রহণ করব। তোমার সাথে দেখা করার আগে আমি বিষণ্ণ ছিলাম এবং আমার জীবনের কিছু বিষয় ভালো না হওয়া পর্যন্ত তা অব্যাহত রাখব।?" "মাদক আমার কোন কোন ক্ষতি করতে পারে এবং আমি যথেষ্ট বুদ্ধিমান যে এমন অবস্থানে না যেতে পারি যেখানে মাদক আমাকে ক্ষতি করতে পারে? সে বিষণ্ণ, আর কী ভাববে বুঝতে পারছি না, আর আমি তার পাশে থাকার চেষ্টা করছি। আমি বলতে চাইছি, আমার মনে হয় না সে কখনো আমার সাথে খুব বেশি উত্তেজিত ছিল, কিন্তু হয়তো সে জানে আমি বিরক্ত হয়ে পড়েছি, অথবা হয়তো আমি এতটাই বোকা যে আমি বুঝতে পারছি না যে মানুষ কখন আসে। যেমনটা বলতে চাইছি, এটা কি একটা বিষয় নাকি আমি অতিরিক্ত প্রতিক্রিয়া দেখাচ্ছি???? তাছাড়া, তার পারিবারিকভাবে মাদক সেবনের ইতিহাস আছে। TL;DR আমার প্রেমিক মদ্যপান করে, গাঁজা খায়, প্রেস ও অক্সি করে, এবং মদ্যপানও করে। (আমার মনে হয় সে কেবল পার্টিতে মদ্যপান করে, এবং সে কিছুটা ধূমপান করে কিন্তু আমি জানি না সপ্তাহে কতবার এটা করে এবং কতবার সে বড়ি খায় তার কোনও ধারণা নেই।) এবং আমি যখন বিষয়টি উত্থাপন করি তখন সে তার মাদক সেবনের বিরুদ্ধে আত্মরক্ষামূলক আচরণ করে। তার কি কোন সমস্যা আছে?</v>
      </c>
    </row>
    <row r="6" spans="1:3" ht="15.75" customHeight="1" x14ac:dyDescent="0.25">
      <c r="A6" s="3" t="s">
        <v>8</v>
      </c>
      <c r="B6" s="3" t="s">
        <v>4</v>
      </c>
      <c r="C6" s="4" t="str">
        <f ca="1">IFERROR(__xludf.DUMMYFUNCTION("GOOGLETRANSLATE(A6, ""auto"", ""bn"")"),"আমি মিডল স্কুলে অষ্টম শ্রেণী থেকে গাঁজা ধূমপান করি এবং তখন থেকেই আসক্ত। আমি গর্বের সাথে বলতে পারি যে আমি ১০ দিনেরও বেশি সময় ধরে ধূমপান করিনি (শেষ আঘাতটি মনে করতে পারছি না) এবং সত্যি বলতে আমি আমার শেষ আঘাতটি মনে রাখতে চাই না কারণ আমি এটি আমার জীবন থেকে চি"&amp;"রতরে মুছে ফেলতে চাই। ধূমপান করার পর থেকে আমি (অলস, অনুৎপাদনশীল, নেতিবাচক, ঘুমের সমস্যা এবং হজমের সমস্যা) ছিলাম। অবশেষে আমি ট্রাকিং স্কুলে যাওয়ার এবং আমার সিডিএল পাওয়ার পর ড্রাগ পরীক্ষায় উত্তীর্ণ হওয়ার পরিকল্পনা করছি যাতে অবশেষে আমার একটি ভালো ভবিষ্যৎ "&amp;"থাকতে পারে! আমি অন্য কাউকে ধূমপান ছেড়ে এগিয়ে যেতে উৎসাহিত করি!")</f>
        <v>আমি মিডল স্কুলে অষ্টম শ্রেণী থেকে গাঁজা ধূমপান করি এবং তখন থেকেই আসক্ত। আমি গর্বের সাথে বলতে পারি যে আমি ১০ দিনেরও বেশি সময় ধরে ধূমপান করিনি (শেষ আঘাতটি মনে করতে পারছি না) এবং সত্যি বলতে আমি আমার শেষ আঘাতটি মনে রাখতে চাই না কারণ আমি এটি আমার জীবন থেকে চিরতরে মুছে ফেলতে চাই। ধূমপান করার পর থেকে আমি (অলস, অনুৎপাদনশীল, নেতিবাচক, ঘুমের সমস্যা এবং হজমের সমস্যা) ছিলাম। অবশেষে আমি ট্রাকিং স্কুলে যাওয়ার এবং আমার সিডিএল পাওয়ার পর ড্রাগ পরীক্ষায় উত্তীর্ণ হওয়ার পরিকল্পনা করছি যাতে অবশেষে আমার একটি ভালো ভবিষ্যৎ থাকতে পারে! আমি অন্য কাউকে ধূমপান ছেড়ে এগিয়ে যেতে উৎসাহিত করি!</v>
      </c>
    </row>
    <row r="7" spans="1:3" ht="15.75" customHeight="1" x14ac:dyDescent="0.25">
      <c r="A7" s="3" t="s">
        <v>9</v>
      </c>
      <c r="B7" s="3" t="s">
        <v>4</v>
      </c>
      <c r="C7" s="4" t="str">
        <f ca="1">IFERROR(__xludf.DUMMYFUNCTION("GOOGLETRANSLATE(A7, ""auto"", ""bn"")"),"আমি কানাডার অন্টারিওতে সাংবাদিকতার একজন ছাত্র। ওপিওয়েড সংকটের মধ্যে আমি ক্ষতি হ্রাসের বিষয়ে অনুসন্ধান করছি এবং বর্তমানে দেশজুড়ে নিরাপদ ইনজেকশন সাইটগুলিতে পিয়ার-সহায়তাপ্রাপ্ত ইনজেকশন পরিষেবার গুরুত্ব নিয়ে একটি প্রতিবেদন তৈরি করছি। তাছাড়া, আমি পিয়ার-"&amp;"সহায়তাপ্রাপ্ত ইনজেকশনের অভিজ্ঞতাসম্পন্ন ব্যক্তিদের সাথে কথা বলতে চাই -- যেকোনো অভিজ্ঞতা স্বাগত। নির্দ্বিধায় আমাকে প্রশ্ন পাঠাতে পারেন এবং আমি তাদের উত্তর দেব। বিচার-মুক্ত, সম্মানজনক অঞ্চল। আগাম ধন্যবাদ। :)")</f>
        <v>আমি কানাডার অন্টারিওতে সাংবাদিকতার একজন ছাত্র। ওপিওয়েড সংকটের মধ্যে আমি ক্ষতি হ্রাসের বিষয়ে অনুসন্ধান করছি এবং বর্তমানে দেশজুড়ে নিরাপদ ইনজেকশন সাইটগুলিতে পিয়ার-সহায়তাপ্রাপ্ত ইনজেকশন পরিষেবার গুরুত্ব নিয়ে একটি প্রতিবেদন তৈরি করছি। তাছাড়া, আমি পিয়ার-সহায়তাপ্রাপ্ত ইনজেকশনের অভিজ্ঞতাসম্পন্ন ব্যক্তিদের সাথে কথা বলতে চাই -- যেকোনো অভিজ্ঞতা স্বাগত। নির্দ্বিধায় আমাকে প্রশ্ন পাঠাতে পারেন এবং আমি তাদের উত্তর দেব। বিচার-মুক্ত, সম্মানজনক অঞ্চল। আগাম ধন্যবাদ। :)</v>
      </c>
    </row>
    <row r="8" spans="1:3" ht="15.75" customHeight="1" x14ac:dyDescent="0.25">
      <c r="A8" s="3" t="s">
        <v>10</v>
      </c>
      <c r="B8" s="3" t="s">
        <v>4</v>
      </c>
      <c r="C8" s="4" t="str">
        <f ca="1">IFERROR(__xludf.DUMMYFUNCTION("GOOGLETRANSLATE(A8, ""auto"", ""bn"")"),"আমি এই বিষয়ে যতই পোস্ট করি না কেন, আমার কথা বলার কেউ নেই। যেহেতু আমি বিষণ্ণতা এবং উদ্বেগে ভুগছি, তাই আমার মনে হচ্ছে এটা আবার ফিরে আসছে, যদিও আমি অ্যান্টিডিপ্রেসেন্ট খাচ্ছি। আমিও প্রতিদিন মাথাব্যথায় ভুগছি, কিন্তু আজ আমার কিছুই নেই? আমরা কাশির সিরাপ খেতে প"&amp;"ারি, কিন্তু আমি এখনও জানি না। আমার দিনটা খুব খারাপ যাচ্ছে এবং কিছুই হয়নি, শুধু আমার খারাপ লাগছে। তাছাড়া, আমি আক্ষরিক অর্থেই একটা কুত্তার মতো আচরণ করছি। তাছাড়া, আমি আমার এক বন্ধুকে বলেছিলাম যে তাদের মারা যাওয়া বন্ধুটি বোকা। এখন আমার মনে হচ্ছে একটা শিয়"&amp;"ালের মতো। আর আমি সারাদিন কুত্তার মতো আচরণ করছি। শুধু লোকেদের নোংরা চেহারা দিচ্ছি, সাধারণভাবে অভদ্র আচরণ করছি। আমার মন খারাপ লাগছে। আমি আবার নিজেকে ঘৃণা করি।")</f>
        <v>আমি এই বিষয়ে যতই পোস্ট করি না কেন, আমার কথা বলার কেউ নেই। যেহেতু আমি বিষণ্ণতা এবং উদ্বেগে ভুগছি, তাই আমার মনে হচ্ছে এটা আবার ফিরে আসছে, যদিও আমি অ্যান্টিডিপ্রেসেন্ট খাচ্ছি। আমিও প্রতিদিন মাথাব্যথায় ভুগছি, কিন্তু আজ আমার কিছুই নেই? আমরা কাশির সিরাপ খেতে পারি, কিন্তু আমি এখনও জানি না। আমার দিনটা খুব খারাপ যাচ্ছে এবং কিছুই হয়নি, শুধু আমার খারাপ লাগছে। তাছাড়া, আমি আক্ষরিক অর্থেই একটা কুত্তার মতো আচরণ করছি। তাছাড়া, আমি আমার এক বন্ধুকে বলেছিলাম যে তাদের মারা যাওয়া বন্ধুটি বোকা। এখন আমার মনে হচ্ছে একটা শিয়ালের মতো। আর আমি সারাদিন কুত্তার মতো আচরণ করছি। শুধু লোকেদের নোংরা চেহারা দিচ্ছি, সাধারণভাবে অভদ্র আচরণ করছি। আমার মন খারাপ লাগছে। আমি আবার নিজেকে ঘৃণা করি।</v>
      </c>
    </row>
    <row r="9" spans="1:3" ht="15.75" customHeight="1" x14ac:dyDescent="0.25">
      <c r="A9" s="3" t="s">
        <v>11</v>
      </c>
      <c r="B9" s="3" t="s">
        <v>4</v>
      </c>
      <c r="C9" s="4" t="str">
        <f ca="1">IFERROR(__xludf.DUMMYFUNCTION("GOOGLETRANSLATE(A9, ""auto"", ""bn"")"),"আমি আমার সমস্যার জন্য সাহায্য খোঁজার লোক নই, তাই এটা আমার কাছে সত্যিই অদ্ভুত, আর আমি জানি না এটা সঠিক গ্রুপ কিনা। আমার শুধু জানা দরকার যে পৃথিবীর অন্য কেউ জানে যে আমি এখন কী অবস্থার মধ্য দিয়ে যাচ্ছি। এক বছর আগে আমি ঘুম থেকে উঠে ৭৫০ মিলিগ্রাম ফেইন্ট এবং ২"&amp;" গ্রাম অ্যাটম খেতাম। আমি কয়েকটি বিয়ার দিয়ে তাদের তাড়া করতাম এবং কিছু আগাছা ধূমপান করতাম। আমার ভালো ব্যবসা শুরু হওয়ার পর আমি কিছু অক্সি এবং ক্লোনোপিন খেতাম, আরও বিয়ার খেতাম। কাজের সময় হওয়ার ঠিক আগে কয়েক লাইন কোক খেতাম এবং তারপর আমার খুশিতে কাজে লে"&amp;"গে যেতাম। প্রায় এক বছর ধরে এটাই ছিল আমার প্রতিদিনের রুটিন, গত বছর পর্যন্ত আমি ছেড়ে দেওয়ার সিদ্ধান্ত নিই, কারণ আমার একটি দুর্দান্ত বান্ধবী ছিল, যার সাথে আমি নিজেকে বাকি জীবন কাটাতে দেখেছি। আমরা একসাথে থাকতে শুরু করলাম, সবকিছু ঠিকঠাক চলছিল, তারপর ৮ মাস প"&amp;"র সে অন্য একজনের সাথে কথা বলতে শুরু করল, আমার পিছনে কে জানে আর কি করতে লাগল, বলত আমি বদলে গেছি, আর আমরা যখন ডেটিং শুরু করেছিলাম তখন আমি আর আগের মতো নেই। এখন আমার একটা খুব খারাপ সংকট চলছে যেখানে আমার মনে হচ্ছে মাদক আমাকে আগের মতো করে তুলেছে, এমন একজনে পরিণ"&amp;"ত করেছে যাকে মানুষ পছন্দ করত, আর আমার মনে হচ্ছে আবার ফিরে যাওয়ার কথা ভাবছে। আমি আর ফিরে যেতে চাই না, কিন্তু জীবন এখন খুব খালি লাগছে, আর আমি আবার স্বাভাবিক বোধ করতে চাই। আমি শুধু ইন্টারনেটের খোলা জগতে এটা প্রকাশ করতে চেয়েছিলাম।")</f>
        <v>আমি আমার সমস্যার জন্য সাহায্য খোঁজার লোক নই, তাই এটা আমার কাছে সত্যিই অদ্ভুত, আর আমি জানি না এটা সঠিক গ্রুপ কিনা। আমার শুধু জানা দরকার যে পৃথিবীর অন্য কেউ জানে যে আমি এখন কী অবস্থার মধ্য দিয়ে যাচ্ছি। এক বছর আগে আমি ঘুম থেকে উঠে ৭৫০ মিলিগ্রাম ফেইন্ট এবং ২ গ্রাম অ্যাটম খেতাম। আমি কয়েকটি বিয়ার দিয়ে তাদের তাড়া করতাম এবং কিছু আগাছা ধূমপান করতাম। আমার ভালো ব্যবসা শুরু হওয়ার পর আমি কিছু অক্সি এবং ক্লোনোপিন খেতাম, আরও বিয়ার খেতাম। কাজের সময় হওয়ার ঠিক আগে কয়েক লাইন কোক খেতাম এবং তারপর আমার খুশিতে কাজে লেগে যেতাম। প্রায় এক বছর ধরে এটাই ছিল আমার প্রতিদিনের রুটিন, গত বছর পর্যন্ত আমি ছেড়ে দেওয়ার সিদ্ধান্ত নিই, কারণ আমার একটি দুর্দান্ত বান্ধবী ছিল, যার সাথে আমি নিজেকে বাকি জীবন কাটাতে দেখেছি। আমরা একসাথে থাকতে শুরু করলাম, সবকিছু ঠিকঠাক চলছিল, তারপর ৮ মাস পর সে অন্য একজনের সাথে কথা বলতে শুরু করল, আমার পিছনে কে জানে আর কি করতে লাগল, বলত আমি বদলে গেছি, আর আমরা যখন ডেটিং শুরু করেছিলাম তখন আমি আর আগের মতো নেই। এখন আমার একটা খুব খারাপ সংকট চলছে যেখানে আমার মনে হচ্ছে মাদক আমাকে আগের মতো করে তুলেছে, এমন একজনে পরিণত করেছে যাকে মানুষ পছন্দ করত, আর আমার মনে হচ্ছে আবার ফিরে যাওয়ার কথা ভাবছে। আমি আর ফিরে যেতে চাই না, কিন্তু জীবন এখন খুব খালি লাগছে, আর আমি আবার স্বাভাবিক বোধ করতে চাই। আমি শুধু ইন্টারনেটের খোলা জগতে এটা প্রকাশ করতে চেয়েছিলাম।</v>
      </c>
    </row>
    <row r="10" spans="1:3" ht="15.75" customHeight="1" x14ac:dyDescent="0.25">
      <c r="A10" s="3" t="s">
        <v>12</v>
      </c>
      <c r="B10" s="3" t="s">
        <v>4</v>
      </c>
      <c r="C10" s="4" t="str">
        <f ca="1">IFERROR(__xludf.DUMMYFUNCTION("GOOGLETRANSLATE(A10, ""auto"", ""bn"")"),"আমি সত্যিই চাই এবং এমন একটা সাপোর্ট সিস্টেম খুঁজে বের করতে চাই যাতে অবশেষে পরিষ্কার হতে পারি... আমার DOC হলো মেথ এবং আমি ৩ মাস ধরে সেন্টেড লেসড হেরোইন সেবন করছি। আমার শহরে সাবক্সোন প্রোগ্রাম শুরু করলেই আমি H থেকে মুক্ত হতে পারতাম। এটা আমার জীবন বাঁচিয়েছে"&amp;" এবং এটা একটা অলৌকিক ঘটনা। তারা জানত যে আমি এখনও মেথ ব্যবহার করি কিন্তু হেরোইন সেবন বন্ধ হয়ে গেলে কয়েক মাসের মধ্যে আমাকে ছেড়ে দেওয়ার জন্য একটি চুক্তি করেছিল। আচ্ছা... অসাধারণ মানুষ এবং এত দয়ালু যে তারা আমাকে অনেক শিথিল করে দিচ্ছে। কিন্তু আগামীকাল আমা"&amp;"র প্রস্রাব পরিষ্কার করার কথা ছিল এবং ৪ দিন সুস্থ থাকার পর ২ দিন আগে আমি আবার প্রস্রাব করি (এক বছরের মধ্যে আমার সবচেয়ে বেশি সময়)। আমি তাদের তাৎক্ষণিকভাবে জানিয়েছিলাম এবং প্রতিক্রিয়া খুব একটা ভালো ছিল না, স্পষ্টতই। যদি আমি ১ সপ্তাহের মধ্যে প্রস্রাব পরিষ"&amp;"্কার করতে না পারি তবে তারা সম্ভবত আমাকে বের করে দেবে। মানে সাবক্সোন প্রত্যাহার এবং হেরোইনের অনিবার্য পুনরাবৃত্তি। আমি এখনও প্রস্তুত নই এবং আমার ব্যবহারের রুট কেস নিয়ে খুব বেশি কাজ করিনি। যদিও সেই ৪ দিনও আমার শরীরের জন্য দুর্দান্ত মনে হয়েছিল। এবং যখন আমি"&amp;" পুনরায় ডাইভ করি তখন থেকেই বিরক্তিকর লাগছিল। এই জিনিসটি খাঁটি বিষ।")</f>
        <v>আমি সত্যিই চাই এবং এমন একটা সাপোর্ট সিস্টেম খুঁজে বের করতে চাই যাতে অবশেষে পরিষ্কার হতে পারি... আমার DOC হলো মেথ এবং আমি ৩ মাস ধরে সেন্টেড লেসড হেরোইন সেবন করছি। আমার শহরে সাবক্সোন প্রোগ্রাম শুরু করলেই আমি H থেকে মুক্ত হতে পারতাম। এটা আমার জীবন বাঁচিয়েছে এবং এটা একটা অলৌকিক ঘটনা। তারা জানত যে আমি এখনও মেথ ব্যবহার করি কিন্তু হেরোইন সেবন বন্ধ হয়ে গেলে কয়েক মাসের মধ্যে আমাকে ছেড়ে দেওয়ার জন্য একটি চুক্তি করেছিল। আচ্ছা... অসাধারণ মানুষ এবং এত দয়ালু যে তারা আমাকে অনেক শিথিল করে দিচ্ছে। কিন্তু আগামীকাল আমার প্রস্রাব পরিষ্কার করার কথা ছিল এবং ৪ দিন সুস্থ থাকার পর ২ দিন আগে আমি আবার প্রস্রাব করি (এক বছরের মধ্যে আমার সবচেয়ে বেশি সময়)। আমি তাদের তাৎক্ষণিকভাবে জানিয়েছিলাম এবং প্রতিক্রিয়া খুব একটা ভালো ছিল না, স্পষ্টতই। যদি আমি ১ সপ্তাহের মধ্যে প্রস্রাব পরিষ্কার করতে না পারি তবে তারা সম্ভবত আমাকে বের করে দেবে। মানে সাবক্সোন প্রত্যাহার এবং হেরোইনের অনিবার্য পুনরাবৃত্তি। আমি এখনও প্রস্তুত নই এবং আমার ব্যবহারের রুট কেস নিয়ে খুব বেশি কাজ করিনি। যদিও সেই ৪ দিনও আমার শরীরের জন্য দুর্দান্ত মনে হয়েছিল। এবং যখন আমি পুনরায় ডাইভ করি তখন থেকেই বিরক্তিকর লাগছিল। এই জিনিসটি খাঁটি বিষ।</v>
      </c>
    </row>
    <row r="11" spans="1:3" ht="15.75" customHeight="1" x14ac:dyDescent="0.25">
      <c r="A11" s="3" t="s">
        <v>13</v>
      </c>
      <c r="B11" s="3" t="s">
        <v>4</v>
      </c>
      <c r="C11" s="4" t="str">
        <f ca="1">IFERROR(__xludf.DUMMYFUNCTION("GOOGLETRANSLATE(A11, ""auto"", ""bn"")"),"আমি সম্প্রতি Xanax এবং Valium অনেক বেশি নেশা করছি এবং থামাতে পারছি না? আমিও প্রচুর পরিমাণে আফিম সেবন করি এবং প্রায় 24/7 গাঁজা সেবন করি। আমি অনেক দিন ধরে এই মাদক সেবন করছি এবং আমি সত্যিই থামাতে চাই, কিন্তু যতই চেষ্টা করি না কেন তা পারছি না? আমার ভাই হেরোই"&amp;"ন খেয়ে মারা গেছে এবং তুমি হয়তো ভাববে যে এটি আমাকে চিরতরে মাদক থেকে দূরে সরিয়ে দেওয়ার জন্য যথেষ্ট হবে কিন্তু না, এটি আমাকে আরও বেশি মাদক সেবন করতে বাধ্য করেছে কারণ আমি পালাতে চাই। আমার বয়স মাত্র 16 এবং আমি 2 বার অতিরিক্ত মাত্রায় সেবন করেছি। আমি একটি "&amp;"ভালো জীবনযাপন করতে চাই, কিন্তু আমি মাদক ছেড়ে দিতে পারছি না।")</f>
        <v>আমি সম্প্রতি Xanax এবং Valium অনেক বেশি নেশা করছি এবং থামাতে পারছি না? আমিও প্রচুর পরিমাণে আফিম সেবন করি এবং প্রায় 24/7 গাঁজা সেবন করি। আমি অনেক দিন ধরে এই মাদক সেবন করছি এবং আমি সত্যিই থামাতে চাই, কিন্তু যতই চেষ্টা করি না কেন তা পারছি না? আমার ভাই হেরোইন খেয়ে মারা গেছে এবং তুমি হয়তো ভাববে যে এটি আমাকে চিরতরে মাদক থেকে দূরে সরিয়ে দেওয়ার জন্য যথেষ্ট হবে কিন্তু না, এটি আমাকে আরও বেশি মাদক সেবন করতে বাধ্য করেছে কারণ আমি পালাতে চাই। আমার বয়স মাত্র 16 এবং আমি 2 বার অতিরিক্ত মাত্রায় সেবন করেছি। আমি একটি ভালো জীবনযাপন করতে চাই, কিন্তু আমি মাদক ছেড়ে দিতে পারছি না।</v>
      </c>
    </row>
    <row r="12" spans="1:3" ht="15.75" customHeight="1" x14ac:dyDescent="0.25">
      <c r="A12" s="3" t="s">
        <v>14</v>
      </c>
      <c r="B12" s="3" t="s">
        <v>4</v>
      </c>
      <c r="C12" s="4" t="str">
        <f ca="1">IFERROR(__xludf.DUMMYFUNCTION("GOOGLETRANSLATE(A12, ""auto"", ""bn"")"),"অ্যালকোহল দিয়ে শুরু হওয়া এই মাদকের এক দশক ধরে একটার পর একটা মাদকের ব্যবহার চলছে। আমার শক্তির জন্য এটা দরকার, অথবা বিষণ্ণতার জন্যও এটা দরকার। আমার বাচ্চারা বছরের পর বছর ধরে আমার পরমাণু এবং ভীতি পরিমাপ করতে দেখেছে এবং আমি সবসময় বলেছি এটা শক্তির জন্য অথবা আ"&amp;"মার প্রোটিন শেকের জন্য একটি সম্পূরক। ওহ! পদার্থের ক্ষেত্রে আমি আর অন্তর্মুখী নই, আমি লাজুক, অনিরাপদ এবং উদ্বিগ্ন নই। আমি বহির্মুখী, কথাবার্তা বলা এবং সৃজনশীল। এই সমস্ত জিনিস আমাকে আরও ভালো মা করে তোলে (আমি নিজেকে বলি) কারণ আমি ৮ বছর ধরে সবকিছু থেকে কয়েক "&amp;"সপ্তাহের বেশি সময় ধরে পরিষ্কার ছিলাম না। আমার সৃজনশীলতার কথা আমার মনে আছে যখন আমার বাচ্চারা ১, ২, ৩ বছর বয়সী ছিল... আমি জানি যে সেই ব্যক্তি হওয়ার জন্য আমার ওষুধের প্রয়োজন নেই। কিন্তু আমি কখনই প্রত্যাহার/পায়ের উপর নির্ভর করে যথেষ্ট ভালো মা হতে পারব না"&amp;", তাই আমি ফিরে যাই, অথবা আমি অন্য ""আইনি"" মাদক খুঁজে পাই। (না, চিকিৎসার জন্য আমার কাছে কোন সাহায্য নেই। কেউ নেই।) আমি এক বা দুই সপ্তাহ ধরে এতবার ""অসুস্থ"" হয়েছি যে তাদের নিজেদের খরচ নিজেই বহন করতে হয়েছে। এটা আর কখনো হতে পারে না। কখনও না। এই শেষ অভ্যাস"&amp;"ের জন্য আমার ২০ হাজার ডলার খরচ হয়েছে। তাদের স্কুলে দুপুরের খাবারের টাকা দিতে আমি ভয় পাই, কিন্তু ""শক্তি এবং প্রেরণার"" জন্য আমি প্রতি পপ ৫০ ডলার দিতে পারি?!? যখন আমি আমার শেষ মুঠো বড়িগুলো বের করেছিলাম, যা আমার কাছে বুদ্ধিমানের মতো মনে হয়েছিল, তখন আমার"&amp;" ৮ বছরের মেয়েটি গাড়ির পিছনের সিটে রঙ করার সময় বলল... ""মা, তুমি এত বড়ি খাচ্ছ কেন? তোমার এই মায়ের দরকার নেই।"" সে ঠিক বলেছে। ৫ বছর আগে আমি প্রতিদিন ৫ ভাগ ভদকা পান করা বন্ধ করে দিয়েছিলাম (অজান্তেই, অথবা আমি ভেবেছিলাম!) আমার বাচ্চাদের খেলাধুলার খেলায় স"&amp;"ামাজিকীকরণের জন্য। তারা তাদের পরিচিত একমাত্র ব্যক্তিকে ফোন করে তাদের কোথায় আছে তা নির্দেশ করার চেষ্টা করছিল। পুলিশ এসেছিল কারণ আমি কারো সামনের লনে ছিলাম - আমি তাদের সাথে লড়াই করেছিলাম এবং আমার বাচ্চাদের সামনে আরও তিনজন লোকের সাথে - পরের দিন সকালে আমার ব"&amp;"িছানায় ঘুম থেকে উঠেছিলাম, কিছুই বুঝতে পারিনি। আমি তাদের সবাইকে হারাতে পারতাম। ঠিক তেমনই। তারা সবাই এটা মনে রাখে। আমার ৮ বছরের মেয়েটি আমার ওয়াইন বা বিয়ার পান করা পছন্দ করে না, আমাকে বলে যে আমার এর প্রয়োজন নেই। সে জানে আমি ভিন্নভাবে আচরণ করি, যদিও আমার"&amp;" মনে হয় আমার কাজ করার জন্য এটি প্রয়োজন ইত্যাদি। আমি আরও ভালো মা হতে পারি। ৫০ ঘন্টা কর্ম সপ্তাহ, ৩টি বাচ্চা, স্কুল, খেলাধুলা, বাড়ি - আমি কীভাবে নিজেকে বোঝাবো যে এই সমস্ত জিনিসপত্র ছাড়া আমি অসাধারণ হতে পারি যা সম্ভবত আমাকে মেরে ফেলছে?! আমি প্রতিদিন নিজে"&amp;"কে বলি এবং আমি ইতিমধ্যেই জানি যে আমার এই জিনিসপত্রের প্রয়োজন নেই এবং আমার বাচ্চাদের জন্য থামা দরকার - কিন্তু এটা এমন যে আমাকে সবসময় কিছু না কিছুতেই থাকতে হবে?!")</f>
        <v>অ্যালকোহল দিয়ে শুরু হওয়া এই মাদকের এক দশক ধরে একটার পর একটা মাদকের ব্যবহার চলছে। আমার শক্তির জন্য এটা দরকার, অথবা বিষণ্ণতার জন্যও এটা দরকার। আমার বাচ্চারা বছরের পর বছর ধরে আমার পরমাণু এবং ভীতি পরিমাপ করতে দেখেছে এবং আমি সবসময় বলেছি এটা শক্তির জন্য অথবা আমার প্রোটিন শেকের জন্য একটি সম্পূরক। ওহ! পদার্থের ক্ষেত্রে আমি আর অন্তর্মুখী নই, আমি লাজুক, অনিরাপদ এবং উদ্বিগ্ন নই। আমি বহির্মুখী, কথাবার্তা বলা এবং সৃজনশীল। এই সমস্ত জিনিস আমাকে আরও ভালো মা করে তোলে (আমি নিজেকে বলি) কারণ আমি ৮ বছর ধরে সবকিছু থেকে কয়েক সপ্তাহের বেশি সময় ধরে পরিষ্কার ছিলাম না। আমার সৃজনশীলতার কথা আমার মনে আছে যখন আমার বাচ্চারা ১, ২, ৩ বছর বয়সী ছিল... আমি জানি যে সেই ব্যক্তি হওয়ার জন্য আমার ওষুধের প্রয়োজন নেই। কিন্তু আমি কখনই প্রত্যাহার/পায়ের উপর নির্ভর করে যথেষ্ট ভালো মা হতে পারব না, তাই আমি ফিরে যাই, অথবা আমি অন্য "আইনি" মাদক খুঁজে পাই। (না, চিকিৎসার জন্য আমার কাছে কোন সাহায্য নেই। কেউ নেই।) আমি এক বা দুই সপ্তাহ ধরে এতবার "অসুস্থ" হয়েছি যে তাদের নিজেদের খরচ নিজেই বহন করতে হয়েছে। এটা আর কখনো হতে পারে না। কখনও না। এই শেষ অভ্যাসের জন্য আমার ২০ হাজার ডলার খরচ হয়েছে। তাদের স্কুলে দুপুরের খাবারের টাকা দিতে আমি ভয় পাই, কিন্তু "শক্তি এবং প্রেরণার" জন্য আমি প্রতি পপ ৫০ ডলার দিতে পারি?!? যখন আমি আমার শেষ মুঠো বড়িগুলো বের করেছিলাম, যা আমার কাছে বুদ্ধিমানের মতো মনে হয়েছিল, তখন আমার ৮ বছরের মেয়েটি গাড়ির পিছনের সিটে রঙ করার সময় বলল... "মা, তুমি এত বড়ি খাচ্ছ কেন? তোমার এই মায়ের দরকার নেই।" সে ঠিক বলেছে। ৫ বছর আগে আমি প্রতিদিন ৫ ভাগ ভদকা পান করা বন্ধ করে দিয়েছিলাম (অজান্তেই, অথবা আমি ভেবেছিলাম!) আমার বাচ্চাদের খেলাধুলার খেলায় সামাজিকীকরণের জন্য। তারা তাদের পরিচিত একমাত্র ব্যক্তিকে ফোন করে তাদের কোথায় আছে তা নির্দেশ করার চেষ্টা করছিল। পুলিশ এসেছিল কারণ আমি কারো সামনের লনে ছিলাম - আমি তাদের সাথে লড়াই করেছিলাম এবং আমার বাচ্চাদের সামনে আরও তিনজন লোকের সাথে - পরের দিন সকালে আমার বিছানায় ঘুম থেকে উঠেছিলাম, কিছুই বুঝতে পারিনি। আমি তাদের সবাইকে হারাতে পারতাম। ঠিক তেমনই। তারা সবাই এটা মনে রাখে। আমার ৮ বছরের মেয়েটি আমার ওয়াইন বা বিয়ার পান করা পছন্দ করে না, আমাকে বলে যে আমার এর প্রয়োজন নেই। সে জানে আমি ভিন্নভাবে আচরণ করি, যদিও আমার মনে হয় আমার কাজ করার জন্য এটি প্রয়োজন ইত্যাদি। আমি আরও ভালো মা হতে পারি। ৫০ ঘন্টা কর্ম সপ্তাহ, ৩টি বাচ্চা, স্কুল, খেলাধুলা, বাড়ি - আমি কীভাবে নিজেকে বোঝাবো যে এই সমস্ত জিনিসপত্র ছাড়া আমি অসাধারণ হতে পারি যা সম্ভবত আমাকে মেরে ফেলছে?! আমি প্রতিদিন নিজেকে বলি এবং আমি ইতিমধ্যেই জানি যে আমার এই জিনিসপত্রের প্রয়োজন নেই এবং আমার বাচ্চাদের জন্য থামা দরকার - কিন্তু এটা এমন যে আমাকে সবসময় কিছু না কিছুতেই থাকতে হবে?!</v>
      </c>
    </row>
    <row r="13" spans="1:3" ht="15.75" customHeight="1" x14ac:dyDescent="0.25">
      <c r="A13" s="3" t="s">
        <v>15</v>
      </c>
      <c r="B13" s="3" t="s">
        <v>4</v>
      </c>
      <c r="C13" s="4" t="str">
        <f ca="1">IFERROR(__xludf.DUMMYFUNCTION("GOOGLETRANSLATE(A13, ""auto"", ""bn"")"),"শিরোনামটা বেশ স্পষ্ট। আমি মাত্র কয়েক ঘন্টা আগে আবিষ্কার করেছি, আমার মা গোপনীয়তার শপথ নিয়েছেন। সে গত দুই বছর ধরে এটা করে আসছে এবং আমি পার্থক্যটা বুঝতেও পারিনি, বুঝতে না পেরে আমার খারাপ লাগছে, কিন্তু আমার মনে হচ্ছে আমি তাকে আর চিনিও না। আমার মা আমাকে যা "&amp;"বলেছেন তা থেকে, সে কয়েকদিন ধরে পরিষ্কার-পরিচ্ছন্ন এবং বাড়িতেই আছে, সে পুনর্বাসনের মতো কিছু করার আগে বাড়িতে পরিষ্কার-পরিচ্ছন্ন থাকার চেষ্টা করতে চায় (আমি জানি না এটা কীভাবে কাজ করে আমি দুঃখিত)। আমি তাকে সাহায্য করতে চাই, তার সাথে সময় কাটাতে চাই কিন্তু"&amp;" যতবারই আমি তার দিকে তাকাই, আমি কান্নায় ভেঙে পড়তে পারি না। আমি কোনওভাবে তাকে আমার চোখে ভিলেনে পরিণত করতে চাই না কারণ আমি জানি সে তা নয়, আমি আমার বাবাকে অনেক ভালোবাসি, এবং আমি তার জন্য যা কিছু করতে পারি তা করতে চাই, কিন্তু আমি সত্যিই জানি না কী করব। যদি"&amp;" এটা আমার কাছে একেবারেই অস্থির মনে হয় তবে আমার বাবাকে কীভাবে সাহায্য করব সে সম্পর্কে আমার পরামর্শ প্রয়োজন।")</f>
        <v>শিরোনামটা বেশ স্পষ্ট। আমি মাত্র কয়েক ঘন্টা আগে আবিষ্কার করেছি, আমার মা গোপনীয়তার শপথ নিয়েছেন। সে গত দুই বছর ধরে এটা করে আসছে এবং আমি পার্থক্যটা বুঝতেও পারিনি, বুঝতে না পেরে আমার খারাপ লাগছে, কিন্তু আমার মনে হচ্ছে আমি তাকে আর চিনিও না। আমার মা আমাকে যা বলেছেন তা থেকে, সে কয়েকদিন ধরে পরিষ্কার-পরিচ্ছন্ন এবং বাড়িতেই আছে, সে পুনর্বাসনের মতো কিছু করার আগে বাড়িতে পরিষ্কার-পরিচ্ছন্ন থাকার চেষ্টা করতে চায় (আমি জানি না এটা কীভাবে কাজ করে আমি দুঃখিত)। আমি তাকে সাহায্য করতে চাই, তার সাথে সময় কাটাতে চাই কিন্তু যতবারই আমি তার দিকে তাকাই, আমি কান্নায় ভেঙে পড়তে পারি না। আমি কোনওভাবে তাকে আমার চোখে ভিলেনে পরিণত করতে চাই না কারণ আমি জানি সে তা নয়, আমি আমার বাবাকে অনেক ভালোবাসি, এবং আমি তার জন্য যা কিছু করতে পারি তা করতে চাই, কিন্তু আমি সত্যিই জানি না কী করব। যদি এটা আমার কাছে একেবারেই অস্থির মনে হয় তবে আমার বাবাকে কীভাবে সাহায্য করব সে সম্পর্কে আমার পরামর্শ প্রয়োজন।</v>
      </c>
    </row>
    <row r="14" spans="1:3" ht="15.75" customHeight="1" x14ac:dyDescent="0.25">
      <c r="A14" s="3" t="s">
        <v>16</v>
      </c>
      <c r="B14" s="3" t="s">
        <v>4</v>
      </c>
      <c r="C14" s="4" t="str">
        <f ca="1">IFERROR(__xludf.DUMMYFUNCTION("GOOGLETRANSLATE(A14, ""auto"", ""bn"")"),"আমার কাছে প্রেসক্রিপশনটি প্রায় ৪ বছর ধরে আছে, কিন্তু গত এক বছর ধরে আমি ধীরে ধীরে আরও বেশি করে নিতে শুরু করেছি। আপাতত আমি এটা থেকে রেহাই পাচ্ছি কারণ আমার থেরাপিস্ট এবং আমার ডাক্তারও এটি প্রেসক্রিপশনে রাখতে পারছেন। সাধারণত আমার মনে হয় অন্তত আমার দেশে এটি এ"&amp;"কটি উদ্বেগের বিষয় হবে কারণ আমি প্রেসক্রিপশন অনুসারে ওষুধ খাওয়ার চেয়ে প্রায় ৫ গুণ দ্রুত ট্যাবলেট খাই। আমার অপব্যবহারও অলক্ষিত হয়নি। আমার বাবা-মা মনে করেন আমি ওষুধ খাচ্ছি, এবং তারা ভুল নন, কিন্তু তারা জানেন না যে এটি একটি প্রেসক্রিপশন। যাই হোক, এটি বৈধ"&amp;" কিনা তাতে পার্থক্য কী? সহকর্মীরাও মন্তব্য করেন যে আমি দেখতে কঠিন জীবনযাপন করি এবং এটি সত্য কারণ আমি খুব কম ঘুমাই। গত ৫ মাস ধরে আমি প্রতি রাতে প্রায় ২-৪ ঘন্টা ঘুমিয়ে কাজ করছি। আজ আমি যে পুরনো ছবিগুলো দেখছিলাম তা না থাকলে আমি পরিবর্তনটি লক্ষ্য করতাম। যাই"&amp;" হোক, আগামীকাল থেকে আমি প্রেসক্রিপশন অনুসারে ওষুধ খাওয়ার চেষ্টা করব অথবা অন্তত কম খাওয়া শুরু করব।")</f>
        <v>আমার কাছে প্রেসক্রিপশনটি প্রায় ৪ বছর ধরে আছে, কিন্তু গত এক বছর ধরে আমি ধীরে ধীরে আরও বেশি করে নিতে শুরু করেছি। আপাতত আমি এটা থেকে রেহাই পাচ্ছি কারণ আমার থেরাপিস্ট এবং আমার ডাক্তারও এটি প্রেসক্রিপশনে রাখতে পারছেন। সাধারণত আমার মনে হয় অন্তত আমার দেশে এটি একটি উদ্বেগের বিষয় হবে কারণ আমি প্রেসক্রিপশন অনুসারে ওষুধ খাওয়ার চেয়ে প্রায় ৫ গুণ দ্রুত ট্যাবলেট খাই। আমার অপব্যবহারও অলক্ষিত হয়নি। আমার বাবা-মা মনে করেন আমি ওষুধ খাচ্ছি, এবং তারা ভুল নন, কিন্তু তারা জানেন না যে এটি একটি প্রেসক্রিপশন। যাই হোক, এটি বৈধ কিনা তাতে পার্থক্য কী? সহকর্মীরাও মন্তব্য করেন যে আমি দেখতে কঠিন জীবনযাপন করি এবং এটি সত্য কারণ আমি খুব কম ঘুমাই। গত ৫ মাস ধরে আমি প্রতি রাতে প্রায় ২-৪ ঘন্টা ঘুমিয়ে কাজ করছি। আজ আমি যে পুরনো ছবিগুলো দেখছিলাম তা না থাকলে আমি পরিবর্তনটি লক্ষ্য করতাম। যাই হোক, আগামীকাল থেকে আমি প্রেসক্রিপশন অনুসারে ওষুধ খাওয়ার চেষ্টা করব অথবা অন্তত কম খাওয়া শুরু করব।</v>
      </c>
    </row>
    <row r="15" spans="1:3" ht="15.75" customHeight="1" x14ac:dyDescent="0.25">
      <c r="A15" s="3" t="s">
        <v>17</v>
      </c>
      <c r="B15" s="3" t="s">
        <v>4</v>
      </c>
      <c r="C15" s="4" t="str">
        <f ca="1">IFERROR(__xludf.DUMMYFUNCTION("GOOGLETRANSLATE(A15, ""auto"", ""bn"")"),"আমি জানি না কিভাবে এটা নিয়ে কথা বলবো, তাই আমি শুধু এটুকুই বলবো, আমি একজন যৌন আসক্ত, আমি তিন সপ্তাহ ধরে যেকোনো আবেগকে আটকে রেখেছি, আর একটা দিনও বেশ ভালো যাচ্ছে, আর এর জন্য আমার বান্ধবী ছাড়া আর কাউকে ধন্যবাদ দিতে পারছি না। আচ্ছা, সে সম্প্রতি একটু বেশি ঘনিষ"&amp;"্ঠ হচ্ছে, আর তুমি আমাদের মধ্যেকার উত্তেজনা ছুরি দিয়ে কেটে ফেলতে পারো, আর আমি সত্যিই নিশ্চিত নই যে আমার এটা করা উচিত কিনা। এটা দুজন মানুষের মধ্যে একটি সুন্দর এবং ঘনিষ্ঠ মুহূর্ত যাদের মধ্যে একটা ভালো বিশ্বাস আছে, কিন্তু প্রতিবার যখন আমার মন যৌনতার বিষয়ের দি"&amp;"কে ঘুরে, আমি কেবল ""আহ, ভালো, আমি সমাধান পেতে যাচ্ছি"" এই শিরায় এটির কথা ভাবি, এবং আমার মনে হয় এটি ঠিকভাবে করা উচিত নয়, আমি বলব এটা খাবারের আসক্তির মতো, তুমি স্বাস্থ্যকর খাচ্ছো, কিন্তু তারপর তোমার সেরা বন্ধুর পদোন্নতি হয় এবং উদযাপনের জন্য পিৎজা পার্টির "&amp;"ডাক আসে। এতে লিপ্ত হতে ক্ষতি হবে না, তবে এটি সমস্যার সমাধানের একটি দরজা হতে পারে।")</f>
        <v>আমি জানি না কিভাবে এটা নিয়ে কথা বলবো, তাই আমি শুধু এটুকুই বলবো, আমি একজন যৌন আসক্ত, আমি তিন সপ্তাহ ধরে যেকোনো আবেগকে আটকে রেখেছি, আর একটা দিনও বেশ ভালো যাচ্ছে, আর এর জন্য আমার বান্ধবী ছাড়া আর কাউকে ধন্যবাদ দিতে পারছি না। আচ্ছা, সে সম্প্রতি একটু বেশি ঘনিষ্ঠ হচ্ছে, আর তুমি আমাদের মধ্যেকার উত্তেজনা ছুরি দিয়ে কেটে ফেলতে পারো, আর আমি সত্যিই নিশ্চিত নই যে আমার এটা করা উচিত কিনা। এটা দুজন মানুষের মধ্যে একটি সুন্দর এবং ঘনিষ্ঠ মুহূর্ত যাদের মধ্যে একটা ভালো বিশ্বাস আছে, কিন্তু প্রতিবার যখন আমার মন যৌনতার বিষয়ের দিকে ঘুরে, আমি কেবল "আহ, ভালো, আমি সমাধান পেতে যাচ্ছি" এই শিরায় এটির কথা ভাবি, এবং আমার মনে হয় এটি ঠিকভাবে করা উচিত নয়, আমি বলব এটা খাবারের আসক্তির মতো, তুমি স্বাস্থ্যকর খাচ্ছো, কিন্তু তারপর তোমার সেরা বন্ধুর পদোন্নতি হয় এবং উদযাপনের জন্য পিৎজা পার্টির ডাক আসে। এতে লিপ্ত হতে ক্ষতি হবে না, তবে এটি সমস্যার সমাধানের একটি দরজা হতে পারে।</v>
      </c>
    </row>
    <row r="16" spans="1:3" ht="15.75" customHeight="1" x14ac:dyDescent="0.25">
      <c r="A16" s="3" t="s">
        <v>18</v>
      </c>
      <c r="B16" s="3" t="s">
        <v>4</v>
      </c>
      <c r="C16" s="4" t="str">
        <f ca="1">IFERROR(__xludf.DUMMYFUNCTION("GOOGLETRANSLATE(A16, ""auto"", ""bn"")"),"তাই আমি কয়েক সপ্তাহ আগে আলফা নিয়ে কাজ করার সিদ্ধান্ত নিলাম। এটা বেশ খারাপ ছিল, কিন্তু আমি আমার অবস্থানকে সঠিক পথে ফিরিয়ে আনতে সক্ষম হয়েছিলাম। দুই মাসের জন্য দ্রুত এগিয়ে যান, এবং আমি সিদ্ধান্ত নিলাম যে আমি আলফা চেষ্টা করে দেখব যে হাইপ আসলে কী। এখন আমি"&amp;" তৃতীয় দিনে যাচ্ছি এবং এটি পুরোপুরি বাদ দিতে পারিনি। আমার কাছে কিছু বেজোস আছে (প্রায় এটিকে আরও উপভোগ্য করে তুলবে) তবে আমার কাছে প্রায় এক গ্রাম পিএইচপি এবং ২ গ্রাম এপিআই আছে।")</f>
        <v>তাই আমি কয়েক সপ্তাহ আগে আলফা নিয়ে কাজ করার সিদ্ধান্ত নিলাম। এটা বেশ খারাপ ছিল, কিন্তু আমি আমার অবস্থানকে সঠিক পথে ফিরিয়ে আনতে সক্ষম হয়েছিলাম। দুই মাসের জন্য দ্রুত এগিয়ে যান, এবং আমি সিদ্ধান্ত নিলাম যে আমি আলফা চেষ্টা করে দেখব যে হাইপ আসলে কী। এখন আমি তৃতীয় দিনে যাচ্ছি এবং এটি পুরোপুরি বাদ দিতে পারিনি। আমার কাছে কিছু বেজোস আছে (প্রায় এটিকে আরও উপভোগ্য করে তুলবে) তবে আমার কাছে প্রায় এক গ্রাম পিএইচপি এবং ২ গ্রাম এপিআই আছে।</v>
      </c>
    </row>
    <row r="17" spans="1:3" ht="15.75" customHeight="1" x14ac:dyDescent="0.25">
      <c r="A17" s="3" t="s">
        <v>19</v>
      </c>
      <c r="B17" s="3" t="s">
        <v>4</v>
      </c>
      <c r="C17" s="4" t="str">
        <f ca="1">IFERROR(__xludf.DUMMYFUNCTION("GOOGLETRANSLATE(A17, ""auto"", ""bn"")"),"আমি একেবারেই পাগল। সমস্যা হলো আমি ভালো হতে চাই না, কারণ আমি নেটফ্লিক্সকে এত উপভোগ করি (খুব অপরাধবোধে ভরা।) নেটফ্লিক্সের অনুষ্ঠানের তুলনায় বাকি সবকিছুই খুব বিরক্তিকর মনে হয়। আমার জীবনের মূল ক্ষেত্রগুলো যেমন আমার ঘুম এবং কাজ এই তীব্র আসক্তির কারণে ভুগছে। আম"&amp;"ার মনে হয় আমি যেকোনো মাদকের চেয়ে নেটফ্লিক্সের প্রতি বেশি আসক্ত। আমি বারবার বসে বসে পরবর্তী পর্বে ক্লিক করি এবং ৬ ঘন্টা কেটে যায়। আর এর জন্য আমি নিজেকে ঘৃণা করি। প্রতি রাতে আমি বলি আমি থামব, প্রতিবার যখন আমি ঘর থেকে বের হই তখন বলি আমি থামব, এবং তারপর আব"&amp;"ার ঘরে ফিরে এসে অনুষ্ঠানটি দেখি।")</f>
        <v>আমি একেবারেই পাগল। সমস্যা হলো আমি ভালো হতে চাই না, কারণ আমি নেটফ্লিক্সকে এত উপভোগ করি (খুব অপরাধবোধে ভরা।) নেটফ্লিক্সের অনুষ্ঠানের তুলনায় বাকি সবকিছুই খুব বিরক্তিকর মনে হয়। আমার জীবনের মূল ক্ষেত্রগুলো যেমন আমার ঘুম এবং কাজ এই তীব্র আসক্তির কারণে ভুগছে। আমার মনে হয় আমি যেকোনো মাদকের চেয়ে নেটফ্লিক্সের প্রতি বেশি আসক্ত। আমি বারবার বসে বসে পরবর্তী পর্বে ক্লিক করি এবং ৬ ঘন্টা কেটে যায়। আর এর জন্য আমি নিজেকে ঘৃণা করি। প্রতি রাতে আমি বলি আমি থামব, প্রতিবার যখন আমি ঘর থেকে বের হই তখন বলি আমি থামব, এবং তারপর আবার ঘরে ফিরে এসে অনুষ্ঠানটি দেখি।</v>
      </c>
    </row>
    <row r="18" spans="1:3" ht="15.75" customHeight="1" x14ac:dyDescent="0.25">
      <c r="A18" s="3" t="s">
        <v>20</v>
      </c>
      <c r="B18" s="3" t="s">
        <v>4</v>
      </c>
      <c r="C18" s="4" t="str">
        <f ca="1">IFERROR(__xludf.DUMMYFUNCTION("GOOGLETRANSLATE(A18, ""auto"", ""bn"")"),"আমি বুঝতে পারিনি যে পুরুষদের সংখ্যা অন্যান্য ডাক্তার, ফার্মেসি এবং চিকিৎসকদের রোগ নির্ণয়ের অনুমতি দেয়। আমি একটি সেক্টরে কাজ করি এবং যদি এটি দেখা যায় তবে প্রাক-শারীরিক পরীক্ষায় আমাকে সম্পূর্ণরূপে যাচাই করা হবে অথবা চাকরি থেকে বঞ্চিত করা হবে। কারণ পুনর্"&amp;"বাসন আমাকে মগজধোলাই করেছিল যে আমি একজন আসক্ত এবং মদ্যপ (আমি NBA এর পরিবর্তে AA চালাতাম), আমি তাদের বলেছিলাম যে আমি একজন মদ্যপ, এবং তারা আমার মদ্যপানের ইতিহাস সম্পর্কে জিজ্ঞাসা না করা সত্ত্বেও এটি লিখে রেখেছিল। তারা কেবল আমার স্ব-রোগ নির্ণয়ের উপর নির্ভর ক"&amp;"রেছিল এবং আমি কতটা সময় ধরে ব্যবহার করেছি তা সম্পর্কে খুব বেশি জিজ্ঞাসা করেনি। আমি তাদের বলেছিলাম যে আমি অ্যাম্বিয়েন্ট এবং জ্যানাক্সে আসক্ত ছিলাম যা আসলে সত্য ছিল না। আমি তাদের উপর নির্ভরশীল ছিলাম, এবং কেবল তাদের অপব্যবহার করেছি অর্থাৎ যখন আমি পরিষ্কার হ"&amp;"ওয়ার চেষ্টা করি এবং ফেন্টানাইল ছেড়ে দেওয়ার জন্য আরামের ওষুধ হিসাবে ব্যবহার করি তখন সেগুলি নির্ধারিতভাবে গ্রহণ করিনি যা একটি ভিন্ন প্রাণী ছিল। আমি কখনও দায়িত্বজ্ঞানহীন মদ্যপানকারী বা ভারী মদ্যপানকারী ছিলাম না কারণ আমি হ্যাংওভার ঘৃণা করতাম এবং মনে করতাম"&amp;" এটি সামগ্রিকভাবে একটি খারাপ ড্রাগ। অনেকেই দ্বিমত পোষণ করতে পারেন কিন্তু আমার অতীতের মাদক জীবনবৃত্তান্ত হল আমি অক্সিকোডোন ছাড়া অন্য কোনও পদার্থের সাথে আসক্ত হই না। প্রায় এক বছর ধরে যখন আমি সুস্থ ছিলাম, তখন আমার ঘরে .৫ মিলিগ্রাম Xanax শুঁকে একটু রিল্যাপস "&amp;"পেয়েছিলাম, যা আমাকে ভুল করার জন্য নিজেকে ঘৃণা করতে বাধ্য করেছিল। বাস্তবে, আমার নিজের প্রতি এই অস্বাস্থ্যকর দৃষ্টিভঙ্গি এবং পুনর্বাসনের মাধ্যমে অসাধু ব্রেন ওয়াশিং আমাকে কোনও পদার্থ ব্যবহার করলে ব্যর্থ হতে বাধ্য করেছিল, আমার ধারণা এই কারণেই এটি এত লাভজনক "&amp;"ব্যবসা। একটি মর্মান্তিক গাড়ি দুর্ঘটনার পর আমি কখনও ডাক্তারের কাছ থেকে আফিম পাননি এবং স্ব-ওষুধ সেবন করিনি। আমাকে অ্যাম্বিয়েন্ট এবং জ্যানাক্স দেওয়া হয়েছিল যা আমি প্রায় দুই বছর ধরে দায়িত্বের সাথে ব্যবহার করেছি এবং কোনও সমস্যা ছাড়াই কমিয়ে দেওয়া হয়েছ"&amp;"িল। আফিম খেলে এবং পলি পদার্থের উপর নির্ভরতা তৈরি হওয়ার পরে এটি একটি সমস্যা হয়ে ওঠে, এবং আমি সেই ওষুধগুলিকে অপব্যবহার করে এবং নির্ভরশীল হয়ে পড়ে আমার আফিম WD-এর সাথে লড়াই করছিলাম কিন্তু যদি তা যুক্তিসঙ্গত হয় তবে আসক্ত নই। আমি সত্যিই বিশ্বাস করি যে শুধ"&amp;"ুমাত্র অক্সিকোডোনই আমার আসক্তি। আইডি আমার মেডিকেল রেকর্ডে ""সিডেটিভ ইউজ ডিসঅর্ডার"", ""হিপনোটিক ড্রাগ ইউজ ডিসঅর্ডার"" এবং ""ওষুধ ব্যবহারের ব্যাধি"" থাকার কলঙ্ক, ব্যথা এবং ভবিষ্যতে ব্যাখ্যাগুলি মোকাবেলা করতে পছন্দ করে না। এটি আমাকে প্রাক-কর্মসংস্থান শারীরি"&amp;"ক পরীক্ষার জন্য ব্যর্থতার জন্য প্রস্তুত করে, অথবা এমন পরিস্থিতির জন্য যেখানে আমার কর্মক্ষেত্রে দুর্ঘটনা ঘটে, এবং তারা আমার রেকর্ডে অ্যাক্সেস পেতে পারে কারণ আমি এই সেক্টরে কাজ করি। আমি যে তথ্য প্রকাশ করেছি তা কি মুছে ফেলা সম্ভব? আমার পুনর্বাসনে ১০০% সত্য ব"&amp;"লা হয়েছিল যে আমি কেবল একজন আফিম আসক্ত হিসাবে নির্ণয় করা হয়েছিল, আমি যেভাবে আবিষ্কার করেছি সেভাবে পলি পদার্থের আসক্ত নই। আমি বুঝতে পারিনি যে ডাক্তাররা আসক্তি সম্পর্কে এত ভুল শিক্ষা দিয়েছেন এবং তাদের বলেছিলেন যে আমি মদ্যপানে ভুগছি, এবং তারা আমার রেকর্ডে"&amp;"ও এটি তালিকাভুক্ত করেছেন যখন আমি সর্বদা একজন দায়িত্বশীল মদ্যপায়ী ছিলাম। তাদের কি আমার প্রকাশ করা তথ্য মুছে ফেলার বা রোগ নির্ণয় মুছে ফেলার কোনও উপায় আছে? আমি আফিমের প্রতি অ্যালার্জি হারাতে চাই, তাহলে ডাক্তারদের সাথে দেখা করা কতটা বিরক্তিকর হতে পারে তার"&amp;" জন্য আমার রেকর্ডে এই রোগ নির্ণয় থাকা উচিত।")</f>
        <v>আমি বুঝতে পারিনি যে পুরুষদের সংখ্যা অন্যান্য ডাক্তার, ফার্মেসি এবং চিকিৎসকদের রোগ নির্ণয়ের অনুমতি দেয়। আমি একটি সেক্টরে কাজ করি এবং যদি এটি দেখা যায় তবে প্রাক-শারীরিক পরীক্ষায় আমাকে সম্পূর্ণরূপে যাচাই করা হবে অথবা চাকরি থেকে বঞ্চিত করা হবে। কারণ পুনর্বাসন আমাকে মগজধোলাই করেছিল যে আমি একজন আসক্ত এবং মদ্যপ (আমি NBA এর পরিবর্তে AA চালাতাম), আমি তাদের বলেছিলাম যে আমি একজন মদ্যপ, এবং তারা আমার মদ্যপানের ইতিহাস সম্পর্কে জিজ্ঞাসা না করা সত্ত্বেও এটি লিখে রেখেছিল। তারা কেবল আমার স্ব-রোগ নির্ণয়ের উপর নির্ভর করেছিল এবং আমি কতটা সময় ধরে ব্যবহার করেছি তা সম্পর্কে খুব বেশি জিজ্ঞাসা করেনি। আমি তাদের বলেছিলাম যে আমি অ্যাম্বিয়েন্ট এবং জ্যানাক্সে আসক্ত ছিলাম যা আসলে সত্য ছিল না। আমি তাদের উপর নির্ভরশীল ছিলাম, এবং কেবল তাদের অপব্যবহার করেছি অর্থাৎ যখন আমি পরিষ্কার হওয়ার চেষ্টা করি এবং ফেন্টানাইল ছেড়ে দেওয়ার জন্য আরামের ওষুধ হিসাবে ব্যবহার করি তখন সেগুলি নির্ধারিতভাবে গ্রহণ করিনি যা একটি ভিন্ন প্রাণী ছিল। আমি কখনও দায়িত্বজ্ঞানহীন মদ্যপানকারী বা ভারী মদ্যপানকারী ছিলাম না কারণ আমি হ্যাংওভার ঘৃণা করতাম এবং মনে করতাম এটি সামগ্রিকভাবে একটি খারাপ ড্রাগ। অনেকেই দ্বিমত পোষণ করতে পারেন কিন্তু আমার অতীতের মাদক জীবনবৃত্তান্ত হল আমি অক্সিকোডোন ছাড়া অন্য কোনও পদার্থের সাথে আসক্ত হই না। প্রায় এক বছর ধরে যখন আমি সুস্থ ছিলাম, তখন আমার ঘরে .৫ মিলিগ্রাম Xanax শুঁকে একটু রিল্যাপস পেয়েছিলাম, যা আমাকে ভুল করার জন্য নিজেকে ঘৃণা করতে বাধ্য করেছিল। বাস্তবে, আমার নিজের প্রতি এই অস্বাস্থ্যকর দৃষ্টিভঙ্গি এবং পুনর্বাসনের মাধ্যমে অসাধু ব্রেন ওয়াশিং আমাকে কোনও পদার্থ ব্যবহার করলে ব্যর্থ হতে বাধ্য করেছিল, আমার ধারণা এই কারণেই এটি এত লাভজনক ব্যবসা। একটি মর্মান্তিক গাড়ি দুর্ঘটনার পর আমি কখনও ডাক্তারের কাছ থেকে আফিম পাননি এবং স্ব-ওষুধ সেবন করিনি। আমাকে অ্যাম্বিয়েন্ট এবং জ্যানাক্স দেওয়া হয়েছিল যা আমি প্রায় দুই বছর ধরে দায়িত্বের সাথে ব্যবহার করেছি এবং কোনও সমস্যা ছাড়াই কমিয়ে দেওয়া হয়েছিল। আফিম খেলে এবং পলি পদার্থের উপর নির্ভরতা তৈরি হওয়ার পরে এটি একটি সমস্যা হয়ে ওঠে, এবং আমি সেই ওষুধগুলিকে অপব্যবহার করে এবং নির্ভরশীল হয়ে পড়ে আমার আফিম WD-এর সাথে লড়াই করছিলাম কিন্তু যদি তা যুক্তিসঙ্গত হয় তবে আসক্ত নই। আমি সত্যিই বিশ্বাস করি যে শুধুমাত্র অক্সিকোডোনই আমার আসক্তি। আইডি আমার মেডিকেল রেকর্ডে "সিডেটিভ ইউজ ডিসঅর্ডার", "হিপনোটিক ড্রাগ ইউজ ডিসঅর্ডার" এবং "ওষুধ ব্যবহারের ব্যাধি" থাকার কলঙ্ক, ব্যথা এবং ভবিষ্যতে ব্যাখ্যাগুলি মোকাবেলা করতে পছন্দ করে না। এটি আমাকে প্রাক-কর্মসংস্থান শারীরিক পরীক্ষার জন্য ব্যর্থতার জন্য প্রস্তুত করে, অথবা এমন পরিস্থিতির জন্য যেখানে আমার কর্মক্ষেত্রে দুর্ঘটনা ঘটে, এবং তারা আমার রেকর্ডে অ্যাক্সেস পেতে পারে কারণ আমি এই সেক্টরে কাজ করি। আমি যে তথ্য প্রকাশ করেছি তা কি মুছে ফেলা সম্ভব? আমার পুনর্বাসনে ১০০% সত্য বলা হয়েছিল যে আমি কেবল একজন আফিম আসক্ত হিসাবে নির্ণয় করা হয়েছিল, আমি যেভাবে আবিষ্কার করেছি সেভাবে পলি পদার্থের আসক্ত নই। আমি বুঝতে পারিনি যে ডাক্তাররা আসক্তি সম্পর্কে এত ভুল শিক্ষা দিয়েছেন এবং তাদের বলেছিলেন যে আমি মদ্যপানে ভুগছি, এবং তারা আমার রেকর্ডেও এটি তালিকাভুক্ত করেছেন যখন আমি সর্বদা একজন দায়িত্বশীল মদ্যপায়ী ছিলাম। তাদের কি আমার প্রকাশ করা তথ্য মুছে ফেলার বা রোগ নির্ণয় মুছে ফেলার কোনও উপায় আছে? আমি আফিমের প্রতি অ্যালার্জি হারাতে চাই, তাহলে ডাক্তারদের সাথে দেখা করা কতটা বিরক্তিকর হতে পারে তার জন্য আমার রেকর্ডে এই রোগ নির্ণয় থাকা উচিত।</v>
      </c>
    </row>
    <row r="19" spans="1:3" ht="15.75" customHeight="1" x14ac:dyDescent="0.25">
      <c r="A19" s="3" t="s">
        <v>21</v>
      </c>
      <c r="B19" s="3" t="s">
        <v>4</v>
      </c>
      <c r="C19" s="4" t="str">
        <f ca="1">IFERROR(__xludf.DUMMYFUNCTION("GOOGLETRANSLATE(A19, ""auto"", ""bn"")"),"প্রায় দুই বছর আগে যখন আমি FedEx গ্রাউন্ডে নাইট শিফটে কাজ করতাম, তখন আমার Monster এবং Nos-এর প্রতি আসক্তি তৈরি হয় কারণ এতে আমি জেগে থাকতাম এবং সবসময় অনেক কিছু বোঝাই করার ক্ষমতা থাকত। এক বছর পর আমি সেখানে কাজ ছেড়ে দিয়েছিলাম, কিন্তু দিনে ২-৩ ক্যান পান করে চ"&amp;"লেছি, মাঝে মাঝে ৪ ক্যান যখন আমি বিষণ্ণ থাকি। যতবারই আমি ছাড়ার চেষ্টা করি, আমার মাথাব্যথা তীব্র হয় এবং পেটে একটা অস্বস্তিকর অনুভূতি হয় যা আবার পান করা শুরু করলে দ্রুত চলে যায়। আমি কমানোর চেষ্টা করেছি কিন্তু যখন আমি একটি পান করি তখন আরেকটির জন্য তীব্র আ"&amp;"কাঙ্ক্ষা তৈরি হয় এবং চক্র চলতে থাকে। আমি আমার স্বাস্থ্যের অবনতি অনুভব করতে পারি এবং আমার দাঁত প্রতিদিন দুর্বল থেকে দুর্বলতর বোধ করতে থাকে। ভাবছিলাম যে কারো কি এর অভিজ্ঞতা আছে এবং তারা কি এমন একটি অ-সাধারণ সমাধান দিতে পারে যা আসলে কাজ করে।")</f>
        <v>প্রায় দুই বছর আগে যখন আমি FedEx গ্রাউন্ডে নাইট শিফটে কাজ করতাম, তখন আমার Monster এবং Nos-এর প্রতি আসক্তি তৈরি হয় কারণ এতে আমি জেগে থাকতাম এবং সবসময় অনেক কিছু বোঝাই করার ক্ষমতা থাকত। এক বছর পর আমি সেখানে কাজ ছেড়ে দিয়েছিলাম, কিন্তু দিনে ২-৩ ক্যান পান করে চলেছি, মাঝে মাঝে ৪ ক্যান যখন আমি বিষণ্ণ থাকি। যতবারই আমি ছাড়ার চেষ্টা করি, আমার মাথাব্যথা তীব্র হয় এবং পেটে একটা অস্বস্তিকর অনুভূতি হয় যা আবার পান করা শুরু করলে দ্রুত চলে যায়। আমি কমানোর চেষ্টা করেছি কিন্তু যখন আমি একটি পান করি তখন আরেকটির জন্য তীব্র আকাঙ্ক্ষা তৈরি হয় এবং চক্র চলতে থাকে। আমি আমার স্বাস্থ্যের অবনতি অনুভব করতে পারি এবং আমার দাঁত প্রতিদিন দুর্বল থেকে দুর্বলতর বোধ করতে থাকে। ভাবছিলাম যে কারো কি এর অভিজ্ঞতা আছে এবং তারা কি এমন একটি অ-সাধারণ সমাধান দিতে পারে যা আসলে কাজ করে।</v>
      </c>
    </row>
    <row r="20" spans="1:3" ht="15.75" customHeight="1" x14ac:dyDescent="0.25">
      <c r="A20" s="3" t="s">
        <v>22</v>
      </c>
      <c r="B20" s="3" t="s">
        <v>4</v>
      </c>
      <c r="C20" s="4" t="str">
        <f ca="1">IFERROR(__xludf.DUMMYFUNCTION("GOOGLETRANSLATE(A20, ""auto"", ""bn"")"),"আমি একটি তীব্র মাদকদ্রব্যের ডিটক্স ইউনিটের একজন আরএন এবং আমি কি অন্যদের কাছ থেকে মতামত চাইছি যারা আগে ইনপেশেন্টদের ডিটক্স করেছেন? একজন ভালো ডিটক্স নার্স হিসেবে আপনার কী যোগ্যতা থাকবে? তাদের কী কী গুণাবলী থাকতে হবে? একজন নার্স হিসেবে আমি আপনাকে আরও আরামদায"&amp;"়ক করার জন্য কী করতে পারি? আমি আমার রোগীদের তাদের ডাউনটাইমে কী করতে পারি তাও ভাবার চেষ্টা করছি, যখন গ্রুপগুলি কোনও কাজ করছে না। তাই এই পরামর্শগুলিও গ্রহণ করুন। আমি আমার রোগীদের ভালোবাসি এবং তাদের সকলকে সফল হতে চাই এবং তাদের জন্য ১০০০% উপস্থিত থাকতে চাই।")</f>
        <v>আমি একটি তীব্র মাদকদ্রব্যের ডিটক্স ইউনিটের একজন আরএন এবং আমি কি অন্যদের কাছ থেকে মতামত চাইছি যারা আগে ইনপেশেন্টদের ডিটক্স করেছেন? একজন ভালো ডিটক্স নার্স হিসেবে আপনার কী যোগ্যতা থাকবে? তাদের কী কী গুণাবলী থাকতে হবে? একজন নার্স হিসেবে আমি আপনাকে আরও আরামদায়ক করার জন্য কী করতে পারি? আমি আমার রোগীদের তাদের ডাউনটাইমে কী করতে পারি তাও ভাবার চেষ্টা করছি, যখন গ্রুপগুলি কোনও কাজ করছে না। তাই এই পরামর্শগুলিও গ্রহণ করুন। আমি আমার রোগীদের ভালোবাসি এবং তাদের সকলকে সফল হতে চাই এবং তাদের জন্য ১০০০% উপস্থিত থাকতে চাই।</v>
      </c>
    </row>
    <row r="21" spans="1:3" ht="15.75" customHeight="1" x14ac:dyDescent="0.25">
      <c r="A21" s="3" t="s">
        <v>23</v>
      </c>
      <c r="B21" s="3" t="s">
        <v>4</v>
      </c>
      <c r="C21" s="4" t="str">
        <f ca="1">IFERROR(__xludf.DUMMYFUNCTION("GOOGLETRANSLATE(A21, ""auto"", ""bn"")"),"বয়স ৩৯ বছর, ২৪ বছর ধূমপায়ী। আমি মাসের পর মাস এবং বছর ধরে ধূমপান ত্যাগ করেছি। মদ্যপান এবং সিগারেটের মধ্যে আমার সবসময়ই একটা বিরাট সম্পর্ক ছিল। ধূমপানের প্রতি আমার ঝোঁক সবসময় তখনই কমে যখন আমি মাতাল হই, কারণ ক) মদের সাথে মানসিক সম্পর্ক কেবল তৃষ্ণাকে বাড়ি"&amp;"য়ে তোলে খ) মদ্যপানের কারণে আত্ম-শৃঙ্খলার প্রাচীর দুর্বল হয়ে পড়ে এবং গ) আমি ধূমপায়ীদের দ্বারা বেষ্টিত যারা আমাকে একটি পানীয় অফার করছে। আমি ৬ সপ্তাহ ধরে কোনও পানীয় বা ৫ দিন ধরে কোনও নিকোটিন পান করিনি, তবে আমি এই সপ্তাহান্তে একটি অনুষ্ঠানে যাচ্ছি। আমি "&amp;"নিজেকে পুরোপুরি মাতাল হতে এবং আবার ধূমপান করতে দেখতে পাচ্ছি। কোন সহায়ক কৌশল?")</f>
        <v>বয়স ৩৯ বছর, ২৪ বছর ধূমপায়ী। আমি মাসের পর মাস এবং বছর ধরে ধূমপান ত্যাগ করেছি। মদ্যপান এবং সিগারেটের মধ্যে আমার সবসময়ই একটা বিরাট সম্পর্ক ছিল। ধূমপানের প্রতি আমার ঝোঁক সবসময় তখনই কমে যখন আমি মাতাল হই, কারণ ক) মদের সাথে মানসিক সম্পর্ক কেবল তৃষ্ণাকে বাড়িয়ে তোলে খ) মদ্যপানের কারণে আত্ম-শৃঙ্খলার প্রাচীর দুর্বল হয়ে পড়ে এবং গ) আমি ধূমপায়ীদের দ্বারা বেষ্টিত যারা আমাকে একটি পানীয় অফার করছে। আমি ৬ সপ্তাহ ধরে কোনও পানীয় বা ৫ দিন ধরে কোনও নিকোটিন পান করিনি, তবে আমি এই সপ্তাহান্তে একটি অনুষ্ঠানে যাচ্ছি। আমি নিজেকে পুরোপুরি মাতাল হতে এবং আবার ধূমপান করতে দেখতে পাচ্ছি। কোন সহায়ক কৌশল?</v>
      </c>
    </row>
    <row r="22" spans="1:3" ht="15.75" customHeight="1" x14ac:dyDescent="0.25">
      <c r="A22" s="3" t="s">
        <v>24</v>
      </c>
      <c r="B22" s="3" t="s">
        <v>4</v>
      </c>
      <c r="C22" s="4" t="str">
        <f ca="1">IFERROR(__xludf.DUMMYFUNCTION("GOOGLETRANSLATE(A22, ""auto"", ""bn"")"),"শুরু করার আগে আমি শুধু বলতে চাই যে বারো-পদক্ষেপের প্রোগ্রাম, AA, বা বিরত থাকার সিদ্ধান্ত নেওয়ার ক্ষেত্রে কোনও আপত্তি নেই। আমার মনে হয় আমার মতো যারা AUD রোগে আক্রান্ত তাদের জন্য সংযম সম্ভব। আমি সবকিছু চেষ্টা করেছিলাম এবং এর কোনওটিই কাজ করেনি। তদুপরি, আমা"&amp;"র মনে হয় আমার বাকি জীবনের জন্য সম্পূর্ণ বিরত থাকার আদর্শ এবং প্রথম দিন থেকে শুরু করে আমাকে চাপ দিয়েছে। তাছাড়া, আমি সপ্তাহে একবার বা প্রতি দুই সপ্তাহে সফলভাবে পান করতে পেরেছি এবং পান করব। হ্যাঁ, আমি যখন বিঞ্জ-ড্রিংক করি তখন আমি নালট্রেক্সোন চেষ্টা করার ক"&amp;"থা ভাবছিলাম। আমি এক বছর ধরে এটি করছি, এবং এটি আমাকে শান্ত থাকতে সাহায্য করে। যদিও আমি এটি সম্পর্কে অপরাধবোধ অনুভব করতে করতে ক্লান্ত কারণ আমি সমবয়সীদের দ্বারা বিচারিত হতে চাই না। এই সংযম কি দীর্ঘ সময় ধরে কারও জন্য কাজ করেছে? দয়া করে আপনার অভিজ্ঞতা বলুন।")</f>
        <v>শুরু করার আগে আমি শুধু বলতে চাই যে বারো-পদক্ষেপের প্রোগ্রাম, AA, বা বিরত থাকার সিদ্ধান্ত নেওয়ার ক্ষেত্রে কোনও আপত্তি নেই। আমার মনে হয় আমার মতো যারা AUD রোগে আক্রান্ত তাদের জন্য সংযম সম্ভব। আমি সবকিছু চেষ্টা করেছিলাম এবং এর কোনওটিই কাজ করেনি। তদুপরি, আমার মনে হয় আমার বাকি জীবনের জন্য সম্পূর্ণ বিরত থাকার আদর্শ এবং প্রথম দিন থেকে শুরু করে আমাকে চাপ দিয়েছে। তাছাড়া, আমি সপ্তাহে একবার বা প্রতি দুই সপ্তাহে সফলভাবে পান করতে পেরেছি এবং পান করব। হ্যাঁ, আমি যখন বিঞ্জ-ড্রিংক করি তখন আমি নালট্রেক্সোন চেষ্টা করার কথা ভাবছিলাম। আমি এক বছর ধরে এটি করছি, এবং এটি আমাকে শান্ত থাকতে সাহায্য করে। যদিও আমি এটি সম্পর্কে অপরাধবোধ অনুভব করতে করতে ক্লান্ত কারণ আমি সমবয়সীদের দ্বারা বিচারিত হতে চাই না। এই সংযম কি দীর্ঘ সময় ধরে কারও জন্য কাজ করেছে? দয়া করে আপনার অভিজ্ঞতা বলুন।</v>
      </c>
    </row>
    <row r="23" spans="1:3" ht="15.75" customHeight="1" x14ac:dyDescent="0.25">
      <c r="A23" s="3" t="s">
        <v>25</v>
      </c>
      <c r="B23" s="3" t="s">
        <v>4</v>
      </c>
      <c r="C23" s="4" t="str">
        <f ca="1">IFERROR(__xludf.DUMMYFUNCTION("GOOGLETRANSLATE(A23, ""auto"", ""bn"")"),"৫ মাসের জন্য পুনর্বাসনে ভর্তি হয়েছি, যারা এই পথে সফলভাবে গেছেন এবং সুস্থভাবে সেরে উঠছেন তাদের দুজনকে পরামর্শ এবং পরামর্শের জন্য ডাকছি। আমি ক্রস-আসক্ত। অ্যালকোহল/মাদক (হেরোইন) গত বছর আমি প্রথমবারের মতো ২৮ দিনের একটি প্রোগ্রাম করেছি, এবং এটি ভালোভাবে সম্পন্"&amp;"ন হয়েছে, পরে সেরে ওঠা খুব একটা ভালো হয়নি। ৫ মাস এবং তার পরের সেরে ওঠার জন্য যেকোনো টিপস খুবই প্রশংসিত হবে।")</f>
        <v>৫ মাসের জন্য পুনর্বাসনে ভর্তি হয়েছি, যারা এই পথে সফলভাবে গেছেন এবং সুস্থভাবে সেরে উঠছেন তাদের দুজনকে পরামর্শ এবং পরামর্শের জন্য ডাকছি। আমি ক্রস-আসক্ত। অ্যালকোহল/মাদক (হেরোইন) গত বছর আমি প্রথমবারের মতো ২৮ দিনের একটি প্রোগ্রাম করেছি, এবং এটি ভালোভাবে সম্পন্ন হয়েছে, পরে সেরে ওঠা খুব একটা ভালো হয়নি। ৫ মাস এবং তার পরের সেরে ওঠার জন্য যেকোনো টিপস খুবই প্রশংসিত হবে।</v>
      </c>
    </row>
    <row r="24" spans="1:3" ht="15.75" customHeight="1" x14ac:dyDescent="0.25">
      <c r="A24" s="3" t="s">
        <v>26</v>
      </c>
      <c r="B24" s="3" t="s">
        <v>4</v>
      </c>
      <c r="C24" s="4" t="str">
        <f ca="1">IFERROR(__xludf.DUMMYFUNCTION("GOOGLETRANSLATE(A24, ""auto"", ""bn"")"),"মনে হচ্ছে আমি সবকিছুতেই আসক্ত। যেমন আমি নতুন অভ্যাসের সাথে অভ্যাস বদল করি অথবা নতুন অভ্যাস বের হয়ে গেলে আমি পুরনো অভ্যাসে ফিরে যাই। আমি এমন মহিলাদের সাথে ডেট করি যারা আমার সাথে খারাপ আচরণ করে। যখন এটি অবশেষে আমাকে ভেঙে দেয়, তখন আমি মাদকের সাথে বিনিময় ক"&amp;"রি। যখন আমি মাদক ছেড়ে দিই, তখন আমি খাবারের দিকে ঝুঁকে পড়ি, তারপর আবার সম্পর্কের দিকে, তারপর মদের দিকে। কখনও কখনও আসক্তিগুলি ওভারল্যাপ করে। কিন্তু IDK কোথায় যাব। এখানে আসক্তি পরামর্শ একটি রসিকতা। কোনও সহকর্মী সহায়তা পরামর্শ গোষ্ঠী নেই। আমি একজন সুবিধাব"&amp;"াদী আসক্ত।")</f>
        <v>মনে হচ্ছে আমি সবকিছুতেই আসক্ত। যেমন আমি নতুন অভ্যাসের সাথে অভ্যাস বদল করি অথবা নতুন অভ্যাস বের হয়ে গেলে আমি পুরনো অভ্যাসে ফিরে যাই। আমি এমন মহিলাদের সাথে ডেট করি যারা আমার সাথে খারাপ আচরণ করে। যখন এটি অবশেষে আমাকে ভেঙে দেয়, তখন আমি মাদকের সাথে বিনিময় করি। যখন আমি মাদক ছেড়ে দিই, তখন আমি খাবারের দিকে ঝুঁকে পড়ি, তারপর আবার সম্পর্কের দিকে, তারপর মদের দিকে। কখনও কখনও আসক্তিগুলি ওভারল্যাপ করে। কিন্তু IDK কোথায় যাব। এখানে আসক্তি পরামর্শ একটি রসিকতা। কোনও সহকর্মী সহায়তা পরামর্শ গোষ্ঠী নেই। আমি একজন সুবিধাবাদী আসক্ত।</v>
      </c>
    </row>
    <row r="25" spans="1:3" ht="15.75" customHeight="1" x14ac:dyDescent="0.25">
      <c r="A25" s="3" t="s">
        <v>27</v>
      </c>
      <c r="B25" s="3" t="s">
        <v>4</v>
      </c>
      <c r="C25" s="4" t="str">
        <f ca="1">IFERROR(__xludf.DUMMYFUNCTION("GOOGLETRANSLATE(A25, ""auto"", ""bn"")"),"ধূমপান ত্যাগ করার চেষ্টা করছেন কিন্তু নিকোটিন সহায়ক যেমন প্যাচ, গাম, লজেঞ্জ, বা অন্য কিছু ব্যবহার করছেন এমন ব্যক্তির জন্য কি এমন কোনও পরীক্ষা আছে যা ব্যবহার করা যেতে পারে? তাই আমি কল্পনা করতে পারি যে এটি নিকোটিন ছাড়া অন্য কিছুর জন্য পরীক্ষা করা হবে কারণ"&amp;" এটি তামাকের ধোঁয়া থেকে সহায়কগুলিকে আলাদা করার প্রয়োজন হবে। আমি অনুসন্ধান করার চেষ্টা করেছি এবং কিছুই খুঁজে পাইনি....আশা করি কারও অভিজ্ঞতা আছে এবং তিনি আমাকে দ্রুত এবং সুনির্দিষ্ট উত্তর দিতে পারবেন।")</f>
        <v>ধূমপান ত্যাগ করার চেষ্টা করছেন কিন্তু নিকোটিন সহায়ক যেমন প্যাচ, গাম, লজেঞ্জ, বা অন্য কিছু ব্যবহার করছেন এমন ব্যক্তির জন্য কি এমন কোনও পরীক্ষা আছে যা ব্যবহার করা যেতে পারে? তাই আমি কল্পনা করতে পারি যে এটি নিকোটিন ছাড়া অন্য কিছুর জন্য পরীক্ষা করা হবে কারণ এটি তামাকের ধোঁয়া থেকে সহায়কগুলিকে আলাদা করার প্রয়োজন হবে। আমি অনুসন্ধান করার চেষ্টা করেছি এবং কিছুই খুঁজে পাইনি....আশা করি কারও অভিজ্ঞতা আছে এবং তিনি আমাকে দ্রুত এবং সুনির্দিষ্ট উত্তর দিতে পারবেন।</v>
      </c>
    </row>
    <row r="26" spans="1:3" ht="15.75" customHeight="1" x14ac:dyDescent="0.25">
      <c r="A26" s="3" t="s">
        <v>28</v>
      </c>
      <c r="B26" s="3" t="s">
        <v>4</v>
      </c>
      <c r="C26" s="4" t="str">
        <f ca="1">IFERROR(__xludf.DUMMYFUNCTION("GOOGLETRANSLATE(A26, ""auto"", ""bn"")"),"আমার বয়স ২৩। বহু বছর ধরে আমি যৌন নির্যাতন এবং প্রতারণার মুখোমুখি হয়েছি। তাছাড়া, আমি আসলে এইসব থেকে মুক্তি পেতে কোনও পদার্থের উপর নির্ভর করিনি। তাছাড়া, আমি আত্মহত্যা করার চেষ্টা করেছিলাম এবং যখন আমার সম্পর্কে জানা গেল, তখন আমার বাবা-মা আমাকে থেরাপি নিতে "&amp;"সাহায্য করেছিলেন। আবিষ্কার করলাম আমার ক্লিনিক্যাল ডিপ্রেশন, উদ্বেগ এবং ওসিডি আছে। যৌন নির্যাতনের সাথে আমার প্রথম অভিজ্ঞতা ছিল আমার সমস্ত সীমানা রেখার মানসিক সমস্যাগুলিকে পূর্ণ মাত্রায় ফিরিয়ে আনার জন্য ট্রিগার। এই সব ঘটেছিল যখন আমি ১৪ বছর বয়সে, এবং আমি "&amp;"১৯ বছর বয়সে কিছুটা সুস্থ হতে শুরু করেছিলাম। আমি প্রথমে সিগারেট খেতাম। কিন্তু তারপর ২২ বছর বয়সে আমি স্নাতকোত্তরে যাই এবং সেখান থেকে পরিস্থিতি খারাপ হয়ে যায়। আমার সমস্ত সমস্যা আবার ফিরে আসে এবং ১০ গুণ খারাপ হয়ে যায়। থেরাপি সাহায্য করছে বলে মনে হচ্ছে ন"&amp;"া কারণ আমার পুরনো থেরাপিস্ট বিদেশে চলে এসেছিলেন এবং আমার অন্য কোনও থেরাপিস্ট খুঁজে বের করার শক্তি ছিল না। এমনকি তিনি যেগুলি সুপারিশ করেছিলেন সেগুলিও যথেষ্ট ভাল ছিল না। তাই আমি গাঁজা, হ্যাশ এবং অ্যালকোহল শুরু করেছি। এখন প্রায় ৭-৮ মাস হয়ে গেছে, কিন্তু আমি"&amp;" এই তিনটির মধ্যে অন্তত একটি ছাড়া শক্তি খুঁজে পাচ্ছি না। আমার জাগ্রত সময় কাটাতে এবং ঘুম পাড়ানোর জন্য আমাকে মাতাল অথবা অতিরিক্ত মদ্যপান করতে হয়। আমিও অতিরিক্ত ধূমপান করি। প্রতিদিন এক প্যাকেট। এটা একটা সূচনার মতো মনে হয় এবং আমি এটা ঘৃণা করি। কিন্তু প্রতিদি"&amp;"ন নিজেকে কীভাবে সামলাবো তাও জানি না। আমি একেবারেই বিভ্রান্ত এবং ক্লান্ত। গাঁজা এবং অ্যালকোহলই আমার একমাত্র সান্ত্বনা।")</f>
        <v>আমার বয়স ২৩। বহু বছর ধরে আমি যৌন নির্যাতন এবং প্রতারণার মুখোমুখি হয়েছি। তাছাড়া, আমি আসলে এইসব থেকে মুক্তি পেতে কোনও পদার্থের উপর নির্ভর করিনি। তাছাড়া, আমি আত্মহত্যা করার চেষ্টা করেছিলাম এবং যখন আমার সম্পর্কে জানা গেল, তখন আমার বাবা-মা আমাকে থেরাপি নিতে সাহায্য করেছিলেন। আবিষ্কার করলাম আমার ক্লিনিক্যাল ডিপ্রেশন, উদ্বেগ এবং ওসিডি আছে। যৌন নির্যাতনের সাথে আমার প্রথম অভিজ্ঞতা ছিল আমার সমস্ত সীমানা রেখার মানসিক সমস্যাগুলিকে পূর্ণ মাত্রায় ফিরিয়ে আনার জন্য ট্রিগার। এই সব ঘটেছিল যখন আমি ১৪ বছর বয়সে, এবং আমি ১৯ বছর বয়সে কিছুটা সুস্থ হতে শুরু করেছিলাম। আমি প্রথমে সিগারেট খেতাম। কিন্তু তারপর ২২ বছর বয়সে আমি স্নাতকোত্তরে যাই এবং সেখান থেকে পরিস্থিতি খারাপ হয়ে যায়। আমার সমস্ত সমস্যা আবার ফিরে আসে এবং ১০ গুণ খারাপ হয়ে যায়। থেরাপি সাহায্য করছে বলে মনে হচ্ছে না কারণ আমার পুরনো থেরাপিস্ট বিদেশে চলে এসেছিলেন এবং আমার অন্য কোনও থেরাপিস্ট খুঁজে বের করার শক্তি ছিল না। এমনকি তিনি যেগুলি সুপারিশ করেছিলেন সেগুলিও যথেষ্ট ভাল ছিল না। তাই আমি গাঁজা, হ্যাশ এবং অ্যালকোহল শুরু করেছি। এখন প্রায় ৭-৮ মাস হয়ে গেছে, কিন্তু আমি এই তিনটির মধ্যে অন্তত একটি ছাড়া শক্তি খুঁজে পাচ্ছি না। আমার জাগ্রত সময় কাটাতে এবং ঘুম পাড়ানোর জন্য আমাকে মাতাল অথবা অতিরিক্ত মদ্যপান করতে হয়। আমিও অতিরিক্ত ধূমপান করি। প্রতিদিন এক প্যাকেট। এটা একটা সূচনার মতো মনে হয় এবং আমি এটা ঘৃণা করি। কিন্তু প্রতিদিন নিজেকে কীভাবে সামলাবো তাও জানি না। আমি একেবারেই বিভ্রান্ত এবং ক্লান্ত। গাঁজা এবং অ্যালকোহলই আমার একমাত্র সান্ত্বনা।</v>
      </c>
    </row>
    <row r="27" spans="1:3" ht="15.75" customHeight="1" x14ac:dyDescent="0.25">
      <c r="A27" s="3" t="s">
        <v>29</v>
      </c>
      <c r="B27" s="3" t="s">
        <v>4</v>
      </c>
      <c r="C27" s="4" t="str">
        <f ca="1">IFERROR(__xludf.DUMMYFUNCTION("GOOGLETRANSLATE(A27, ""auto"", ""bn"")"),"আমার কথা শোনো, এটা একটু পাগলাটে। তাই প্রতি রাতে, আমার প্রেমিক কাজে যাওয়ার ঠিক পরেই, আমি আমার লাইট বন্ধ করে দেই (রাত ১টার দিকে, প্রেমিক তৃতীয় শিফটে কাজ করে), আমি করিডোরে কয়েকজন লোকের দৌড়াদৌড়ি শুনতে পাই। কিছুক্ষণ পরেই, আমার বাড়ির দরজা, শোবার ঘরের দরজা"&amp;" এবং বসার ঘরে একটা ভয়ানক বমি বমি ভাবের গন্ধ আসতে থাকে। রাতে আমার ঘুম ভাঙতে থাকে। সকাল ৮:৩০ টার ঠিক আগে যখন প্রেমিক বাড়ি ফিরে আসে এবং বাড়িওয়ালা সাধারণত তার অফিসে আসে, তখন গন্ধ একেবারে চলে যায়। বেশ কয়েক মাস ধরে এটা চলছে। বাড়িওয়ালাকে বললাম, সে সকালে "&amp;"এখানে এসে আমাকে বললো কোন ধরণের গন্ধ নেই, এটা খাবারের হতে পারে। আমি খুব চেষ্টা করছিলাম ওরা কারা তা দেখার জন্য, কিন্তু এটা অর্থহীন। কোন কথা বলছি না, একটাও উঁকি দিচ্ছি না। মাঝে মাঝে এক ঘন্টা ধরে দরজার পাশে দাঁড়িয়ে থাকি শুধু দেখার জন্য যে ওরা কারা এবং কোথা "&amp;"থেকে আসছে, আমি যখন বাথরুমে পা রাখি, তখনই আমি ওদের দৌড়াদৌড়ি শুনতে পাই। বাড়িওয়ালা আমাকে বলেছে পুলিশ ডাকতে না, তাদের আরও ভালো কাজ করার আছে।")</f>
        <v>আমার কথা শোনো, এটা একটু পাগলাটে। তাই প্রতি রাতে, আমার প্রেমিক কাজে যাওয়ার ঠিক পরেই, আমি আমার লাইট বন্ধ করে দেই (রাত ১টার দিকে, প্রেমিক তৃতীয় শিফটে কাজ করে), আমি করিডোরে কয়েকজন লোকের দৌড়াদৌড়ি শুনতে পাই। কিছুক্ষণ পরেই, আমার বাড়ির দরজা, শোবার ঘরের দরজা এবং বসার ঘরে একটা ভয়ানক বমি বমি ভাবের গন্ধ আসতে থাকে। রাতে আমার ঘুম ভাঙতে থাকে। সকাল ৮:৩০ টার ঠিক আগে যখন প্রেমিক বাড়ি ফিরে আসে এবং বাড়িওয়ালা সাধারণত তার অফিসে আসে, তখন গন্ধ একেবারে চলে যায়। বেশ কয়েক মাস ধরে এটা চলছে। বাড়িওয়ালাকে বললাম, সে সকালে এখানে এসে আমাকে বললো কোন ধরণের গন্ধ নেই, এটা খাবারের হতে পারে। আমি খুব চেষ্টা করছিলাম ওরা কারা তা দেখার জন্য, কিন্তু এটা অর্থহীন। কোন কথা বলছি না, একটাও উঁকি দিচ্ছি না। মাঝে মাঝে এক ঘন্টা ধরে দরজার পাশে দাঁড়িয়ে থাকি শুধু দেখার জন্য যে ওরা কারা এবং কোথা থেকে আসছে, আমি যখন বাথরুমে পা রাখি, তখনই আমি ওদের দৌড়াদৌড়ি শুনতে পাই। বাড়িওয়ালা আমাকে বলেছে পুলিশ ডাকতে না, তাদের আরও ভালো কাজ করার আছে।</v>
      </c>
    </row>
    <row r="28" spans="1:3" ht="15.75" customHeight="1" x14ac:dyDescent="0.25">
      <c r="A28" s="3" t="s">
        <v>30</v>
      </c>
      <c r="B28" s="3" t="s">
        <v>4</v>
      </c>
      <c r="C28" s="4" t="str">
        <f ca="1">IFERROR(__xludf.DUMMYFUNCTION("GOOGLETRANSLATE(A28, ""auto"", ""bn"")"),"আমার আসক্তি এখানকার অন্যদের মতো তীব্র নয়। আমি যখন ১৪ বছর বয়স থেকে প্রতিদিন ২-৩টি এনার্জি ড্রিংক পান করি। হয়তো প্রতিদিন ২-৩টি না, কিন্তু বছরের ৯৮%। যাই হোক, এটা বলা নিরাপদ যে গত ৫ বছর ধরে আমি আসক্ত। আমি এনার্জি ড্রিংকসের জন্য অনেক টাকা খরচ করেছি, এবং এট"&amp;"িই প্রথমবারের মতো আমি গুরুত্ব সহকারে থামার চেষ্টা করেছি। আমি প্রায় ১৫ দিন আগে থামিয়েছিলাম, কিন্তু সেটা কেবল একটি বাজির জন্য ছিল। এখন আমি সত্যিই থামতে চাই। আমার প্রায় দুই সপ্তাহ হয়ে গেছে, দোকানটি এক ঘন্টার মধ্যে বন্ধ হয়ে যায় এবং আমি সেখানে গিয়ে তিনট"&amp;"ি কিনে সব পান করতে চাই। এটি একটি মানসিক সংগ্রাম, এবং কোনও কারণে এখনই দোকানে না ছুটে যাওয়া সত্যিই কঠিন। তোমরা কী করো? এছাড়াও, এখানে থাকা সমস্ত শক্তিশালী লোকদের, যারা লড়াই করছে এবং যারা লড়াইকারীদের সাহায্য করার চেষ্টা করছে তাদের চিৎকার করে জানাও।")</f>
        <v>আমার আসক্তি এখানকার অন্যদের মতো তীব্র নয়। আমি যখন ১৪ বছর বয়স থেকে প্রতিদিন ২-৩টি এনার্জি ড্রিংক পান করি। হয়তো প্রতিদিন ২-৩টি না, কিন্তু বছরের ৯৮%। যাই হোক, এটা বলা নিরাপদ যে গত ৫ বছর ধরে আমি আসক্ত। আমি এনার্জি ড্রিংকসের জন্য অনেক টাকা খরচ করেছি, এবং এটিই প্রথমবারের মতো আমি গুরুত্ব সহকারে থামার চেষ্টা করেছি। আমি প্রায় ১৫ দিন আগে থামিয়েছিলাম, কিন্তু সেটা কেবল একটি বাজির জন্য ছিল। এখন আমি সত্যিই থামতে চাই। আমার প্রায় দুই সপ্তাহ হয়ে গেছে, দোকানটি এক ঘন্টার মধ্যে বন্ধ হয়ে যায় এবং আমি সেখানে গিয়ে তিনটি কিনে সব পান করতে চাই। এটি একটি মানসিক সংগ্রাম, এবং কোনও কারণে এখনই দোকানে না ছুটে যাওয়া সত্যিই কঠিন। তোমরা কী করো? এছাড়াও, এখানে থাকা সমস্ত শক্তিশালী লোকদের, যারা লড়াই করছে এবং যারা লড়াইকারীদের সাহায্য করার চেষ্টা করছে তাদের চিৎকার করে জানাও।</v>
      </c>
    </row>
    <row r="29" spans="1:3" ht="15.75" customHeight="1" x14ac:dyDescent="0.25">
      <c r="A29" s="3" t="s">
        <v>31</v>
      </c>
      <c r="B29" s="3" t="s">
        <v>4</v>
      </c>
      <c r="C29" s="4" t="str">
        <f ca="1">IFERROR(__xludf.DUMMYFUNCTION("GOOGLETRANSLATE(A29, ""auto"", ""bn"")"),"আমি ভাবছিলাম যে কেউ কি কোনও ভাল বিকল্প পুনর্বাসন কেন্দ্রের কথা জানেন? আমি একবার কাউকে মেক্সিকোতে এমন একটি জায়গার কথা উল্লেখ করতে দেখেছি যেখানে আমার মনে হয় সাইকেডেলিক ওষুধ ব্যবহার করা হয় যা আপনাকে প্রত্যাহারের সময় সাহায্য করে। তাছাড়া, আমি এটি অনুসন্ধা"&amp;"ন করেছিলাম এবং এটি আশাব্যঞ্জক বলে মনে হয়েছিল। মনে হচ্ছে সাইকেডেলিক ব্যবহারের মাত্র এক রাত পরে আপনি যেতে প্রস্তুত? যাই হোক, আমি এখন গুগলে এটি খুঁজে পাচ্ছি না। এছাড়াও, আমি এখানে রাজ্যগুলিতে এই দ্রুত ডিটক্সটি দেখছিলাম যেখানে তারা অ্যানেস্থেসিয়া ব্যবহার কর"&amp;"ে এবং আপনি যখন মদ্যপানের সময় দ্রুত ডিটক্স করার জন্য একটি ওষুধ ব্যবহার করে। কেউ এটি চেষ্টা করেছে? আমি অন্য কোনও ঐতিহ্যবাহী পুনর্বাসন করতে পারি না। এটি কেবল আমার জন্য কাজ করে না এবং আমি আবার সাবস ব্যবহার করতে চাই না। কেউ কি আমাকে সঠিক দিকনির্দেশনা দিতে পার"&amp;"ে?")</f>
        <v>আমি ভাবছিলাম যে কেউ কি কোনও ভাল বিকল্প পুনর্বাসন কেন্দ্রের কথা জানেন? আমি একবার কাউকে মেক্সিকোতে এমন একটি জায়গার কথা উল্লেখ করতে দেখেছি যেখানে আমার মনে হয় সাইকেডেলিক ওষুধ ব্যবহার করা হয় যা আপনাকে প্রত্যাহারের সময় সাহায্য করে। তাছাড়া, আমি এটি অনুসন্ধান করেছিলাম এবং এটি আশাব্যঞ্জক বলে মনে হয়েছিল। মনে হচ্ছে সাইকেডেলিক ব্যবহারের মাত্র এক রাত পরে আপনি যেতে প্রস্তুত? যাই হোক, আমি এখন গুগলে এটি খুঁজে পাচ্ছি না। এছাড়াও, আমি এখানে রাজ্যগুলিতে এই দ্রুত ডিটক্সটি দেখছিলাম যেখানে তারা অ্যানেস্থেসিয়া ব্যবহার করে এবং আপনি যখন মদ্যপানের সময় দ্রুত ডিটক্স করার জন্য একটি ওষুধ ব্যবহার করে। কেউ এটি চেষ্টা করেছে? আমি অন্য কোনও ঐতিহ্যবাহী পুনর্বাসন করতে পারি না। এটি কেবল আমার জন্য কাজ করে না এবং আমি আবার সাবস ব্যবহার করতে চাই না। কেউ কি আমাকে সঠিক দিকনির্দেশনা দিতে পারে?</v>
      </c>
    </row>
    <row r="30" spans="1:3" ht="15.75" customHeight="1" x14ac:dyDescent="0.25">
      <c r="A30" s="3" t="s">
        <v>32</v>
      </c>
      <c r="B30" s="3" t="s">
        <v>4</v>
      </c>
      <c r="C30" s="4" t="str">
        <f ca="1">IFERROR(__xludf.DUMMYFUNCTION("GOOGLETRANSLATE(A30, ""auto"", ""bn"")"),"৩ বছর ধরে সক্রিয় আসক্তিতে থাকার পর আমি প্রায় ৩ মাস ধরে সুস্থ। আমার স্বামী (যাকে আমি আমার আসক্তি ধরা পড়ার ঠিক আগে বিয়ে করেছিলাম) কোনওভাবে আমার পাশে থেকেছেন। আমি অত্যন্ত মানসিকভাবে অসুস্থ, কিন্তু আমার জীবনে প্রথমবারের মতো অবশেষে চিকিৎসা করা হচ্ছে এবং আম"&amp;"ি স্থিতিশীল। আমি ভেবেছিলাম পরিস্থিতির উন্নতি হতে শুরু করবে, কিন্তু সে হিংস্র হতে শুরু করেছে। প্রতিবারই এটি আরও খারাপ হয়। কিন্তু আমি ভয়াবহ কাজ করেছি। যেমন। ভয়াবহ। যাই হোক, আমার প্রশ্ন হল আসক্তির পরে অন্য কেউ কি রাগের বশে কাউকে আঘাত করার অভিজ্ঞতা পেয়েছে"&amp;"? আমার মনে হয় কারণ সে আমার দ্বারা তাকে যে সমস্ত খারাপ অভিজ্ঞতার মধ্য দিয়ে যেতে হয়েছে তা থেকে সেরে ওঠার চেষ্টা করছে। এবং কারণ তার মনোযোগ কেবল আমাকে বাঁচিয়ে রাখার উপর নয়। আমি জানি যে সে আমার কাছ থেকে PTSD পেয়েছে। আমি জানি না কী করব।")</f>
        <v>৩ বছর ধরে সক্রিয় আসক্তিতে থাকার পর আমি প্রায় ৩ মাস ধরে সুস্থ। আমার স্বামী (যাকে আমি আমার আসক্তি ধরা পড়ার ঠিক আগে বিয়ে করেছিলাম) কোনওভাবে আমার পাশে থেকেছেন। আমি অত্যন্ত মানসিকভাবে অসুস্থ, কিন্তু আমার জীবনে প্রথমবারের মতো অবশেষে চিকিৎসা করা হচ্ছে এবং আমি স্থিতিশীল। আমি ভেবেছিলাম পরিস্থিতির উন্নতি হতে শুরু করবে, কিন্তু সে হিংস্র হতে শুরু করেছে। প্রতিবারই এটি আরও খারাপ হয়। কিন্তু আমি ভয়াবহ কাজ করেছি। যেমন। ভয়াবহ। যাই হোক, আমার প্রশ্ন হল আসক্তির পরে অন্য কেউ কি রাগের বশে কাউকে আঘাত করার অভিজ্ঞতা পেয়েছে? আমার মনে হয় কারণ সে আমার দ্বারা তাকে যে সমস্ত খারাপ অভিজ্ঞতার মধ্য দিয়ে যেতে হয়েছে তা থেকে সেরে ওঠার চেষ্টা করছে। এবং কারণ তার মনোযোগ কেবল আমাকে বাঁচিয়ে রাখার উপর নয়। আমি জানি যে সে আমার কাছ থেকে PTSD পেয়েছে। আমি জানি না কী করব।</v>
      </c>
    </row>
    <row r="31" spans="1:3" ht="15" x14ac:dyDescent="0.25">
      <c r="A31" s="3" t="s">
        <v>33</v>
      </c>
      <c r="B31" s="3" t="s">
        <v>4</v>
      </c>
      <c r="C31" s="4" t="str">
        <f ca="1">IFERROR(__xludf.DUMMYFUNCTION("GOOGLETRANSLATE(A31, ""auto"", ""bn"")"),"আমার সবচেয়ে ভালো বন্ধু ফেন্টানাইল এবং অন্যান্য ওষুধের প্রতি আসক্তির পথে এগিয়ে যাচ্ছে। এটা আমার হৃদয় ভেঙে দিচ্ছে। সে আমার কাছে বোনের মতো। প্রতিদিন আমি তার শেষকৃত্যের ছবি দেখি এবং আমি তা সহ্য করতে পারছি না। আমার জীবনের অভিজ্ঞতা থেকে আমি জানি একজন ভালো বন্ধ"&amp;"ু হওয়া ছাড়া আর কিছুই করার নেই। কিন্তু আমি জানি যদি ঈশ্বর না করেন যে সে সুস্থ হওয়ার আগেই মারা যায়, তাহলে আমার মনে হবে আমি আরও অনেক কিছু করতে পারতাম। কাউকে এটা বলার দরকার ছিল। পরামর্শ স্বাগত। এই সমস্যায় ভুগছেন এমন সকলের জন্য প্রার্থনা।")</f>
        <v>আমার সবচেয়ে ভালো বন্ধু ফেন্টানাইল এবং অন্যান্য ওষুধের প্রতি আসক্তির পথে এগিয়ে যাচ্ছে। এটা আমার হৃদয় ভেঙে দিচ্ছে। সে আমার কাছে বোনের মতো। প্রতিদিন আমি তার শেষকৃত্যের ছবি দেখি এবং আমি তা সহ্য করতে পারছি না। আমার জীবনের অভিজ্ঞতা থেকে আমি জানি একজন ভালো বন্ধু হওয়া ছাড়া আর কিছুই করার নেই। কিন্তু আমি জানি যদি ঈশ্বর না করেন যে সে সুস্থ হওয়ার আগেই মারা যায়, তাহলে আমার মনে হবে আমি আরও অনেক কিছু করতে পারতাম। কাউকে এটা বলার দরকার ছিল। পরামর্শ স্বাগত। এই সমস্যায় ভুগছেন এমন সকলের জন্য প্রার্থনা।</v>
      </c>
    </row>
    <row r="32" spans="1:3" ht="15" x14ac:dyDescent="0.25">
      <c r="A32" s="3" t="s">
        <v>34</v>
      </c>
      <c r="B32" s="3" t="s">
        <v>4</v>
      </c>
      <c r="C32" s="4" t="str">
        <f ca="1">IFERROR(__xludf.DUMMYFUNCTION("GOOGLETRANSLATE(A32, ""auto"", ""bn"")"),"আমি দীর্ঘদিন ধরে কোডিন ব্যবহার করছি। আমার দীর্ঘস্থায়ী ব্যথার সমস্যা আছে কিন্তু আমি কি মনে করছি যে ব্যথা কমাতে আমার এটির আরও বেশি প্রয়োজন? তাই আমি সিদ্ধান্ত নিয়েছি যে এখনই বন্ধ করার সময় এসেছে কারণ আমি ব্যথায় ভুগছি। অতীতে যখন আমার ওষুধ শেষ হয়ে যায় তখ"&amp;"ন আমি সবসময় প্রত্যাহারের লক্ষণগুলির সাথে লড়াই করেছি। তাই আমি জানি আমার জন্য কঠিন সময় অপেক্ষা করছে। এর আগে আমি যে বড় লক্ষণটির সাথে লড়াই করেছি তা হল কাশি। আমি ভাবছিলাম কাশি নিয়ন্ত্রণের জন্য কারও কাছে কোনও পরামর্শ আছে কিনা? আমার ভ্যালিয়াম আছে, তাই আমি"&amp;" ঘুমের সমস্যা নিয়ে খুব বেশি চিন্তিত নই এবং অন্ত্রের সমস্যার জন্য আমি ক্যাস্ট্রো স্টপ নিয়েছি। তাছাড়া, মাথাব্যথার জন্য আমার কম্বো প্যারাডক্স/ইউরোপিয়ান আছে। আমি প্রস্তুত হওয়ার চেষ্টা করছি। আমি আগামীকাল আমার শেষ ডোজ নেব। তারপর আমি বেরিয়ে যাব।")</f>
        <v>আমি দীর্ঘদিন ধরে কোডিন ব্যবহার করছি। আমার দীর্ঘস্থায়ী ব্যথার সমস্যা আছে কিন্তু আমি কি মনে করছি যে ব্যথা কমাতে আমার এটির আরও বেশি প্রয়োজন? তাই আমি সিদ্ধান্ত নিয়েছি যে এখনই বন্ধ করার সময় এসেছে কারণ আমি ব্যথায় ভুগছি। অতীতে যখন আমার ওষুধ শেষ হয়ে যায় তখন আমি সবসময় প্রত্যাহারের লক্ষণগুলির সাথে লড়াই করেছি। তাই আমি জানি আমার জন্য কঠিন সময় অপেক্ষা করছে। এর আগে আমি যে বড় লক্ষণটির সাথে লড়াই করেছি তা হল কাশি। আমি ভাবছিলাম কাশি নিয়ন্ত্রণের জন্য কারও কাছে কোনও পরামর্শ আছে কিনা? আমার ভ্যালিয়াম আছে, তাই আমি ঘুমের সমস্যা নিয়ে খুব বেশি চিন্তিত নই এবং অন্ত্রের সমস্যার জন্য আমি ক্যাস্ট্রো স্টপ নিয়েছি। তাছাড়া, মাথাব্যথার জন্য আমার কম্বো প্যারাডক্স/ইউরোপিয়ান আছে। আমি প্রস্তুত হওয়ার চেষ্টা করছি। আমি আগামীকাল আমার শেষ ডোজ নেব। তারপর আমি বেরিয়ে যাব।</v>
      </c>
    </row>
    <row r="33" spans="1:3" ht="15" x14ac:dyDescent="0.25">
      <c r="A33" s="3" t="s">
        <v>35</v>
      </c>
      <c r="B33" s="3" t="s">
        <v>4</v>
      </c>
      <c r="C33" s="4" t="str">
        <f ca="1">IFERROR(__xludf.DUMMYFUNCTION("GOOGLETRANSLATE(A33, ""auto"", ""bn"")"),"আমি যখনই এই সাবটি পোস্ট করি বা দেখি, তখনই আমার নিজেকে অপরাধী মনে হয় কারণ আমি বারবার পরামর্শ এবং সাহায্য চাইছি, কিন্তু আমি তা গ্রহণ করব না। আমি নিজেকে যা হতে দিয়েছি তাতে আমি বিরক্ত, কিন্তু আমি অন্য কোনও উপায় জানি না। জীবন শান্ত থাকা খুব কঠিন।")</f>
        <v>আমি যখনই এই সাবটি পোস্ট করি বা দেখি, তখনই আমার নিজেকে অপরাধী মনে হয় কারণ আমি বারবার পরামর্শ এবং সাহায্য চাইছি, কিন্তু আমি তা গ্রহণ করব না। আমি নিজেকে যা হতে দিয়েছি তাতে আমি বিরক্ত, কিন্তু আমি অন্য কোনও উপায় জানি না। জীবন শান্ত থাকা খুব কঠিন।</v>
      </c>
    </row>
    <row r="34" spans="1:3" ht="15" x14ac:dyDescent="0.25">
      <c r="A34" s="3" t="s">
        <v>36</v>
      </c>
      <c r="B34" s="3" t="s">
        <v>4</v>
      </c>
      <c r="C34" s="4" t="str">
        <f ca="1">IFERROR(__xludf.DUMMYFUNCTION("GOOGLETRANSLATE(A34, ""auto"", ""bn"")"),"সংক্ষেপে বলতে গেলে, আমার প্রাক্তন স্বামী আমাকে বারবার আমার অ্যাপার্টমেন্টে পরিষ্কার-পরিচ্ছন্নতার জন্য ঢেউ খেলানোর জন্য বলতে থাকেন। তার ভাই যার সাথে সে থাকে সে তার ডিলার। আমি তাকে বলেছিলাম যে তার ভাড়া শেষ হয়ে গেলেই আমি তাকে সাহায্য করব। অথবা যদি সে প্রমা"&amp;"ণ করে যে সে সত্যিই গুরুতর, তাহলে ... অর্থাৎ MAT-তে ভর্তি হওয়া, থেরাপিস্টের সাথে দেখা করা, ডিটক্সে যাওয়া, অথবা পুনর্বাসনে যাওয়া। আমরা আবার যোগাযোগ করি কারণ আমি প্রথমে তাকে মেথাডোন নিতে সাহায্য করার কথা বলেছিলাম, এবং সে আমার ভাড়া পরিশোধ করবে, তাই আমাকে "&amp;"কাজ করতে হয়নি। আমি তাকে সেই প্রোগ্রামে নিয়ে যাই যা সে দুই সপ্তাহ পরে ছেড়ে দেয় (ক্লিনিকটি আমাদের দুজনকেই বিরক্ত করছিল এবং এখনও আমার সাথে এটি করছে, তাই আমি তাকে দোষ দিচ্ছি না) কিন্তু আমি ব্যাখ্যা করেছিলাম যে আপনাকে যত তাড়াতাড়ি সম্ভব অন্য একটি ক্লিনিক "&amp;"খুঁজে বের করতে হবে। এখন প্রায় তিন মাস ধরে মিথ্যা প্রতিশ্রুতি দেওয়া হচ্ছে এবং আমার বাড়িওয়ালাকে ক্রমশ টাকা কমছে। সে জীবনে একদিনও সুস্থ হয়নি এবং কখনও টাকা তোলার অভিজ্ঞতাও পায়নি। সে আমাকে দুই দিন ধরে বলতে থাকে যে সে ব্যবহার করতে পারবে না তা প্রমাণ করার "&amp;"জন্য? আমি মনে করি আমি না বলার জন্য বিরক্ত। আমার মনে হচ্ছে এটা সময়ের অপচয়/অর্থহীন। এমনকি যদি সমস্ত দেবতার কৃপায় সে দুই দিন ব্যবহার করতে না পারে.... তাহলে কী?")</f>
        <v>সংক্ষেপে বলতে গেলে, আমার প্রাক্তন স্বামী আমাকে বারবার আমার অ্যাপার্টমেন্টে পরিষ্কার-পরিচ্ছন্নতার জন্য ঢেউ খেলানোর জন্য বলতে থাকেন। তার ভাই যার সাথে সে থাকে সে তার ডিলার। আমি তাকে বলেছিলাম যে তার ভাড়া শেষ হয়ে গেলেই আমি তাকে সাহায্য করব। অথবা যদি সে প্রমাণ করে যে সে সত্যিই গুরুতর, তাহলে ... অর্থাৎ MAT-তে ভর্তি হওয়া, থেরাপিস্টের সাথে দেখা করা, ডিটক্সে যাওয়া, অথবা পুনর্বাসনে যাওয়া। আমরা আবার যোগাযোগ করি কারণ আমি প্রথমে তাকে মেথাডোন নিতে সাহায্য করার কথা বলেছিলাম, এবং সে আমার ভাড়া পরিশোধ করবে, তাই আমাকে কাজ করতে হয়নি। আমি তাকে সেই প্রোগ্রামে নিয়ে যাই যা সে দুই সপ্তাহ পরে ছেড়ে দেয় (ক্লিনিকটি আমাদের দুজনকেই বিরক্ত করছিল এবং এখনও আমার সাথে এটি করছে, তাই আমি তাকে দোষ দিচ্ছি না) কিন্তু আমি ব্যাখ্যা করেছিলাম যে আপনাকে যত তাড়াতাড়ি সম্ভব অন্য একটি ক্লিনিক খুঁজে বের করতে হবে। এখন প্রায় তিন মাস ধরে মিথ্যা প্রতিশ্রুতি দেওয়া হচ্ছে এবং আমার বাড়িওয়ালাকে ক্রমশ টাকা কমছে। সে জীবনে একদিনও সুস্থ হয়নি এবং কখনও টাকা তোলার অভিজ্ঞতাও পায়নি। সে আমাকে দুই দিন ধরে বলতে থাকে যে সে ব্যবহার করতে পারবে না তা প্রমাণ করার জন্য? আমি মনে করি আমি না বলার জন্য বিরক্ত। আমার মনে হচ্ছে এটা সময়ের অপচয়/অর্থহীন। এমনকি যদি সমস্ত দেবতার কৃপায় সে দুই দিন ব্যবহার করতে না পারে.... তাহলে কী?</v>
      </c>
    </row>
    <row r="35" spans="1:3" ht="15" x14ac:dyDescent="0.25">
      <c r="A35" s="3" t="s">
        <v>37</v>
      </c>
      <c r="B35" s="3" t="s">
        <v>4</v>
      </c>
      <c r="C35" s="4" t="str">
        <f ca="1">IFERROR(__xludf.DUMMYFUNCTION("GOOGLETRANSLATE(A35, ""auto"", ""bn"")"),"আমি মাদকাসক্ত নই, সহ-নির্ভরশীল, অত্যন্ত সচেতন এবং এর জন্য থেরাপি নিচ্ছি। যাই হোক। হ্যাঁ। সে ৩ মাস ধরে সুস্থ ছিল। বাড়ি ফিরে এসেছিল। আমাকে আবার মাদকাসক্ত হতে বলেছে। এখন কী? আমি রাগ করছি না। হয়তো একটু। তবে বেশিরভাগই WTF-এর মতো। আমি তার কথার জন্য কৃতজ্ঞ।")</f>
        <v>আমি মাদকাসক্ত নই, সহ-নির্ভরশীল, অত্যন্ত সচেতন এবং এর জন্য থেরাপি নিচ্ছি। যাই হোক। হ্যাঁ। সে ৩ মাস ধরে সুস্থ ছিল। বাড়ি ফিরে এসেছিল। আমাকে আবার মাদকাসক্ত হতে বলেছে। এখন কী? আমি রাগ করছি না। হয়তো একটু। তবে বেশিরভাগই WTF-এর মতো। আমি তার কথার জন্য কৃতজ্ঞ।</v>
      </c>
    </row>
    <row r="36" spans="1:3" ht="15" x14ac:dyDescent="0.25">
      <c r="A36" s="3" t="s">
        <v>38</v>
      </c>
      <c r="B36" s="3" t="s">
        <v>4</v>
      </c>
      <c r="C36" s="4" t="str">
        <f ca="1">IFERROR(__xludf.DUMMYFUNCTION("GOOGLETRANSLATE(A36, ""auto"", ""bn"")"),"আমি আরেকজনের দ্বারা পুড়ে গেছি। আমি সবকিছুতেই অসুস্থ। তাছাড়া, আমি আর এটা সহ্য করতে পারছি না। তাছাড়া, আমি হাল ছাড়তে পারছি না, আমি শান্ত থাকতে পারছি না। আমার ভবিষ্যৎ অন্ধকার এবং সত্যিই আশাহীন। মেথামফেটামিন ছাড়া আমি কিছুই নই। এখন আমার পিছনে এমন লোক আছে য"&amp;"ারা আমাকে আক্ষরিক অর্থেই অকারণে ঝাঁপিয়ে পড়তে চায়। আমি এই অস্তিত্বকে একেবারেই ঘৃণা করি। আমি আর যেতে চাই না। যদি আমি পুনর্বাসনে যাই, আমি চলে যাব। যদি আমাকে কারাগারে পাঠানো হয়, তাহলে আমি আগের চেয়েও খারাপ হয়ে যাব। আমি তাদের একজন হয়ে যাব; স্বার্থপর, উদা"&amp;"সীন এবং সমাজবিদ্বেষী। আমি অন্যদের সাহায্য করতে চাই। আমি কেবল এটাই করতে চেয়েছিলাম। আমি এখন একটি খোলস। আকাঙ্ক্ষা অদৃশ্য হয়ে গেছে, শখের অস্তিত্ব নেই, এবং নীতিবোধ ক্ষয়প্রাপ্ত হয়েছে। আমি কে? আমার চোখের সামনেই আমার জীবন চুরি হয়ে গেছে। আমার বয়স ১৯ বছর, এবং"&amp;" আমি মেথামফেটামিন ব্যবহার করি। সবচেয়ে খারাপ মাদক যা আপনি কখনও আসক্ত হতে পারেন। কোন আশা নেই। দয়া করে এটা মেনে নিয়ে আমার শান্তির সাথে শান্তি খুঁজে নাও। আমি শুধু এটা মেনে নিচ্ছি।")</f>
        <v>আমি আরেকজনের দ্বারা পুড়ে গেছি। আমি সবকিছুতেই অসুস্থ। তাছাড়া, আমি আর এটা সহ্য করতে পারছি না। তাছাড়া, আমি হাল ছাড়তে পারছি না, আমি শান্ত থাকতে পারছি না। আমার ভবিষ্যৎ অন্ধকার এবং সত্যিই আশাহীন। মেথামফেটামিন ছাড়া আমি কিছুই নই। এখন আমার পিছনে এমন লোক আছে যারা আমাকে আক্ষরিক অর্থেই অকারণে ঝাঁপিয়ে পড়তে চায়। আমি এই অস্তিত্বকে একেবারেই ঘৃণা করি। আমি আর যেতে চাই না। যদি আমি পুনর্বাসনে যাই, আমি চলে যাব। যদি আমাকে কারাগারে পাঠানো হয়, তাহলে আমি আগের চেয়েও খারাপ হয়ে যাব। আমি তাদের একজন হয়ে যাব; স্বার্থপর, উদাসীন এবং সমাজবিদ্বেষী। আমি অন্যদের সাহায্য করতে চাই। আমি কেবল এটাই করতে চেয়েছিলাম। আমি এখন একটি খোলস। আকাঙ্ক্ষা অদৃশ্য হয়ে গেছে, শখের অস্তিত্ব নেই, এবং নীতিবোধ ক্ষয়প্রাপ্ত হয়েছে। আমি কে? আমার চোখের সামনেই আমার জীবন চুরি হয়ে গেছে। আমার বয়স ১৯ বছর, এবং আমি মেথামফেটামিন ব্যবহার করি। সবচেয়ে খারাপ মাদক যা আপনি কখনও আসক্ত হতে পারেন। কোন আশা নেই। দয়া করে এটা মেনে নিয়ে আমার শান্তির সাথে শান্তি খুঁজে নাও। আমি শুধু এটা মেনে নিচ্ছি।</v>
      </c>
    </row>
    <row r="37" spans="1:3" ht="15" x14ac:dyDescent="0.25">
      <c r="A37" s="3" t="s">
        <v>39</v>
      </c>
      <c r="B37" s="3" t="s">
        <v>4</v>
      </c>
      <c r="C37" s="4" t="str">
        <f ca="1">IFERROR(__xludf.DUMMYFUNCTION("GOOGLETRANSLATE(A37, ""auto"", ""bn"")"),"৪ মাস বরফমুক্ত থাকার পর, শরৎকালে সত্যিই দাঁতের স্বাস্থ্যবিধি শুরু করতে চাই এবং ভবিষ্যতে একজন সুন্দরী এবং যত্নশীল মহিলাকে বিয়ে করতে চাই। আমি আমার অকার্যকর পরিবার থেকে আলাদা হতে চাই। ২ বছরের মধ্যে তোমার অবস্থা কত দ্রুত বদলে গেল?")</f>
        <v>৪ মাস বরফমুক্ত থাকার পর, শরৎকালে সত্যিই দাঁতের স্বাস্থ্যবিধি শুরু করতে চাই এবং ভবিষ্যতে একজন সুন্দরী এবং যত্নশীল মহিলাকে বিয়ে করতে চাই। আমি আমার অকার্যকর পরিবার থেকে আলাদা হতে চাই। ২ বছরের মধ্যে তোমার অবস্থা কত দ্রুত বদলে গেল?</v>
      </c>
    </row>
    <row r="38" spans="1:3" ht="15" x14ac:dyDescent="0.25">
      <c r="A38" s="3" t="s">
        <v>40</v>
      </c>
      <c r="B38" s="3" t="s">
        <v>4</v>
      </c>
      <c r="C38" s="4" t="str">
        <f ca="1">IFERROR(__xludf.DUMMYFUNCTION("GOOGLETRANSLATE(A38, ""auto"", ""bn"")"),"আমি মূলত টুইটারে আসক্ত, আমি ৫+ ঘন্টা এটিতে সময় ব্যয় করি। এটি শুরু হয়েছিল কারণ আমার কোনও বন্ধু ছিল না যার সাথে কথা বলার জন্য। এটা ঠিক ছিল। কিন্তু সম্প্রতি আমি সবসময় সেখানে থাকি, এমনকি যদি আমি বাস্তব জীবনে বন্ধুদের সাথে থাকি এবং আমি থামতে পারি না।")</f>
        <v>আমি মূলত টুইটারে আসক্ত, আমি ৫+ ঘন্টা এটিতে সময় ব্যয় করি। এটি শুরু হয়েছিল কারণ আমার কোনও বন্ধু ছিল না যার সাথে কথা বলার জন্য। এটা ঠিক ছিল। কিন্তু সম্প্রতি আমি সবসময় সেখানে থাকি, এমনকি যদি আমি বাস্তব জীবনে বন্ধুদের সাথে থাকি এবং আমি থামতে পারি না।</v>
      </c>
    </row>
    <row r="39" spans="1:3" ht="15" x14ac:dyDescent="0.25">
      <c r="A39" s="3" t="s">
        <v>41</v>
      </c>
      <c r="B39" s="3" t="s">
        <v>4</v>
      </c>
      <c r="C39" s="4" t="str">
        <f ca="1">IFERROR(__xludf.DUMMYFUNCTION("GOOGLETRANSLATE(A39, ""auto"", ""bn"")"),"আমি অন্যদিন স্কুলে গিয়েছিলাম, আমি একজন হেয়ারস্টাইলিস্ট হতে যাচ্ছিলাম। আমি যখন সেট আপ করতে শুরু করছিলাম তখন আমার প্রশিক্ষক আমার কাছে এলেন। তিনি আমাকে তার সাথে আসতে বললেন, তাই আমিও তার পিছু নিলাম, কিন্তু আমরা শিক্ষা প্রশিক্ষকদের অফিসে গিয়ে পৌঁছালাম। তখন "&amp;"আমাকে বলা হয়েছিল যে তারা সবাই আমার কাছ থেকে কিছু ""সন্দেহজনক আচরণ"" লক্ষ্য করেছে। স্পষ্টতই ভারসাম্যহীন, ক্লান্ত, কাঁচের মতো চোখ, ইত্যাদি। আমি পুরো সময় তা অস্বীকার করেছিলাম কারণ আমি খুব বেশি মেজাজ বা মাতাল ছিলাম না। যাইহোক, আমাকে বলা হয়েছিল যে আমাকে বাই"&amp;"রে থাকতে বলা হবে এবং রাতে বাড়ি যেতে হবে। আমি ভীত এবং রাগান্বিত ছিলাম কারণ আমার বিরুদ্ধে এমন কিছু অভিযোগ আনা হচ্ছে যা আমি করিনি, এবং এর জন্য আমাকে বের করে দেওয়া হতে পারে। ... এটি কোনও মাদক সমস্যা নয় যার সাথে আমি লড়াই করছি। এটি একটি খাওয়ার ব্যাধি। আমার"&amp;" ওজন প্রায় 25-30 পাউন্ড কম। আমি কেবল কয়েকটি ভিন্ন জিনিস খাই, এবং আমি প্রতিদিন খাই না। তাই বেশিরভাগ দিনই আমি অলস থাকি, স্পষ্টভাবে চিন্তা করি না, আমার মাথা ঘোরা ইত্যাদি। আমি তাদের উদ্বেগ বুঝতে পারি, কিন্তু স্কুলে আমাকে ঠকানোর অভিযোগ করা বন্ধ করুন। শুধু থা"&amp;"মুন। এতে পরিস্থিতি আরও খারাপ হচ্ছে।")</f>
        <v>আমি অন্যদিন স্কুলে গিয়েছিলাম, আমি একজন হেয়ারস্টাইলিস্ট হতে যাচ্ছিলাম। আমি যখন সেট আপ করতে শুরু করছিলাম তখন আমার প্রশিক্ষক আমার কাছে এলেন। তিনি আমাকে তার সাথে আসতে বললেন, তাই আমিও তার পিছু নিলাম, কিন্তু আমরা শিক্ষা প্রশিক্ষকদের অফিসে গিয়ে পৌঁছালাম। তখন আমাকে বলা হয়েছিল যে তারা সবাই আমার কাছ থেকে কিছু "সন্দেহজনক আচরণ" লক্ষ্য করেছে। স্পষ্টতই ভারসাম্যহীন, ক্লান্ত, কাঁচের মতো চোখ, ইত্যাদি। আমি পুরো সময় তা অস্বীকার করেছিলাম কারণ আমি খুব বেশি মেজাজ বা মাতাল ছিলাম না। যাইহোক, আমাকে বলা হয়েছিল যে আমাকে বাইরে থাকতে বলা হবে এবং রাতে বাড়ি যেতে হবে। আমি ভীত এবং রাগান্বিত ছিলাম কারণ আমার বিরুদ্ধে এমন কিছু অভিযোগ আনা হচ্ছে যা আমি করিনি, এবং এর জন্য আমাকে বের করে দেওয়া হতে পারে। ... এটি কোনও মাদক সমস্যা নয় যার সাথে আমি লড়াই করছি। এটি একটি খাওয়ার ব্যাধি। আমার ওজন প্রায় 25-30 পাউন্ড কম। আমি কেবল কয়েকটি ভিন্ন জিনিস খাই, এবং আমি প্রতিদিন খাই না। তাই বেশিরভাগ দিনই আমি অলস থাকি, স্পষ্টভাবে চিন্তা করি না, আমার মাথা ঘোরা ইত্যাদি। আমি তাদের উদ্বেগ বুঝতে পারি, কিন্তু স্কুলে আমাকে ঠকানোর অভিযোগ করা বন্ধ করুন। শুধু থামুন। এতে পরিস্থিতি আরও খারাপ হচ্ছে।</v>
      </c>
    </row>
    <row r="40" spans="1:3" ht="15" x14ac:dyDescent="0.25">
      <c r="A40" s="3" t="s">
        <v>42</v>
      </c>
      <c r="B40" s="3" t="s">
        <v>4</v>
      </c>
      <c r="C40" s="4" t="str">
        <f ca="1">IFERROR(__xludf.DUMMYFUNCTION("GOOGLETRANSLATE(A40, ""auto"", ""bn"")"),"আমি জানি যে AA এবং NA বেশিরভাগ মানুষের জন্য সুস্থতার ক্ষেত্রে ভালো। আমি ব্যক্তিগতভাবে এর কিছু নীতির সাথে একমত নই, কিন্তু যেহেতু ক্লায়েন্টদের দৃষ্টিভঙ্গি গুরুত্বপূর্ণ, আমার নয়, তাই আমি স্পষ্টতই এ বিষয়ে আমার চিন্তাভাবনা নিয়ে কথা বলি না। যাইহোক, কিছু চিক"&amp;"িৎসা প্রোগ্রাম জোর দিয়ে বলে যে যদি এই নীতিগুলির উপর ভিত্তি করে করা হয়। আমার মনে হয় এটি পুরানো দিনের একটি নিদর্শন যখন আসক্তির চিকিৎসা মূলত মাস্টার্স স্তরের পেশাদার পরামর্শদাতাদের পরিবর্তে সহকর্মীদের দ্বারা করা হত। আমাদের প্রশিক্ষণ আমাদের ক্ষতি হ্রাস, বি"&amp;"কল্প সহকর্মী সহায়তা গোষ্ঠী যেমন পুনরুদ্ধার ধর্ম ইত্যাদির মতো বিস্তৃত বিকল্প বিবেচনা করতে শেখায়। আমরা অবশ্যই লোকেদের কেবল সংযোগের জন্য বাইরের কোনও ধরণের গোষ্ঠীতে যোগদান করতে উৎসাহিত করি, তবে তাও কোনও আদেশ নয়; প্রতিটি ব্যক্তি JS আলাদা এবং তাদের বিভিন্ন চ"&amp;"াহিদা থাকবে। আমি একজন থেরাপিস্ট, একটি খুব নমনীয় IOP প্রোগ্রামের অংশ হিসেবে যেখানে ক্ষতি হ্রাস এবং প্রেরণামূলক সাক্ষাৎকারের উপর জোর দেওয়া হয়, তাই আমি নিজেকে ভাগ্যবান মনে করি। আশা করি ক্লায়েন্টরা আগে থেকেই তাদের হোমওয়ার্ক করছেন যে কোনও প্রোগ্রাম 12-পদক"&amp;"্ষেপের দর্শনের সাথে একচেটিয়াভাবে সাবস্ক্রাইব করে কিনা তা দেখার জন্য আপনার মতামত শেয়ার করতে দ্বিধা করবেন না। এটি এমন কিছু নয় যা আমি আমার ক্লায়েন্টদের সাথে শেয়ার করব এবং আমি সাধারণত তাদের AA/NA তে যেতে উৎসাহিত করি এবং মনে করি এটি তাদের বেশিরভাগের জন্যই"&amp;" ভালো কাজ করে। আমি কেবল একটি কালো এবং সাদা দৃষ্টিভঙ্গির সমালোচনা করছি, 12-পদক্ষেপের নয়।")</f>
        <v>আমি জানি যে AA এবং NA বেশিরভাগ মানুষের জন্য সুস্থতার ক্ষেত্রে ভালো। আমি ব্যক্তিগতভাবে এর কিছু নীতির সাথে একমত নই, কিন্তু যেহেতু ক্লায়েন্টদের দৃষ্টিভঙ্গি গুরুত্বপূর্ণ, আমার নয়, তাই আমি স্পষ্টতই এ বিষয়ে আমার চিন্তাভাবনা নিয়ে কথা বলি না। যাইহোক, কিছু চিকিৎসা প্রোগ্রাম জোর দিয়ে বলে যে যদি এই নীতিগুলির উপর ভিত্তি করে করা হয়। আমার মনে হয় এটি পুরানো দিনের একটি নিদর্শন যখন আসক্তির চিকিৎসা মূলত মাস্টার্স স্তরের পেশাদার পরামর্শদাতাদের পরিবর্তে সহকর্মীদের দ্বারা করা হত। আমাদের প্রশিক্ষণ আমাদের ক্ষতি হ্রাস, বিকল্প সহকর্মী সহায়তা গোষ্ঠী যেমন পুনরুদ্ধার ধর্ম ইত্যাদির মতো বিস্তৃত বিকল্প বিবেচনা করতে শেখায়। আমরা অবশ্যই লোকেদের কেবল সংযোগের জন্য বাইরের কোনও ধরণের গোষ্ঠীতে যোগদান করতে উৎসাহিত করি, তবে তাও কোনও আদেশ নয়; প্রতিটি ব্যক্তি JS আলাদা এবং তাদের বিভিন্ন চাহিদা থাকবে। আমি একজন থেরাপিস্ট, একটি খুব নমনীয় IOP প্রোগ্রামের অংশ হিসেবে যেখানে ক্ষতি হ্রাস এবং প্রেরণামূলক সাক্ষাৎকারের উপর জোর দেওয়া হয়, তাই আমি নিজেকে ভাগ্যবান মনে করি। আশা করি ক্লায়েন্টরা আগে থেকেই তাদের হোমওয়ার্ক করছেন যে কোনও প্রোগ্রাম 12-পদক্ষেপের দর্শনের সাথে একচেটিয়াভাবে সাবস্ক্রাইব করে কিনা তা দেখার জন্য আপনার মতামত শেয়ার করতে দ্বিধা করবেন না। এটি এমন কিছু নয় যা আমি আমার ক্লায়েন্টদের সাথে শেয়ার করব এবং আমি সাধারণত তাদের AA/NA তে যেতে উৎসাহিত করি এবং মনে করি এটি তাদের বেশিরভাগের জন্যই ভালো কাজ করে। আমি কেবল একটি কালো এবং সাদা দৃষ্টিভঙ্গির সমালোচনা করছি, 12-পদক্ষেপের নয়।</v>
      </c>
    </row>
    <row r="41" spans="1:3" ht="15" x14ac:dyDescent="0.25">
      <c r="A41" s="3" t="s">
        <v>43</v>
      </c>
      <c r="B41" s="3" t="s">
        <v>4</v>
      </c>
      <c r="C41" s="4" t="str">
        <f ca="1">IFERROR(__xludf.DUMMYFUNCTION("GOOGLETRANSLATE(A41, ""auto"", ""bn"")"),"সবাই মিলে। আমি বাইপোলার ২, আমার GAD, সামাজিক উদ্বেগ আছে এবং সম্প্রতি ফেন্টানাইল ওভারডোজের পরে আমার প্রেমিকের মৃত্যুর খবর পেয়ে তালিকায় PTSD যুক্ত হয়েছে। আমি গাঁজা সেবনের সাথে লড়াই করছি। তাছাড়া, আমি জানি এটা খুব একটা ভালো শোনাচ্ছে না, তবে আমি এমন একজন ব"&amp;"্যক্তি যে কতটা ধূমপান করি তা নিয়ন্ত্রণ করতে পারি না। তাছাড়া, আমি ১১ দিন পুনর্বাসনে গিয়েছিলাম এবং আমার প্রেমিক মারা যাওয়ার আগ পর্যন্ত এটি সাহায্য করেছিল। তাছাড়া, আমি প্রতি সপ্তাহে থেরাপি নিই কিন্তু এখনও ধূমপান বন্ধ করতে পারছি না। কলেজের ছাত্র হওয়াও সাহ"&amp;"ায্য করে না কারণ সবাই গাঁজা সেবন করে এবং আমি সবসময় এর গন্ধ পাই।")</f>
        <v>সবাই মিলে। আমি বাইপোলার ২, আমার GAD, সামাজিক উদ্বেগ আছে এবং সম্প্রতি ফেন্টানাইল ওভারডোজের পরে আমার প্রেমিকের মৃত্যুর খবর পেয়ে তালিকায় PTSD যুক্ত হয়েছে। আমি গাঁজা সেবনের সাথে লড়াই করছি। তাছাড়া, আমি জানি এটা খুব একটা ভালো শোনাচ্ছে না, তবে আমি এমন একজন ব্যক্তি যে কতটা ধূমপান করি তা নিয়ন্ত্রণ করতে পারি না। তাছাড়া, আমি ১১ দিন পুনর্বাসনে গিয়েছিলাম এবং আমার প্রেমিক মারা যাওয়ার আগ পর্যন্ত এটি সাহায্য করেছিল। তাছাড়া, আমি প্রতি সপ্তাহে থেরাপি নিই কিন্তু এখনও ধূমপান বন্ধ করতে পারছি না। কলেজের ছাত্র হওয়াও সাহায্য করে না কারণ সবাই গাঁজা সেবন করে এবং আমি সবসময় এর গন্ধ পাই।</v>
      </c>
    </row>
    <row r="42" spans="1:3" ht="15" x14ac:dyDescent="0.25">
      <c r="A42" s="3" t="s">
        <v>44</v>
      </c>
      <c r="B42" s="3" t="s">
        <v>4</v>
      </c>
      <c r="C42" s="4" t="str">
        <f ca="1">IFERROR(__xludf.DUMMYFUNCTION("GOOGLETRANSLATE(A42, ""auto"", ""bn"")"),"আমি শুরুতেই বলতে চাই যে আমি /Suboxone-এ পোস্ট করার চেষ্টা করেছি, কিন্তু আমার পোস্টগুলো সফল হয়নি। কারো পক্ষে কি 8mg সাবসাইড গ্রহণ করা এবং একই দিনে H ব্যবহার করা সম্ভব? আমার কাছের একজনকে আমি চিনি যিনি সুস্থ হয়ে উঠছেন এবং সাবসাইড প্রোগ্রামে আছেন কিন্তু চিন"&amp;"্তিত ছিলেন যে তারা একই সময়ে ব্যবহার করতে পারেন। যদি তারা একই সময়ে এবং প্রতিদিন 8mg গ্রহণ করেন, তাহলে লক্ষণীয় লক্ষণ ছাড়া h ব্যবহার করার কোন উপায় নেই, তাই না?")</f>
        <v>আমি শুরুতেই বলতে চাই যে আমি /Suboxone-এ পোস্ট করার চেষ্টা করেছি, কিন্তু আমার পোস্টগুলো সফল হয়নি। কারো পক্ষে কি 8mg সাবসাইড গ্রহণ করা এবং একই দিনে H ব্যবহার করা সম্ভব? আমার কাছের একজনকে আমি চিনি যিনি সুস্থ হয়ে উঠছেন এবং সাবসাইড প্রোগ্রামে আছেন কিন্তু চিন্তিত ছিলেন যে তারা একই সময়ে ব্যবহার করতে পারেন। যদি তারা একই সময়ে এবং প্রতিদিন 8mg গ্রহণ করেন, তাহলে লক্ষণীয় লক্ষণ ছাড়া h ব্যবহার করার কোন উপায় নেই, তাই না?</v>
      </c>
    </row>
    <row r="43" spans="1:3" ht="15" x14ac:dyDescent="0.25">
      <c r="A43" s="3" t="s">
        <v>45</v>
      </c>
      <c r="B43" s="3" t="s">
        <v>4</v>
      </c>
      <c r="C43" s="4" t="str">
        <f ca="1">IFERROR(__xludf.DUMMYFUNCTION("GOOGLETRANSLATE(A43, ""auto"", ""bn"")"),"আমার ২৪ বছর বয়সী ভাগ্নে তীব্র শ্বাসকষ্টের মধ্য দিয়ে যাচ্ছে। বৃহস্পতিবার থেকে গতকাল শনিবার পর্যন্ত তাকে হাসপাতালে ভর্তি করা হয়েছে। গতকাল প্রথমবার সে চোখ খুলেছে। আজ প্রথমবার সে একা খেতে পেরেছে। আমি আমার আরেক ভাগ্নেকে সাথে নিয়ে তার দেখাশোনা করছি। আমি লক্ষ্য "&amp;"করেছি যে ছোট ছোট শব্দও তাকে উত্তেজিত করে তুলবে, তাই আমরা দুজনেই ঘরের ভেতরে কথা বলি না বরং একে অপরকে ফোনে বার্তা পাঠাই। যারা তীব্র শ্বাসকষ্টের মধ্য দিয়ে গেছেন, তাদের জন্য কি ব্যাকগ্রাউন্ডে থাকা সঙ্গীত সাহায্য করেছে বলে মনে হয়েছে? নাকি আপনি সম্পূর্ণ নীরবতা "&amp;"পছন্দ করেছেন? সঙ্গীতটি কেবল ইউটিউব থেকে নেওয়া হয়েছে, পিয়ানো ব্যাকগ্রাউন্ড সহ বনের আরামদায়ক নিরাময়কারী শব্দ।")</f>
        <v>আমার ২৪ বছর বয়সী ভাগ্নে তীব্র শ্বাসকষ্টের মধ্য দিয়ে যাচ্ছে। বৃহস্পতিবার থেকে গতকাল শনিবার পর্যন্ত তাকে হাসপাতালে ভর্তি করা হয়েছে। গতকাল প্রথমবার সে চোখ খুলেছে। আজ প্রথমবার সে একা খেতে পেরেছে। আমি আমার আরেক ভাগ্নেকে সাথে নিয়ে তার দেখাশোনা করছি। আমি লক্ষ্য করেছি যে ছোট ছোট শব্দও তাকে উত্তেজিত করে তুলবে, তাই আমরা দুজনেই ঘরের ভেতরে কথা বলি না বরং একে অপরকে ফোনে বার্তা পাঠাই। যারা তীব্র শ্বাসকষ্টের মধ্য দিয়ে গেছেন, তাদের জন্য কি ব্যাকগ্রাউন্ডে থাকা সঙ্গীত সাহায্য করেছে বলে মনে হয়েছে? নাকি আপনি সম্পূর্ণ নীরবতা পছন্দ করেছেন? সঙ্গীতটি কেবল ইউটিউব থেকে নেওয়া হয়েছে, পিয়ানো ব্যাকগ্রাউন্ড সহ বনের আরামদায়ক নিরাময়কারী শব্দ।</v>
      </c>
    </row>
    <row r="44" spans="1:3" ht="15" x14ac:dyDescent="0.25">
      <c r="A44" s="3" t="s">
        <v>46</v>
      </c>
      <c r="B44" s="3" t="s">
        <v>4</v>
      </c>
      <c r="C44" s="4" t="str">
        <f ca="1">IFERROR(__xludf.DUMMYFUNCTION("GOOGLETRANSLATE(A44, ""auto"", ""bn"")"),"আমি সত্যিই হতাশ এবং সত্যিই ভীত। আমি একজন ২৪ বছর বয়সী মহিলা, দুই বছর ধরে মাঝে মাঝে আগাছা ব্যবহার করছি। কিন্তু গত এক মাস আমার উপর খুব খারাপ প্রভাব ফেলেছে। আমি প্রতিদিন ৩-৪ জে সিগারেট জ্বালিয়েছি। যখন, আমি অতিরিক্ত মাত্রায় ধূমপান করতাম, তখন তা আমার জন্য যথে"&amp;"ষ্ট হত না এবং আমি আরও বেশি মাত্রায় ধূমপান করতে চাইতাম। বং হিট এবং জে। আমি জে সিগারেট ধূমপান করতাম এবং তারপর পর্যাপ্ত পরিমাণে হাই খুঁজে পেতাম না, তাই আমি বং হিট খেতাম। আমি নিজেকে প্রতিদিন এবং তারপর প্রতিদিন এটি করতে দেখেছি। তাছাড়া, আমি নিজেকে বলেছিলাম, আমা"&amp;"র কোনও সমস্যা নেই। কিন্তু শেষ পর্যন্ত আমার খুব খারাপ ভ্রমণ হয়েছে যেখানে আমি এলএসডির মতো আরও কঠিন ওষুধ চেষ্টা করতে চেয়েছিলাম। আমি বুঝতে পেরেছিলাম যে আমি এতে আরও কঠিন হয়ে উঠছি এবং আমার সঙ্গীকেও এতে টেনে আনছি। তারা তত ঘন ঘন ধূমপান করে না, কিন্তু আমি যেমন "&amp;"প্রতিদিন ঘরে ধূমপান করতাম, তারা সত্যিই উত্তেজনায় পরিণত হবে। এবং তারপর তারাও শেষ পর্যন্ত ধূমপান করবে। তারা আমার চেয়ে কম বয়সী। ২১. এবং এটি আমাকে ভয় পেয়েছিল এবং আমাকে থামিয়ে দিয়েছে। আমি নিজেকে সত্যিই এই অন্ধকার পথে চলতে দেখেছি এবং জীবন এবং মৃত্যু, কিছ"&amp;"ু গুরুত্বপূর্ণ কিনা এবং পৃথিবী কতটা অন্যায্য জায়গা - এই অস্তিত্বগত প্রশ্নগুলি আমার মধ্যে সর্বদা জমে থাকে। পৃথিবী কতটা জঘন্য, ভয়ঙ্কর মানুষ দিয়ে ভরা। আমার চেহারা, ওজন, চুল এবং আমার ক্যারিয়ার নিয়ে উত্তেজিত হওয়ার পর আমি বেশ কয়েকবার কেঁদেছি। সত্যি বলতে, আম"&amp;"ার ওজন বেশি নয়, আমার ওজন হওয়া উচিত তার চেয়ে ৫ কেজি বেশি, কিন্তু আমি সবসময় শরীরের অস্থিরতার সম্মুখীন হয়েছি। আমি আগে অতিরিক্ত খেতাম, প্রচুর খেতাম এবং তারপর দোষী বোধ করতাম, তাই আমি বমি বমি ভাব করতাম। কিশোর বয়স থেকেই আমার ওজনের সমস্যা ছিল এবং আমি সত্যিই তা "&amp;"থেকে মুক্তি পাওয়ার চেষ্টা করছি। ৫ দিন আগে, আমি আমার পেটের আগাছা ঝেড়ে ফেলেছিলাম। আমি এবং আমার সঙ্গী একসাথে এটি করার সিদ্ধান্ত নিয়েছিলাম। তখন থেকে আমি সত্যিই বিষণ্ণ বোধ করছি। আমার এমন ভয়াবহ বিষণ্ণতা আছে যেখানে আমি কেবল কাঁদতে চাই এবং নিজেকে একজন হেরে যে"&amp;"তে চাই। তদুপরি, যখন আমি আমার ক্যারিয়ার সম্পর্কে চিন্তা করি তখন আমি উদ্বিগ্ন এবং চাপ অনুভব করি এবং আমি নিজেকে জে সিগারেট খেতে চাই, কিন্তু আমি নিজেকে থামিয়ে ফেলি। তাছাড়া, আমার শরীরের সাথে আমার সত্যিই বিচ্ছিন্নতা বোধ হচ্ছে। তাছাড়া, আমার মনে হচ্ছে আমি সিনে"&amp;"মা দেখছি। আমি যখন খুব বেশি উত্তেজনায় ছিলাম তখন ঠিক এমনই অনুভূতি হয়েছিল। আমি যখন বেশ কয়েকবার উত্তেজনায় ছিলাম তখন অনেকবার অনুভব করেছি যে আমি সবসময় এই ধরণের চেতনা এবং সচেতনতা চাই, যখন আমি শান্ত থাকি তখন সেই ধরণের চেতনা আমার থাকে না। আমি জানি না কী হচ্ছে। "&amp;"কিন্তু আমি সত্যিই খুব খারাপ এবং আমার শক্তি নেই। আমি গবেষণা করার চেষ্টা করছি এবং সেই কারণেই আমি এখানে সবকিছু লিখে শেষ করেছি। দয়া করে আমাকে যেকোনো পরামর্শ দিয়ে সাহায্য করুন। আমি অন্ধকার পথে যেতে চাই না এবং মরতে চাই না।")</f>
        <v>আমি সত্যিই হতাশ এবং সত্যিই ভীত। আমি একজন ২৪ বছর বয়সী মহিলা, দুই বছর ধরে মাঝে মাঝে আগাছা ব্যবহার করছি। কিন্তু গত এক মাস আমার উপর খুব খারাপ প্রভাব ফেলেছে। আমি প্রতিদিন ৩-৪ জে সিগারেট জ্বালিয়েছি। যখন, আমি অতিরিক্ত মাত্রায় ধূমপান করতাম, তখন তা আমার জন্য যথেষ্ট হত না এবং আমি আরও বেশি মাত্রায় ধূমপান করতে চাইতাম। বং হিট এবং জে। আমি জে সিগারেট ধূমপান করতাম এবং তারপর পর্যাপ্ত পরিমাণে হাই খুঁজে পেতাম না, তাই আমি বং হিট খেতাম। আমি নিজেকে প্রতিদিন এবং তারপর প্রতিদিন এটি করতে দেখেছি। তাছাড়া, আমি নিজেকে বলেছিলাম, আমার কোনও সমস্যা নেই। কিন্তু শেষ পর্যন্ত আমার খুব খারাপ ভ্রমণ হয়েছে যেখানে আমি এলএসডির মতো আরও কঠিন ওষুধ চেষ্টা করতে চেয়েছিলাম। আমি বুঝতে পেরেছিলাম যে আমি এতে আরও কঠিন হয়ে উঠছি এবং আমার সঙ্গীকেও এতে টেনে আনছি। তারা তত ঘন ঘন ধূমপান করে না, কিন্তু আমি যেমন প্রতিদিন ঘরে ধূমপান করতাম, তারা সত্যিই উত্তেজনায় পরিণত হবে। এবং তারপর তারাও শেষ পর্যন্ত ধূমপান করবে। তারা আমার চেয়ে কম বয়সী। ২১. এবং এটি আমাকে ভয় পেয়েছিল এবং আমাকে থামিয়ে দিয়েছে। আমি নিজেকে সত্যিই এই অন্ধকার পথে চলতে দেখেছি এবং জীবন এবং মৃত্যু, কিছু গুরুত্বপূর্ণ কিনা এবং পৃথিবী কতটা অন্যায্য জায়গা - এই অস্তিত্বগত প্রশ্নগুলি আমার মধ্যে সর্বদা জমে থাকে। পৃথিবী কতটা জঘন্য, ভয়ঙ্কর মানুষ দিয়ে ভরা। আমার চেহারা, ওজন, চুল এবং আমার ক্যারিয়ার নিয়ে উত্তেজিত হওয়ার পর আমি বেশ কয়েকবার কেঁদেছি। সত্যি বলতে, আমার ওজন বেশি নয়, আমার ওজন হওয়া উচিত তার চেয়ে ৫ কেজি বেশি, কিন্তু আমি সবসময় শরীরের অস্থিরতার সম্মুখীন হয়েছি। আমি আগে অতিরিক্ত খেতাম, প্রচুর খেতাম এবং তারপর দোষী বোধ করতাম, তাই আমি বমি বমি ভাব করতাম। কিশোর বয়স থেকেই আমার ওজনের সমস্যা ছিল এবং আমি সত্যিই তা থেকে মুক্তি পাওয়ার চেষ্টা করছি। ৫ দিন আগে, আমি আমার পেটের আগাছা ঝেড়ে ফেলেছিলাম। আমি এবং আমার সঙ্গী একসাথে এটি করার সিদ্ধান্ত নিয়েছিলাম। তখন থেকে আমি সত্যিই বিষণ্ণ বোধ করছি। আমার এমন ভয়াবহ বিষণ্ণতা আছে যেখানে আমি কেবল কাঁদতে চাই এবং নিজেকে একজন হেরে যেতে চাই। তদুপরি, যখন আমি আমার ক্যারিয়ার সম্পর্কে চিন্তা করি তখন আমি উদ্বিগ্ন এবং চাপ অনুভব করি এবং আমি নিজেকে জে সিগারেট খেতে চাই, কিন্তু আমি নিজেকে থামিয়ে ফেলি। তাছাড়া, আমার শরীরের সাথে আমার সত্যিই বিচ্ছিন্নতা বোধ হচ্ছে। তাছাড়া, আমার মনে হচ্ছে আমি সিনেমা দেখছি। আমি যখন খুব বেশি উত্তেজনায় ছিলাম তখন ঠিক এমনই অনুভূতি হয়েছিল। আমি যখন বেশ কয়েকবার উত্তেজনায় ছিলাম তখন অনেকবার অনুভব করেছি যে আমি সবসময় এই ধরণের চেতনা এবং সচেতনতা চাই, যখন আমি শান্ত থাকি তখন সেই ধরণের চেতনা আমার থাকে না। আমি জানি না কী হচ্ছে। কিন্তু আমি সত্যিই খুব খারাপ এবং আমার শক্তি নেই। আমি গবেষণা করার চেষ্টা করছি এবং সেই কারণেই আমি এখানে সবকিছু লিখে শেষ করেছি। দয়া করে আমাকে যেকোনো পরামর্শ দিয়ে সাহায্য করুন। আমি অন্ধকার পথে যেতে চাই না এবং মরতে চাই না।</v>
      </c>
    </row>
    <row r="45" spans="1:3" ht="15" x14ac:dyDescent="0.25">
      <c r="A45" s="3" t="s">
        <v>47</v>
      </c>
      <c r="B45" s="3" t="s">
        <v>4</v>
      </c>
      <c r="C45" s="4" t="str">
        <f ca="1">IFERROR(__xludf.DUMMYFUNCTION("GOOGLETRANSLATE(A45, ""auto"", ""bn"")"),"আমি ১০ বছর ধরে সপ্তাহান্তে আসক্ত এবং প্রতিদিন ধূমপানের নেশায় আসক্ত। আমি বেশিরভাগ সময়ই অ্যালকোহল, স্পিড বা কোকেন এবং সপ্তাহান্তে অতিরিক্ত ধূমপানের প্রতি আসক্ত থাকি। তারপর সপ্তাহের দিনগুলি খুব ক্লান্ত হয়ে কেটে যায়, আমার জীবন পরিচালনা করতে অক্ষম হলেও খুব"&amp;" বেশি কর্মক্ষম থাকি। আমার মনে হয় এই ১০ বছর আগেও আমি আসক্ত ছিলাম। উদাহরণস্বরূপ, আমার প্রাথমিক সংযুক্তি প্রায়শই আমার কম্পিউটার ছিল মানসিক অবহেলার কারণে। আমার স্বামী আমার মতোই একজন আসক্ত, তবে সপ্তাহান্তে কম আসক্ত এবং বেশি ধূমপায়ী। তবে এটা বলা নিরাপদ যে আম"&amp;"ার চারপাশে খুব বেশি শান্ত মানুষ নেই। অনেক বন্ধু নিজেই মাদকাসক্ত। আমি একটি বড় মহানগরীতে থাকি এবং এটি বেশিরভাগ ক্ষেত্রেই স্বাভাবিক (আমার শান্ত বন্ধুও আছে)।")</f>
        <v>আমি ১০ বছর ধরে সপ্তাহান্তে আসক্ত এবং প্রতিদিন ধূমপানের নেশায় আসক্ত। আমি বেশিরভাগ সময়ই অ্যালকোহল, স্পিড বা কোকেন এবং সপ্তাহান্তে অতিরিক্ত ধূমপানের প্রতি আসক্ত থাকি। তারপর সপ্তাহের দিনগুলি খুব ক্লান্ত হয়ে কেটে যায়, আমার জীবন পরিচালনা করতে অক্ষম হলেও খুব বেশি কর্মক্ষম থাকি। আমার মনে হয় এই ১০ বছর আগেও আমি আসক্ত ছিলাম। উদাহরণস্বরূপ, আমার প্রাথমিক সংযুক্তি প্রায়শই আমার কম্পিউটার ছিল মানসিক অবহেলার কারণে। আমার স্বামী আমার মতোই একজন আসক্ত, তবে সপ্তাহান্তে কম আসক্ত এবং বেশি ধূমপায়ী। তবে এটা বলা নিরাপদ যে আমার চারপাশে খুব বেশি শান্ত মানুষ নেই। অনেক বন্ধু নিজেই মাদকাসক্ত। আমি একটি বড় মহানগরীতে থাকি এবং এটি বেশিরভাগ ক্ষেত্রেই স্বাভাবিক (আমার শান্ত বন্ধুও আছে)।</v>
      </c>
    </row>
    <row r="46" spans="1:3" ht="15" x14ac:dyDescent="0.25">
      <c r="A46" s="3" t="s">
        <v>48</v>
      </c>
      <c r="B46" s="3" t="s">
        <v>4</v>
      </c>
      <c r="C46" s="4" t="str">
        <f ca="1">IFERROR(__xludf.DUMMYFUNCTION("GOOGLETRANSLATE(A46, ""auto"", ""bn"")"),"আমার বয়ফ্রেন্ড (২৭) হেরোইনের নেশা থেকে সেরে উঠছে। সে যখন মাদকাসক্ত ছিল তখন আমি তাকে চিনতাম না, কিন্তু এখন আমি তাকে চিনি এবং ভালোবাসি। সে আমাকে বলেছে যে সে আজ রাতে কিছু কাজের বন্ধুদের সাথে বাইরে যাচ্ছে এবং গাঁজা সেবনের পরিকল্পনা করছে। আমি জানি গাঁজা এবং হ"&amp;"েরোইনের তুলনা হয় না, কিন্তু আমি এখনও খুব নার্ভাস এবং নিশ্চিত নই যে এটি একটি ""বুদ্ধিমান"" সিদ্ধান্ত কিনা। কী বলব/অনুভূতি করব সে সম্পর্কে পরামর্শ চাইছি।")</f>
        <v>আমার বয়ফ্রেন্ড (২৭) হেরোইনের নেশা থেকে সেরে উঠছে। সে যখন মাদকাসক্ত ছিল তখন আমি তাকে চিনতাম না, কিন্তু এখন আমি তাকে চিনি এবং ভালোবাসি। সে আমাকে বলেছে যে সে আজ রাতে কিছু কাজের বন্ধুদের সাথে বাইরে যাচ্ছে এবং গাঁজা সেবনের পরিকল্পনা করছে। আমি জানি গাঁজা এবং হেরোইনের তুলনা হয় না, কিন্তু আমি এখনও খুব নার্ভাস এবং নিশ্চিত নই যে এটি একটি "বুদ্ধিমান" সিদ্ধান্ত কিনা। কী বলব/অনুভূতি করব সে সম্পর্কে পরামর্শ চাইছি।</v>
      </c>
    </row>
    <row r="47" spans="1:3" ht="15" x14ac:dyDescent="0.25">
      <c r="A47" s="3" t="s">
        <v>49</v>
      </c>
      <c r="B47" s="3" t="s">
        <v>4</v>
      </c>
      <c r="C47" s="4" t="str">
        <f ca="1">IFERROR(__xludf.DUMMYFUNCTION("GOOGLETRANSLATE(A47, ""auto"", ""bn"")"),"গত কয়েক মাস ধরে আমি পরিষ্কার-পরিচ্ছন্ন থাকার ক্ষেত্রে বেশ ভালো ছিলাম, এমনকি দায়িত্বের সাথে পান করতেও পারতাম, আমার কাছেও গাঁজা ছিল এবং খুব বেশি ব্যবহার করতাম না। তারপর আবার পরিস্থিতি সত্যিই কঠিন হয়ে পড়ে। ডিসপোজেবল ভ্যাপ ব্যবহার শুরু করি, তারপর আমি এনার"&amp;"্জি ড্রিংক পান করতে শুরু করি, তারপর আমি স্কুলে মদ্যপান শুরু করি, তারপর আমি স্কুলে উচ্চশিক্ষায় ছিলাম, আমিও লজ্জা পেয়েছিলাম। আবার এটি ধরে রাখার আগে মাত্র এক সপ্তাহের বিশৃঙ্খলা ছিল, কিন্তু এটি খুব উদ্বেগজনক ছিল, আমার পুরানো স্বভাবে ফিরে যাওয়া কতটা সহজ ছিল"&amp;", কতটা যত্ন না করা কতটা সহজ ছিল। আমি অনুভব করলাম আমার পুরো শরীর আমার উপর চাপা পড়ে গেছে, এবং আমি চালিয়ে যাচ্ছিলাম। আমি নিজেকে ধ্বংস করতে চেয়েছিলাম, এটিই একমাত্র উপায় ছিল যা আমি জানতাম কিভাবে সুস্থ বোধ করতে হবে। এই মুহূর্তে আমি আমার জীবনের সবচেয়ে খারাপ"&amp;" পতনের মধ্যে আছি, গতকাল একবারও বিছানা থেকে উঠিনি, আজ আমি ঘুম থেকে ওঠার একমাত্র কারণ ছিল টয়লেটে যাওয়া। আমার এখন আমার কিছু নেই কিন্তু যদি আমি তা করতাম তবে আমি এটি ব্যবহার করার জন্য খুব বিষণ্ণ হয়ে পড়তাম। আমি মরতে চাই।")</f>
        <v>গত কয়েক মাস ধরে আমি পরিষ্কার-পরিচ্ছন্ন থাকার ক্ষেত্রে বেশ ভালো ছিলাম, এমনকি দায়িত্বের সাথে পান করতেও পারতাম, আমার কাছেও গাঁজা ছিল এবং খুব বেশি ব্যবহার করতাম না। তারপর আবার পরিস্থিতি সত্যিই কঠিন হয়ে পড়ে। ডিসপোজেবল ভ্যাপ ব্যবহার শুরু করি, তারপর আমি এনার্জি ড্রিংক পান করতে শুরু করি, তারপর আমি স্কুলে মদ্যপান শুরু করি, তারপর আমি স্কুলে উচ্চশিক্ষায় ছিলাম, আমিও লজ্জা পেয়েছিলাম। আবার এটি ধরে রাখার আগে মাত্র এক সপ্তাহের বিশৃঙ্খলা ছিল, কিন্তু এটি খুব উদ্বেগজনক ছিল, আমার পুরানো স্বভাবে ফিরে যাওয়া কতটা সহজ ছিল, কতটা যত্ন না করা কতটা সহজ ছিল। আমি অনুভব করলাম আমার পুরো শরীর আমার উপর চাপা পড়ে গেছে, এবং আমি চালিয়ে যাচ্ছিলাম। আমি নিজেকে ধ্বংস করতে চেয়েছিলাম, এটিই একমাত্র উপায় ছিল যা আমি জানতাম কিভাবে সুস্থ বোধ করতে হবে। এই মুহূর্তে আমি আমার জীবনের সবচেয়ে খারাপ পতনের মধ্যে আছি, গতকাল একবারও বিছানা থেকে উঠিনি, আজ আমি ঘুম থেকে ওঠার একমাত্র কারণ ছিল টয়লেটে যাওয়া। আমার এখন আমার কিছু নেই কিন্তু যদি আমি তা করতাম তবে আমি এটি ব্যবহার করার জন্য খুব বিষণ্ণ হয়ে পড়তাম। আমি মরতে চাই।</v>
      </c>
    </row>
    <row r="48" spans="1:3" ht="15" x14ac:dyDescent="0.25">
      <c r="A48" s="3" t="s">
        <v>50</v>
      </c>
      <c r="B48" s="3" t="s">
        <v>4</v>
      </c>
      <c r="C48" s="4" t="str">
        <f ca="1">IFERROR(__xludf.DUMMYFUNCTION("GOOGLETRANSLATE(A48, ""auto"", ""bn"")"),"আসক্তির সাথে লড়াই করা যে কাউকে শক্তিশালী দামি শরুম খাওয়ার এবং পাগলাটে ভ্রমণের জন্য জোরালো পরামর্শ দিচ্ছি। যদি আপনি আপনার আসক্তি এবং অভ্যাস বন্ধ করার লক্ষ্যে এটি করেন ... তাহলে তা ঘটবে !!! এটি, এবং সত্যি বলতে, সাইকেডেলিক্সের অনুভূতি আমার কাছে কোকেন বা সর"&amp;"াসরি ডেন্টিনাল বা অ্যালকোহলের মতো যেকোনো ক্ষতিকারক অনুভূতির চেয়ে অনেক ভালো। আমি খুব ভাগ্যবান যে আমি 4-AcO-MET এর এক ভারী ডোজ পরে কোক নামাতে পেরেছি। মূলত LSD ধরণের ভিজ্যুয়ালের স্পর্শ সহ সিন্থেটিক শরুম, যাই হোক না কেন এটি পাগলাটে ছিল এবং আমি মাসে একবার এই"&amp;" জিনিসটি করতে যাচ্ছি যাতে অ্যালকোহল বা আগাছা ছাড়া স্মিথের প্রতি আমার আকাঙ্ক্ষা ন্যূনতম হয়। প্রায় 2 মাস ধরে আমি এই রাসায়নিক ¼ ACO met? এখন কয়েকবার ব্যবহার করেছি। এবং এটি অনেক সাহায্য করে!! এটি সবার জন্য কাজ নাও করতে পারে বা কাউকে এটি পড়তে সাহায্য নাও"&amp;" করতে পারে, তবে এটি আমাকে সাহায্য করেছে এবং আমি ভেবেছিলাম আমি আমার অভিজ্ঞতা শেয়ার করব।")</f>
        <v>আসক্তির সাথে লড়াই করা যে কাউকে শক্তিশালী দামি শরুম খাওয়ার এবং পাগলাটে ভ্রমণের জন্য জোরালো পরামর্শ দিচ্ছি। যদি আপনি আপনার আসক্তি এবং অভ্যাস বন্ধ করার লক্ষ্যে এটি করেন ... তাহলে তা ঘটবে !!! এটি, এবং সত্যি বলতে, সাইকেডেলিক্সের অনুভূতি আমার কাছে কোকেন বা সরাসরি ডেন্টিনাল বা অ্যালকোহলের মতো যেকোনো ক্ষতিকারক অনুভূতির চেয়ে অনেক ভালো। আমি খুব ভাগ্যবান যে আমি 4-AcO-MET এর এক ভারী ডোজ পরে কোক নামাতে পেরেছি। মূলত LSD ধরণের ভিজ্যুয়ালের স্পর্শ সহ সিন্থেটিক শরুম, যাই হোক না কেন এটি পাগলাটে ছিল এবং আমি মাসে একবার এই জিনিসটি করতে যাচ্ছি যাতে অ্যালকোহল বা আগাছা ছাড়া স্মিথের প্রতি আমার আকাঙ্ক্ষা ন্যূনতম হয়। প্রায় 2 মাস ধরে আমি এই রাসায়নিক ¼ ACO met? এখন কয়েকবার ব্যবহার করেছি। এবং এটি অনেক সাহায্য করে!! এটি সবার জন্য কাজ নাও করতে পারে বা কাউকে এটি পড়তে সাহায্য নাও করতে পারে, তবে এটি আমাকে সাহায্য করেছে এবং আমি ভেবেছিলাম আমি আমার অভিজ্ঞতা শেয়ার করব।</v>
      </c>
    </row>
    <row r="49" spans="1:3" ht="15" x14ac:dyDescent="0.25">
      <c r="A49" s="3" t="s">
        <v>51</v>
      </c>
      <c r="B49" s="3" t="s">
        <v>4</v>
      </c>
      <c r="C49" s="4" t="str">
        <f ca="1">IFERROR(__xludf.DUMMYFUNCTION("GOOGLETRANSLATE(A49, ""auto"", ""bn"")"),"হে বন্ধুরা, ভাবছি তোমাদের মধ্যে কেউ কি আগে নিকোটিন আসক্তি কাটিয়ে উঠেছে এবং তোমরা কী কী উপায় অবলম্বন করেছো। গত এক বছর ধরে আমি ভ্যাপিং (ডিসপোজেবল ভ্যাপ) এর মাধ্যমে নিকোটিন আসক্তিতে আক্রান্ত হয়েছি। মূলত এটি শুরু হয়েছিল কারণ আমি যখন বাইরে যেতাম তখন অন্যদে"&amp;"রও নিকোটিন আসক্তি ছিল এবং আমিও তা করতাম, কিন্তু এখন এমন পর্যায়ে পৌঁছেছে যে আমার সাথে সবসময় একটি থাকে। অদ্ভুত ব্যাপার হল যখন আমি কাজে যাই (সাধারণত প্রায় এক সপ্তাহ) তখন আমি একটি আমার সাথে নিই না এবং যখন আমি বাইরে থাকি তখন আমি এটি মোটেও চাই না, কিন্তু যখন"&amp;"ই আমি বাড়িতে থাকি এবং সহজেই নিকটতম স্মার্ট/তামাকবিকের কাছ থেকে একটি কিনতে পারি তখনই আমার এটি খুব বেশি পছন্দ হয়। ছাড়ার জন্য কোন টিপস বা এটি কীভাবে করা যায় সে সম্পর্কে আপনার কোন সেরা উপায় আছে?")</f>
        <v>হে বন্ধুরা, ভাবছি তোমাদের মধ্যে কেউ কি আগে নিকোটিন আসক্তি কাটিয়ে উঠেছে এবং তোমরা কী কী উপায় অবলম্বন করেছো। গত এক বছর ধরে আমি ভ্যাপিং (ডিসপোজেবল ভ্যাপ) এর মাধ্যমে নিকোটিন আসক্তিতে আক্রান্ত হয়েছি। মূলত এটি শুরু হয়েছিল কারণ আমি যখন বাইরে যেতাম তখন অন্যদেরও নিকোটিন আসক্তি ছিল এবং আমিও তা করতাম, কিন্তু এখন এমন পর্যায়ে পৌঁছেছে যে আমার সাথে সবসময় একটি থাকে। অদ্ভুত ব্যাপার হল যখন আমি কাজে যাই (সাধারণত প্রায় এক সপ্তাহ) তখন আমি একটি আমার সাথে নিই না এবং যখন আমি বাইরে থাকি তখন আমি এটি মোটেও চাই না, কিন্তু যখনই আমি বাড়িতে থাকি এবং সহজেই নিকটতম স্মার্ট/তামাকবিকের কাছ থেকে একটি কিনতে পারি তখনই আমার এটি খুব বেশি পছন্দ হয়। ছাড়ার জন্য কোন টিপস বা এটি কীভাবে করা যায় সে সম্পর্কে আপনার কোন সেরা উপায় আছে?</v>
      </c>
    </row>
    <row r="50" spans="1:3" ht="15" x14ac:dyDescent="0.25">
      <c r="A50" s="3" t="s">
        <v>52</v>
      </c>
      <c r="B50" s="3" t="s">
        <v>4</v>
      </c>
      <c r="C50" s="4" t="str">
        <f ca="1">IFERROR(__xludf.DUMMYFUNCTION("GOOGLETRANSLATE(A50, ""auto"", ""bn"")"),"এই মুহূর্তে আমার জীবনে এটা বারবার ঘটছে বলে মনে হচ্ছে। আবারও মনে হচ্ছে আমি আমার জিনিসপত্র গুছিয়ে নিচ্ছি, কিছুক্ষণ ধরে শান্ত ছিলাম, ডিগ্রি ঠিকঠাক চলছে আনন্দ, আমি শুধু এটা ছেড়ে দেই এবং কোন কারণ ছাড়াই রিলে করি! এটা প্রায় নিয়ন্ত্রণের মতো একটা জিনিস, আমি শ"&amp;"পথ করছি! যেন আমি আমার জীবনের সাথে এতটাই অভ্যস্ত যে যখন সবকিছু ঠিকঠাক চলছে, তখন আমার মস্তিষ্ক কেবল কিছু ঘটবে বলে অপেক্ষা করছে। কিন্তু আমি জানি না সেই জিনিসটি কী হবে। তাই আমি নিজেকে সেই জিনিস করে তুলি! এভাবে জীবন আমাকে ধোঁকা দিতে পারে না। কারণ আমি এটা করছি।"&amp;" দুঃখিত যদি এটি অন্য কোনও সাব-এ ভালো হয়। আমার কেবল নিজের উপর রাগ করার জন্যই আমার রাগ ছিল।")</f>
        <v>এই মুহূর্তে আমার জীবনে এটা বারবার ঘটছে বলে মনে হচ্ছে। আবারও মনে হচ্ছে আমি আমার জিনিসপত্র গুছিয়ে নিচ্ছি, কিছুক্ষণ ধরে শান্ত ছিলাম, ডিগ্রি ঠিকঠাক চলছে আনন্দ, আমি শুধু এটা ছেড়ে দেই এবং কোন কারণ ছাড়াই রিলে করি! এটা প্রায় নিয়ন্ত্রণের মতো একটা জিনিস, আমি শপথ করছি! যেন আমি আমার জীবনের সাথে এতটাই অভ্যস্ত যে যখন সবকিছু ঠিকঠাক চলছে, তখন আমার মস্তিষ্ক কেবল কিছু ঘটবে বলে অপেক্ষা করছে। কিন্তু আমি জানি না সেই জিনিসটি কী হবে। তাই আমি নিজেকে সেই জিনিস করে তুলি! এভাবে জীবন আমাকে ধোঁকা দিতে পারে না। কারণ আমি এটা করছি। দুঃখিত যদি এটি অন্য কোনও সাব-এ ভালো হয়। আমার কেবল নিজের উপর রাগ করার জন্যই আমার রাগ ছিল।</v>
      </c>
    </row>
    <row r="51" spans="1:3" ht="15" x14ac:dyDescent="0.25">
      <c r="A51" s="3" t="s">
        <v>53</v>
      </c>
      <c r="B51" s="3" t="s">
        <v>4</v>
      </c>
      <c r="C51" s="4" t="str">
        <f ca="1">IFERROR(__xludf.DUMMYFUNCTION("GOOGLETRANSLATE(A51, ""auto"", ""bn"")"),"আমার প্রেমিকা ওষুধ খাচ্ছে, আমাদের ৬ মাস বয়সী একটি ছেলে আছে। যখন ছোট ছিল তখন সে দুবার হাসপাতালে ভর্তি হয়েছিল, বড়ির সমস্যায়। আমরা বেশ কিছুদিন ধরেই খুশি ছিলাম এবং আমাদের ছেলেটি আশীর্বাদের বাইরে। গত বৃহস্পতিবার, আমি বাড়িতে ফিরে দেখি সে আমাদের ছেলের সাথে "&amp;"ঘুমাচ্ছে। তার মা এসেছিলেন কারণ তিনি অনুভব করেছিলেন যে কিছু একটা ছিঁড়ে গেছে, যা ছিল। আমরা তার পাশে ভদকার গ্লাস, রিসাইক্লিং বিনে একগুচ্ছ ভদকার ক্যান দেখতে পেলাম, এবং সে একেবারে অজ্ঞান হয়ে গিয়েছিল। আগের দিন সে তার পকেট থেকে ৪টি ক্যালাজোব্লাম (এসপি)ও ফেলে "&amp;"দিয়েছিল (তার আগেও সমস্যা ছিল)। অবশ্যই সে পাগল হয়ে গিয়েছিল, চোখ রক্তাক্ত। অস্পষ্ট কথাবার্তা। পুলিশকে ফোন করে বলেছিল যে আমি আমাদের ছেলেকে চুরি করেছি (আমি তাকে আমার বাবা-মায়ের কাছে নিয়ে গিয়েছিলাম এবং তার মা আমার সাথে ছিলেন) তাকে শান্ত করার জন্য। সে পাগ"&amp;"লামি করে বাজে কথা বলেছিল এবং জুতা ছাড়াই বাইরে দৌড়ে গিয়েছিল। কোন অর্থহীন আমি তাকে ভালো হতে দেখতে সংগ্রাম করছিলাম, সে এখন একজন থেরাপিস্টের কাছে যাচ্ছে, কিন্তু গতকাল আমি লক্ষ্য করেছি যে সে রাত ২ টার সময় দরজা বন্ধ করে বাথরুমে ছিল। আমি নাক ডাকার শব্দ শুনতে"&amp;" পেলাম। আজ সকালে আমি একটা সাদা বড়ি পেলাম যার কোন লেবেল নেই এবং সাদা পাউডার নেই যা সে ভুলেই গেছে। আমি তাকে পাউডার সম্পর্কে জিজ্ঞাসা করলাম কারণ সে বাথরুম পরিষ্কার করেছিল কিন্তু পাউডারটি রেখে গিয়েছিল। সে বলল, ""তুমি এটাকে কী ভাবছো, কোকেইন?"" তার চোখের মণিগ"&amp;"ুলো ছোট এবং শুধু দেখতে খারাপ। তার মা অস্বীকার করছেন। তার আগেও সমস্যা হয়েছে এবং আমি অত্যন্ত বিধ্বস্ত এবং কী করব জানি না।")</f>
        <v>আমার প্রেমিকা ওষুধ খাচ্ছে, আমাদের ৬ মাস বয়সী একটি ছেলে আছে। যখন ছোট ছিল তখন সে দুবার হাসপাতালে ভর্তি হয়েছিল, বড়ির সমস্যায়। আমরা বেশ কিছুদিন ধরেই খুশি ছিলাম এবং আমাদের ছেলেটি আশীর্বাদের বাইরে। গত বৃহস্পতিবার, আমি বাড়িতে ফিরে দেখি সে আমাদের ছেলের সাথে ঘুমাচ্ছে। তার মা এসেছিলেন কারণ তিনি অনুভব করেছিলেন যে কিছু একটা ছিঁড়ে গেছে, যা ছিল। আমরা তার পাশে ভদকার গ্লাস, রিসাইক্লিং বিনে একগুচ্ছ ভদকার ক্যান দেখতে পেলাম, এবং সে একেবারে অজ্ঞান হয়ে গিয়েছিল। আগের দিন সে তার পকেট থেকে ৪টি ক্যালাজোব্লাম (এসপি)ও ফেলে দিয়েছিল (তার আগেও সমস্যা ছিল)। অবশ্যই সে পাগল হয়ে গিয়েছিল, চোখ রক্তাক্ত। অস্পষ্ট কথাবার্তা। পুলিশকে ফোন করে বলেছিল যে আমি আমাদের ছেলেকে চুরি করেছি (আমি তাকে আমার বাবা-মায়ের কাছে নিয়ে গিয়েছিলাম এবং তার মা আমার সাথে ছিলেন) তাকে শান্ত করার জন্য। সে পাগলামি করে বাজে কথা বলেছিল এবং জুতা ছাড়াই বাইরে দৌড়ে গিয়েছিল। কোন অর্থহীন আমি তাকে ভালো হতে দেখতে সংগ্রাম করছিলাম, সে এখন একজন থেরাপিস্টের কাছে যাচ্ছে, কিন্তু গতকাল আমি লক্ষ্য করেছি যে সে রাত ২ টার সময় দরজা বন্ধ করে বাথরুমে ছিল। আমি নাক ডাকার শব্দ শুনতে পেলাম। আজ সকালে আমি একটা সাদা বড়ি পেলাম যার কোন লেবেল নেই এবং সাদা পাউডার নেই যা সে ভুলেই গেছে। আমি তাকে পাউডার সম্পর্কে জিজ্ঞাসা করলাম কারণ সে বাথরুম পরিষ্কার করেছিল কিন্তু পাউডারটি রেখে গিয়েছিল। সে বলল, "তুমি এটাকে কী ভাবছো, কোকেইন?" তার চোখের মণিগুলো ছোট এবং শুধু দেখতে খারাপ। তার মা অস্বীকার করছেন। তার আগেও সমস্যা হয়েছে এবং আমি অত্যন্ত বিধ্বস্ত এবং কী করব জানি না।</v>
      </c>
    </row>
    <row r="52" spans="1:3" ht="15" x14ac:dyDescent="0.25">
      <c r="A52" s="3" t="s">
        <v>54</v>
      </c>
      <c r="B52" s="3" t="s">
        <v>4</v>
      </c>
      <c r="C52" s="4" t="str">
        <f ca="1">IFERROR(__xludf.DUMMYFUNCTION("GOOGLETRANSLATE(A52, ""auto"", ""bn"")"),"আমি হাই স্কুলের একজন জুনিয়র, গত বছর গ্রীষ্মকালীন স্কুলে খুব কমই পাশ করেছি। আমার ৮ বছর ধরে PMO-এর নেশা ছিল, প্রায় মাঝে মাঝেই আমি এটা থেকে মুক্তি পাওয়ার চেষ্টা করেছি। গত বছর আমি নিজেকে নিকোটিনে আসক্ত করে ফেলেছিলাম কারণ আমি নিজেকে সুন্দর দেখাতে চাইছিলাম বা "&amp;"অন্য কিছু, বরং এটি আমাকে একটা আলোড়ন তুলেছিল যা অল্প সময়ের জন্য আমার সৃজনশীলতাকে বাড়িয়ে তুলেছিল। এখন আমি পার্সি ব্যবহার করছি যা আসক্তির দিকে পরিচালিত করতে পারে এবং আমি সত্যিই তা চাই না, আগস্ট থেকে এটি করছি। বর্তমানে, আমি প্রায় প্রতিটি ক্লাসেই ফেল করছি"&amp;"। তারপর আমি ৩ দিন হাসপাতালে গিয়েছিলাম এবং একটি অস্ত্রোপচারের কারণে ৩ সপ্তাহ বাড়িতে ছিলাম। আমি এখনও শেষ সেমিস্টারের কিছু কাজ মেকআপ করতে পারি এবং এটি ৬০-এ আনতে পারি কিন্তু আমি বারবার এটি পিছিয়ে দিচ্ছি। মেকআপের কাজ ২০শে জানুয়ারী থেকে শুরু হয়েছিল এবং এখন"&amp;"ও পিছিয়ে আছে। আমার মনে হচ্ছে যদি আমি এই আসক্তিগুলি বন্ধ করতে পারি তবে আমি আমার জিনিসপত্র একত্রিত করতে এবং নিজেকে শৃঙ্খলাবদ্ধ করতে সক্ষম হব। আমি কীভাবে এটি করব সে সম্পর্কে আমার কিছু প্রকৃত পরামর্শ প্রয়োজন। তাছাড়া, আমার কোন বন্ধু নেই এবং আমি পরিবারের সদস্"&amp;"য এবং পাশে বসা এলোমেলো মানুষ ছাড়া কারো সাথে কথা বলি না, যদি এর কোনও মানেও হয়। তাছাড়া, আমি সাধারণভাবে পরিবর্তন আনতে চাই যাতে আমি এই জিনিসগুলি পেতে পারি কারণ চতুর্থ শ্রেণী থেকে কোনও বন্ধু না পাওয়ায় আমি প্রচুর আত্ম-বিদ্বেষ এবং নিরাপত্তাহীনতায় ভুগছি।")</f>
        <v>আমি হাই স্কুলের একজন জুনিয়র, গত বছর গ্রীষ্মকালীন স্কুলে খুব কমই পাশ করেছি। আমার ৮ বছর ধরে PMO-এর নেশা ছিল, প্রায় মাঝে মাঝেই আমি এটা থেকে মুক্তি পাওয়ার চেষ্টা করেছি। গত বছর আমি নিজেকে নিকোটিনে আসক্ত করে ফেলেছিলাম কারণ আমি নিজেকে সুন্দর দেখাতে চাইছিলাম বা অন্য কিছু, বরং এটি আমাকে একটা আলোড়ন তুলেছিল যা অল্প সময়ের জন্য আমার সৃজনশীলতাকে বাড়িয়ে তুলেছিল। এখন আমি পার্সি ব্যবহার করছি যা আসক্তির দিকে পরিচালিত করতে পারে এবং আমি সত্যিই তা চাই না, আগস্ট থেকে এটি করছি। বর্তমানে, আমি প্রায় প্রতিটি ক্লাসেই ফেল করছি। তারপর আমি ৩ দিন হাসপাতালে গিয়েছিলাম এবং একটি অস্ত্রোপচারের কারণে ৩ সপ্তাহ বাড়িতে ছিলাম। আমি এখনও শেষ সেমিস্টারের কিছু কাজ মেকআপ করতে পারি এবং এটি ৬০-এ আনতে পারি কিন্তু আমি বারবার এটি পিছিয়ে দিচ্ছি। মেকআপের কাজ ২০শে জানুয়ারী থেকে শুরু হয়েছিল এবং এখনও পিছিয়ে আছে। আমার মনে হচ্ছে যদি আমি এই আসক্তিগুলি বন্ধ করতে পারি তবে আমি আমার জিনিসপত্র একত্রিত করতে এবং নিজেকে শৃঙ্খলাবদ্ধ করতে সক্ষম হব। আমি কীভাবে এটি করব সে সম্পর্কে আমার কিছু প্রকৃত পরামর্শ প্রয়োজন। তাছাড়া, আমার কোন বন্ধু নেই এবং আমি পরিবারের সদস্য এবং পাশে বসা এলোমেলো মানুষ ছাড়া কারো সাথে কথা বলি না, যদি এর কোনও মানেও হয়। তাছাড়া, আমি সাধারণভাবে পরিবর্তন আনতে চাই যাতে আমি এই জিনিসগুলি পেতে পারি কারণ চতুর্থ শ্রেণী থেকে কোনও বন্ধু না পাওয়ায় আমি প্রচুর আত্ম-বিদ্বেষ এবং নিরাপত্তাহীনতায় ভুগছি।</v>
      </c>
    </row>
    <row r="53" spans="1:3" ht="15" x14ac:dyDescent="0.25">
      <c r="A53" s="3" t="s">
        <v>55</v>
      </c>
      <c r="B53" s="3" t="s">
        <v>4</v>
      </c>
      <c r="C53" s="4" t="str">
        <f ca="1">IFERROR(__xludf.DUMMYFUNCTION("GOOGLETRANSLATE(A53, ""auto"", ""bn"")"),"প্রতি সপ্তাহান্তে আমি মাতাল হই, তাই আমি প্রায় ২ গ্রাম কোক কিনে ফেলি, যা সপ্তাহে ৭০০ ডলার। আমি একটা বাড়ির জন্য টাকা জমানোর চেষ্টা করছি, আমার বয়স মাত্র ২৪, কিন্তু আমি নিজেকে সামলাতে পারছি না। কেউ কি নিজেকে থামাতে পারে তার কোন ধারণা আছে কারণ এটা ধীরে ধীরে"&amp;" আমাকে গ্রাস করছে।")</f>
        <v>প্রতি সপ্তাহান্তে আমি মাতাল হই, তাই আমি প্রায় ২ গ্রাম কোক কিনে ফেলি, যা সপ্তাহে ৭০০ ডলার। আমি একটা বাড়ির জন্য টাকা জমানোর চেষ্টা করছি, আমার বয়স মাত্র ২৪, কিন্তু আমি নিজেকে সামলাতে পারছি না। কেউ কি নিজেকে থামাতে পারে তার কোন ধারণা আছে কারণ এটা ধীরে ধীরে আমাকে গ্রাস করছে।</v>
      </c>
    </row>
    <row r="54" spans="1:3" ht="15" x14ac:dyDescent="0.25">
      <c r="A54" s="3" t="s">
        <v>56</v>
      </c>
      <c r="B54" s="3" t="s">
        <v>4</v>
      </c>
      <c r="C54" s="4" t="str">
        <f ca="1">IFERROR(__xludf.DUMMYFUNCTION("GOOGLETRANSLATE(A54, ""auto"", ""bn"")"),"আমি সিজোফ্রেনিয়ায় আক্রান্ত একজন পলি-আসক্ত। আমার জীবনের এমন একটা সময় কেটেছে যখন পৃথিবীতে আমার কাছে একমাত্র গুরুত্বপূর্ণ জিনিস ছিল মাদক। আমার সবচেয়ে ভালো বন্ধুদের একজন যখন আমরা ১৯ বছর বয়সে সিস্টিক ফাইব্রোসিসের কারণে মারা গিয়েছিলাম। আমার বয়স এখন প্রায"&amp;"় ২২। আমি এটা সহ্য করতে পারছিলাম না। আমি ১৬ বছর বয়সে প্রথমে বেজোসের প্রতি আসক্ত হয়ে পড়েছিলাম, কারণ ""উদ্বেগজনিত ব্যাধি"" (যা আমার সিজোফ্রেনিয়ার প্রোড্রোমাল পর্যায়ে পরিণত হয়েছিল, এবং দেখা গেল যে আমার অ্যান্টিসাইকোটিকের প্রয়োজন ছিল, বেজোসের নয়) কারণ"&amp;"ে আমার মনোরোগ বিশেষজ্ঞের কাছ থেকে জ্যানাক্সের প্রেসক্রিপশন পেয়েছিলাম। শীঘ্রই আমি প্রতিদিন ১০ মিলিগ্রাম জ্যানাক্স গ্রহণ করতে শুরু করি, কখনও কখনও ১৫ মিলিগ্রাম। তাদের কাছে আসা আমার পক্ষে খুব সহজ ছিল তাই আমি সেগুলি চালিয়ে যেতে থাকি। আমি এতে আতঙ্কিত হয়ে পড়"&amp;"েছিলাম এবং এটি সম্পর্কে কারও সাথে কথা বলিনি এবং শীঘ্রই আমি ঠান্ডা হয়ে যাই। আমার খিঁচুনি হয়েছিল, হাসপাতালে যেতে হয়েছিল এবং বেঞ্জ ব্যবহারে ভর্তি হতে হয়েছিল। আমাকে একটি টেপার প্রোগ্রামে রাখা হয়েছিল। তারপর থেকে বেজোসকে স্পর্শ করিনি, তিনটি রিল্যাপস ছাড়া "&amp;"যা আমার খুব একটা ভালো লাগে না, কিন্তু এটাই তো তাই। যখন আমার বন্ধু মারা গেল, আমি হামাগুড়ি দিয়ে মদের বোতলে ঢুকে পড়লাম এবং খুব জোরে জড়িয়ে ধরলাম। আমি প্রতিদিন দেড় বোতল ভদকা পান করতাম। ঘুমের মধ্যে বমি করতাম এবং পরিষ্কার করার মানসিক শক্তি আমার ছিল না, তাই"&amp;" আমি নিজের বমিতেই ঘন্টার পর ঘন্টা ঘুমাতাম। মনে হচ্ছিল এটা একেবারেই খারাপ। আমি ভুল ছিলাম। আমার একজন খুব উদ্বিগ্ন অধ্যাপক আমাকে একজন মনোরোগ বিশেষজ্ঞের সাথে অ্যাপয়েন্টমেন্ট করেছিলেন এবং তাকে সেখানে যাওয়ার প্রতিশ্রুতি দিয়েছিলেন। মনোরোগ বিশেষজ্ঞ বলেছিলেন যে"&amp;" আমার তাৎক্ষণিকভাবে ইনপেশেন্ট কেয়ার প্রয়োজন, এবং অ্যালকোহল থেকে ডিটক্স করার জন্য আমাকে একটি মনোরোগ ওয়ার্ডে ভর্তি করার পরপরই। আমার প্রতিবাদ সত্ত্বেও, তারা আমাকে ডায়াজেপাম দিয়েছিল, যেহেতু আমার ইতিমধ্যেই খিঁচুনি হয়েছিল। প্রত্যাহারের সময়, আমার প্রথম বড"&amp;"় মানসিক রোগ হয়েছিল। আমি অবিশ্বাস্যভাবে ভীত হয়ে পড়েছিলাম, ভাবছিলাম আমি ভোগান্তিতে পড়েছি, ভাবছিলাম আমি ব্যক্তিগতভাবে আমার বন্ধুকে হত্যা করেছি, ভাবছিলাম আমি অন্য বন্ধুদের আত্মহত্যার জন্য দায়ী, ভেবেছিলাম ডাক্তাররা আমার চিন্তাভাবনা পড়তে এবং হস্তক্ষেপ কর"&amp;"তে পারে, এবং আমি অনেক বাজে কণ্ঠস্বর শুনতে পাচ্ছিলাম, সর্বদা সেখানে, সর্বদা আমার যা কিছু করে তার উপর মন্তব্য করছিলাম। আমাকে অ্যান্টিসাইকোটিকস দেওয়া হয়েছিল। ২ মাস ধরে মানসিক চিকিৎসার পর, আমি যখনই মানসিক ওয়ার্ড থেকে বেরিয়ে আসি, তখনই আমি ওষুধ খেতে শুরু করি য"&amp;"েন কাল বলে কিছু নেই। পার্টিতে দ্রুতগতিতে ওষুধ খাওয়া শুরু করেছিলাম, আর যখন আমি আরসি-র জগৎ আবিষ্কার করি তখন সবকিছুই বেড়ে যায়। আমি যতগুলো আরসি-র কথা বলতে পারি, সেগুলো সবই আমি বারবার খেয়ে ফেলেছি। ডালপালা, ডিস্কো, সাইকেডেলিক্স, ওপিওয়েড, এগুলো সবই। আমার মা"&amp;"নসিক স্বাস্থ্যের তীব্র অবনতি ঘটে এবং আমি এমন এক পর্যায়ে পৌঁছে যাই যেখানে আমি আর বেঁচে আছি না মারা গেছি তা নিয়ে আমার আর কোন মাথাব্যথা ছিল না। উচ্চতা ছিল ঊর্ধ্বমুখী, এবং নিম্নমুখী অবস্থা ছিল ভয়াবহ। এই সবের পরিণতি একদিন, কোনও উল্লেখযোগ্য আফিম সহনশীলতা ছাড"&amp;"়াই, আমি ৭০ মিলিগ্রাম মরফিন, ৩০ মিলিগ্রাম অক্সিকোডোন, ৭ মিলিগ্রাম জ্যানাক্স গ্রহণ করি এবং কয়েকটি পানীয় গ্রহণ করি। স্বাভাবিকভাবেই আমার শ্বাস বন্ধ হয়ে যায় এবং আমার ঠোঁট এবং হাত নীল হয়ে যায়। আমার পরিচিত কয়েকজন আমার অ্যাপার্টমেন্ট ভবনের সামনের দরজায় আ"&amp;"মাকে অচেতন অবস্থায় দেখতে পান এবং একটি অ্যাম্বুলেন্স ডাকা হয়। আমার জীবন রক্ষা পায়। যখন আমাকে ছেড়ে দেওয়া হলো, তখন আমি আমার জীবনের সবচেয়ে বড় নেশায় ডুবে গেলাম। এক সপ্তাহ ঘুমাইনি। তারপর আমি এলএসডি নেওয়ার সিদ্ধান্ত নিলাম, যা ছিল এক ভয়াবহ, ভয়াবহ, ভয়াবহ ধারণা"&amp;"। নরক থেকে এক যাত্রার পর, অবশেষে আমার মনে এলো। আমি একেবারে তলানিতে পৌঁছে গেছি। যদি এখনই সুস্থ না হই, তাহলে আমি মারা যাব। আমি আবার সাইক ওয়ার্ডে নিজেকে পরীক্ষা করেছিলাম, এবং সেই প্রাথমিক ওষুধ পরীক্ষায় তারা যা পরীক্ষা করছিল তার সবই পজিটিভ এসেছে। আমি আরও দুই"&amp;" মাস ছিলাম, এবং এবার আমি পুরোপুরি সুস্থ হওয়ার জন্য নিজেকে নিবেদিতপ্রাণ করেছিলাম। এটি আমার উপর কাজ করতে হয়েছিল, এবং আমাকে শিখতে হয়েছিল কিভাবে আমার স্কিজোফ্রেনিয়া নিয়ন্ত্রণে আনা যায়। আমার বন্ধুরা যা বর্ণনা করে তা আমি অলৌকিকভাবে আরোগ্য লাভ করেছি। আমি আমা"&amp;"র পরিবারের সাথে থাকার জন্য আমার দেশে ফিরে এসেছি। আমি মানসিক চিকিৎসা পেয়েছি এবং এমন ওষুধ খাওয়ানো হয়েছিল যা আসলে আমাকে কাজ করতে সাহায্য করে। তারপর থেকে আমার খুব বেশি মানসিক রোগের লক্ষণ দেখা যায়নি। দেড় বছর পর, আমি স্কুলে ভর্তি হলাম এবং ভালো করছি, আমার অন"&amp;"েক বন্ধু এবং অনেক শখ আছে, আমি নিজেকে সাহায্য করার জন্য প্রতিবন্ধী ভাতা পাচ্ছি, এবং আমি আমার অসুস্থতা মোকাবেলা করার অনেক স্বাস্থ্যকর উপায় শিখেছি, ধ্বংসাত্মক না হয়ে। পুনরুত্থানের ভয় প্রতিদিন আমার উপর কালো মেঘের মতো চেপে বসে। আমি মনে মনে ভাবি, হয়তো তুমি "&amp;"এবার দায়িত্বের সাথে মাদক গ্রহণ করতে পারো, হয়তো তুমি একবারই তা করতে পারো। আমার লোভ আছে। কিন্তু আমি জানি যে আমি পারব না। একবার আমি আবার শুরু করলে, আমি যা অর্জন করার জন্য এত চেষ্টা করেছি তা সবই নষ্ট হয়ে যাবে। যদি আমি পুনরুত্থান করি, তাহলে এটি আমার নতুন ভি"&amp;"ত্তি হবে। মাদক সম্পর্কিত সাবরেডিটগুলিতে অংশগ্রহণ করে এবং অন্যদের সাথে আমার অভিজ্ঞতা এবং জ্ঞান ভাগ করে নেওয়ার মাধ্যমে, আমি অন্যদের মাধ্যমে, নিজে ফিরে যেতে না চাওয়ার মাধ্যমে, মাদক জীবনযাপন করার একটি উপায় খুঁজে পেয়েছি। আমি এই সমস্ত লেখাটি লিখেছি কারণ আমি"&amp;" তোমাদের সাথে আমার গল্প ভাগ করে নিতে চেয়েছিলাম, কিন্তু আশার বার্তা হিসেবেও। এটি আরও ভালো হয়ে যায়। এটি এমন মনে নাও হতে পারে, কিন্তু সত্যিই, সত্যিই, এটি আরও ভালো হয়ে যায়। এর জন্য আপনাকে খুব কঠোর লড়াই করতে হবে, তবে এটি আরও ভালো হয়ে যায়। আমি কখনো কল্প"&amp;"নাও করতে পারিনি যে আমি আবারও সুস্থ জীবনযাপন করতে পারব, কিন্তু এখানে আমি প্রতিদিনই তা মিথ্যা প্রমাণ করছি। সবসময় আশা থাকে, কখনও তা হারাবেন না। আপনি এটি করতে পারেন এবং এটি আরও ভালো হয়ে ওঠে।")</f>
        <v>আমি সিজোফ্রেনিয়ায় আক্রান্ত একজন পলি-আসক্ত। আমার জীবনের এমন একটা সময় কেটেছে যখন পৃথিবীতে আমার কাছে একমাত্র গুরুত্বপূর্ণ জিনিস ছিল মাদক। আমার সবচেয়ে ভালো বন্ধুদের একজন যখন আমরা ১৯ বছর বয়সে সিস্টিক ফাইব্রোসিসের কারণে মারা গিয়েছিলাম। আমার বয়স এখন প্রায় ২২। আমি এটা সহ্য করতে পারছিলাম না। আমি ১৬ বছর বয়সে প্রথমে বেজোসের প্রতি আসক্ত হয়ে পড়েছিলাম, কারণ "উদ্বেগজনিত ব্যাধি" (যা আমার সিজোফ্রেনিয়ার প্রোড্রোমাল পর্যায়ে পরিণত হয়েছিল, এবং দেখা গেল যে আমার অ্যান্টিসাইকোটিকের প্রয়োজন ছিল, বেজোসের নয়) কারণে আমার মনোরোগ বিশেষজ্ঞের কাছ থেকে জ্যানাক্সের প্রেসক্রিপশন পেয়েছিলাম। শীঘ্রই আমি প্রতিদিন ১০ মিলিগ্রাম জ্যানাক্স গ্রহণ করতে শুরু করি, কখনও কখনও ১৫ মিলিগ্রাম। তাদের কাছে আসা আমার পক্ষে খুব সহজ ছিল তাই আমি সেগুলি চালিয়ে যেতে থাকি। আমি এতে আতঙ্কিত হয়ে পড়েছিলাম এবং এটি সম্পর্কে কারও সাথে কথা বলিনি এবং শীঘ্রই আমি ঠান্ডা হয়ে যাই। আমার খিঁচুনি হয়েছিল, হাসপাতালে যেতে হয়েছিল এবং বেঞ্জ ব্যবহারে ভর্তি হতে হয়েছিল। আমাকে একটি টেপার প্রোগ্রামে রাখা হয়েছিল। তারপর থেকে বেজোসকে স্পর্শ করিনি, তিনটি রিল্যাপস ছাড়া যা আমার খুব একটা ভালো লাগে না, কিন্তু এটাই তো তাই। যখন আমার বন্ধু মারা গেল, আমি হামাগুড়ি দিয়ে মদের বোতলে ঢুকে পড়লাম এবং খুব জোরে জড়িয়ে ধরলাম। আমি প্রতিদিন দেড় বোতল ভদকা পান করতাম। ঘুমের মধ্যে বমি করতাম এবং পরিষ্কার করার মানসিক শক্তি আমার ছিল না, তাই আমি নিজের বমিতেই ঘন্টার পর ঘন্টা ঘুমাতাম। মনে হচ্ছিল এটা একেবারেই খারাপ। আমি ভুল ছিলাম। আমার একজন খুব উদ্বিগ্ন অধ্যাপক আমাকে একজন মনোরোগ বিশেষজ্ঞের সাথে অ্যাপয়েন্টমেন্ট করেছিলেন এবং তাকে সেখানে যাওয়ার প্রতিশ্রুতি দিয়েছিলেন। মনোরোগ বিশেষজ্ঞ বলেছিলেন যে আমার তাৎক্ষণিকভাবে ইনপেশেন্ট কেয়ার প্রয়োজন, এবং অ্যালকোহল থেকে ডিটক্স করার জন্য আমাকে একটি মনোরোগ ওয়ার্ডে ভর্তি করার পরপরই। আমার প্রতিবাদ সত্ত্বেও, তারা আমাকে ডায়াজেপাম দিয়েছিল, যেহেতু আমার ইতিমধ্যেই খিঁচুনি হয়েছিল। প্রত্যাহারের সময়, আমার প্রথম বড় মানসিক রোগ হয়েছিল। আমি অবিশ্বাস্যভাবে ভীত হয়ে পড়েছিলাম, ভাবছিলাম আমি ভোগান্তিতে পড়েছি, ভাবছিলাম আমি ব্যক্তিগতভাবে আমার বন্ধুকে হত্যা করেছি, ভাবছিলাম আমি অন্য বন্ধুদের আত্মহত্যার জন্য দায়ী, ভেবেছিলাম ডাক্তাররা আমার চিন্তাভাবনা পড়তে এবং হস্তক্ষেপ করতে পারে, এবং আমি অনেক বাজে কণ্ঠস্বর শুনতে পাচ্ছিলাম, সর্বদা সেখানে, সর্বদা আমার যা কিছু করে তার উপর মন্তব্য করছিলাম। আমাকে অ্যান্টিসাইকোটিকস দেওয়া হয়েছিল। ২ মাস ধরে মানসিক চিকিৎসার পর, আমি যখনই মানসিক ওয়ার্ড থেকে বেরিয়ে আসি, তখনই আমি ওষুধ খেতে শুরু করি যেন কাল বলে কিছু নেই। পার্টিতে দ্রুতগতিতে ওষুধ খাওয়া শুরু করেছিলাম, আর যখন আমি আরসি-র জগৎ আবিষ্কার করি তখন সবকিছুই বেড়ে যায়। আমি যতগুলো আরসি-র কথা বলতে পারি, সেগুলো সবই আমি বারবার খেয়ে ফেলেছি। ডালপালা, ডিস্কো, সাইকেডেলিক্স, ওপিওয়েড, এগুলো সবই। আমার মানসিক স্বাস্থ্যের তীব্র অবনতি ঘটে এবং আমি এমন এক পর্যায়ে পৌঁছে যাই যেখানে আমি আর বেঁচে আছি না মারা গেছি তা নিয়ে আমার আর কোন মাথাব্যথা ছিল না। উচ্চতা ছিল ঊর্ধ্বমুখী, এবং নিম্নমুখী অবস্থা ছিল ভয়াবহ। এই সবের পরিণতি একদিন, কোনও উল্লেখযোগ্য আফিম সহনশীলতা ছাড়াই, আমি ৭০ মিলিগ্রাম মরফিন, ৩০ মিলিগ্রাম অক্সিকোডোন, ৭ মিলিগ্রাম জ্যানাক্স গ্রহণ করি এবং কয়েকটি পানীয় গ্রহণ করি। স্বাভাবিকভাবেই আমার শ্বাস বন্ধ হয়ে যায় এবং আমার ঠোঁট এবং হাত নীল হয়ে যায়। আমার পরিচিত কয়েকজন আমার অ্যাপার্টমেন্ট ভবনের সামনের দরজায় আমাকে অচেতন অবস্থায় দেখতে পান এবং একটি অ্যাম্বুলেন্স ডাকা হয়। আমার জীবন রক্ষা পায়। যখন আমাকে ছেড়ে দেওয়া হলো, তখন আমি আমার জীবনের সবচেয়ে বড় নেশায় ডুবে গেলাম। এক সপ্তাহ ঘুমাইনি। তারপর আমি এলএসডি নেওয়ার সিদ্ধান্ত নিলাম, যা ছিল এক ভয়াবহ, ভয়াবহ, ভয়াবহ ধারণা। নরক থেকে এক যাত্রার পর, অবশেষে আমার মনে এলো। আমি একেবারে তলানিতে পৌঁছে গেছি। যদি এখনই সুস্থ না হই, তাহলে আমি মারা যাব। আমি আবার সাইক ওয়ার্ডে নিজেকে পরীক্ষা করেছিলাম, এবং সেই প্রাথমিক ওষুধ পরীক্ষায় তারা যা পরীক্ষা করছিল তার সবই পজিটিভ এসেছে। আমি আরও দুই মাস ছিলাম, এবং এবার আমি পুরোপুরি সুস্থ হওয়ার জন্য নিজেকে নিবেদিতপ্রাণ করেছিলাম। এটি আমার উপর কাজ করতে হয়েছিল, এবং আমাকে শিখতে হয়েছিল কিভাবে আমার স্কিজোফ্রেনিয়া নিয়ন্ত্রণে আনা যায়। আমার বন্ধুরা যা বর্ণনা করে তা আমি অলৌকিকভাবে আরোগ্য লাভ করেছি। আমি আমার পরিবারের সাথে থাকার জন্য আমার দেশে ফিরে এসেছি। আমি মানসিক চিকিৎসা পেয়েছি এবং এমন ওষুধ খাওয়ানো হয়েছিল যা আসলে আমাকে কাজ করতে সাহায্য করে। তারপর থেকে আমার খুব বেশি মানসিক রোগের লক্ষণ দেখা যায়নি। দেড় বছর পর, আমি স্কুলে ভর্তি হলাম এবং ভালো করছি, আমার অনেক বন্ধু এবং অনেক শখ আছে, আমি নিজেকে সাহায্য করার জন্য প্রতিবন্ধী ভাতা পাচ্ছি, এবং আমি আমার অসুস্থতা মোকাবেলা করার অনেক স্বাস্থ্যকর উপায় শিখেছি, ধ্বংসাত্মক না হয়ে। পুনরুত্থানের ভয় প্রতিদিন আমার উপর কালো মেঘের মতো চেপে বসে। আমি মনে মনে ভাবি, হয়তো তুমি এবার দায়িত্বের সাথে মাদক গ্রহণ করতে পারো, হয়তো তুমি একবারই তা করতে পারো। আমার লোভ আছে। কিন্তু আমি জানি যে আমি পারব না। একবার আমি আবার শুরু করলে, আমি যা অর্জন করার জন্য এত চেষ্টা করেছি তা সবই নষ্ট হয়ে যাবে। যদি আমি পুনরুত্থান করি, তাহলে এটি আমার নতুন ভিত্তি হবে। মাদক সম্পর্কিত সাবরেডিটগুলিতে অংশগ্রহণ করে এবং অন্যদের সাথে আমার অভিজ্ঞতা এবং জ্ঞান ভাগ করে নেওয়ার মাধ্যমে, আমি অন্যদের মাধ্যমে, নিজে ফিরে যেতে না চাওয়ার মাধ্যমে, মাদক জীবনযাপন করার একটি উপায় খুঁজে পেয়েছি। আমি এই সমস্ত লেখাটি লিখেছি কারণ আমি তোমাদের সাথে আমার গল্প ভাগ করে নিতে চেয়েছিলাম, কিন্তু আশার বার্তা হিসেবেও। এটি আরও ভালো হয়ে যায়। এটি এমন মনে নাও হতে পারে, কিন্তু সত্যিই, সত্যিই, এটি আরও ভালো হয়ে যায়। এর জন্য আপনাকে খুব কঠোর লড়াই করতে হবে, তবে এটি আরও ভালো হয়ে যায়। আমি কখনো কল্পনাও করতে পারিনি যে আমি আবারও সুস্থ জীবনযাপন করতে পারব, কিন্তু এখানে আমি প্রতিদিনই তা মিথ্যা প্রমাণ করছি। সবসময় আশা থাকে, কখনও তা হারাবেন না। আপনি এটি করতে পারেন এবং এটি আরও ভালো হয়ে ওঠে।</v>
      </c>
    </row>
    <row r="55" spans="1:3" ht="15" x14ac:dyDescent="0.25">
      <c r="A55" s="3" t="s">
        <v>57</v>
      </c>
      <c r="B55" s="3" t="s">
        <v>4</v>
      </c>
      <c r="C55" s="4" t="str">
        <f ca="1">IFERROR(__xludf.DUMMYFUNCTION("GOOGLETRANSLATE(A55, ""auto"", ""bn"")"),"আমার ডাক্তার আমাকে ২৪ ঘন্টা ব্যবহার না করার জন্য বলেছিলেন। তারপর আমি অফিসে আসি এবং তিনি সাবক্সোন লিখে দেন। আমি যখন ১২ মিলিগ্রাম স্ট্রিপটি নিই তখন আমার পা ঝিনঝিন করছে, অস্থির পা, মুখে শ্লেষ্মা, ঠান্ডা কিন্তু ঘাম হচ্ছে। আমি তাৎক্ষণিকভাবে প্রত্যাহারের দিকে এ"&amp;"গিয়ে গেলাম। সবকিছুই খারাপ হয়ে গেল। বমি বমি ভাব, ব্যথা এবং তরল ডায়রিয়া। (দুঃখিত TMI)। আমি এবং আমার স্বামী একই সময়ে এবং একই অভিজ্ঞতায় একসাথে এটি করেছি। ফেন্টানাইল বন্ধ করার সর্বোত্তম উপায় কী? সাবক্সোন কি আদৌ কাজ করে? যদি আমি অ্যাটম ব্যবহার করি, তাহলে"&amp;" আমি কীভাবে সাবক্সোন ব্যবহার করেছি তা পরিবর্তন করব? আপনার সময়ের জন্য ধন্যবাদ।")</f>
        <v>আমার ডাক্তার আমাকে ২৪ ঘন্টা ব্যবহার না করার জন্য বলেছিলেন। তারপর আমি অফিসে আসি এবং তিনি সাবক্সোন লিখে দেন। আমি যখন ১২ মিলিগ্রাম স্ট্রিপটি নিই তখন আমার পা ঝিনঝিন করছে, অস্থির পা, মুখে শ্লেষ্মা, ঠান্ডা কিন্তু ঘাম হচ্ছে। আমি তাৎক্ষণিকভাবে প্রত্যাহারের দিকে এগিয়ে গেলাম। সবকিছুই খারাপ হয়ে গেল। বমি বমি ভাব, ব্যথা এবং তরল ডায়রিয়া। (দুঃখিত TMI)। আমি এবং আমার স্বামী একই সময়ে এবং একই অভিজ্ঞতায় একসাথে এটি করেছি। ফেন্টানাইল বন্ধ করার সর্বোত্তম উপায় কী? সাবক্সোন কি আদৌ কাজ করে? যদি আমি অ্যাটম ব্যবহার করি, তাহলে আমি কীভাবে সাবক্সোন ব্যবহার করেছি তা পরিবর্তন করব? আপনার সময়ের জন্য ধন্যবাদ।</v>
      </c>
    </row>
    <row r="56" spans="1:3" ht="15" x14ac:dyDescent="0.25">
      <c r="A56" s="3" t="s">
        <v>58</v>
      </c>
      <c r="B56" s="3" t="s">
        <v>4</v>
      </c>
      <c r="C56" s="4" t="str">
        <f ca="1">IFERROR(__xludf.DUMMYFUNCTION("GOOGLETRANSLATE(A56, ""auto"", ""bn"")"),"আমি আসক্ত নই কিন্তু এটা ভাগ করে নেওয়ার মতো কোথাও নেই। মূলত আমার ১৮তম জন্মদিন উদযাপন করতে আমি এবং আমার বন্ধুরা একসাথে খাই, পান করি এবং ধূমপান করি। এটি ছিল আমার জীবনের প্রথমবারের মতো গাঁজা ধূমপান, যদিও আমি আগেও হ্যাশ ধূমপান করেছি। আমি সম্পূর্ণরূপে অজ্ঞান হ"&amp;"য়ে পড়েছিলাম এবং আমার পা নিয়ন্ত্রণ করতে না পারার কারণে ক্রমাগত অন্ধকারে ভুগছিলাম। এটি মাত্র ৩ ঘন্টা আগে ঘটেছিল, আমি জীবনে কখনও এটি স্পর্শ করিনি !!!")</f>
        <v>আমি আসক্ত নই কিন্তু এটা ভাগ করে নেওয়ার মতো কোথাও নেই। মূলত আমার ১৮তম জন্মদিন উদযাপন করতে আমি এবং আমার বন্ধুরা একসাথে খাই, পান করি এবং ধূমপান করি। এটি ছিল আমার জীবনের প্রথমবারের মতো গাঁজা ধূমপান, যদিও আমি আগেও হ্যাশ ধূমপান করেছি। আমি সম্পূর্ণরূপে অজ্ঞান হয়ে পড়েছিলাম এবং আমার পা নিয়ন্ত্রণ করতে না পারার কারণে ক্রমাগত অন্ধকারে ভুগছিলাম। এটি মাত্র ৩ ঘন্টা আগে ঘটেছিল, আমি জীবনে কখনও এটি স্পর্শ করিনি !!!</v>
      </c>
    </row>
    <row r="57" spans="1:3" ht="15" x14ac:dyDescent="0.25">
      <c r="A57" s="3" t="s">
        <v>59</v>
      </c>
      <c r="B57" s="3" t="s">
        <v>4</v>
      </c>
      <c r="C57" s="4" t="str">
        <f ca="1">IFERROR(__xludf.DUMMYFUNCTION("GOOGLETRANSLATE(A57, ""auto"", ""bn"")"),"আমার বয়স ১৫ বছর (হাই-স্কুলের দ্বিতীয় বর্ষে)। আমি বড়ি, গাঁজা এবং ভ্যাপিং-এর প্রতি আসক্ত হয়ে পড়েছি। যতবারই আমি এগুলো বন্ধ করার চেষ্টা করি, ততবারই অসুস্থ হয়ে পড়ি। এগুলোও এত আসক্তিকর। গত স্কুল বছরে এই আসক্তি শুরু হয়েছিল মে মাসের দিকে। তখন আমি অনেক সমস্যার মধ্"&amp;"য দিয়ে যাচ্ছিলাম এবং স্কুলে আমার অনেক ক্রুদ্ধ বন্ধু ছিল। আমি শুনেছিলাম যে মাদক মনকে শান্ত করতে সাহায্য করে, তাই আমি আমার বন্ধুদের জিজ্ঞাসা করেছিলাম যে আমি কি এটা চেষ্টা করে দেখতে পারি। গাঁজা শুধু আমার মনকে শান্ত করতে সাহায্য করেনি, বরং এটি আমাকে ঘুমাতেও স"&amp;"াহায্য করেছে, এবং এটি আসলে আমাকে শান্ত বোধ করায়। যাইহোক, সময়ের সাথে সাথে এই পরিস্থিতি আরও খারাপ হতে থাকে। আমি পরিবারের সাথে ধূমপান করতে এবং পার্টিতে যাওয়ার পরিকল্পনা বাতিল করতে শুরু করি। এই স্কুল বছরে কঠিন ক্লাস এবং সবকিছুর সাথে আমার আসক্তি আরও খারাপ হয"&amp;"়ে গেছে। আমি ধূমপানের জন্য ক্লাস এড়িয়ে যেতেও শুরু করেছি। আমার গ্রেড বেশ খারাপ কারণ আমি আমার কাজ করি না কারণ প্রতিবার ক্লাসে গেলেই আমার হয় ঘুম আসে অথবা ঘুম আসে।")</f>
        <v>আমার বয়স ১৫ বছর (হাই-স্কুলের দ্বিতীয় বর্ষে)। আমি বড়ি, গাঁজা এবং ভ্যাপিং-এর প্রতি আসক্ত হয়ে পড়েছি। যতবারই আমি এগুলো বন্ধ করার চেষ্টা করি, ততবারই অসুস্থ হয়ে পড়ি। এগুলোও এত আসক্তিকর। গত স্কুল বছরে এই আসক্তি শুরু হয়েছিল মে মাসের দিকে। তখন আমি অনেক সমস্যার মধ্য দিয়ে যাচ্ছিলাম এবং স্কুলে আমার অনেক ক্রুদ্ধ বন্ধু ছিল। আমি শুনেছিলাম যে মাদক মনকে শান্ত করতে সাহায্য করে, তাই আমি আমার বন্ধুদের জিজ্ঞাসা করেছিলাম যে আমি কি এটা চেষ্টা করে দেখতে পারি। গাঁজা শুধু আমার মনকে শান্ত করতে সাহায্য করেনি, বরং এটি আমাকে ঘুমাতেও সাহায্য করেছে, এবং এটি আসলে আমাকে শান্ত বোধ করায়। যাইহোক, সময়ের সাথে সাথে এই পরিস্থিতি আরও খারাপ হতে থাকে। আমি পরিবারের সাথে ধূমপান করতে এবং পার্টিতে যাওয়ার পরিকল্পনা বাতিল করতে শুরু করি। এই স্কুল বছরে কঠিন ক্লাস এবং সবকিছুর সাথে আমার আসক্তি আরও খারাপ হয়ে গেছে। আমি ধূমপানের জন্য ক্লাস এড়িয়ে যেতেও শুরু করেছি। আমার গ্রেড বেশ খারাপ কারণ আমি আমার কাজ করি না কারণ প্রতিবার ক্লাসে গেলেই আমার হয় ঘুম আসে অথবা ঘুম আসে।</v>
      </c>
    </row>
    <row r="58" spans="1:3" ht="15" x14ac:dyDescent="0.25">
      <c r="A58" s="3" t="s">
        <v>60</v>
      </c>
      <c r="B58" s="3" t="s">
        <v>4</v>
      </c>
      <c r="C58" s="4" t="str">
        <f ca="1">IFERROR(__xludf.DUMMYFUNCTION("GOOGLETRANSLATE(A58, ""auto"", ""bn"")"),"তাই - আমার খুব কষ্ট হচ্ছে কারণ আমার সব বয়ফ্রেন্ডের ঘনিষ্ঠ বন্ধুরা নিয়মিত কোক এবং জ্যানাক্স সেবন করে। আমার বয়ফ্রেন্ড প্রচুর পরিমাণে আগাছা জাতীয় দৈনিক ধূমপান করে যা নিজেই একটি সমস্যা (আবার, তার নিজের উপলব্ধি), কিন্তু আমি বলব না যে তার অন্য কোনও মাদকের স"&amp;"াথে সমস্যা আছে। সে যখন ছোট ছিল তখন সে মাদক গ্রহণ করেছিল, কিন্তু সে আমাকে বলেছে যে এটি কখনই খুব বেশি সমস্যা ছিল না, এবং সে যখনই ছেড়ে দিতে পারে। সে ""ছেড়ে দিয়েছে?"" আমাদের সম্পর্কের সময় কয়েকবারই আগাছা খেয়েছে এবং অনেক খুশি হয়েছে - কিন্তু তারপর আমি জান"&amp;"ি না। বিরক্ত হয়ে গেছি? যাই হোক - সে এই বন্ধুদের সাথে খুব বেশি সময় কাটায় না, কারণ সে একজন গৃহিণী। কিন্তু যখন সে (সাধারণত শহরের বাইরে থাকে কারণ তারা সবাই চলে গেছে) তখন সে কোকে অতিরিক্ত মাত্রায় নেয়, সোশ্যাল মিডিয়ায় অপ্রয়োজনীয় ছবি পোস্ট করে (ভয়াবহ কিছু নয়,"&amp;" স্পষ্টতই উচ্চমাত্রায়), এবং তারপর ঘুম থেকে উঠে আমাকে বলে যে তার সমস্যা আছে, সে খুব লজ্জিত, খারাপ লাগছে ইত্যাদি। আমাকে বিভ্রান্ত করে যে তার প্রতিদিনের কোনও সমস্যা নেই - কিন্তু যখন সে বন্ধুদের সাথে বাইরে বের হয় তখন এটি সম্পূর্ণ ভিন্ন গল্প, সে সমস্ত নিয়ন্ত্"&amp;"রণ হারিয়ে ফেলে এবং বলে যে তার একটি সমস্যা আছে। আমি আগেও তার এবং বন্ধুদের সাথে বাইরে গিয়েছি এবং সত্যি বলতে সে একটি দুঃস্বপ্ন। তার কোনও নিয়ন্ত্রণ নেই, সে খুব বেশি পান করে, খুব বেশি কোক খায়, এবং সে একজন সাধারণ মানুষ। সে আমার সাথে ভালো আচরণ করে না, এবং এটি"&amp;" আমার জন্য বিরক্তিকর কারণ সে সাধারণত খুব মিষ্টি লোক। এমনকি তার বন্ধুরাও এমন ছিল?? দোস্ত, তুমি তার সাথে এমন আচরণ করতে পারো না? মনে হচ্ছে সে একমাত্র ব্যক্তি যে অন্য কারো হয়ে যায় - বাকিরা তাদের মতোই সুন্দর, কিন্তু উচ্চমাত্রার। আমি সেই মেয়ে হতে চাইছি না যে "&amp;"তাকে বলে যে তার সব বন্ধুদের ছেড়ে দিতে কারণ তারা তাকে টেনে তোলে - কিন্তু প্রতিবার যখন সে তাদের সাথে থাকে তখন সে এমন একজন যাকে আমি চিনি না? এমনকি তার বন্ধুরাও চাপ দিচ্ছে না, কেবল যখন সে তাদের আশেপাশে থাকে, তখন সে চাপ অনুভব করে? সে এমন একজন লোক যার কাছে সবাই"&amp;" পরামর্শের জন্য আসে, সান্ত্বনা দেয়, এবং তার সব বন্ধুদের জন্য দায়ী বোধ করে। আমরা প্রায়শই কোথাও ভ্রমণের পরিকল্পনা করি, অথবা কারো সাথে দেখা করতে যাই, তারপর সে উত্তেজিত হয়, একেবারে পাগল হয়ে যায়, এবং তারপর পুরো ভ্রমণটি কয়েকদিন ধরে নষ্ট হয়ে যায়, এবং সে"&amp;" লজ্জিত বোধ করে। এবং আমার জন্য কঠিন অংশ হল, সে সম্পূর্ণরূপে জানে যে এই সবকিছু ঘটতে চলেছে। তবুও, যাইহোক, এটি করে এবং তারপর নিজেকে হেরে যাওয়ার মতো মনে হয়। পরবর্তী পদক্ষেপ নেওয়ার জন্য আমার কেবল কিছু পরামর্শ প্রয়োজন কারণ আমি জানি না এটি আসক্তি, নাকি অন্য ক"&amp;"িছু। কখনও কখনও এটি আরও বেশি মনে হয় যে সে তার বন্ধুদের প্রভাবিত করার চেষ্টা করছে নাকি অন্য কিছু - এবং তার পদ্ধতি উদ্বেগজনক। প্রতিবার সে তাদের দেখতে গেলে সে চুল কাটা করে, এবং একগুচ্ছ নতুন পোশাক কিনে তার সেরা দেখানোর চেষ্টা করে। হয়তো এটা শুধু আমিই, কিন্তু আ"&amp;"মার বন্ধুরা যদি মনে করে আমি দেখতে সবচেয়ে ভালো, হা হা হা - আমি এখানে শান্ত হওয়ার জন্য আছি। ভাবছি - এখানে কিছু একটা ঘটছে। তার আগে আমার আসক্তির কোনও অভিজ্ঞতা ছিল না, এবং আমি এর সাথে লড়াইও করি না, তাই আমি আসলে অন্ধকারে নেভিগেট করছি এবং আমার কিছু সাহায্যের প্"&amp;"রয়োজন।")</f>
        <v>তাই - আমার খুব কষ্ট হচ্ছে কারণ আমার সব বয়ফ্রেন্ডের ঘনিষ্ঠ বন্ধুরা নিয়মিত কোক এবং জ্যানাক্স সেবন করে। আমার বয়ফ্রেন্ড প্রচুর পরিমাণে আগাছা জাতীয় দৈনিক ধূমপান করে যা নিজেই একটি সমস্যা (আবার, তার নিজের উপলব্ধি), কিন্তু আমি বলব না যে তার অন্য কোনও মাদকের সাথে সমস্যা আছে। সে যখন ছোট ছিল তখন সে মাদক গ্রহণ করেছিল, কিন্তু সে আমাকে বলেছে যে এটি কখনই খুব বেশি সমস্যা ছিল না, এবং সে যখনই ছেড়ে দিতে পারে। সে "ছেড়ে দিয়েছে?" আমাদের সম্পর্কের সময় কয়েকবারই আগাছা খেয়েছে এবং অনেক খুশি হয়েছে - কিন্তু তারপর আমি জানি না। বিরক্ত হয়ে গেছি? যাই হোক - সে এই বন্ধুদের সাথে খুব বেশি সময় কাটায় না, কারণ সে একজন গৃহিণী। কিন্তু যখন সে (সাধারণত শহরের বাইরে থাকে কারণ তারা সবাই চলে গেছে) তখন সে কোকে অতিরিক্ত মাত্রায় নেয়, সোশ্যাল মিডিয়ায় অপ্রয়োজনীয় ছবি পোস্ট করে (ভয়াবহ কিছু নয়, স্পষ্টতই উচ্চমাত্রায়), এবং তারপর ঘুম থেকে উঠে আমাকে বলে যে তার সমস্যা আছে, সে খুব লজ্জিত, খারাপ লাগছে ইত্যাদি। আমাকে বিভ্রান্ত করে যে তার প্রতিদিনের কোনও সমস্যা নেই - কিন্তু যখন সে বন্ধুদের সাথে বাইরে বের হয় তখন এটি সম্পূর্ণ ভিন্ন গল্প, সে সমস্ত নিয়ন্ত্রণ হারিয়ে ফেলে এবং বলে যে তার একটি সমস্যা আছে। আমি আগেও তার এবং বন্ধুদের সাথে বাইরে গিয়েছি এবং সত্যি বলতে সে একটি দুঃস্বপ্ন। তার কোনও নিয়ন্ত্রণ নেই, সে খুব বেশি পান করে, খুব বেশি কোক খায়, এবং সে একজন সাধারণ মানুষ। সে আমার সাথে ভালো আচরণ করে না, এবং এটি আমার জন্য বিরক্তিকর কারণ সে সাধারণত খুব মিষ্টি লোক। এমনকি তার বন্ধুরাও এমন ছিল?? দোস্ত, তুমি তার সাথে এমন আচরণ করতে পারো না? মনে হচ্ছে সে একমাত্র ব্যক্তি যে অন্য কারো হয়ে যায় - বাকিরা তাদের মতোই সুন্দর, কিন্তু উচ্চমাত্রার। আমি সেই মেয়ে হতে চাইছি না যে তাকে বলে যে তার সব বন্ধুদের ছেড়ে দিতে কারণ তারা তাকে টেনে তোলে - কিন্তু প্রতিবার যখন সে তাদের সাথে থাকে তখন সে এমন একজন যাকে আমি চিনি না? এমনকি তার বন্ধুরাও চাপ দিচ্ছে না, কেবল যখন সে তাদের আশেপাশে থাকে, তখন সে চাপ অনুভব করে? সে এমন একজন লোক যার কাছে সবাই পরামর্শের জন্য আসে, সান্ত্বনা দেয়, এবং তার সব বন্ধুদের জন্য দায়ী বোধ করে। আমরা প্রায়শই কোথাও ভ্রমণের পরিকল্পনা করি, অথবা কারো সাথে দেখা করতে যাই, তারপর সে উত্তেজিত হয়, একেবারে পাগল হয়ে যায়, এবং তারপর পুরো ভ্রমণটি কয়েকদিন ধরে নষ্ট হয়ে যায়, এবং সে লজ্জিত বোধ করে। এবং আমার জন্য কঠিন অংশ হল, সে সম্পূর্ণরূপে জানে যে এই সবকিছু ঘটতে চলেছে। তবুও, যাইহোক, এটি করে এবং তারপর নিজেকে হেরে যাওয়ার মতো মনে হয়। পরবর্তী পদক্ষেপ নেওয়ার জন্য আমার কেবল কিছু পরামর্শ প্রয়োজন কারণ আমি জানি না এটি আসক্তি, নাকি অন্য কিছু। কখনও কখনও এটি আরও বেশি মনে হয় যে সে তার বন্ধুদের প্রভাবিত করার চেষ্টা করছে নাকি অন্য কিছু - এবং তার পদ্ধতি উদ্বেগজনক। প্রতিবার সে তাদের দেখতে গেলে সে চুল কাটা করে, এবং একগুচ্ছ নতুন পোশাক কিনে তার সেরা দেখানোর চেষ্টা করে। হয়তো এটা শুধু আমিই, কিন্তু আমার বন্ধুরা যদি মনে করে আমি দেখতে সবচেয়ে ভালো, হা হা হা - আমি এখানে শান্ত হওয়ার জন্য আছি। ভাবছি - এখানে কিছু একটা ঘটছে। তার আগে আমার আসক্তির কোনও অভিজ্ঞতা ছিল না, এবং আমি এর সাথে লড়াইও করি না, তাই আমি আসলে অন্ধকারে নেভিগেট করছি এবং আমার কিছু সাহায্যের প্রয়োজন।</v>
      </c>
    </row>
    <row r="59" spans="1:3" ht="15" x14ac:dyDescent="0.25">
      <c r="A59" s="3" t="s">
        <v>61</v>
      </c>
      <c r="B59" s="3" t="s">
        <v>4</v>
      </c>
      <c r="C59" s="4" t="str">
        <f ca="1">IFERROR(__xludf.DUMMYFUNCTION("GOOGLETRANSLATE(A59, ""auto"", ""bn"")"),"আমি পলিসাবস্ট্যান্স অপব্যবহার ব্যাধিতে আক্রান্ত একজন সিজোফ্রেনিক। আমি অতিরিক্ত ওষুধের জন্য নির্ধারিত বেজোস এবং উদ্দীপক ওষুধ ব্যবহার করি। স্কুলের চাপ বৃদ্ধির সাথে সাথে বেজোসের চাহিদাও বৃদ্ধি পেয়েছে। আমার মনে হচ্ছে আমি আমার ডাক্তারের কাছ থেকে আরও বেজোস চাও"&amp;"য়ার এক অবিরাম চক্রে আছি। ইতিমধ্যেই 3mg ক্লোনোপিন গ্রহণ করে, আমি চার পর্যন্ত বৃদ্ধি পেতে চেষ্টা করছি, যেন এতে আমার সমস্যাগুলি কোনওভাবে সমাধান হয়ে যাবে। আমি প্রতি রাতে Kr atom ব্যবহার করি, এবং আমার গাঁজার পদার্থ অপব্যবহার ব্যাধি রয়েছে। আমি কেবল এটি থেকে "&amp;"দূরে থাকতে পারি না এবং আমি ধূমপান করতে পারি না, মানসিক রোগে আক্রান্ত না হয়ে। তাছাড়া, আমি জানি পরিস্থিতি সর্বদা খারাপ হতে পারে, কিন্তু পরের সপ্তাহে আমার একটি পরীক্ষা আছে জেনে আমি ইতিমধ্যেই আমার বেজোসের উপর দুবার ডোজ দ্বিগুণ করেছি, এবং আমি নিয়মিতভাবে আমার"&amp;" অ্যাড স্ক্রিপ্ট দ্বিগুণ গ্রহণ করি কারণ এটি আগের মতো কাজ করে না। আমার কার্যকারিতার জন্য আমি সম্পূর্ণরূপে অন্য লোকের উপর নির্ভরশীল। তাছাড়া, আমি লিজে স্বাক্ষর করতে পারছি না, আমার কাছে কোনও টাকা নেই, আমি কি অক্ষমতার জন্য অপেক্ষা করছি, এবং আমার জীবনের জন্য আম"&amp;"ি মনে করি না যে আমি ব্যবসায়িক স্কুলের জন্য আমার এক্সেল কোর্সটি পাস করতে পারব। আমার মনে হতে শুরু করেছে যে আমি মোটেও স্কুল শেষ করতে পারব না। তাছাড়া, আমার চিন্তা করার প্রবণতা আছে এবং এটি মূলত আমার বুক থেকে তাড়াহুড়ো করার জন্য, কিন্তু আমি মানসিক চাপ মোকাবে"&amp;"লা করার ক্ষমতা নিয়ে সত্যিই চিন্তিত। মনে হচ্ছে আমি কখনও একটি অপরিহার্য জীবন দক্ষতা শিখিনি এবং থেরাপি এখনও সহায়ক হয়নি। আমার সত্যিই এমন কাউকে দরকার যে আমাকে বলবে যে সবকিছু ঠিক হয়ে যাবে - আমার পরীক্ষা পৃথিবীর শেষ নয়, এখানে বা সেখানে খারাপ গ্রেড এই ক্ষেত্"&amp;"রে আমার সমস্ত কঠোর পরিশ্রম নষ্ট করবে না। সবচেয়ে বড় কথা আমার জানা দরকার যে লোকেরা কীভাবে এটি করে। যখন আমি আমার ক্লাসের চাপ মোকাবেলা করতে পারছি না তখন কি আমার ওষুধ কমানোর চেষ্টা করা শুরু করা উচিত? আমি এমন পর্যায়ে নেই যেখানে এটি আমার জীবনে আরও বড় গর্ত তৈ"&amp;"রি করার চেয়ে বেশি প্রভাব ফেলছে। কোন পরামর্শ? মাঝে মাঝে আমার মনে হয় যে আমি আমার ওষুধের যোগ্য কারণ সিজোফ্রেনিয়ায় জীবন একেবারেই দুর্বিষহ। কীভাবে উত্তেজনা কমানো যায় এবং ক্রমবর্ধমান খারাপ সমস্যা? যখন কোনও চাপপূর্ণ ঘটনা ঘটে তখন আমি তাৎক্ষণিকভাবে একটি বড়ি "&amp;"খাওয়ার চেষ্টা করি। আমি সত্যি বলতে কি জানি না যদি আমার সেই ক্ষমতা না থাকত তাহলে আমি কীভাবে বাঁচতাম।")</f>
        <v>আমি পলিসাবস্ট্যান্স অপব্যবহার ব্যাধিতে আক্রান্ত একজন সিজোফ্রেনিক। আমি অতিরিক্ত ওষুধের জন্য নির্ধারিত বেজোস এবং উদ্দীপক ওষুধ ব্যবহার করি। স্কুলের চাপ বৃদ্ধির সাথে সাথে বেজোসের চাহিদাও বৃদ্ধি পেয়েছে। আমার মনে হচ্ছে আমি আমার ডাক্তারের কাছ থেকে আরও বেজোস চাওয়ার এক অবিরাম চক্রে আছি। ইতিমধ্যেই 3mg ক্লোনোপিন গ্রহণ করে, আমি চার পর্যন্ত বৃদ্ধি পেতে চেষ্টা করছি, যেন এতে আমার সমস্যাগুলি কোনওভাবে সমাধান হয়ে যাবে। আমি প্রতি রাতে Kr atom ব্যবহার করি, এবং আমার গাঁজার পদার্থ অপব্যবহার ব্যাধি রয়েছে। আমি কেবল এটি থেকে দূরে থাকতে পারি না এবং আমি ধূমপান করতে পারি না, মানসিক রোগে আক্রান্ত না হয়ে। তাছাড়া, আমি জানি পরিস্থিতি সর্বদা খারাপ হতে পারে, কিন্তু পরের সপ্তাহে আমার একটি পরীক্ষা আছে জেনে আমি ইতিমধ্যেই আমার বেজোসের উপর দুবার ডোজ দ্বিগুণ করেছি, এবং আমি নিয়মিতভাবে আমার অ্যাড স্ক্রিপ্ট দ্বিগুণ গ্রহণ করি কারণ এটি আগের মতো কাজ করে না। আমার কার্যকারিতার জন্য আমি সম্পূর্ণরূপে অন্য লোকের উপর নির্ভরশীল। তাছাড়া, আমি লিজে স্বাক্ষর করতে পারছি না, আমার কাছে কোনও টাকা নেই, আমি কি অক্ষমতার জন্য অপেক্ষা করছি, এবং আমার জীবনের জন্য আমি মনে করি না যে আমি ব্যবসায়িক স্কুলের জন্য আমার এক্সেল কোর্সটি পাস করতে পারব। আমার মনে হতে শুরু করেছে যে আমি মোটেও স্কুল শেষ করতে পারব না। তাছাড়া, আমার চিন্তা করার প্রবণতা আছে এবং এটি মূলত আমার বুক থেকে তাড়াহুড়ো করার জন্য, কিন্তু আমি মানসিক চাপ মোকাবেলা করার ক্ষমতা নিয়ে সত্যিই চিন্তিত। মনে হচ্ছে আমি কখনও একটি অপরিহার্য জীবন দক্ষতা শিখিনি এবং থেরাপি এখনও সহায়ক হয়নি। আমার সত্যিই এমন কাউকে দরকার যে আমাকে বলবে যে সবকিছু ঠিক হয়ে যাবে - আমার পরীক্ষা পৃথিবীর শেষ নয়, এখানে বা সেখানে খারাপ গ্রেড এই ক্ষেত্রে আমার সমস্ত কঠোর পরিশ্রম নষ্ট করবে না। সবচেয়ে বড় কথা আমার জানা দরকার যে লোকেরা কীভাবে এটি করে। যখন আমি আমার ক্লাসের চাপ মোকাবেলা করতে পারছি না তখন কি আমার ওষুধ কমানোর চেষ্টা করা শুরু করা উচিত? আমি এমন পর্যায়ে নেই যেখানে এটি আমার জীবনে আরও বড় গর্ত তৈরি করার চেয়ে বেশি প্রভাব ফেলছে। কোন পরামর্শ? মাঝে মাঝে আমার মনে হয় যে আমি আমার ওষুধের যোগ্য কারণ সিজোফ্রেনিয়ায় জীবন একেবারেই দুর্বিষহ। কীভাবে উত্তেজনা কমানো যায় এবং ক্রমবর্ধমান খারাপ সমস্যা? যখন কোনও চাপপূর্ণ ঘটনা ঘটে তখন আমি তাৎক্ষণিকভাবে একটি বড়ি খাওয়ার চেষ্টা করি। আমি সত্যি বলতে কি জানি না যদি আমার সেই ক্ষমতা না থাকত তাহলে আমি কীভাবে বাঁচতাম।</v>
      </c>
    </row>
    <row r="60" spans="1:3" ht="15" x14ac:dyDescent="0.25">
      <c r="A60" s="3" t="s">
        <v>62</v>
      </c>
      <c r="B60" s="3" t="s">
        <v>4</v>
      </c>
      <c r="C60" s="4" t="str">
        <f ca="1">IFERROR(__xludf.DUMMYFUNCTION("GOOGLETRANSLATE(A60, ""auto"", ""bn"")"),"অনেক দিন ধরে, প্রায় ৭ বছর ধরে আমি মাদকের ব্যবহারে ভুগছি, অবশেষে ২০১৭ সালের দিকে আমার অবস্থা সবচেয়ে খারাপ হয়ে ওঠে যেখানে দশ সপ্তাহ ধরে আমি প্রচুর অর্থ উড়িয়ে ফেলি। এতে আমার যা কিছু ছিল তার প্রায় সবকিছুই খরচ হয়ে যায় এবং আমি নিজেকে সুস্থ রাখতে সক্ষম হই। ২০২১ "&amp;"সালের মাঝামাঝি পর্যন্ত আমি কাজ করতাম না, তাই আমি নিজেকে চাকরি খুঁজে বের করার সিদ্ধান্ত নিই এবং শেষ পর্যন্ত এমন একটি চাকরিতে যাই যেখানে বেশিরভাগ কর্মীই কোনও না কোনও ধরণের মাদক ব্যবহার করত, তা সে কোক হোক বা আগাছা। আমি আগে ভাবতাম যে আমি এই তাগিদ বা প্রলোভন প"&amp;"্রতিরোধ করার জন্য যথেষ্ট শক্তিশালী হব, কিন্তু শেষ পর্যন্ত আমি আবারও সেই পথে ফিরে যাই। আমি এমন এক পর্যায়ে এসেছি যেখানে আমার বান্ধবী আমার দেশে কাজ করার জন্য চাকরি খুঁজছে, সে ইউরোপ থেকে এবং আমি নিজে যুক্তরাজ্য থেকে, সে আমার কোনও মাদক ব্যবহারের কথা জানে না, এ"&amp;"বং আমার মনে হচ্ছে যেন আমি তাকে বলি যে সে আমাদের ২ বছরের সম্পর্ক চালিয়ে যেতে চাইবে না। তাছাড়া, আমি যে চাকরিতে কাজ করতাম তা ছেড়ে দিয়েছি এবং আমার গাড়ি বিক্রি করে দিয়েছি, কিন্তু অপরাধবোধ এবং আত্মসম্মানবোধের অভাব আগের চেয়েও তীব্র হয়ে উঠেছে। বর্তমানে আমি আর কি"&amp;"ছু করতে চাই না, মাঝে মাঝে মনে হচ্ছে আমি এখানে থাকতে চাই না। তাছাড়া, আমি কেবল চাই যে এমন কিছু থাকুক যা সাহায্য করবে, কারণ আমার কাছের মানুষদের কাছে আমার অনুভূতি প্রকাশ করতে আমি বিরক্ত। তাছাড়া, আমি কেবল এই ভয়াবহ অনুভূতি থেকে মুক্তি পেতে চাই।")</f>
        <v>অনেক দিন ধরে, প্রায় ৭ বছর ধরে আমি মাদকের ব্যবহারে ভুগছি, অবশেষে ২০১৭ সালের দিকে আমার অবস্থা সবচেয়ে খারাপ হয়ে ওঠে যেখানে দশ সপ্তাহ ধরে আমি প্রচুর অর্থ উড়িয়ে ফেলি। এতে আমার যা কিছু ছিল তার প্রায় সবকিছুই খরচ হয়ে যায় এবং আমি নিজেকে সুস্থ রাখতে সক্ষম হই। ২০২১ সালের মাঝামাঝি পর্যন্ত আমি কাজ করতাম না, তাই আমি নিজেকে চাকরি খুঁজে বের করার সিদ্ধান্ত নিই এবং শেষ পর্যন্ত এমন একটি চাকরিতে যাই যেখানে বেশিরভাগ কর্মীই কোনও না কোনও ধরণের মাদক ব্যবহার করত, তা সে কোক হোক বা আগাছা। আমি আগে ভাবতাম যে আমি এই তাগিদ বা প্রলোভন প্রতিরোধ করার জন্য যথেষ্ট শক্তিশালী হব, কিন্তু শেষ পর্যন্ত আমি আবারও সেই পথে ফিরে যাই। আমি এমন এক পর্যায়ে এসেছি যেখানে আমার বান্ধবী আমার দেশে কাজ করার জন্য চাকরি খুঁজছে, সে ইউরোপ থেকে এবং আমি নিজে যুক্তরাজ্য থেকে, সে আমার কোনও মাদক ব্যবহারের কথা জানে না, এবং আমার মনে হচ্ছে যেন আমি তাকে বলি যে সে আমাদের ২ বছরের সম্পর্ক চালিয়ে যেতে চাইবে না। তাছাড়া, আমি যে চাকরিতে কাজ করতাম তা ছেড়ে দিয়েছি এবং আমার গাড়ি বিক্রি করে দিয়েছি, কিন্তু অপরাধবোধ এবং আত্মসম্মানবোধের অভাব আগের চেয়েও তীব্র হয়ে উঠেছে। বর্তমানে আমি আর কিছু করতে চাই না, মাঝে মাঝে মনে হচ্ছে আমি এখানে থাকতে চাই না। তাছাড়া, আমি কেবল চাই যে এমন কিছু থাকুক যা সাহায্য করবে, কারণ আমার কাছের মানুষদের কাছে আমার অনুভূতি প্রকাশ করতে আমি বিরক্ত। তাছাড়া, আমি কেবল এই ভয়াবহ অনুভূতি থেকে মুক্তি পেতে চাই।</v>
      </c>
    </row>
    <row r="61" spans="1:3" ht="15" x14ac:dyDescent="0.25">
      <c r="A61" s="3" t="s">
        <v>63</v>
      </c>
      <c r="B61" s="3" t="s">
        <v>4</v>
      </c>
      <c r="C61" s="4" t="str">
        <f ca="1">IFERROR(__xludf.DUMMYFUNCTION("GOOGLETRANSLATE(A61, ""auto"", ""bn"")"),"২০তম দিনেও কোক পান করিনি। আমার তীব্র আকাঙ্ক্ষা হচ্ছে। আমি যতদিন ধরে কোক পান করিনি, এখনও তীব্র আকাঙ্ক্ষা আছে। মাসের শেষ নাগাদ আমার বেতন পাওয়া যায়নি এবং আমার আকাঙ্ক্ষা এতটাই তীব্র ছিল যে আমি ২৫০ ডলার ধার নিয়েছিলাম, অষ্টম দিন, কিছু ভদকা কিনেছিলাম এবং একবারেই"&amp;" সব শুঁকে ফেলেছিলাম। ক্লান্তি কমে গেছে এবং অপরাধবোধ হচ্ছে। কীভাবে আকাঙ্ক্ষা মোকাবেলা করতে হবে তার কোন ধারণা আছে?")</f>
        <v>২০তম দিনেও কোক পান করিনি। আমার তীব্র আকাঙ্ক্ষা হচ্ছে। আমি যতদিন ধরে কোক পান করিনি, এখনও তীব্র আকাঙ্ক্ষা আছে। মাসের শেষ নাগাদ আমার বেতন পাওয়া যায়নি এবং আমার আকাঙ্ক্ষা এতটাই তীব্র ছিল যে আমি ২৫০ ডলার ধার নিয়েছিলাম, অষ্টম দিন, কিছু ভদকা কিনেছিলাম এবং একবারেই সব শুঁকে ফেলেছিলাম। ক্লান্তি কমে গেছে এবং অপরাধবোধ হচ্ছে। কীভাবে আকাঙ্ক্ষা মোকাবেলা করতে হবে তার কোন ধারণা আছে?</v>
      </c>
    </row>
    <row r="62" spans="1:3" ht="15" x14ac:dyDescent="0.25">
      <c r="A62" s="3" t="s">
        <v>64</v>
      </c>
      <c r="B62" s="3" t="s">
        <v>4</v>
      </c>
      <c r="C62" s="4" t="str">
        <f ca="1">IFERROR(__xludf.DUMMYFUNCTION("GOOGLETRANSLATE(A62, ""auto"", ""bn"")"),"রিল্যাপসের হার বেশি। কারণ চিকিৎসার মডেল কাজ করে না। চিকিৎসা ১০ শতাংশ ক্ষেত্রেই উচ্চ পর্যায়ে কাজ করে। এটিকে একটি রোগ হিসেবে বিবেচনা করা হয়, যদিও বাস্তবে এটি আমাদের সবচেয়ে বুদ্ধিমান, সংবেদনশীল মানুষদের একটি লক্ষণ যারা একটি ভুয়া জগতে বাস করে, তাদের মানসি"&amp;"ক আঘাতের শিকার।")</f>
        <v>রিল্যাপসের হার বেশি। কারণ চিকিৎসার মডেল কাজ করে না। চিকিৎসা ১০ শতাংশ ক্ষেত্রেই উচ্চ পর্যায়ে কাজ করে। এটিকে একটি রোগ হিসেবে বিবেচনা করা হয়, যদিও বাস্তবে এটি আমাদের সবচেয়ে বুদ্ধিমান, সংবেদনশীল মানুষদের একটি লক্ষণ যারা একটি ভুয়া জগতে বাস করে, তাদের মানসিক আঘাতের শিকার।</v>
      </c>
    </row>
    <row r="63" spans="1:3" ht="15" x14ac:dyDescent="0.25">
      <c r="A63" s="3" t="s">
        <v>65</v>
      </c>
      <c r="B63" s="3" t="s">
        <v>4</v>
      </c>
      <c r="C63" s="4" t="str">
        <f ca="1">IFERROR(__xludf.DUMMYFUNCTION("GOOGLETRANSLATE(A63, ""auto"", ""bn"")"),"আমি নিজের উপর এতটাই বিরক্ত। আমি ৩ বছর ধরে কোকেনের নেশায় ভুগছি এবং আজ সারাদিন আমার সাথে কিছু একটা ঠিকঠাক লাগছে না। তাছাড়া, আমি আসলে এটা বর্ণনা করতে পারব না কিন্তু আমি আমার নেতিবাচক চিন্তাভাবনাগুলিকে এতটা দূরে সরিয়ে দিতে পারিনি যে আমি তাদের দখলে নিতে বাধ"&amp;"্য হয়েছি। তাছাড়া, আমি জানতাম যে এটি ঘটবে। তাছাড়া, আমি আবারও সেই নেশায় আক্রান্ত হয়ে পড়েছিলাম এবং আমার পুরানো ধ্বংসাত্মক পথে ফিরে গিয়েছিলাম যা আমি প্রতিদিন এত পরিশ্রম করেছি, ঘুরে দাঁড়ানোর জন্য। আমি নিশ্চিত যে আমার প্রেমিক এই কারণে আমাকে ছেড়ে চলে যা"&amp;"চ্ছে এবং আমি তা করতে পারছি না। সে বলে যে আমার কখনও জন্ম নেওয়া উচিত ছিল না এবং আমি মূল্যহীন। আমি আমার পরিবারকে বলতে চাই না এবং আমি থেরাপির খরচ বহন করতে পারি না, যার জন্য আমাকে নিজেকেই মূল্য দিতে হবে। আমি আর আমার মতো থাকতে চাই না, আমি কেবল একটি গর্তে হামাগ"&amp;"ুড়ি দিয়ে মরতে চাই। তাছাড়া, আমার সাথে কথা বলার কেউ নেই।")</f>
        <v>আমি নিজের উপর এতটাই বিরক্ত। আমি ৩ বছর ধরে কোকেনের নেশায় ভুগছি এবং আজ সারাদিন আমার সাথে কিছু একটা ঠিকঠাক লাগছে না। তাছাড়া, আমি আসলে এটা বর্ণনা করতে পারব না কিন্তু আমি আমার নেতিবাচক চিন্তাভাবনাগুলিকে এতটা দূরে সরিয়ে দিতে পারিনি যে আমি তাদের দখলে নিতে বাধ্য হয়েছি। তাছাড়া, আমি জানতাম যে এটি ঘটবে। তাছাড়া, আমি আবারও সেই নেশায় আক্রান্ত হয়ে পড়েছিলাম এবং আমার পুরানো ধ্বংসাত্মক পথে ফিরে গিয়েছিলাম যা আমি প্রতিদিন এত পরিশ্রম করেছি, ঘুরে দাঁড়ানোর জন্য। আমি নিশ্চিত যে আমার প্রেমিক এই কারণে আমাকে ছেড়ে চলে যাচ্ছে এবং আমি তা করতে পারছি না। সে বলে যে আমার কখনও জন্ম নেওয়া উচিত ছিল না এবং আমি মূল্যহীন। আমি আমার পরিবারকে বলতে চাই না এবং আমি থেরাপির খরচ বহন করতে পারি না, যার জন্য আমাকে নিজেকেই মূল্য দিতে হবে। আমি আর আমার মতো থাকতে চাই না, আমি কেবল একটি গর্তে হামাগুড়ি দিয়ে মরতে চাই। তাছাড়া, আমার সাথে কথা বলার কেউ নেই।</v>
      </c>
    </row>
    <row r="64" spans="1:3" ht="15" x14ac:dyDescent="0.25">
      <c r="A64" s="3" t="s">
        <v>66</v>
      </c>
      <c r="B64" s="3" t="s">
        <v>4</v>
      </c>
      <c r="C64" s="4" t="str">
        <f ca="1">IFERROR(__xludf.DUMMYFUNCTION("GOOGLETRANSLATE(A64, ""auto"", ""bn"")"),"(TW: আত্মহত্যা, মানসিক স্বাস্থ্য এবং স্পষ্টতই মাদকের অপব্যবহারের উল্লেখ) এখানে সাহায্য চাওয়াটা আমার বোকামি মনে হচ্ছে, কিন্তু আমার আসলে আর কোথাও যাওয়ার নেই। আমার সবচেয়ে ভালো বন্ধু (১৮) গত বছর প্রচুর পরিমাণে মাদক গ্রহণ শুরু করেছে। শুরুটা হয়েছিল গাঁজা দি"&amp;"য়ে, কিন্তু এখন তারা OXY নিচ্ছে। তাদের অনেক মানসিক আঘাত এবং মানসিক স্বাস্থ্য সমস্যা রয়েছে, যা সম্পর্কে আমি ছাড়া আর কাউকে সঠিকভাবে জানানো হয়নি। তারা প্রায়শই আত্মহত্যার হুমকি দেয় এবং সাধারণত আত্মহত্যার কথা বলে। আমরা একসাথে বোর্ডিং স্কুলে যাই, এবং মাদক "&amp;"সমস্যা শুরু হওয়ার পর থেকে আমি তাদের এই সমস্ত কিছুতে সহায়তা করে আসছি। অনেক পারিবারিক/বাবা-মায়ের সমস্যার কারণে, তারা নিজেদেরকে তাদের মতো অসুস্থ বলে মনে করে না, যার ফলে তাদের সাহায্য পেতে রাজি করা খুব কঠিন হয়ে পড়েছে। এখন ছয় মাস ধরে আমি তাদের একটি মানসি"&amp;"ক ওয়ার্ডে নিয়ে যাওয়ার চেষ্টা করছি, এবং দুই সপ্তাহ আগে, একটি ভয়াবহ ঘটনার পর, তারা অবশেষে রাজি হয়েছিল (কেবলমাত্র আমি তাদের বলেছিলাম বলে)। তারা এক সপ্তাহ ধরে সেখানে ছিল, অ্যান্টিডিপ্রেসেন্ট প্রেসক্রাইব করেছিল, ছেড়ে দেওয়া হয়েছিল। তারা কর্মীদের পুরো ঘট"&amp;"নাটি বলেনি, মাদকের অপব্যবহারের কথা বাদ দিয়েছে। তারা ১৮ বছর বয়সে এর পরিণতি সম্পর্কে খুব ভীত। এখন ছুটি কাটাতে বাড়ি ফিরে আসার পর, তারা আবারও অনেক বেশি মাত্রায় OXY সেবন করছে। আমিই একমাত্র ব্যক্তি যে জানে, এবং যদি কিছু ঘটে যায় তবে আমি তাদের সাহায্য করার জ"&amp;"ন্য সেখানেও নেই। আমি ভেবেছিলাম মানসিক ওয়ার্ড সাহায্য করবে, কিন্তু মনে হচ্ছে তাদের সাহায্য চাওয়ার সম্ভাবনা একেবারেই কমে গেছে। আমি কয়েকদিন ধরে ঘুমাইনি, ভেবেছিলাম তারা মারা যেতে পারে। আমার বয়স মাত্র ১৬, এবং আমি আর কী করতে পারি তা জানি না। তাছাড়া, আমি তা"&amp;"দের সাথে ক্রমাগত কথা বলি, এবং তারা আমাকে বলেছে যে আমিই একমাত্র কারণ যে তারা এখনও বেঁচে আছে। তাছাড়া, আমি তাদের প্রাণভরে ভালোবাসি, এবং কাউকে বলতে খুব ভয় পাই কারণ আমি যদি আত্মহত্যা করি তবে তারা আত্মহত্যা করবে। তাছাড়া, আমি খুব হতাশ বোধ করি এবং কীভাবে তাদের"&amp;" এই পরিস্থিতি থেকে মুক্তি পাব তার কোনও ধারণা নেই। যেকোনো পরামর্শ বা সাহায্য পেলে কৃতজ্ঞ থাকব :/ (TLDR: ওপিওয়েড আসক্তির সাথে লড়াই করা সবচেয়ে ভালো বন্ধু, মানসিক সাহায্য ব্যর্থ। আর কী করব জানি না।)")</f>
        <v>(TW: আত্মহত্যা, মানসিক স্বাস্থ্য এবং স্পষ্টতই মাদকের অপব্যবহারের উল্লেখ) এখানে সাহায্য চাওয়াটা আমার বোকামি মনে হচ্ছে, কিন্তু আমার আসলে আর কোথাও যাওয়ার নেই। আমার সবচেয়ে ভালো বন্ধু (১৮) গত বছর প্রচুর পরিমাণে মাদক গ্রহণ শুরু করেছে। শুরুটা হয়েছিল গাঁজা দিয়ে, কিন্তু এখন তারা OXY নিচ্ছে। তাদের অনেক মানসিক আঘাত এবং মানসিক স্বাস্থ্য সমস্যা রয়েছে, যা সম্পর্কে আমি ছাড়া আর কাউকে সঠিকভাবে জানানো হয়নি। তারা প্রায়শই আত্মহত্যার হুমকি দেয় এবং সাধারণত আত্মহত্যার কথা বলে। আমরা একসাথে বোর্ডিং স্কুলে যাই, এবং মাদক সমস্যা শুরু হওয়ার পর থেকে আমি তাদের এই সমস্ত কিছুতে সহায়তা করে আসছি। অনেক পারিবারিক/বাবা-মায়ের সমস্যার কারণে, তারা নিজেদেরকে তাদের মতো অসুস্থ বলে মনে করে না, যার ফলে তাদের সাহায্য পেতে রাজি করা খুব কঠিন হয়ে পড়েছে। এখন ছয় মাস ধরে আমি তাদের একটি মানসিক ওয়ার্ডে নিয়ে যাওয়ার চেষ্টা করছি, এবং দুই সপ্তাহ আগে, একটি ভয়াবহ ঘটনার পর, তারা অবশেষে রাজি হয়েছিল (কেবলমাত্র আমি তাদের বলেছিলাম বলে)। তারা এক সপ্তাহ ধরে সেখানে ছিল, অ্যান্টিডিপ্রেসেন্ট প্রেসক্রাইব করেছিল, ছেড়ে দেওয়া হয়েছিল। তারা কর্মীদের পুরো ঘটনাটি বলেনি, মাদকের অপব্যবহারের কথা বাদ দিয়েছে। তারা ১৮ বছর বয়সে এর পরিণতি সম্পর্কে খুব ভীত। এখন ছুটি কাটাতে বাড়ি ফিরে আসার পর, তারা আবারও অনেক বেশি মাত্রায় OXY সেবন করছে। আমিই একমাত্র ব্যক্তি যে জানে, এবং যদি কিছু ঘটে যায় তবে আমি তাদের সাহায্য করার জন্য সেখানেও নেই। আমি ভেবেছিলাম মানসিক ওয়ার্ড সাহায্য করবে, কিন্তু মনে হচ্ছে তাদের সাহায্য চাওয়ার সম্ভাবনা একেবারেই কমে গেছে। আমি কয়েকদিন ধরে ঘুমাইনি, ভেবেছিলাম তারা মারা যেতে পারে। আমার বয়স মাত্র ১৬, এবং আমি আর কী করতে পারি তা জানি না। তাছাড়া, আমি তাদের সাথে ক্রমাগত কথা বলি, এবং তারা আমাকে বলেছে যে আমিই একমাত্র কারণ যে তারা এখনও বেঁচে আছে। তাছাড়া, আমি তাদের প্রাণভরে ভালোবাসি, এবং কাউকে বলতে খুব ভয় পাই কারণ আমি যদি আত্মহত্যা করি তবে তারা আত্মহত্যা করবে। তাছাড়া, আমি খুব হতাশ বোধ করি এবং কীভাবে তাদের এই পরিস্থিতি থেকে মুক্তি পাব তার কোনও ধারণা নেই। যেকোনো পরামর্শ বা সাহায্য পেলে কৃতজ্ঞ থাকব :/ (TLDR: ওপিওয়েড আসক্তির সাথে লড়াই করা সবচেয়ে ভালো বন্ধু, মানসিক সাহায্য ব্যর্থ। আর কী করব জানি না।)</v>
      </c>
    </row>
    <row r="65" spans="1:3" ht="15" x14ac:dyDescent="0.25">
      <c r="A65" s="3" t="s">
        <v>67</v>
      </c>
      <c r="B65" s="3" t="s">
        <v>4</v>
      </c>
      <c r="C65" s="4" t="str">
        <f ca="1">IFERROR(__xludf.DUMMYFUNCTION("GOOGLETRANSLATE(A65, ""auto"", ""bn"")"),"আসক্তির কারণে, আমি সবকিছু হারিয়ে ফেলেছি। আমার মানসিক সুস্থতা, আমার বান্ধবী, শীঘ্রই বাগদত্তা হতে চলেছে, আমার প্রায় ১ বছরের ছেলে, বন্ধুবান্ধব, একটি অসাধারণ ক্যারিয়ারের জন্য আমাকে প্রস্তুত করার জন্য একটি খুব কঠিন প্রোগ্রাম সম্পন্ন করার পথে এগিয়ে যাচ্ছে। "&amp;"আমি একজন ভয়ঙ্কর মানুষ ছিলাম, কিন্তু আমি বুঝতে পেরেছিলাম যে নিজেকে ভালো না বাসতেই আমি এমন হয়ে উঠেছিলাম। আমি ঘৃণা করতাম যে আমি সংবেদনশীল এবং খুব ভালো ছিলাম। তাছাড়া, আমি মানুষকে খুশি করতে পছন্দ করতাম এবং নিজেকে দরজার মাদুর হতে দিয়েছিলাম যা আমাকে আরও এক ধাপ"&amp;" এগিয়ে নিয়ে যায়। এখন ৪ মাস ধরে আমি কৃতজ্ঞতা অনুশীলন এবং সত্যিকার অর্থে শেখার জন্য সেরা মানুষ হওয়ার চেষ্টা করা ছাড়া আর কিছুই করিনি। আশ্চর্যজনক জিনিস ঘটছে এবং জীবন কখনও এর চেয়ে ভালো ছিল না। কিন্তু আমি নিজেকে একা পেয়েছিলাম এবং কেবল নিজেকে ব্যথা অনুভব "&amp;"করতে দিয়েছিলাম এবং কেবল কেঁদেছিলাম এবং এর মাঝে সমস্ত প্রাণী ধীরে ধীরে এসে আমাকে সান্ত্বনা দিয়েছিল, বিশেষ করে একটি কুকুর, কেবল আমার চোখের দিকে তাকিয়েছিল এবং মনে হচ্ছিল আমি এক অদ্ভুত অনুভূতি অনুভব করছিলাম এবং সবকিছু ঠিক হয়ে যাবে। কখনও হাল ছাড়ো না। লড়াই"&amp;" চালিয়ে যাও এবং কখনও একজন ভালো মানুষ হওয়া বন্ধ করো না। ওহ, এবং মদ এবং মাদককে ফাক করো।")</f>
        <v>আসক্তির কারণে, আমি সবকিছু হারিয়ে ফেলেছি। আমার মানসিক সুস্থতা, আমার বান্ধবী, শীঘ্রই বাগদত্তা হতে চলেছে, আমার প্রায় ১ বছরের ছেলে, বন্ধুবান্ধব, একটি অসাধারণ ক্যারিয়ারের জন্য আমাকে প্রস্তুত করার জন্য একটি খুব কঠিন প্রোগ্রাম সম্পন্ন করার পথে এগিয়ে যাচ্ছে। আমি একজন ভয়ঙ্কর মানুষ ছিলাম, কিন্তু আমি বুঝতে পেরেছিলাম যে নিজেকে ভালো না বাসতেই আমি এমন হয়ে উঠেছিলাম। আমি ঘৃণা করতাম যে আমি সংবেদনশীল এবং খুব ভালো ছিলাম। তাছাড়া, আমি মানুষকে খুশি করতে পছন্দ করতাম এবং নিজেকে দরজার মাদুর হতে দিয়েছিলাম যা আমাকে আরও এক ধাপ এগিয়ে নিয়ে যায়। এখন ৪ মাস ধরে আমি কৃতজ্ঞতা অনুশীলন এবং সত্যিকার অর্থে শেখার জন্য সেরা মানুষ হওয়ার চেষ্টা করা ছাড়া আর কিছুই করিনি। আশ্চর্যজনক জিনিস ঘটছে এবং জীবন কখনও এর চেয়ে ভালো ছিল না। কিন্তু আমি নিজেকে একা পেয়েছিলাম এবং কেবল নিজেকে ব্যথা অনুভব করতে দিয়েছিলাম এবং কেবল কেঁদেছিলাম এবং এর মাঝে সমস্ত প্রাণী ধীরে ধীরে এসে আমাকে সান্ত্বনা দিয়েছিল, বিশেষ করে একটি কুকুর, কেবল আমার চোখের দিকে তাকিয়েছিল এবং মনে হচ্ছিল আমি এক অদ্ভুত অনুভূতি অনুভব করছিলাম এবং সবকিছু ঠিক হয়ে যাবে। কখনও হাল ছাড়ো না। লড়াই চালিয়ে যাও এবং কখনও একজন ভালো মানুষ হওয়া বন্ধ করো না। ওহ, এবং মদ এবং মাদককে ফাক করো।</v>
      </c>
    </row>
    <row r="66" spans="1:3" ht="15" x14ac:dyDescent="0.25">
      <c r="A66" s="3" t="s">
        <v>68</v>
      </c>
      <c r="B66" s="3" t="s">
        <v>4</v>
      </c>
      <c r="C66" s="4" t="str">
        <f ca="1">IFERROR(__xludf.DUMMYFUNCTION("GOOGLETRANSLATE(A66, ""auto"", ""bn"")"),"ভ্যালিয়াম আর কোকের মাঝে একটা অন্তহীন চক্রে আটকে গেছি। সবচেয়ে ভালো হলো ৪ দিন ব্যবহার না করেই, তারপর আবারও নেশায় আক্রান্ত হয়েছি। আমি জানি আমাকে থামাতে হবে কিন্তু নিজেকে এটা করার জন্য প্রস্তুত করতে পারছি না। যারা এখনও সুস্থ আছেন তাদের কাছ থেকে কোন পরামর্"&amp;"শ? লজ্জা আর অপরাধবোধ আমাকে মেরে ফেলছে।")</f>
        <v>ভ্যালিয়াম আর কোকের মাঝে একটা অন্তহীন চক্রে আটকে গেছি। সবচেয়ে ভালো হলো ৪ দিন ব্যবহার না করেই, তারপর আবারও নেশায় আক্রান্ত হয়েছি। আমি জানি আমাকে থামাতে হবে কিন্তু নিজেকে এটা করার জন্য প্রস্তুত করতে পারছি না। যারা এখনও সুস্থ আছেন তাদের কাছ থেকে কোন পরামর্শ? লজ্জা আর অপরাধবোধ আমাকে মেরে ফেলছে।</v>
      </c>
    </row>
    <row r="67" spans="1:3" ht="15" x14ac:dyDescent="0.25">
      <c r="A67" s="3" t="s">
        <v>69</v>
      </c>
      <c r="B67" s="3" t="s">
        <v>4</v>
      </c>
      <c r="C67" s="4" t="str">
        <f ca="1">IFERROR(__xludf.DUMMYFUNCTION("GOOGLETRANSLATE(A67, ""auto"", ""bn"")"),"যারা যুক্তি দেন যে গাঁজা অ্যালকোহলের চেয়ে বেশি আসক্তিকর, তাদের উচিত খোলার সময় ডিসপেনসারি কেমন দেখায় তা দেখা, তারপর অন্টারিওর হ্যামিল্টনের দুটি মদের এজেন্সি পরীক্ষা করা। সোমবার সকাল ৯:৫৫ টায়, কোনও ডিসপেনসারিতেই কেউ ছিল না। একই দিন সকাল ৮:৫৫ টায়, হ্যাম"&amp;"িল্টন এলসিবিও এবং বিয়ার স্টোর উভয়েই প্রায় ২৫-৩০ জন লোক লাইনে দাঁড়িয়ে ছিল? যখনই সকাল ১০:০০ টা বাজে এবং দরজা খোলা থাকে, তখনই তারা আক্ষরিক অর্থেই ঝড় তুলবে যেন এটি ছাড়া, তারা মারা যাবে, ব্র্যাড, সত্যিই? এটা দেখে সত্যিই দুঃখ হয় এবং পরিবারের জন্য এটি মো"&amp;"কাবেলা করা খুবই খারাপ লাগে। আমি পুরোপুরি বুঝতে পারি এবং জানি যে ব্যবহারকারী মাদকের চেয়ে বেশি গুরুত্বপূর্ণ, তবে গড় সম্ভাবনার সাথে, পরিসংখ্যানগতভাবে, কার মধ্যে আসক্তি এবং নির্ভরতা তৈরির সম্ভাবনা বেশি, ১০০ জনের মধ্যে x জন আসক্ত হয়ে পড়ে?")</f>
        <v>যারা যুক্তি দেন যে গাঁজা অ্যালকোহলের চেয়ে বেশি আসক্তিকর, তাদের উচিত খোলার সময় ডিসপেনসারি কেমন দেখায় তা দেখা, তারপর অন্টারিওর হ্যামিল্টনের দুটি মদের এজেন্সি পরীক্ষা করা। সোমবার সকাল ৯:৫৫ টায়, কোনও ডিসপেনসারিতেই কেউ ছিল না। একই দিন সকাল ৮:৫৫ টায়, হ্যামিল্টন এলসিবিও এবং বিয়ার স্টোর উভয়েই প্রায় ২৫-৩০ জন লোক লাইনে দাঁড়িয়ে ছিল? যখনই সকাল ১০:০০ টা বাজে এবং দরজা খোলা থাকে, তখনই তারা আক্ষরিক অর্থেই ঝড় তুলবে যেন এটি ছাড়া, তারা মারা যাবে, ব্র্যাড, সত্যিই? এটা দেখে সত্যিই দুঃখ হয় এবং পরিবারের জন্য এটি মোকাবেলা করা খুবই খারাপ লাগে। আমি পুরোপুরি বুঝতে পারি এবং জানি যে ব্যবহারকারী মাদকের চেয়ে বেশি গুরুত্বপূর্ণ, তবে গড় সম্ভাবনার সাথে, পরিসংখ্যানগতভাবে, কার মধ্যে আসক্তি এবং নির্ভরতা তৈরির সম্ভাবনা বেশি, ১০০ জনের মধ্যে x জন আসক্ত হয়ে পড়ে?</v>
      </c>
    </row>
    <row r="68" spans="1:3" ht="15" x14ac:dyDescent="0.25">
      <c r="A68" s="3" t="s">
        <v>70</v>
      </c>
      <c r="B68" s="3" t="s">
        <v>4</v>
      </c>
      <c r="C68" s="4" t="str">
        <f ca="1">IFERROR(__xludf.DUMMYFUNCTION("GOOGLETRANSLATE(A68, ""auto"", ""bn"")"),"আমি কোককে ঘৃণা করি আমি এটাকে ঘৃণা করি এটা আমার বন্ধুদের একের পর এক নিয়ে যায়, আর আমি তাদের সাহায্য করতে পারি এতটাই যে, যদি এটা না থাকত, এটা আমাকে এতটা বিরক্ত করে যে আমার ইতিমধ্যেই একজন বন্ধু প্রায় মারা যায় কোককে ছেড়ে দাও আর ছেড়ে দাও আসক্তি - যে তাদের বন্"&amp;"ধুদের অনেক যত্ন করে এবং ভালোবাসে।")</f>
        <v>আমি কোককে ঘৃণা করি আমি এটাকে ঘৃণা করি এটা আমার বন্ধুদের একের পর এক নিয়ে যায়, আর আমি তাদের সাহায্য করতে পারি এতটাই যে, যদি এটা না থাকত, এটা আমাকে এতটা বিরক্ত করে যে আমার ইতিমধ্যেই একজন বন্ধু প্রায় মারা যায় কোককে ছেড়ে দাও আর ছেড়ে দাও আসক্তি - যে তাদের বন্ধুদের অনেক যত্ন করে এবং ভালোবাসে।</v>
      </c>
    </row>
    <row r="69" spans="1:3" ht="15" x14ac:dyDescent="0.25">
      <c r="A69" s="3" t="s">
        <v>71</v>
      </c>
      <c r="B69" s="3" t="s">
        <v>4</v>
      </c>
      <c r="C69" s="4" t="str">
        <f ca="1">IFERROR(__xludf.DUMMYFUNCTION("GOOGLETRANSLATE(A69, ""auto"", ""bn"")"),"আচ্ছা, প্রথম পোস্ট এখানে গত সপ্তাহটি আমার জন্য শেষ ছিল, আমি দুই দিন ধরে কোকেন খেয়ে ছিলাম এবং আরও কিছু পেতে ২ ঘন্টা গাড়ি চালানোর সিদ্ধান্ত নিয়েছিলাম। কোকের আত্মবিশ্বাস স্বাভাবিকভাবেই দখল করে নিয়েছিল, কিন্তু আমি এতটাই উত্তেজিত ছিলাম যে পুলিশ আমাকে একটি "&amp;"সার্ভিস স্টেশনে টেনে নিয়ে যায় এবং সাথে সাথে বুঝতে পারে যে আমি এই পরিস্থিতি থেকে বেরিয়ে এসেছি। আমার গাড়ি জব্দ করা হয়েছিল, এবং আমার মনে আছে পুলিশ ভ্যানে কাঁদতে কাঁদতে আমি ভেঙে পড়েছিলাম এবং আমি কেবল বেরিয়ে এসে আরও কোক কিনে অন্ধকার কোথাও লুকিয়ে থাকতে "&amp;"চেয়েছিলাম। আমি ৩ বছর ধরে আসক্তির সাথে লড়াই করছি এবং ৩ থেকে ৪ বার সুস্থ হওয়ার চেষ্টা করেছি। আমি যতটা দীর্ঘ সময় ধরে আসক্তির সাথে লড়াই করেছি তা ছিল ৩ সপ্তাহ এবং আবার সম্পূর্ণরূপে খারাপ হয়ে গেছে। আসক্তির কারণে আমি প্রায় ৪টি চাকরি হারিয়েছি এবং আমার বান"&amp;"্ধবী এবং মেয়েকে হারানোর দ্বারপ্রান্তে। তাই এবার আমি সত্যিই এটিকে চেষ্টা করব, এমনকি যদি এটি আমাকে দুটি ভাগে ভেঙে দেয়। প্যারানয়েড চিন্তাভাবনা বা নেতিবাচক চিন্তাভাবনা মোকাবেলা করার জন্য কোনও টিপস।")</f>
        <v>আচ্ছা, প্রথম পোস্ট এখানে গত সপ্তাহটি আমার জন্য শেষ ছিল, আমি দুই দিন ধরে কোকেন খেয়ে ছিলাম এবং আরও কিছু পেতে ২ ঘন্টা গাড়ি চালানোর সিদ্ধান্ত নিয়েছিলাম। কোকের আত্মবিশ্বাস স্বাভাবিকভাবেই দখল করে নিয়েছিল, কিন্তু আমি এতটাই উত্তেজিত ছিলাম যে পুলিশ আমাকে একটি সার্ভিস স্টেশনে টেনে নিয়ে যায় এবং সাথে সাথে বুঝতে পারে যে আমি এই পরিস্থিতি থেকে বেরিয়ে এসেছি। আমার গাড়ি জব্দ করা হয়েছিল, এবং আমার মনে আছে পুলিশ ভ্যানে কাঁদতে কাঁদতে আমি ভেঙে পড়েছিলাম এবং আমি কেবল বেরিয়ে এসে আরও কোক কিনে অন্ধকার কোথাও লুকিয়ে থাকতে চেয়েছিলাম। আমি ৩ বছর ধরে আসক্তির সাথে লড়াই করছি এবং ৩ থেকে ৪ বার সুস্থ হওয়ার চেষ্টা করেছি। আমি যতটা দীর্ঘ সময় ধরে আসক্তির সাথে লড়াই করেছি তা ছিল ৩ সপ্তাহ এবং আবার সম্পূর্ণরূপে খারাপ হয়ে গেছে। আসক্তির কারণে আমি প্রায় ৪টি চাকরি হারিয়েছি এবং আমার বান্ধবী এবং মেয়েকে হারানোর দ্বারপ্রান্তে। তাই এবার আমি সত্যিই এটিকে চেষ্টা করব, এমনকি যদি এটি আমাকে দুটি ভাগে ভেঙে দেয়। প্যারানয়েড চিন্তাভাবনা বা নেতিবাচক চিন্তাভাবনা মোকাবেলা করার জন্য কোনও টিপস।</v>
      </c>
    </row>
    <row r="70" spans="1:3" ht="15" x14ac:dyDescent="0.25">
      <c r="A70" s="3" t="s">
        <v>72</v>
      </c>
      <c r="B70" s="3" t="s">
        <v>4</v>
      </c>
      <c r="C70" s="4" t="str">
        <f ca="1">IFERROR(__xludf.DUMMYFUNCTION("GOOGLETRANSLATE(A70, ""auto"", ""bn"")"),"আমার মনে হয় আমি আসক্তির সাথে লড়াই করছি। কিন্তু এখনও পর্যন্ত কোনও খারাপ ঘটনা ঘটেনি তাই আমার মনে হয় আমি কি কেবল নাটকীয় আচরণ করছি?! আমার খাওয়ার ব্যাধি এবং খাবারের আসক্তি (এটি চিরকালই ছিল) এবং বিষণ্ণতা আছে, আমি দেখতে পেলাম মদ্যপান এই থেকে মুক্তি। তারপর আ"&amp;"মি দেখতে পেলাম মাদক গ্রহণ হল মদ্যপান থেকে মুক্তি। আমি প্রতিটি ছেড়ে দেওয়ার চেষ্টা করেছি, কিন্তু আমি কেবল একটির পরিবর্তে অন্যটি দিতে পারি। আমি যখন মাতাল এবং মাতাল থাকি তখন আমি মজা পাই। তাছাড়া, আমি সর্বদা অনুশোচে ভরা থাকি, কিন্তু আমি কয়েক সপ্তাহের বেশি সম"&amp;"য় ধরে ছাড়তে পারি না। এবং কখনও খাবার, অ্যালকোহল এবং মাদক পুরোপুরি ছেড়ে দিতে পারি না। এটা কি কোনও কিছুর শুরু?! নাকি আমি এখনই বুঝতে পারব যে এটি গুরুতর হয়ে উঠবে? আমি যদি দৈনন্দিন আবেগ এবং জীবন থেকে মুক্তি পেতে এই সমস্ত বা যেকোনো একটি ব্যবহার করি তবে এটি ক"&amp;"ি ইতিমধ্যেই গুরুতর? এবং কেবল এই জিনিসগুলিই আমাকে আনন্দ এবং সুখ কেমন তা মনে করিয়ে দেয়।")</f>
        <v>আমার মনে হয় আমি আসক্তির সাথে লড়াই করছি। কিন্তু এখনও পর্যন্ত কোনও খারাপ ঘটনা ঘটেনি তাই আমার মনে হয় আমি কি কেবল নাটকীয় আচরণ করছি?! আমার খাওয়ার ব্যাধি এবং খাবারের আসক্তি (এটি চিরকালই ছিল) এবং বিষণ্ণতা আছে, আমি দেখতে পেলাম মদ্যপান এই থেকে মুক্তি। তারপর আমি দেখতে পেলাম মাদক গ্রহণ হল মদ্যপান থেকে মুক্তি। আমি প্রতিটি ছেড়ে দেওয়ার চেষ্টা করেছি, কিন্তু আমি কেবল একটির পরিবর্তে অন্যটি দিতে পারি। আমি যখন মাতাল এবং মাতাল থাকি তখন আমি মজা পাই। তাছাড়া, আমি সর্বদা অনুশোচে ভরা থাকি, কিন্তু আমি কয়েক সপ্তাহের বেশি সময় ধরে ছাড়তে পারি না। এবং কখনও খাবার, অ্যালকোহল এবং মাদক পুরোপুরি ছেড়ে দিতে পারি না। এটা কি কোনও কিছুর শুরু?! নাকি আমি এখনই বুঝতে পারব যে এটি গুরুতর হয়ে উঠবে? আমি যদি দৈনন্দিন আবেগ এবং জীবন থেকে মুক্তি পেতে এই সমস্ত বা যেকোনো একটি ব্যবহার করি তবে এটি কি ইতিমধ্যেই গুরুতর? এবং কেবল এই জিনিসগুলিই আমাকে আনন্দ এবং সুখ কেমন তা মনে করিয়ে দেয়।</v>
      </c>
    </row>
    <row r="71" spans="1:3" ht="15" x14ac:dyDescent="0.25">
      <c r="A71" s="3" t="s">
        <v>73</v>
      </c>
      <c r="B71" s="3" t="s">
        <v>4</v>
      </c>
      <c r="C71" s="4" t="str">
        <f ca="1">IFERROR(__xludf.DUMMYFUNCTION("GOOGLETRANSLATE(A71, ""auto"", ""bn"")"),"আজ ১২ দিন ধরে কোকেন, স্পিড, কেটামিন, আগাছা/হ্যাশ, অ্যালকোহল এবং এমডিএমএ-এর কারণে আমি সুস্থ আছি। প্রথমে এটা কঠিন ছিল। কিন্তু কয়েকদিন পর বুঝতে পারলাম যে আমি সুস্থ থাকতে চাই। আমার মাঝে মাঝে ছোট ছোট তাড়না ছিল কিন্তু বিরক্তিকর কিছু ছিল না। ৪০ মিনিট আগে আমার "&amp;"আবার মাদক সেবনের তীব্র তাড়না হয়েছিল। এবং এটি আমাকে চরম কিছুতে বিরক্ত করছে। এবং একই সাথে এটি আমাকে দুঃখিত করে। আমি মরতে চাই না কিন্তু আমার মনে হয় আমি একদিন মরব। আমি আবার মিটিংয়ে যাব এবং আশা করি এটি আমাকে সাহায্য করবে। আমি ভয় পাই যে আমার বাবা-মা বা ভাই"&amp;"বোনরা একদিন আমার মৃতদেহ দেখতে পাবে। এই স্বস্তির জন্য আপনি কী করতে পারেন? বন্ধুদের সাথে কথা বলা অনেক সাহায্য করে কিন্তু এখন আমি পারছি না কারণ তারা ঘুমাচ্ছে। আমি আসক্ত হওয়ার জন্য খুব বিরক্ত।")</f>
        <v>আজ ১২ দিন ধরে কোকেন, স্পিড, কেটামিন, আগাছা/হ্যাশ, অ্যালকোহল এবং এমডিএমএ-এর কারণে আমি সুস্থ আছি। প্রথমে এটা কঠিন ছিল। কিন্তু কয়েকদিন পর বুঝতে পারলাম যে আমি সুস্থ থাকতে চাই। আমার মাঝে মাঝে ছোট ছোট তাড়না ছিল কিন্তু বিরক্তিকর কিছু ছিল না। ৪০ মিনিট আগে আমার আবার মাদক সেবনের তীব্র তাড়না হয়েছিল। এবং এটি আমাকে চরম কিছুতে বিরক্ত করছে। এবং একই সাথে এটি আমাকে দুঃখিত করে। আমি মরতে চাই না কিন্তু আমার মনে হয় আমি একদিন মরব। আমি আবার মিটিংয়ে যাব এবং আশা করি এটি আমাকে সাহায্য করবে। আমি ভয় পাই যে আমার বাবা-মা বা ভাইবোনরা একদিন আমার মৃতদেহ দেখতে পাবে। এই স্বস্তির জন্য আপনি কী করতে পারেন? বন্ধুদের সাথে কথা বলা অনেক সাহায্য করে কিন্তু এখন আমি পারছি না কারণ তারা ঘুমাচ্ছে। আমি আসক্ত হওয়ার জন্য খুব বিরক্ত।</v>
      </c>
    </row>
    <row r="72" spans="1:3" ht="15" x14ac:dyDescent="0.25">
      <c r="A72" s="3" t="s">
        <v>74</v>
      </c>
      <c r="B72" s="3" t="s">
        <v>4</v>
      </c>
      <c r="C72" s="4" t="str">
        <f ca="1">IFERROR(__xludf.DUMMYFUNCTION("GOOGLETRANSLATE(A72, ""auto"", ""bn"")"),"আমি জানি এই মুহূর্তে আমার সাহায্যের প্রয়োজন। আমার অ্যাডেরালের সাথে আমার যা অনুভব করা উচিত, তার একমাত্র উপায় হল নাক ডাকা। আমি আমার বয়ফ্রেন্ডের পিছনে লুকিয়ে লুকিয়ে থাকি, তার চলে যাওয়ার জন্য অথবা ঘুমাতে যাওয়ার জন্য অপেক্ষা করি যাতে আমি দ্বিগুণ ডোজ নিতে পার"&amp;"ি অথবা নাক ডাকতে পারি। আমি জানি পরবর্তী ধাপে আমাকে আরও শক্ত জিনিস কিনতে হবে কিন্তু আমি সেই পর্যায়ে পৌঁছাতে পারছি না। আমি কীভাবে সাহায্যের জন্য এগিয়ে যাব? আমি কীভাবে আমার বয়ফ্রেন্ডকে বলব যে আমি চুপিচুপি এটা করছি?")</f>
        <v>আমি জানি এই মুহূর্তে আমার সাহায্যের প্রয়োজন। আমার অ্যাডেরালের সাথে আমার যা অনুভব করা উচিত, তার একমাত্র উপায় হল নাক ডাকা। আমি আমার বয়ফ্রেন্ডের পিছনে লুকিয়ে লুকিয়ে থাকি, তার চলে যাওয়ার জন্য অথবা ঘুমাতে যাওয়ার জন্য অপেক্ষা করি যাতে আমি দ্বিগুণ ডোজ নিতে পারি অথবা নাক ডাকতে পারি। আমি জানি পরবর্তী ধাপে আমাকে আরও শক্ত জিনিস কিনতে হবে কিন্তু আমি সেই পর্যায়ে পৌঁছাতে পারছি না। আমি কীভাবে সাহায্যের জন্য এগিয়ে যাব? আমি কীভাবে আমার বয়ফ্রেন্ডকে বলব যে আমি চুপিচুপি এটা করছি?</v>
      </c>
    </row>
    <row r="73" spans="1:3" ht="15" x14ac:dyDescent="0.25">
      <c r="A73" s="3" t="s">
        <v>75</v>
      </c>
      <c r="B73" s="3" t="s">
        <v>4</v>
      </c>
      <c r="C73" s="4" t="str">
        <f ca="1">IFERROR(__xludf.DUMMYFUNCTION("GOOGLETRANSLATE(A73, ""auto"", ""bn"")"),"আমি হয়তো এক ঘন্টা আগে হিরোইন করেছি, আমার সব শেষ, আমি পরিষ্কার হতে চাই, আমার চাকরি প্রায় চলে গেছে, আমার গাড়ি প্রায় দুর্ঘটনায় পড়েছে কারণ আমার চাকরি আমাকে বাড়ি পাঠিয়ে দিয়েছে। আমি এতটাই উচ্ছ্বসিত ছিলাম যে আমার জীবন এখন ভেঙে পড়তে চলেছে। আমি এটা অনুভব করতে পারছ"&amp;"ি যদি আমি এক ঘন্টা আগে করি, তাহলে সাবক্সোন নেওয়ার জন্য আমাকে কতক্ষণ অপেক্ষা করতে হবে? আর যদি কেউ পারেন, তাহলে দয়া করে সাহায্যের জন্য কারো সাথে যোগাযোগ করুন, ধন্যবাদ।")</f>
        <v>আমি হয়তো এক ঘন্টা আগে হিরোইন করেছি, আমার সব শেষ, আমি পরিষ্কার হতে চাই, আমার চাকরি প্রায় চলে গেছে, আমার গাড়ি প্রায় দুর্ঘটনায় পড়েছে কারণ আমার চাকরি আমাকে বাড়ি পাঠিয়ে দিয়েছে। আমি এতটাই উচ্ছ্বসিত ছিলাম যে আমার জীবন এখন ভেঙে পড়তে চলেছে। আমি এটা অনুভব করতে পারছি যদি আমি এক ঘন্টা আগে করি, তাহলে সাবক্সোন নেওয়ার জন্য আমাকে কতক্ষণ অপেক্ষা করতে হবে? আর যদি কেউ পারেন, তাহলে দয়া করে সাহায্যের জন্য কারো সাথে যোগাযোগ করুন, ধন্যবাদ।</v>
      </c>
    </row>
    <row r="74" spans="1:3" ht="15" x14ac:dyDescent="0.25">
      <c r="A74" s="3" t="s">
        <v>76</v>
      </c>
      <c r="B74" s="3" t="s">
        <v>4</v>
      </c>
      <c r="C74" s="4" t="str">
        <f ca="1">IFERROR(__xludf.DUMMYFUNCTION("GOOGLETRANSLATE(A74, ""auto"", ""bn"")"),"আমার বয়স ১৫ বছর এবং আমার বাবা-মা জানেন না যে আমি মাদক বা অন্য কিছু করি, তাই তারা ভাবেন যে আমি একেবারেই অপ্রস্তুত কারণ আমার মেজাজ খারাপ। আমি মাদক ছাড়া আর কিছুই ভাবি না, যেমন আমি শুধু মাদক নিয়েই কথা বলি এবং ভাবি। আমার গ্রেড খারাপ হচ্ছে, আমি জানি আমি নিজেকেই"&amp;" খারাপ মনে করি কিন্তু আমি যখন নিজেকে ভালোবাসি তখনই মাদক সেবন করি এবং যখন আমি উচ্চমাত্রার মাদক গ্রহণ করি তখনই আমি মরতে চাই না। আমার কী করা উচিত সে সম্পর্কে আমার কেবল কিছু পরামর্শের প্রয়োজন। যেমন আমার মাদক সেবন বন্ধ করা উচিত, তবে দয়া করে আরও স্পষ্ট করে বল"&amp;"ুন যে আমি কীভাবে এটি করি এবং কীভাবে আমি আমার জীবন উপভোগ করতে পারি এবং আমি যে গর্তটি খনন করছি তা থেকে কীভাবে বেরিয়ে আসতে পারি। আমি পরিষ্কার হতে চাই না তবে আমি পরিষ্কার হতে চাই কারণ আমি জানি এটি টেকসই নয়। যেকোনো পরামর্শের জন্য আমি কৃতজ্ঞ।")</f>
        <v>আমার বয়স ১৫ বছর এবং আমার বাবা-মা জানেন না যে আমি মাদক বা অন্য কিছু করি, তাই তারা ভাবেন যে আমি একেবারেই অপ্রস্তুত কারণ আমার মেজাজ খারাপ। আমি মাদক ছাড়া আর কিছুই ভাবি না, যেমন আমি শুধু মাদক নিয়েই কথা বলি এবং ভাবি। আমার গ্রেড খারাপ হচ্ছে, আমি জানি আমি নিজেকেই খারাপ মনে করি কিন্তু আমি যখন নিজেকে ভালোবাসি তখনই মাদক সেবন করি এবং যখন আমি উচ্চমাত্রার মাদক গ্রহণ করি তখনই আমি মরতে চাই না। আমার কী করা উচিত সে সম্পর্কে আমার কেবল কিছু পরামর্শের প্রয়োজন। যেমন আমার মাদক সেবন বন্ধ করা উচিত, তবে দয়া করে আরও স্পষ্ট করে বলুন যে আমি কীভাবে এটি করি এবং কীভাবে আমি আমার জীবন উপভোগ করতে পারি এবং আমি যে গর্তটি খনন করছি তা থেকে কীভাবে বেরিয়ে আসতে পারি। আমি পরিষ্কার হতে চাই না তবে আমি পরিষ্কার হতে চাই কারণ আমি জানি এটি টেকসই নয়। যেকোনো পরামর্শের জন্য আমি কৃতজ্ঞ।</v>
      </c>
    </row>
    <row r="75" spans="1:3" ht="15" x14ac:dyDescent="0.25">
      <c r="A75" s="3" t="s">
        <v>77</v>
      </c>
      <c r="B75" s="3" t="s">
        <v>4</v>
      </c>
      <c r="C75" s="4" t="str">
        <f ca="1">IFERROR(__xludf.DUMMYFUNCTION("GOOGLETRANSLATE(A75, ""auto"", ""bn"")"),"দীর্ঘদিন ধরে আমার পছন্দের নেশা ছিল মদ। আমি জানি না কেন এবং কীভাবে আমি আসক্ত হয়ে পড়েছিলাম। এর কোনও স্পষ্ট ব্যাখ্যা নেই। কিন্তু আমি তা করেছিলাম এবং অবশেষে এটি অত্যন্ত ধ্বংসাত্মক হয়ে ওঠে, তাই আমি জুয়ার ক্ষেত্রে একটি নতুন মুক্তি খুঁজে পেয়েছি। এমন একটি যা"&amp;" আমি বিশ্বের কাছ থেকে লুকিয়ে রাখতে পারতাম, এবং জেলে যাওয়ার বা ব্ল্যাকআউটের সময় কাউকে আঘাত করার ঝুঁকি নিইনি। আমার জেকিল এবং হাইডের একটি গুরুতর জটিলতা রয়েছে এবং এটি এতটাই ভয়ঙ্কর যে আমি অ্যালকোহলের সাথে কোনও সম্পর্ক রাখতে চাই না। আমি বছরের পর বছর ধরে প্"&amp;"রতিকার খুঁজে বের করার চেষ্টা করেছি এবং কখনও সাফল্য পাইনি। AA, GA, কাউন্সেলিং কোনও কাজে আসেনি। তাই পরিবর্তে আমি এটি নিয়ন্ত্রণ করার এবং এর ফলে যে ক্ষতি হয় তা কমানোর চেষ্টা করি। আমি আমাদের অর্থ অপচয় করা থেকে বিরত রাখার জন্য বাধা তৈরি করি। আমি আমার স্ত্রীক"&amp;"ে আমার বেতনের চেক পাঠাই (অথবা চেষ্টা করি, এটি সবসময় সেখানে পৌঁছায় না), আমি ইচ্ছাকৃতভাবে আমার ক্রেডিট হ্রাস করেছি, তাই আমি ধার নিতে পারি না। তদুপরি, আমি আমার কার্ডে নগদ অগ্রিম অক্ষম করেছি এবং যেখানেই সম্ভব নিজেকে ক্যাসিনো থেকে নিষিদ্ধ করেছি। এবং বেশিরভাগ"&amp;" ক্ষেত্রে এই জিনিসগুলি আমাকে কার্যকরী আসক্ত হতে দিয়েছে। আমি সেই মুক্তির স্বাদ পেতে একটু জায়গা রেখে যাই যা আমি খুব বেশি চাই। ব্যাপারটা হল, জুয়া না খেললে আমি একেবারেই দুঃখী। আমার পরবর্তী বেতন এবং পরবর্তী আঘাত পর্যন্ত আমি বেঁচে থাকি। সবচেয়ে খারাপ দিক হল, "&amp;"""আঘাত"" শীঘ্রই আসবে এমন কোনও গ্যারান্টি নেই। জুয়ার ব্যাপার হল আঘাত তখনই আসে যখন আপনি জিতবেন, এবং সিস্টেমটি আপনাকে হারানোর জন্য তৈরি করা হয়েছে। তাই আমার পরবর্তী বেতনের জন্য ১৪ দিন অপেক্ষা করার পর এবং ১৫ মিনিটের মধ্যে আমার আসক্তির জন্য আমি যে সমস্ত টাকা র"&amp;"েখেছিলাম তা হারানোর পর, আমার মস্তিষ্ক কেবল উন্মোচিত হতে শুরু করে। যখন আমি এই জায়গায় থাকি তখন আমি পৃথিবীকে সহ্য করতে পারি না। আমি আমার কাজ সহ্য করতে পারি না। আমি এই পৃথিবীর প্রতিটি মানুষকে সহ্য করতে পারি না কারণ বেশিরভাগ ক্ষেত্রেই তারা আমার ইচ্ছামত কাজ করা"&amp;"র পথে বাধা হয়ে দাঁড়ায়। সবচেয়ে দুঃখের বিষয় হল, আমি আমার স্ত্রী এবং ছেলেকে (যাদের আমি সবকিছুর চেয়ে বেশি ভালোবাসি) সহ্য করতে পারি না। আমি এখনও তাদের সাথে কাজ করার আনন্দ পাই, কিন্তু প্রতিদিনের কাজের চাপ, কাজ, ঘুম, কাজ, কাজ, ঘুম আমাকে এতটাই ক্লান্ত করে ত"&amp;"োলে যে আমি কেবল জায়গা ফাঁকা রাখতে চাই, এবং তারপর জীবনে ""জোর করে"" আমাকে অংশগ্রহণ করার জন্য তাদের প্রতি আমার বিরক্তি জাগে। যদি এটি দীর্ঘ সময় ধরে চলতে থাকে, তবে অবশেষে আমি কেবল একটি জিনিসের দিকে ঝুঁকে পড়ি যা আমাকে সাময়িক স্বস্তি দেবে .... বোতল। এক রাতে"&amp;" আমি এত ক্ষতি করতে পারি যে এটি মেরামত করতে বছরের পর বছর সময় লাগে, এবং আমি বিপজ্জনকভাবে এমন ভুল করার কাছাকাছি চলে এসেছি যা পূর্বাবস্থায় ফেরানো যাবে না। আমার স্ত্রী আমাকে ছেড়ে চলে যাওয়ার দ্বারপ্রান্তে। সমস্ত অপচয় করা অর্থ, ক্রমাগত মেজাজের পরিবর্তন, অথব"&amp;"া আমি মাতাল অবস্থায় বাড়িতে ফিরে আসার ভয়ের মধ্যে, সে কেবল তার সীমা অতিক্রম করেছে। এবং এখন আমাদের একটি তিন বছরের ছেলে আছে যাকে আমার থেকে রক্ষা করা তার প্রয়োজন। সন্তান হওয়ার আগে আমার সবচেয়ে বড় ভয় ছিল যে তারা আমার কাছ থেকে এটি উত্তরাধিকারসূত্রে পেতে প"&amp;"ারে। বাস্তবতা হল যে আমি আমার আচরণের মাধ্যমে তাকে সক্রিয়ভাবে সেই পথে পরিচালিত করছি, কিন্তু আমি থামতে পারছি না। আমি ভেঙে পড়েছি এবং এর কোনও সমাধান নেই বলে মনে হচ্ছে। বছরের পর বছর ধরে আমার আত্মহত্যার চিন্তাভাবনা ছিল। তাছাড়া, আমি জানি না যে আমি তাদের উপর অভি"&amp;"নয় করার খুব কাছাকাছি ছিলাম, কিন্তু তারা আমাকে ভয় পাইয়ে দেয়। আমার ছেলের জন্মের পর তারা সম্পূর্ণরূপে চলে যায়। সে আমাকে এমন এক উদ্দেশ্য এবং শক্তি দিয়েছে যা আমি জানতাম না। জীবনের যেকোনো বিপদের জন্য আমি তার সাথে থাকতে চাই, কিন্তু এখন আমি ভাবতে শুরু করেছি যে সে"&amp;" কি আমাকে ছাড়া ভালো থাকবে। এই চিন্তাগুলো আমার মাথায় ঘুরপাক খেতে শুরু করেছে, এবং আমি ভয় পাচ্ছি যে এগুলো আরও খারাপ হবে। যদিও এটি লেখার পর আমার ভালো লাগছে। আমি এতদিন ধরে মনের মধ্যে চেপে রেখেছি, অথবা হয়তো এর কারণ হল আমি আগে কেবল এমন লোকদের কাছে এই কথাগুলো ব"&amp;"লেছি যারা সম্ভবত বুঝতে পারে না। তাছাড়া, আমি কখনোই মিটিংয়ে এই কথাগুলো শেয়ার করিনি কারণ আমি এমন ঘরে ""অহংকারী"" হতে চাইনি যেখানে বেশিরভাগ মানুষই নিশ্চিত করে যে তাদের জীবন কতটা ভালো ছিল।")</f>
        <v>দীর্ঘদিন ধরে আমার পছন্দের নেশা ছিল মদ। আমি জানি না কেন এবং কীভাবে আমি আসক্ত হয়ে পড়েছিলাম। এর কোনও স্পষ্ট ব্যাখ্যা নেই। কিন্তু আমি তা করেছিলাম এবং অবশেষে এটি অত্যন্ত ধ্বংসাত্মক হয়ে ওঠে, তাই আমি জুয়ার ক্ষেত্রে একটি নতুন মুক্তি খুঁজে পেয়েছি। এমন একটি যা আমি বিশ্বের কাছ থেকে লুকিয়ে রাখতে পারতাম, এবং জেলে যাওয়ার বা ব্ল্যাকআউটের সময় কাউকে আঘাত করার ঝুঁকি নিইনি। আমার জেকিল এবং হাইডের একটি গুরুতর জটিলতা রয়েছে এবং এটি এতটাই ভয়ঙ্কর যে আমি অ্যালকোহলের সাথে কোনও সম্পর্ক রাখতে চাই না। আমি বছরের পর বছর ধরে প্রতিকার খুঁজে বের করার চেষ্টা করেছি এবং কখনও সাফল্য পাইনি। AA, GA, কাউন্সেলিং কোনও কাজে আসেনি। তাই পরিবর্তে আমি এটি নিয়ন্ত্রণ করার এবং এর ফলে যে ক্ষতি হয় তা কমানোর চেষ্টা করি। আমি আমাদের অর্থ অপচয় করা থেকে বিরত রাখার জন্য বাধা তৈরি করি। আমি আমার স্ত্রীকে আমার বেতনের চেক পাঠাই (অথবা চেষ্টা করি, এটি সবসময় সেখানে পৌঁছায় না), আমি ইচ্ছাকৃতভাবে আমার ক্রেডিট হ্রাস করেছি, তাই আমি ধার নিতে পারি না। তদুপরি, আমি আমার কার্ডে নগদ অগ্রিম অক্ষম করেছি এবং যেখানেই সম্ভব নিজেকে ক্যাসিনো থেকে নিষিদ্ধ করেছি। এবং বেশিরভাগ ক্ষেত্রে এই জিনিসগুলি আমাকে কার্যকরী আসক্ত হতে দিয়েছে। আমি সেই মুক্তির স্বাদ পেতে একটু জায়গা রেখে যাই যা আমি খুব বেশি চাই। ব্যাপারটা হল, জুয়া না খেললে আমি একেবারেই দুঃখী। আমার পরবর্তী বেতন এবং পরবর্তী আঘাত পর্যন্ত আমি বেঁচে থাকি। সবচেয়ে খারাপ দিক হল, "আঘাত" শীঘ্রই আসবে এমন কোনও গ্যারান্টি নেই। জুয়ার ব্যাপার হল আঘাত তখনই আসে যখন আপনি জিতবেন, এবং সিস্টেমটি আপনাকে হারানোর জন্য তৈরি করা হয়েছে। তাই আমার পরবর্তী বেতনের জন্য ১৪ দিন অপেক্ষা করার পর এবং ১৫ মিনিটের মধ্যে আমার আসক্তির জন্য আমি যে সমস্ত টাকা রেখেছিলাম তা হারানোর পর, আমার মস্তিষ্ক কেবল উন্মোচিত হতে শুরু করে। যখন আমি এই জায়গায় থাকি তখন আমি পৃথিবীকে সহ্য করতে পারি না। আমি আমার কাজ সহ্য করতে পারি না। আমি এই পৃথিবীর প্রতিটি মানুষকে সহ্য করতে পারি না কারণ বেশিরভাগ ক্ষেত্রেই তারা আমার ইচ্ছামত কাজ করার পথে বাধা হয়ে দাঁড়ায়। সবচেয়ে দুঃখের বিষয় হল, আমি আমার স্ত্রী এবং ছেলেকে (যাদের আমি সবকিছুর চেয়ে বেশি ভালোবাসি) সহ্য করতে পারি না। আমি এখনও তাদের সাথে কাজ করার আনন্দ পাই, কিন্তু প্রতিদিনের কাজের চাপ, কাজ, ঘুম, কাজ, কাজ, ঘুম আমাকে এতটাই ক্লান্ত করে তোলে যে আমি কেবল জায়গা ফাঁকা রাখতে চাই, এবং তারপর জীবনে "জোর করে" আমাকে অংশগ্রহণ করার জন্য তাদের প্রতি আমার বিরক্তি জাগে। যদি এটি দীর্ঘ সময় ধরে চলতে থাকে, তবে অবশেষে আমি কেবল একটি জিনিসের দিকে ঝুঁকে পড়ি যা আমাকে সাময়িক স্বস্তি দেবে .... বোতল। এক রাতে আমি এত ক্ষতি করতে পারি যে এটি মেরামত করতে বছরের পর বছর সময় লাগে, এবং আমি বিপজ্জনকভাবে এমন ভুল করার কাছাকাছি চলে এসেছি যা পূর্বাবস্থায় ফেরানো যাবে না। আমার স্ত্রী আমাকে ছেড়ে চলে যাওয়ার দ্বারপ্রান্তে। সমস্ত অপচয় করা অর্থ, ক্রমাগত মেজাজের পরিবর্তন, অথবা আমি মাতাল অবস্থায় বাড়িতে ফিরে আসার ভয়ের মধ্যে, সে কেবল তার সীমা অতিক্রম করেছে। এবং এখন আমাদের একটি তিন বছরের ছেলে আছে যাকে আমার থেকে রক্ষা করা তার প্রয়োজন। সন্তান হওয়ার আগে আমার সবচেয়ে বড় ভয় ছিল যে তারা আমার কাছ থেকে এটি উত্তরাধিকারসূত্রে পেতে পারে। বাস্তবতা হল যে আমি আমার আচরণের মাধ্যমে তাকে সক্রিয়ভাবে সেই পথে পরিচালিত করছি, কিন্তু আমি থামতে পারছি না। আমি ভেঙে পড়েছি এবং এর কোনও সমাধান নেই বলে মনে হচ্ছে। বছরের পর বছর ধরে আমার আত্মহত্যার চিন্তাভাবনা ছিল। তাছাড়া, আমি জানি না যে আমি তাদের উপর অভিনয় করার খুব কাছাকাছি ছিলাম, কিন্তু তারা আমাকে ভয় পাইয়ে দেয়। আমার ছেলের জন্মের পর তারা সম্পূর্ণরূপে চলে যায়। সে আমাকে এমন এক উদ্দেশ্য এবং শক্তি দিয়েছে যা আমি জানতাম না। জীবনের যেকোনো বিপদের জন্য আমি তার সাথে থাকতে চাই, কিন্তু এখন আমি ভাবতে শুরু করেছি যে সে কি আমাকে ছাড়া ভালো থাকবে। এই চিন্তাগুলো আমার মাথায় ঘুরপাক খেতে শুরু করেছে, এবং আমি ভয় পাচ্ছি যে এগুলো আরও খারাপ হবে। যদিও এটি লেখার পর আমার ভালো লাগছে। আমি এতদিন ধরে মনের মধ্যে চেপে রেখেছি, অথবা হয়তো এর কারণ হল আমি আগে কেবল এমন লোকদের কাছে এই কথাগুলো বলেছি যারা সম্ভবত বুঝতে পারে না। তাছাড়া, আমি কখনোই মিটিংয়ে এই কথাগুলো শেয়ার করিনি কারণ আমি এমন ঘরে "অহংকারী" হতে চাইনি যেখানে বেশিরভাগ মানুষই নিশ্চিত করে যে তাদের জীবন কতটা ভালো ছিল।</v>
      </c>
    </row>
    <row r="76" spans="1:3" ht="15" x14ac:dyDescent="0.25">
      <c r="A76" s="3" t="s">
        <v>78</v>
      </c>
      <c r="B76" s="3" t="s">
        <v>4</v>
      </c>
      <c r="C76" s="4" t="str">
        <f ca="1">IFERROR(__xludf.DUMMYFUNCTION("GOOGLETRANSLATE(A76, ""auto"", ""bn"")"),"আমি এটা অনুভব করতে পারছি। কিছুই ঠিকঠাক হচ্ছে না। গত ৩ মাস ধরে একটার পর একটা জিনিস। আমি আর কোন কিছুতেই আনন্দ খুঁজে পাচ্ছি না। আমার মনে হচ্ছে আমি কল্পনাতীত খারাপ ভাগ্যের জন্য অভিশপ্ত। আমার মনে হচ্ছে মহাবিশ্ব একটা রসিকতা করছে আর আমিই এর মূল কারণ।")</f>
        <v>আমি এটা অনুভব করতে পারছি। কিছুই ঠিকঠাক হচ্ছে না। গত ৩ মাস ধরে একটার পর একটা জিনিস। আমি আর কোন কিছুতেই আনন্দ খুঁজে পাচ্ছি না। আমার মনে হচ্ছে আমি কল্পনাতীত খারাপ ভাগ্যের জন্য অভিশপ্ত। আমার মনে হচ্ছে মহাবিশ্ব একটা রসিকতা করছে আর আমিই এর মূল কারণ।</v>
      </c>
    </row>
    <row r="77" spans="1:3" ht="15" x14ac:dyDescent="0.25">
      <c r="A77" s="3" t="s">
        <v>79</v>
      </c>
      <c r="B77" s="3" t="s">
        <v>4</v>
      </c>
      <c r="C77" s="4" t="str">
        <f ca="1">IFERROR(__xludf.DUMMYFUNCTION("GOOGLETRANSLATE(A77, ""auto"", ""bn"")"),"আমি বলেছিলাম যে আমি কখনোই আসক্ত হব না। আমি সবসময় আমার ব্যবহারের ব্যাপারে সতর্ক ছিলাম কিন্তু এটা হাতের বাইরে চলে গেছে। আমি এগুলো ছাড়া ৮ ঘন্টাও চলতে পারি না। বিপজ্জনক বিষয় হল আমিও পান করি, কিন্তু আমি কখনোই একই সাথে দুটি মিশিয়ে খাই না। আমার বয়স মাত্র ১৭"&amp;" বছর এবং আমি প্রচুর গাঁজা ধূমপান করি এবং সিগারেটও খাই। বেজোস যখন প্রধান সমস্যা তখন তারা আমাকে গাঁজা ছেড়ে দিতে বাধ্য করে, তারা বুঝতে পারে না যে তারা ভিন্ন প্রজন্মের, এবং তারা মনে করে যে যেহেতু আমাকে তাদের প্রেসক্রিপশন দেওয়া হয়েছে তাই ঠিক আছে, এবং তারা গ"&amp;"াঁজা নিয়ে ভয় পায় কারণ আমি এমন একটি দেশে আছি যেখানে এটি অবৈধ। বাস্তবে, আমার ভ্যালিয়াম এবং তারপরে গাঁজা খাওয়া উচিত, কিন্তু তারা বুঝতে পারে না আমি কী করব।")</f>
        <v>আমি বলেছিলাম যে আমি কখনোই আসক্ত হব না। আমি সবসময় আমার ব্যবহারের ব্যাপারে সতর্ক ছিলাম কিন্তু এটা হাতের বাইরে চলে গেছে। আমি এগুলো ছাড়া ৮ ঘন্টাও চলতে পারি না। বিপজ্জনক বিষয় হল আমিও পান করি, কিন্তু আমি কখনোই একই সাথে দুটি মিশিয়ে খাই না। আমার বয়স মাত্র ১৭ বছর এবং আমি প্রচুর গাঁজা ধূমপান করি এবং সিগারেটও খাই। বেজোস যখন প্রধান সমস্যা তখন তারা আমাকে গাঁজা ছেড়ে দিতে বাধ্য করে, তারা বুঝতে পারে না যে তারা ভিন্ন প্রজন্মের, এবং তারা মনে করে যে যেহেতু আমাকে তাদের প্রেসক্রিপশন দেওয়া হয়েছে তাই ঠিক আছে, এবং তারা গাঁজা নিয়ে ভয় পায় কারণ আমি এমন একটি দেশে আছি যেখানে এটি অবৈধ। বাস্তবে, আমার ভ্যালিয়াম এবং তারপরে গাঁজা খাওয়া উচিত, কিন্তু তারা বুঝতে পারে না আমি কী করব।</v>
      </c>
    </row>
    <row r="78" spans="1:3" ht="15" x14ac:dyDescent="0.25">
      <c r="A78" s="3" t="s">
        <v>80</v>
      </c>
      <c r="B78" s="3" t="s">
        <v>4</v>
      </c>
      <c r="C78" s="4" t="str">
        <f ca="1">IFERROR(__xludf.DUMMYFUNCTION("GOOGLETRANSLATE(A78, ""auto"", ""bn"")"),"বিগত বছরগুলিতে আমি অনেক রকম কাজ করতাম, কিন্তু এখন যেহেতু আমি শেষ পর্যন্ত এমনকি গত কয়েক বছর ধরে গাঁজা ধূমপানও ছেড়ে দিয়েছি, এখন আমার মনে হচ্ছে আমি আগের মতো বুদ্ধিমান নই, মনোযোগী নই, কথা বলার সময় বা সামাজিক পরিস্থিতিতে ততটা ভালো নই, এবং জীবনে অনুভূতিও কম"&amp;"। এটা কি সাধারণ এবং কেউ কি এই অভিজ্ঞতার মধ্য দিয়ে অতীতের অবস্থায় ফিরে এসেছেন? যদি তাই হয় তাহলে কীভাবে বা কী করে আমার নিজের মন ফিরিয়ে আনার চেষ্টা করা উচিত?")</f>
        <v>বিগত বছরগুলিতে আমি অনেক রকম কাজ করতাম, কিন্তু এখন যেহেতু আমি শেষ পর্যন্ত এমনকি গত কয়েক বছর ধরে গাঁজা ধূমপানও ছেড়ে দিয়েছি, এখন আমার মনে হচ্ছে আমি আগের মতো বুদ্ধিমান নই, মনোযোগী নই, কথা বলার সময় বা সামাজিক পরিস্থিতিতে ততটা ভালো নই, এবং জীবনে অনুভূতিও কম। এটা কি সাধারণ এবং কেউ কি এই অভিজ্ঞতার মধ্য দিয়ে অতীতের অবস্থায় ফিরে এসেছেন? যদি তাই হয় তাহলে কীভাবে বা কী করে আমার নিজের মন ফিরিয়ে আনার চেষ্টা করা উচিত?</v>
      </c>
    </row>
    <row r="79" spans="1:3" ht="15" x14ac:dyDescent="0.25">
      <c r="A79" s="3" t="s">
        <v>81</v>
      </c>
      <c r="B79" s="3" t="s">
        <v>4</v>
      </c>
      <c r="C79" s="4" t="str">
        <f ca="1">IFERROR(__xludf.DUMMYFUNCTION("GOOGLETRANSLATE(A79, ""auto"", ""bn"")"),"অবশেষে আমি আমার জুয়ার আসক্তি দূর করার জন্য পদক্ষেপ নিচ্ছি, আমি বছরের পর বছর ধরে ভয়, বিচ্ছিন্নতা এবং অপরাধবোধের মধ্যে বাস করছি। সম্প্রতি এটি হতাশা, চাপ এবং উদ্বেগের কারণ হয়ে দাঁড়িয়েছে। শেষ উপায় হিসেবে আমি আজ আমার বাবা-মাকে বলেছি, আমি আশা করছি এখন আমি"&amp;" কাউকে বলেছি যে তারা আমাকে সমর্থন করতে পারে এবং আমাকে সঠিক পথে রাখতে পারে, আমার আর্থিক ব্যবস্থাপনায় সাহায্য করতে পারে এবং ঋণ পরিশোধ করতে পারে। যারা কোনও আসক্তি, কোনও আসক্তি কাটিয়ে উঠেছেন, তাদের জন্য, আপনি কীভাবে এটি করেছেন? আপনাকে কী সফল হতে সাহায্য করে"&amp;"ছে?")</f>
        <v>অবশেষে আমি আমার জুয়ার আসক্তি দূর করার জন্য পদক্ষেপ নিচ্ছি, আমি বছরের পর বছর ধরে ভয়, বিচ্ছিন্নতা এবং অপরাধবোধের মধ্যে বাস করছি। সম্প্রতি এটি হতাশা, চাপ এবং উদ্বেগের কারণ হয়ে দাঁড়িয়েছে। শেষ উপায় হিসেবে আমি আজ আমার বাবা-মাকে বলেছি, আমি আশা করছি এখন আমি কাউকে বলেছি যে তারা আমাকে সমর্থন করতে পারে এবং আমাকে সঠিক পথে রাখতে পারে, আমার আর্থিক ব্যবস্থাপনায় সাহায্য করতে পারে এবং ঋণ পরিশোধ করতে পারে। যারা কোনও আসক্তি, কোনও আসক্তি কাটিয়ে উঠেছেন, তাদের জন্য, আপনি কীভাবে এটি করেছেন? আপনাকে কী সফল হতে সাহায্য করেছে?</v>
      </c>
    </row>
    <row r="80" spans="1:3" ht="15" x14ac:dyDescent="0.25">
      <c r="A80" s="3" t="s">
        <v>82</v>
      </c>
      <c r="B80" s="3" t="s">
        <v>4</v>
      </c>
      <c r="C80" s="4" t="str">
        <f ca="1">IFERROR(__xludf.DUMMYFUNCTION("GOOGLETRANSLATE(A80, ""auto"", ""bn"")"),"আমি আমার বাবা-মায়ের সাথে থাকি, আমার ভাই এবং তার স্ত্রীও, কারণ এক বেডরুমের অ্যাপার্টমেন্টের পুরো মাসের ভাড়া ১৭০০ টাকা, যেখানে আমরা মোটামুটি একটা অ্যাপার্টমেন্টে থাকি, সাধারণত সেখানে ৪ হাজার টাকা। তাছাড়া আমার বয়স মাত্র ২২, এখন আবার আগাছায় ফিরে এসেছি, আমি "&amp;"বাইরে এবং কাজের পরে অথবা রাত ১০টা ঘুমানোর আগে ধূমপান করি। কিন্তু আমার পাশের বাড়ির প্রতিবেশীরা, আমি বৃদ্ধ বা আইনজীবীদের একটি অভিজাত শ্রেণীর পাড়ায় থাকি। তারা আমাকে এত ঘৃণা করে যে আমি যখনই বাইরে যাই তখনই তারা তৎক্ষণাৎ ভেতরে চলে যায়, এমনকি যখন আমি আবর্জনা"&amp;" বের করি, কিন্তু অন্য প্রতিবেশীরা তাদের পাত্তা দেয় না বা জানে না, কিন্তু খালের ইন্টারকোস্টাল পেরিয়ে যাওয়ার পর থেকে কিছুই করে না। কিন্তু একবার আমি ধূমপান করছিলাম এবং জালটি শেষ করে আবার ভেতরে ঢুকে দেখি, একটি ৫০ ফুটের গরম বাক্স ৩০০ ফুট ইন্টারকোস্টাল পেরিয"&amp;"়ে প্রতিবেশীদের পিছনের পর্দার বারান্দায় ভাসছে। LMAO")</f>
        <v>আমি আমার বাবা-মায়ের সাথে থাকি, আমার ভাই এবং তার স্ত্রীও, কারণ এক বেডরুমের অ্যাপার্টমেন্টের পুরো মাসের ভাড়া ১৭০০ টাকা, যেখানে আমরা মোটামুটি একটা অ্যাপার্টমেন্টে থাকি, সাধারণত সেখানে ৪ হাজার টাকা। তাছাড়া আমার বয়স মাত্র ২২, এখন আবার আগাছায় ফিরে এসেছি, আমি বাইরে এবং কাজের পরে অথবা রাত ১০টা ঘুমানোর আগে ধূমপান করি। কিন্তু আমার পাশের বাড়ির প্রতিবেশীরা, আমি বৃদ্ধ বা আইনজীবীদের একটি অভিজাত শ্রেণীর পাড়ায় থাকি। তারা আমাকে এত ঘৃণা করে যে আমি যখনই বাইরে যাই তখনই তারা তৎক্ষণাৎ ভেতরে চলে যায়, এমনকি যখন আমি আবর্জনা বের করি, কিন্তু অন্য প্রতিবেশীরা তাদের পাত্তা দেয় না বা জানে না, কিন্তু খালের ইন্টারকোস্টাল পেরিয়ে যাওয়ার পর থেকে কিছুই করে না। কিন্তু একবার আমি ধূমপান করছিলাম এবং জালটি শেষ করে আবার ভেতরে ঢুকে দেখি, একটি ৫০ ফুটের গরম বাক্স ৩০০ ফুট ইন্টারকোস্টাল পেরিয়ে প্রতিবেশীদের পিছনের পর্দার বারান্দায় ভাসছে। LMAO</v>
      </c>
    </row>
    <row r="81" spans="1:3" ht="15" x14ac:dyDescent="0.25">
      <c r="A81" s="3" t="s">
        <v>83</v>
      </c>
      <c r="B81" s="3" t="s">
        <v>4</v>
      </c>
      <c r="C81" s="4" t="str">
        <f ca="1">IFERROR(__xludf.DUMMYFUNCTION("GOOGLETRANSLATE(A81, ""auto"", ""bn"")"),"এটা আমার প্রথম রেডিট পোস্ট কিন্তু গতকাল যখন মাদক থেকে দূরে থাকা খুব কঠিন ছিল, তখন আমার কেমন অনুভূতি হচ্ছিল, সেই বিষয়ে আমি একটি কবিতা লিখেছিলাম এবং ভাবলাম কবিতাটি হয়তো শেয়ার করব। ব্যথা এমন একটা জিনিস যা আমি খুব ভালো করেই জানি, এটা এমন একটা জিনিস যা আমার"&amp;" নিজের আত্মার অন্ধকারে সবসময় থাকে। আমার নিজের এবং ব্যথা ছাড়া আর কিছুই নেই এবং আমি ব্যথা থেকে মুক্তি পেয়েছি, আনন্দের মুহূর্তগুলি যখন আমি পালাতে পারতাম, আমি খুন করে ফেলতাম, সেই অনুভূতি আবার আসার জন্য, কিন্তু সেই আনন্দ আমাকেও মেরে ফেলতে পারে যখন তুমি ব্যথ"&amp;"ায় থাকো, তুমি ব্যথার ওষুধ খাও, তাই আমি ব্যথা থামানোর চেষ্টা করে একের পর এক বড়ি গিলে ফেললাম, সেই আনন্দের মুহূর্তের জন্য ব্যথা থেকে অসাড়তার জন্য, আমার সমস্যা থেকে মুক্তি পাওয়ার জন্য আমি যা চেয়েছিলাম তা হল ভালো বোধ করা, এবং ওষুধগুলি আমাকে সেই অনুভূতি দি"&amp;"য়েছে, তবুও তারা আমাকে মৃত্যুর দরজায় নিয়ে এসেছে এবং যখন আমি জেগে উঠলাম, আমি জানতাম যে আমাকে থামতে হবে। আমি মরতে ভয় পাই না, সবাইকে একদিন মরতে হবে, কিন্তু আমি এখনও প্রস্তুত নই, তাই আমি টেনে ধরলাম, আমি ওষুধ খাওয়া বন্ধ করে দিলাম, আমি বন্ধ করে দিলাম, তাহলে"&amp;" কেন আমি এইভাবে অনুভব করছি ব্যথা ফিরে এসেছে এবং এখন আরও শক্তিশালী এবং এবার আমি জানি না আমি কে? আমার সবসময় লক্ষ্য ছিল, তাই কেউ কখনো বলতে পারত না যে তারা কখনই জানত না যে আমি কতটা দূরে চলে গেছি, এখন এটা নিয়ে কথা বলা এত কঠিন, তবুও কিছু কিছু ক্ষেত্রে মুক্ত হওয়"&amp;"া আমার মনে হয়েছিল সংযম কাজটা সহজ করে তুলবে, কিন্তু জীবন কেবল কঠিন বলে মনে হচ্ছে। আমি আবার ফিরে আসতে চাই না। আজ ৩৩ দিন ধরে এখানে আসার জন্য আমি খুব চেষ্টা করেছি, তবুও মাদকই সব। আমি ভাবছি এটা বলা কতটা সহজ হবে, কিন্তু আরও একবার বলা কখনোই নয়, আরও একবার, আবার "&amp;"একবার আমার পতন হবে। তারা বলে ৪০ থেকে ৬০ শতাংশ আসক্ত ব্যক্তি পুনরায় আক্রান্ত হয়, আমি কি পরিসংখ্যানকে হারাতে পারি? আমার কি কোন সুযোগ আছে? নাকি কোন লাভ নেই? আমি কি মাদককে আমাকে নিয়ন্ত্রণ করতে দেই? কারণ আমি নিশ্চিত যে তারা তাদের নিয়ন্ত্রণ করতে পারবে না। আম"&amp;"ি কি এমন একটি বিপর্যয় ঘটার অপেক্ষায় আছি যেটা ঘটতে চলেছে?")</f>
        <v>এটা আমার প্রথম রেডিট পোস্ট কিন্তু গতকাল যখন মাদক থেকে দূরে থাকা খুব কঠিন ছিল, তখন আমার কেমন অনুভূতি হচ্ছিল, সেই বিষয়ে আমি একটি কবিতা লিখেছিলাম এবং ভাবলাম কবিতাটি হয়তো শেয়ার করব। ব্যথা এমন একটা জিনিস যা আমি খুব ভালো করেই জানি, এটা এমন একটা জিনিস যা আমার নিজের আত্মার অন্ধকারে সবসময় থাকে। আমার নিজের এবং ব্যথা ছাড়া আর কিছুই নেই এবং আমি ব্যথা থেকে মুক্তি পেয়েছি, আনন্দের মুহূর্তগুলি যখন আমি পালাতে পারতাম, আমি খুন করে ফেলতাম, সেই অনুভূতি আবার আসার জন্য, কিন্তু সেই আনন্দ আমাকেও মেরে ফেলতে পারে যখন তুমি ব্যথায় থাকো, তুমি ব্যথার ওষুধ খাও, তাই আমি ব্যথা থামানোর চেষ্টা করে একের পর এক বড়ি গিলে ফেললাম, সেই আনন্দের মুহূর্তের জন্য ব্যথা থেকে অসাড়তার জন্য, আমার সমস্যা থেকে মুক্তি পাওয়ার জন্য আমি যা চেয়েছিলাম তা হল ভালো বোধ করা, এবং ওষুধগুলি আমাকে সেই অনুভূতি দিয়েছে, তবুও তারা আমাকে মৃত্যুর দরজায় নিয়ে এসেছে এবং যখন আমি জেগে উঠলাম, আমি জানতাম যে আমাকে থামতে হবে। আমি মরতে ভয় পাই না, সবাইকে একদিন মরতে হবে, কিন্তু আমি এখনও প্রস্তুত নই, তাই আমি টেনে ধরলাম, আমি ওষুধ খাওয়া বন্ধ করে দিলাম, আমি বন্ধ করে দিলাম, তাহলে কেন আমি এইভাবে অনুভব করছি ব্যথা ফিরে এসেছে এবং এখন আরও শক্তিশালী এবং এবার আমি জানি না আমি কে? আমার সবসময় লক্ষ্য ছিল, তাই কেউ কখনো বলতে পারত না যে তারা কখনই জানত না যে আমি কতটা দূরে চলে গেছি, এখন এটা নিয়ে কথা বলা এত কঠিন, তবুও কিছু কিছু ক্ষেত্রে মুক্ত হওয়া আমার মনে হয়েছিল সংযম কাজটা সহজ করে তুলবে, কিন্তু জীবন কেবল কঠিন বলে মনে হচ্ছে। আমি আবার ফিরে আসতে চাই না। আজ ৩৩ দিন ধরে এখানে আসার জন্য আমি খুব চেষ্টা করেছি, তবুও মাদকই সব। আমি ভাবছি এটা বলা কতটা সহজ হবে, কিন্তু আরও একবার বলা কখনোই নয়, আরও একবার, আবার একবার আমার পতন হবে। তারা বলে ৪০ থেকে ৬০ শতাংশ আসক্ত ব্যক্তি পুনরায় আক্রান্ত হয়, আমি কি পরিসংখ্যানকে হারাতে পারি? আমার কি কোন সুযোগ আছে? নাকি কোন লাভ নেই? আমি কি মাদককে আমাকে নিয়ন্ত্রণ করতে দেই? কারণ আমি নিশ্চিত যে তারা তাদের নিয়ন্ত্রণ করতে পারবে না। আমি কি এমন একটি বিপর্যয় ঘটার অপেক্ষায় আছি যেটা ঘটতে চলেছে?</v>
      </c>
    </row>
    <row r="82" spans="1:3" ht="15" x14ac:dyDescent="0.25">
      <c r="A82" s="3" t="s">
        <v>84</v>
      </c>
      <c r="B82" s="3" t="s">
        <v>4</v>
      </c>
      <c r="C82" s="4" t="str">
        <f ca="1">IFERROR(__xludf.DUMMYFUNCTION("GOOGLETRANSLATE(A82, ""auto"", ""bn"")"),"হে রেডিটরস, আমি পশ্চিম জার্মানির ৩২ বছর বয়সী পুরুষ, এবং আমি হেরোইনের আসক্তির সাথে লড়াই করছি। আমি প্রায় ২-৩ গ্রাম/দিন ধরে নাক দিয়ে বেশি সেবন করি এবং আমি ছেড়ে দিতে চাই। আমি এখন ৩ বছর ধরে সেবন করছি, ঠান্ডা লাগার পর ৩ মাস বিরতি নিয়ে, বেশ খারাপ ছিল কিন্ত"&amp;"ু যতটা আশা করেছিলাম ততটা খারাপ ছিল না। দ্বিতীয় পুনর্বাসন একটি ক্লিনিকে হয়েছিল যা বেশ সহজ ছিল, কিন্তু আমি নিজেই নিজেকে ছেড়ে দিয়েছিলাম এবং ৩ সপ্তাহ ধরে সুস্থ ছিলাম। এটি এখন ৮ মাস আগে আমি চাই তাই আবার চেষ্টা শুরু করি। আমার মূল পরিকল্পনা ছিল শেষ ১২-১৩ গ্র"&amp;"াম এইচ দিয়ে ডোজ কমিয়ে ডাব্লুডি যতটা সম্ভব মসৃণভাবে ডাব্লুডিতে যেতে। প্রথম ডাব্লুডি লক্ষণগুলি আমাকে বিরক্ত করা শুরু না করা পর্যন্ত অপেক্ষা করা এবং তারপরে সেগুলি বন্ধ করার জন্য নাক ডাকা, তারপর আবার ডাব্লুডিএস লক্ষণগুলির প্রথম লক্ষণগুলি না আসা পর্যন্ত অপেক"&amp;"্ষা করা এবং এটি শেষ করার জন্য কতটা নাক ডাকা প্রয়োজন তা নাক ডাকা। ধারণাটি আপনার কেমন লেগেছে? যদি তোমার কাছে আরও ভালো পরিকল্পনা, আইডিয়া থাকে, তাহলে আমাকে সাহায্য করো। আমি এখন পর্যন্ত কিছুই নিয়ে শুরু করেছিলাম, শুধু একটা টন H আমার নাকে ফুঁ দিয়েছি, অনেকদিনের "&amp;"শেষ মজার যাত্রা হিসেবে। হয়তো এটা সাহায্যকারী হতে পারে, আমি প্রায় ৩০০ গ্রাম অ্যাটম, ১৮.৫x২.৫ মিলিগ্রাম লোরাজেপাম, ৮.১ মিলিগ্রাম আলপ্রাজোলাম পেয়েছি।")</f>
        <v>হে রেডিটরস, আমি পশ্চিম জার্মানির ৩২ বছর বয়সী পুরুষ, এবং আমি হেরোইনের আসক্তির সাথে লড়াই করছি। আমি প্রায় ২-৩ গ্রাম/দিন ধরে নাক দিয়ে বেশি সেবন করি এবং আমি ছেড়ে দিতে চাই। আমি এখন ৩ বছর ধরে সেবন করছি, ঠান্ডা লাগার পর ৩ মাস বিরতি নিয়ে, বেশ খারাপ ছিল কিন্তু যতটা আশা করেছিলাম ততটা খারাপ ছিল না। দ্বিতীয় পুনর্বাসন একটি ক্লিনিকে হয়েছিল যা বেশ সহজ ছিল, কিন্তু আমি নিজেই নিজেকে ছেড়ে দিয়েছিলাম এবং ৩ সপ্তাহ ধরে সুস্থ ছিলাম। এটি এখন ৮ মাস আগে আমি চাই তাই আবার চেষ্টা শুরু করি। আমার মূল পরিকল্পনা ছিল শেষ ১২-১৩ গ্রাম এইচ দিয়ে ডোজ কমিয়ে ডাব্লুডি যতটা সম্ভব মসৃণভাবে ডাব্লুডিতে যেতে। প্রথম ডাব্লুডি লক্ষণগুলি আমাকে বিরক্ত করা শুরু না করা পর্যন্ত অপেক্ষা করা এবং তারপরে সেগুলি বন্ধ করার জন্য নাক ডাকা, তারপর আবার ডাব্লুডিএস লক্ষণগুলির প্রথম লক্ষণগুলি না আসা পর্যন্ত অপেক্ষা করা এবং এটি শেষ করার জন্য কতটা নাক ডাকা প্রয়োজন তা নাক ডাকা। ধারণাটি আপনার কেমন লেগেছে? যদি তোমার কাছে আরও ভালো পরিকল্পনা, আইডিয়া থাকে, তাহলে আমাকে সাহায্য করো। আমি এখন পর্যন্ত কিছুই নিয়ে শুরু করেছিলাম, শুধু একটা টন H আমার নাকে ফুঁ দিয়েছি, অনেকদিনের শেষ মজার যাত্রা হিসেবে। হয়তো এটা সাহায্যকারী হতে পারে, আমি প্রায় ৩০০ গ্রাম অ্যাটম, ১৮.৫x২.৫ মিলিগ্রাম লোরাজেপাম, ৮.১ মিলিগ্রাম আলপ্রাজোলাম পেয়েছি।</v>
      </c>
    </row>
    <row r="83" spans="1:3" ht="15" x14ac:dyDescent="0.25">
      <c r="A83" s="3" t="s">
        <v>85</v>
      </c>
      <c r="B83" s="3" t="s">
        <v>4</v>
      </c>
      <c r="C83" s="4" t="str">
        <f ca="1">IFERROR(__xludf.DUMMYFUNCTION("GOOGLETRANSLATE(A83, ""auto"", ""bn"")"),"মাইগ্রেনের ব্যথায় ঘুম ভেঙে যায়, তাই কাজে যাইনি, আর সারাদিন প্রায় ঘুমিয়ে থাকি। কিন্তু আমি অনেকক্ষণ জেগে ছিলাম, আর যতক্ষণ পর্যন্ত ভালো বোধ করছিলাম ততক্ষণ পর্যন্ত ভালোই বোধ করছিলাম। এই চিন্তাটা আমার মনে ঘুরপাক খাচ্ছে কিন্তু আমি জানতাম এটা আমার শরীরের প্রয়োজ"&amp;"ন ছিল না। মাত্র ১ সপ্তাহ আগে আমার আবার নেশা শুরু হয়েছে কিন্তু সপ্তাহান্ত শেষ হওয়ার পর থেকে প্রতিদিনই আমার মনে হয়েছে ""আজ আর নেশা করবো না?"" আর তারপরও। আমি জানি এটা খুব একটা গুরুত্বপূর্ণ নয় কারণ আমি সম্ভবত আগামীকাল আবার নেশা শুরু করবো। আমি এখনও আবার নেশামু"&amp;"ক্ত হওয়ার চেষ্টা করছি না, তবে আমি যতটা সম্ভব স্মার্ট, নিরাপদ এবং সুস্থ থাকার চেষ্টা করছি। আর আজ আমি গর্বিত যে আমি একটি স্মার্ট/নিরাপদ/স্বাস্থ্যকর সিদ্ধান্ত নিতে পেরেছি। আমি মনে করি মাছি আমি গর্বিত কারণ আমি বুঝতে পারছি এটাই আমার করা উচিত। আজ যতক্ষণ ঘুমিয়ে"&amp;"ছি, ততক্ষণ আমি আবার নেশামুক্ত হওয়ার জন্য লড়াই করার স্বপ্ন দেখছিলাম।")</f>
        <v>মাইগ্রেনের ব্যথায় ঘুম ভেঙে যায়, তাই কাজে যাইনি, আর সারাদিন প্রায় ঘুমিয়ে থাকি। কিন্তু আমি অনেকক্ষণ জেগে ছিলাম, আর যতক্ষণ পর্যন্ত ভালো বোধ করছিলাম ততক্ষণ পর্যন্ত ভালোই বোধ করছিলাম। এই চিন্তাটা আমার মনে ঘুরপাক খাচ্ছে কিন্তু আমি জানতাম এটা আমার শরীরের প্রয়োজন ছিল না। মাত্র ১ সপ্তাহ আগে আমার আবার নেশা শুরু হয়েছে কিন্তু সপ্তাহান্ত শেষ হওয়ার পর থেকে প্রতিদিনই আমার মনে হয়েছে "আজ আর নেশা করবো না?" আর তারপরও। আমি জানি এটা খুব একটা গুরুত্বপূর্ণ নয় কারণ আমি সম্ভবত আগামীকাল আবার নেশা শুরু করবো। আমি এখনও আবার নেশামুক্ত হওয়ার চেষ্টা করছি না, তবে আমি যতটা সম্ভব স্মার্ট, নিরাপদ এবং সুস্থ থাকার চেষ্টা করছি। আর আজ আমি গর্বিত যে আমি একটি স্মার্ট/নিরাপদ/স্বাস্থ্যকর সিদ্ধান্ত নিতে পেরেছি। আমি মনে করি মাছি আমি গর্বিত কারণ আমি বুঝতে পারছি এটাই আমার করা উচিত। আজ যতক্ষণ ঘুমিয়েছি, ততক্ষণ আমি আবার নেশামুক্ত হওয়ার জন্য লড়াই করার স্বপ্ন দেখছিলাম।</v>
      </c>
    </row>
    <row r="84" spans="1:3" ht="15" x14ac:dyDescent="0.25">
      <c r="A84" s="3" t="s">
        <v>86</v>
      </c>
      <c r="B84" s="3" t="s">
        <v>4</v>
      </c>
      <c r="C84" s="4" t="str">
        <f ca="1">IFERROR(__xludf.DUMMYFUNCTION("GOOGLETRANSLATE(A84, ""auto"", ""bn"")"),"আমি আর আমার বন্ধুরা ৮ বছর আগে থেকে মাদকাসক্তি শুরু করেছিলাম। জানো তো, কেমন হয়, আমরা একটু গাঁজা ধূমপান শুরু করেছিলাম, একটা ভালো, নির্দোষ সময় কাটাতাম। সেই সময় আমরা প্রায়শই প্রচার করতাম যে, শক্তিশালী কিছু না করাই ভালো, সেই গাঁজাই যথেষ্ট ছিল আদা আদা আদা। য"&amp;"দিও সময়ের সাথে সাথে, আমরা নিছক পাথরবাজ থেকে ""সকল ব্যবসার জ্যাক"" হয়ে উঠি। LSD, MDMA, Shrooms, 2CB, Cocaine, Ketamine, Percy, এবং বিভিন্ন ধরণের ADHD ওষুধ, এবং একসময় একটু অ্যান্টি-অ্যাংজাইটি। যদিও আমরা অবশেষে কখনও শক্তিশালী কিছু না করার মন্ত্র ত্যাগ করে"&amp;"ছি, তবুও আমরা ওষুধ এবং ফ্রিকোয়েন্সি সম্মান এবং যত্নের সাথে ব্যবহার করার চেষ্টা করেছি। এবং আমি স্বীকার করতেই পারি, বেশিরভাগ ছেলেই ক্যারিয়ার, সম্পর্ক ইত্যাদি ক্ষেত্রে নিজেদের জন্য বেশ ভালো করছে। আমরা আমাদের কল্পনার দিক থেকে নিখুঁত কিছু করছি না, তবে আমরা ন"&amp;"িজেদের আয়নায় দেখতে পারি (যদি না আমরা MDMA থেকে নেমে আসছি lol)। ছেলেদের মধ্যে একজন সবসময়ই বছরের পর বছর ধরে একটু বেশি ঘন ঘন এবং একটু কম যত্ন সহকারে মাদকাসক্তি উপভোগ করত এবং সেবন করত। সে অল্প বয়সেই MDMA-এর অপব্যবহার করে এবং ১ বছরের মধ্যেই সেরোটোনিন সিনড্"&amp;"রোমে আক্রান্ত হয়, যেখানে তার আঙ্গুল সত্যিই পুড়ে যায়। এরপর, সে একটু ধীর হয়ে যেত এবং প্রাথমিকভাবে মানসিক অবসাদগ্রস্ত হয়ে পড়ত, এবং আমরা ভেবেছিলাম সে তার শিক্ষা শিখেছে। দ্রুত ২০২১ সালের গ্রীষ্মে। আমার বন্ধু স্থানীয় বিশ্ববিদ্যালয়ে পড়েছিল এবং তার স্নাত"&amp;"ক ডিগ্রি শেষ করছিল, এবং সবকিছু ঠিকঠাক চলছিল বলে মনে হচ্ছিল। সে তার সমস্ত পরীক্ষায় উত্তীর্ণ হয়েছিল, ১ম বর্ষ ছাড়া, যেখানে তাকে আসন্ন স্কুল বছরের শুরুতে পুনর্পরীক্ষায় অংশ নিতে হয়েছিল। তাই আমার বন্ধু গ্রীষ্মকাল উপভোগ করছিল এবং কিছুটা অকাল উদযাপন করছিল কা"&amp;"রণ তার প্রাথমিক পরীক্ষা শেষ হয়ে গিয়েছিল। আমি তাকে দোষ দিচ্ছি না, এবং আমি অবশ্যই গ্রীষ্মকাল জুড়ে আমার ন্যায্য পরিমাণে ওষুধ খেয়েছি। সে ডার্ক ওয়েবের মাধ্যমে PCP এবং অনেক ডিজাইনার ওষুধ নিয়ে পরীক্ষা-নিরীক্ষা শুরু করেছিল, এবং এটি সবই মজা এবং খেলা ছিল যতক্"&amp;"ষণ না সে অবশেষে কিছু খারাপ খবর পায়। তার স্টাডি গ্রুপ তার সাথে যোগাযোগ করে এবং মূলত যোগাযোগ করে ""আমরা তোমার সাথে স্টাডি গ্রুপে থাকতে চাই না, তুমি দায়ী নও, অন্য কাউকে খুঁজে বের করো।"" এই খবরটা আমার ছেলেকে ভেঙে দিল, এবং সে সম্পূর্ণ নিয়ন্ত্রণের বাইরে চলে "&amp;"গেল, বিশেষ করে পিসিপি এবং আফিমের কারণে। সে কখনও ফাইনাল পরীক্ষা দিতে পারেনি। এখন সে তার সমস্ত টাকা মাদকের পিছনে ব্যয় করে। তার বাবা-মায়ের কাছ থেকে টাকা ধার করে মাদক কিনতে। কেবল প্রতি দ্বিতীয় দিন ঘুমায়। সপ্তাহে মাত্র দু'বার খায়, এবং সবসময় কার্ডবোর্ড পি"&amp;"ৎজা। রেগে গেলে মাঝে মাঝে তার অ্যাপার্টমেন্ট মারধর করে। মাঝে মাঝে হাসপাতালে যায়, আমরা আর অবাক হই না। যখন সে সুস্থ থাকে, সে কেবল ভ্রূণের অবস্থানে বিছানায় শুয়ে থাকে, তখন সে স্পষ্টতই বিষণ্ণ থাকে। গতকাল, এক সহকর্মী বন্ধু আমাকে বলেছিল যে সে হেরোইন বুক করতে শ"&amp;"ুরু করেছে। কেকের উপর আইসিং (অথবা এর অভাব) সে আমার মেয়েটিকে আমার পিছনে নিয়ে যাওয়ার চেষ্টা করেছিল, এবং সে আমাকে তার সেরা বন্ধুদের একজন বলে মনে করে, তুমি জানো, ছেলেদের একজন। আমি তখন থেকে তার সাথে কথা বলেছি, এবং যদিও সে অত্যন্ত লজ্জিত এবং অনুতপ্ত ছিল, মনে "&amp;"হচ্ছে আমরা তার মধ্যে যে সমস্ত উদ্বেগ, পরামর্শ এবং সান্ত্বনা ঢেলেছি তা এক কান দিয়ে যায় এবং অন্য কান দিয়ে বেরিয়ে যায়। কিছুই মনে হচ্ছে না। ৮ মাসের ব্যবধানে, আমি আমার এক বন্ধুকে পুরোপুরি একজন আসক্ত/জাঙ্কিতে রূপান্তরিত হতে দেখেছি। তাহলে, আমার প্রশ্ন হল: আ"&amp;"মি কী করতে পারি? আমি আমার বন্ধুকে কীভাবে সাহায্য করব? আমি কি আমার বন্ধুকে সাহায্য করতে পারি? আমি কি কর্তৃপক্ষ/পরিবারকে জানাব? আমার মেয়ের উপর এমন আচরণ করার জন্য আমি তাকে ক্ষমা করিনি, কিন্তু আমি তাকে এভাবে দেখতে চাই না, এটি তাকে মেরে ফেলবে।")</f>
        <v>আমি আর আমার বন্ধুরা ৮ বছর আগে থেকে মাদকাসক্তি শুরু করেছিলাম। জানো তো, কেমন হয়, আমরা একটু গাঁজা ধূমপান শুরু করেছিলাম, একটা ভালো, নির্দোষ সময় কাটাতাম। সেই সময় আমরা প্রায়শই প্রচার করতাম যে, শক্তিশালী কিছু না করাই ভালো, সেই গাঁজাই যথেষ্ট ছিল আদা আদা আদা। যদিও সময়ের সাথে সাথে, আমরা নিছক পাথরবাজ থেকে "সকল ব্যবসার জ্যাক" হয়ে উঠি। LSD, MDMA, Shrooms, 2CB, Cocaine, Ketamine, Percy, এবং বিভিন্ন ধরণের ADHD ওষুধ, এবং একসময় একটু অ্যান্টি-অ্যাংজাইটি। যদিও আমরা অবশেষে কখনও শক্তিশালী কিছু না করার মন্ত্র ত্যাগ করেছি, তবুও আমরা ওষুধ এবং ফ্রিকোয়েন্সি সম্মান এবং যত্নের সাথে ব্যবহার করার চেষ্টা করেছি। এবং আমি স্বীকার করতেই পারি, বেশিরভাগ ছেলেই ক্যারিয়ার, সম্পর্ক ইত্যাদি ক্ষেত্রে নিজেদের জন্য বেশ ভালো করছে। আমরা আমাদের কল্পনার দিক থেকে নিখুঁত কিছু করছি না, তবে আমরা নিজেদের আয়নায় দেখতে পারি (যদি না আমরা MDMA থেকে নেমে আসছি lol)। ছেলেদের মধ্যে একজন সবসময়ই বছরের পর বছর ধরে একটু বেশি ঘন ঘন এবং একটু কম যত্ন সহকারে মাদকাসক্তি উপভোগ করত এবং সেবন করত। সে অল্প বয়সেই MDMA-এর অপব্যবহার করে এবং ১ বছরের মধ্যেই সেরোটোনিন সিনড্রোমে আক্রান্ত হয়, যেখানে তার আঙ্গুল সত্যিই পুড়ে যায়। এরপর, সে একটু ধীর হয়ে যেত এবং প্রাথমিকভাবে মানসিক অবসাদগ্রস্ত হয়ে পড়ত, এবং আমরা ভেবেছিলাম সে তার শিক্ষা শিখেছে। দ্রুত ২০২১ সালের গ্রীষ্মে। আমার বন্ধু স্থানীয় বিশ্ববিদ্যালয়ে পড়েছিল এবং তার স্নাতক ডিগ্রি শেষ করছিল, এবং সবকিছু ঠিকঠাক চলছিল বলে মনে হচ্ছিল। সে তার সমস্ত পরীক্ষায় উত্তীর্ণ হয়েছিল, ১ম বর্ষ ছাড়া, যেখানে তাকে আসন্ন স্কুল বছরের শুরুতে পুনর্পরীক্ষায় অংশ নিতে হয়েছিল। তাই আমার বন্ধু গ্রীষ্মকাল উপভোগ করছিল এবং কিছুটা অকাল উদযাপন করছিল কারণ তার প্রাথমিক পরীক্ষা শেষ হয়ে গিয়েছিল। আমি তাকে দোষ দিচ্ছি না, এবং আমি অবশ্যই গ্রীষ্মকাল জুড়ে আমার ন্যায্য পরিমাণে ওষুধ খেয়েছি। সে ডার্ক ওয়েবের মাধ্যমে PCP এবং অনেক ডিজাইনার ওষুধ নিয়ে পরীক্ষা-নিরীক্ষা শুরু করেছিল, এবং এটি সবই মজা এবং খেলা ছিল যতক্ষণ না সে অবশেষে কিছু খারাপ খবর পায়। তার স্টাডি গ্রুপ তার সাথে যোগাযোগ করে এবং মূলত যোগাযোগ করে "আমরা তোমার সাথে স্টাডি গ্রুপে থাকতে চাই না, তুমি দায়ী নও, অন্য কাউকে খুঁজে বের করো।" এই খবরটা আমার ছেলেকে ভেঙে দিল, এবং সে সম্পূর্ণ নিয়ন্ত্রণের বাইরে চলে গেল, বিশেষ করে পিসিপি এবং আফিমের কারণে। সে কখনও ফাইনাল পরীক্ষা দিতে পারেনি। এখন সে তার সমস্ত টাকা মাদকের পিছনে ব্যয় করে। তার বাবা-মায়ের কাছ থেকে টাকা ধার করে মাদক কিনতে। কেবল প্রতি দ্বিতীয় দিন ঘুমায়। সপ্তাহে মাত্র দু'বার খায়, এবং সবসময় কার্ডবোর্ড পিৎজা। রেগে গেলে মাঝে মাঝে তার অ্যাপার্টমেন্ট মারধর করে। মাঝে মাঝে হাসপাতালে যায়, আমরা আর অবাক হই না। যখন সে সুস্থ থাকে, সে কেবল ভ্রূণের অবস্থানে বিছানায় শুয়ে থাকে, তখন সে স্পষ্টতই বিষণ্ণ থাকে। গতকাল, এক সহকর্মী বন্ধু আমাকে বলেছিল যে সে হেরোইন বুক করতে শুরু করেছে। কেকের উপর আইসিং (অথবা এর অভাব) সে আমার মেয়েটিকে আমার পিছনে নিয়ে যাওয়ার চেষ্টা করেছিল, এবং সে আমাকে তার সেরা বন্ধুদের একজন বলে মনে করে, তুমি জানো, ছেলেদের একজন। আমি তখন থেকে তার সাথে কথা বলেছি, এবং যদিও সে অত্যন্ত লজ্জিত এবং অনুতপ্ত ছিল, মনে হচ্ছে আমরা তার মধ্যে যে সমস্ত উদ্বেগ, পরামর্শ এবং সান্ত্বনা ঢেলেছি তা এক কান দিয়ে যায় এবং অন্য কান দিয়ে বেরিয়ে যায়। কিছুই মনে হচ্ছে না। ৮ মাসের ব্যবধানে, আমি আমার এক বন্ধুকে পুরোপুরি একজন আসক্ত/জাঙ্কিতে রূপান্তরিত হতে দেখেছি। তাহলে, আমার প্রশ্ন হল: আমি কী করতে পারি? আমি আমার বন্ধুকে কীভাবে সাহায্য করব? আমি কি আমার বন্ধুকে সাহায্য করতে পারি? আমি কি কর্তৃপক্ষ/পরিবারকে জানাব? আমার মেয়ের উপর এমন আচরণ করার জন্য আমি তাকে ক্ষমা করিনি, কিন্তু আমি তাকে এভাবে দেখতে চাই না, এটি তাকে মেরে ফেলবে।</v>
      </c>
    </row>
    <row r="85" spans="1:3" ht="15" x14ac:dyDescent="0.25">
      <c r="A85" s="3" t="s">
        <v>87</v>
      </c>
      <c r="B85" s="3" t="s">
        <v>4</v>
      </c>
      <c r="C85" s="4" t="str">
        <f ca="1">IFERROR(__xludf.DUMMYFUNCTION("GOOGLETRANSLATE(A85, ""auto"", ""bn"")"),"একটি AMA-তে এই মন্তব্য লেখার পর আমি এটি পোস্ট করছি এবং আমি সত্যিই সাহায্য/পরামর্শ চাই। আমি কখনও ভাবিনি যে আমি এখানে থাকব। আমি যার সাথে দেখা করেছি তার কারণে আমি এটি লিখছি। খুব শীঘ্রই আমার বিশ্বাস ছিল যে এটি একটি সংযোগ ছিল সে একজন মেথ আসক্ত। আমি এটি সম্পর্ক"&amp;"ে খুব, খুব অজ্ঞ ছিলাম কারণ আমি আসক্তদের ""জম্বি"" এবং অকার্যকর এবং শিক্ষিত ছিলাম না। আমার কোনও পারিবারিক ইতিহাস বা আমার পরিচিত লোকেরা এটি ব্যবহার করত না। আমি এখন অনেক বেশি সচেতন। সমস্ত লক্ষণ সেখানে ছিল। সে কখনও আমার কাছ থেকে চুরি করেনি, আমি 3 মাস ধরে কর্ম"&amp;"ক্ষেত্রে তাকে প্রায়শই আমার বাড়িতে একা রেখে এসেছিলাম এবং পিছনে ফিরে তাকালে আমার ঘর পরিষ্কার করা এবং অদৃশ্য হয়ে যাওয়া খুব সহজ হত, আমি জানি না, সম্ভবত সে কারণেই আমার মনে হয় আশা আছে? যখন আমি জানতে পারি (আমার বাড়িতে ব্যবহার করতে ধরা পড়ে) তখন আমি তাকে খু"&amp;"ব বিনয়ের সাথে কোনও যুক্তি ছাড়াই বলেছিলাম আমাকে তাকে বাড়িতে নিয়ে যেতে হয়েছিল এবং আমরা আর কথা বলতে পারিনি, সত্যি বলতে, কারণ এটি আমাকে ভয় পেয়েছিল। সে এটা নিয়ে কথা বলতে চাইছিল না, শুধু বলল, ""হ্যাঁ, এটা সত্যি হওয়ার মতো খুব ভালো ছিল। আমি যথেষ্ট ভালো নই,"&amp;" তুমি আমার সাথে এত ভালো ব্যবহার করোনি, আমি জানতাম এটা শেষ হবে, আমাকে বাড়ি নিয়ে যাবে, ঠিক আছে?"" খুব লজ্জিত মনে হচ্ছিল। এটা এক মাস আগের কথা এবং এখন আমি আরও গভীরে ডুবে যাচ্ছি, আসক্তি সম্পর্কে শিখছি এবং এই ধরনের গ্রুপ খুঁজে পাচ্ছি। সে এখনও মাঝে মাঝে আমাকে মি"&amp;"ম মেসেজ করে, অথবা বলে যে সে ""ভুলে গেছে?"" আমার বাড়িতে সে যেসব জিনিস রেখে গেছে যা সে পেতে চায় যা সত্য নয়, এবং আমি এর বেশিরভাগই উপেক্ষা করি অথবা শুষ্ক/বিচ্যুত প্রতিক্রিয়া দেই। সে আমাকে ""গল্প"" বলেছে? যেন অতীতে তার শারীরিক নির্যাতনের শিকার হয়েছে কিন্ত"&amp;"ু লক্ষণগুলি ফিরে তাকালে এখনও তা বর্তমান হতে পারে। আমি জানি আসক্তরা যখন প্রস্তুত থাকে তখন তারা সত্যিই পরিষ্কার হয়ে যায় এবং আমি কেবল একজন অপরিচিত, কিন্তু তোমাদের কাছে আমার প্রশ্ন, আসক্তদের দৃষ্টিকোণ থেকে আমি কি তাকে সাহায্য করার জন্য কিছু করতে পারি? (অথবা"&amp;" যারা আগে সাহায্য করেছে?) যখন আমি সাহায্য বলি তখন আমি অলৌকিকভাবে তাকে থামাতে চাই না। আমার এখন আর কোনও ইচ্ছা নেই যে আমি তাকে একটুও রোমান্টিকভাবে অনুসরণ করব। আমি প্রথমে অজ্ঞ এবং রাগান্বিত ছিলাম, এবং এখন আমার খারাপ লাগছে কারণ আমি বুঝতে পারছি না যে এই মাদক আপ"&amp;"নার মন বদলে দেয়। সে নিজেকে অনেক ছোট করে কথা বলত। সে খুব দরিদ্র পরিবার থেকে এসেছে, আমি কি কেবল একটি বার্তা পাঠাই যে আমি কথা বলতে/বন্ধু হতে ইচ্ছুক? মানে এখনও মনে হচ্ছে সে অর্থহীনভাবে যোগাযোগ করছে, এবং আমি তাকে ওষুধ বা টাকা দেই না?? আমরা যখন আমার বাড়িতে সম"&amp;"য় কাটাচ্ছিলাম তখন আমি তাকে বিভিন্ন ব্যক্তিগত স্বাস্থ্যবিধি পণ্য কিনেছিলাম যা সে প্রশংসা করেছিল বলে মনে হয়েছিল যদি আমি এখনও কিছু আনতে পারি? একজন আসক্ত হিসেবে অন্যরা কি তোমার জন্য আলাদা কিছু করতে পারত? আমি এই পুরো বিষয়টি ভুলে যেতে চাই, কিন্তু আমি সত্যিই "&amp;"পারছি না। আমি নিজেকে শিক্ষিত করছি কারণ আমি যত্নশীল, কিন্তু নির্বোধ হতে চাই না।")</f>
        <v>একটি AMA-তে এই মন্তব্য লেখার পর আমি এটি পোস্ট করছি এবং আমি সত্যিই সাহায্য/পরামর্শ চাই। আমি কখনও ভাবিনি যে আমি এখানে থাকব। আমি যার সাথে দেখা করেছি তার কারণে আমি এটি লিখছি। খুব শীঘ্রই আমার বিশ্বাস ছিল যে এটি একটি সংযোগ ছিল সে একজন মেথ আসক্ত। আমি এটি সম্পর্কে খুব, খুব অজ্ঞ ছিলাম কারণ আমি আসক্তদের "জম্বি" এবং অকার্যকর এবং শিক্ষিত ছিলাম না। আমার কোনও পারিবারিক ইতিহাস বা আমার পরিচিত লোকেরা এটি ব্যবহার করত না। আমি এখন অনেক বেশি সচেতন। সমস্ত লক্ষণ সেখানে ছিল। সে কখনও আমার কাছ থেকে চুরি করেনি, আমি 3 মাস ধরে কর্মক্ষেত্রে তাকে প্রায়শই আমার বাড়িতে একা রেখে এসেছিলাম এবং পিছনে ফিরে তাকালে আমার ঘর পরিষ্কার করা এবং অদৃশ্য হয়ে যাওয়া খুব সহজ হত, আমি জানি না, সম্ভবত সে কারণেই আমার মনে হয় আশা আছে? যখন আমি জানতে পারি (আমার বাড়িতে ব্যবহার করতে ধরা পড়ে) তখন আমি তাকে খুব বিনয়ের সাথে কোনও যুক্তি ছাড়াই বলেছিলাম আমাকে তাকে বাড়িতে নিয়ে যেতে হয়েছিল এবং আমরা আর কথা বলতে পারিনি, সত্যি বলতে, কারণ এটি আমাকে ভয় পেয়েছিল। সে এটা নিয়ে কথা বলতে চাইছিল না, শুধু বলল, "হ্যাঁ, এটা সত্যি হওয়ার মতো খুব ভালো ছিল। আমি যথেষ্ট ভালো নই, তুমি আমার সাথে এত ভালো ব্যবহার করোনি, আমি জানতাম এটা শেষ হবে, আমাকে বাড়ি নিয়ে যাবে, ঠিক আছে?" খুব লজ্জিত মনে হচ্ছিল। এটা এক মাস আগের কথা এবং এখন আমি আরও গভীরে ডুবে যাচ্ছি, আসক্তি সম্পর্কে শিখছি এবং এই ধরনের গ্রুপ খুঁজে পাচ্ছি। সে এখনও মাঝে মাঝে আমাকে মিম মেসেজ করে, অথবা বলে যে সে "ভুলে গেছে?" আমার বাড়িতে সে যেসব জিনিস রেখে গেছে যা সে পেতে চায় যা সত্য নয়, এবং আমি এর বেশিরভাগই উপেক্ষা করি অথবা শুষ্ক/বিচ্যুত প্রতিক্রিয়া দেই। সে আমাকে "গল্প" বলেছে? যেন অতীতে তার শারীরিক নির্যাতনের শিকার হয়েছে কিন্তু লক্ষণগুলি ফিরে তাকালে এখনও তা বর্তমান হতে পারে। আমি জানি আসক্তরা যখন প্রস্তুত থাকে তখন তারা সত্যিই পরিষ্কার হয়ে যায় এবং আমি কেবল একজন অপরিচিত, কিন্তু তোমাদের কাছে আমার প্রশ্ন, আসক্তদের দৃষ্টিকোণ থেকে আমি কি তাকে সাহায্য করার জন্য কিছু করতে পারি? (অথবা যারা আগে সাহায্য করেছে?) যখন আমি সাহায্য বলি তখন আমি অলৌকিকভাবে তাকে থামাতে চাই না। আমার এখন আর কোনও ইচ্ছা নেই যে আমি তাকে একটুও রোমান্টিকভাবে অনুসরণ করব। আমি প্রথমে অজ্ঞ এবং রাগান্বিত ছিলাম, এবং এখন আমার খারাপ লাগছে কারণ আমি বুঝতে পারছি না যে এই মাদক আপনার মন বদলে দেয়। সে নিজেকে অনেক ছোট করে কথা বলত। সে খুব দরিদ্র পরিবার থেকে এসেছে, আমি কি কেবল একটি বার্তা পাঠাই যে আমি কথা বলতে/বন্ধু হতে ইচ্ছুক? মানে এখনও মনে হচ্ছে সে অর্থহীনভাবে যোগাযোগ করছে, এবং আমি তাকে ওষুধ বা টাকা দেই না?? আমরা যখন আমার বাড়িতে সময় কাটাচ্ছিলাম তখন আমি তাকে বিভিন্ন ব্যক্তিগত স্বাস্থ্যবিধি পণ্য কিনেছিলাম যা সে প্রশংসা করেছিল বলে মনে হয়েছিল যদি আমি এখনও কিছু আনতে পারি? একজন আসক্ত হিসেবে অন্যরা কি তোমার জন্য আলাদা কিছু করতে পারত? আমি এই পুরো বিষয়টি ভুলে যেতে চাই, কিন্তু আমি সত্যিই পারছি না। আমি নিজেকে শিক্ষিত করছি কারণ আমি যত্নশীল, কিন্তু নির্বোধ হতে চাই না।</v>
      </c>
    </row>
    <row r="86" spans="1:3" ht="15" x14ac:dyDescent="0.25">
      <c r="A86" s="3" t="s">
        <v>88</v>
      </c>
      <c r="B86" s="3" t="s">
        <v>4</v>
      </c>
      <c r="C86" s="4" t="str">
        <f ca="1">IFERROR(__xludf.DUMMYFUNCTION("GOOGLETRANSLATE(A86, ""auto"", ""bn"")"),"আমি এখানে হতাশ। আমার বান্ধবী গর্ভবতী হয়ে পড়েছে, আর আমাদের ৬ মাস আগে একটা সুন্দর ছেলে হয়েছে; আমরা মাত্র ১০ মাস আগে ডেটিং করছিলাম কিন্তু আমাদের সম্পর্কের মতোই সেও অসাধারণ। সম্প্রতি, সে খুব ভদকা পান করতে শুরু করেছে এবং। আজ রাতে আমি বাড়িতে ফিরে দেখি, আমাদের ছ"&amp;"েলে বিছানায় শুয়ে আছে এবং গ্লাসে ভদকার গন্ধ পাচ্ছি (বিকাল ৫টা); গ্যারেজে ৫টি ভদকা সেল্টজার এবং ওয়াইনের বোতল ছিল। তার মা তার নীল রঙের বড়ি খুঁজে পেয়েছে যা সে তার পার্সে লুকিয়ে রেখেছে (কোমাজপোলাম?)। সম্পূর্ণ অস্বীকার। সে উল্টে গেল: আমার, তার বাবা এবং মায়ের "&amp;"দিকে চিৎকার করে উঠল, রক্তাক্ত চোখ দিয়ে পুলিশকে ফোন করল। তারা বললো সে অত্যন্ত মাতাল (আমি আক্ষরিক অর্থেই কাজ থেকে বেরিয়ে এসেছি): আমি হতাশ। সম্পূর্ণ হতাশ। আমার খুব খারাপ লাগছে, মন খারাপ, আমার খুব রাগ হচ্ছে যে সে আমাদের ছেলের সাথে অজ্ঞান হয়ে যাবে (সে দিনের "&amp;"বেলায় অনেকের মতো বেশি ঘুমাচ্ছে এবং মনে হচ্ছে হয়তো সে পপ-ওষুধ খায় এবং আমাদের ছেলেকেও ঘুম পাড়িয়ে দেয়)। শুধু মুখ খুলে বলার দরকার ছিল, স্পষ্টতই সে আমাদের সবাইকে বলেছে যে আমরা যাদের বিরুদ্ধে, তাদের সাথে তার রাগ শেষ হয়ে গেছে। আমি খারাপ।")</f>
        <v>আমি এখানে হতাশ। আমার বান্ধবী গর্ভবতী হয়ে পড়েছে, আর আমাদের ৬ মাস আগে একটা সুন্দর ছেলে হয়েছে; আমরা মাত্র ১০ মাস আগে ডেটিং করছিলাম কিন্তু আমাদের সম্পর্কের মতোই সেও অসাধারণ। সম্প্রতি, সে খুব ভদকা পান করতে শুরু করেছে এবং। আজ রাতে আমি বাড়িতে ফিরে দেখি, আমাদের ছেলে বিছানায় শুয়ে আছে এবং গ্লাসে ভদকার গন্ধ পাচ্ছি (বিকাল ৫টা); গ্যারেজে ৫টি ভদকা সেল্টজার এবং ওয়াইনের বোতল ছিল। তার মা তার নীল রঙের বড়ি খুঁজে পেয়েছে যা সে তার পার্সে লুকিয়ে রেখেছে (কোমাজপোলাম?)। সম্পূর্ণ অস্বীকার। সে উল্টে গেল: আমার, তার বাবা এবং মায়ের দিকে চিৎকার করে উঠল, রক্তাক্ত চোখ দিয়ে পুলিশকে ফোন করল। তারা বললো সে অত্যন্ত মাতাল (আমি আক্ষরিক অর্থেই কাজ থেকে বেরিয়ে এসেছি): আমি হতাশ। সম্পূর্ণ হতাশ। আমার খুব খারাপ লাগছে, মন খারাপ, আমার খুব রাগ হচ্ছে যে সে আমাদের ছেলের সাথে অজ্ঞান হয়ে যাবে (সে দিনের বেলায় অনেকের মতো বেশি ঘুমাচ্ছে এবং মনে হচ্ছে হয়তো সে পপ-ওষুধ খায় এবং আমাদের ছেলেকেও ঘুম পাড়িয়ে দেয়)। শুধু মুখ খুলে বলার দরকার ছিল, স্পষ্টতই সে আমাদের সবাইকে বলেছে যে আমরা যাদের বিরুদ্ধে, তাদের সাথে তার রাগ শেষ হয়ে গেছে। আমি খারাপ।</v>
      </c>
    </row>
    <row r="87" spans="1:3" ht="15" x14ac:dyDescent="0.25">
      <c r="A87" s="3" t="s">
        <v>89</v>
      </c>
      <c r="B87" s="3" t="s">
        <v>4</v>
      </c>
      <c r="C87" s="4" t="str">
        <f ca="1">IFERROR(__xludf.DUMMYFUNCTION("GOOGLETRANSLATE(A87, ""auto"", ""bn"")"),"আমি জুয়ার আসক্তি থেকে সেরে উঠেছি। তিন বছর আগে আমি জুয়া খেলা ছেড়ে দিয়েছি, এবং আমি নিশ্চিত যে আমি আর কখনও জুয়া খেলব না। শখের বশে, আমি আমার নিজস্ব ইউটিউব চ্যানেল তৈরি করেছি এবং এই ভিডিওতে, আমি কেন আর কখনও জুয়া খেলা শুরু করব না তার কারণগুলি তুলে ধরেছি। "&amp;"জুয়া খেলা ছেড়ে দেওয়ার জন্য আমি কিছু প্রেরণামূলক ভিডিওও তৈরি করেছি।")</f>
        <v>আমি জুয়ার আসক্তি থেকে সেরে উঠেছি। তিন বছর আগে আমি জুয়া খেলা ছেড়ে দিয়েছি, এবং আমি নিশ্চিত যে আমি আর কখনও জুয়া খেলব না। শখের বশে, আমি আমার নিজস্ব ইউটিউব চ্যানেল তৈরি করেছি এবং এই ভিডিওতে, আমি কেন আর কখনও জুয়া খেলা শুরু করব না তার কারণগুলি তুলে ধরেছি। জুয়া খেলা ছেড়ে দেওয়ার জন্য আমি কিছু প্রেরণামূলক ভিডিওও তৈরি করেছি।</v>
      </c>
    </row>
    <row r="88" spans="1:3" ht="15" x14ac:dyDescent="0.25">
      <c r="A88" s="3" t="s">
        <v>90</v>
      </c>
      <c r="B88" s="3" t="s">
        <v>4</v>
      </c>
      <c r="C88" s="4" t="str">
        <f ca="1">IFERROR(__xludf.DUMMYFUNCTION("GOOGLETRANSLATE(A88, ""auto"", ""bn"")"),"মাঝে মাঝে নিজেকে খুব কঠিন মনে হয়। সত্যি বলতে, আমি খুব একা, শূন্য এবং মৃত বোধ করি। আমি মানসিকভাবে খুব খারাপভাবে লড়াই করছি, সবকিছুই আমাকে চাপে ফেলেছে। টাকা, জীবন, আমার অস্তিত্বহীন সামাজিক জীবন। যখন কেউ তোমাকে ভালোবাসে বলে মনে হয় না তখন নিজেকে ভালোবাসা কঠ"&amp;"িন। আমার কোনও বন্ধু নেই, মেয়েরা আর আমাকে পছন্দ করে না। কেউ আমাকে পছন্দ করে না। আমিও বুঝতে পারি না কেন। আমি একজন ভালো ছেলে এবং বড় হৃদয়ের। তাছাড়া, আমি আমার সেরা সংস্করণ হওয়ার চেষ্টা করি। যখন মনে হয় যে এর কোনও কারণ নেই তখন শান্ত থাকা খুব কঠিন। আমি চেষ্"&amp;"টা চালিয়ে যাব। আশা করি আমি এই পরিস্থিতি কাটিয়ে উঠতে পারব। :/")</f>
        <v>মাঝে মাঝে নিজেকে খুব কঠিন মনে হয়। সত্যি বলতে, আমি খুব একা, শূন্য এবং মৃত বোধ করি। আমি মানসিকভাবে খুব খারাপভাবে লড়াই করছি, সবকিছুই আমাকে চাপে ফেলেছে। টাকা, জীবন, আমার অস্তিত্বহীন সামাজিক জীবন। যখন কেউ তোমাকে ভালোবাসে বলে মনে হয় না তখন নিজেকে ভালোবাসা কঠিন। আমার কোনও বন্ধু নেই, মেয়েরা আর আমাকে পছন্দ করে না। কেউ আমাকে পছন্দ করে না। আমিও বুঝতে পারি না কেন। আমি একজন ভালো ছেলে এবং বড় হৃদয়ের। তাছাড়া, আমি আমার সেরা সংস্করণ হওয়ার চেষ্টা করি। যখন মনে হয় যে এর কোনও কারণ নেই তখন শান্ত থাকা খুব কঠিন। আমি চেষ্টা চালিয়ে যাব। আশা করি আমি এই পরিস্থিতি কাটিয়ে উঠতে পারব। :/</v>
      </c>
    </row>
    <row r="89" spans="1:3" ht="15" x14ac:dyDescent="0.25">
      <c r="A89" s="3" t="s">
        <v>91</v>
      </c>
      <c r="B89" s="3" t="s">
        <v>4</v>
      </c>
      <c r="C89" s="4" t="str">
        <f ca="1">IFERROR(__xludf.DUMMYFUNCTION("GOOGLETRANSLATE(A89, ""auto"", ""bn"")"),"আমি আগে রিক্রিয়েটিভ ওষুধ খেতাম কিন্তু একসময় আর সহ্য করতে পারতাম না, আর পুনর্বাসনের মাধ্যমে আমি আর কখনও আত্মহত্যাপ্রবণ না হওয়ার চেষ্টা করি। কোয়ারেন্টাইনের আগে আমি কোকাকোলা শুরু করেছিলাম (যা আগে খুব বেশি গ্রহণ করা হত না) এবং এখন আমি জানি না কীভাবে তা ছেড়ে দ"&amp;"েব। আমার উচ্চ রক্তচাপ ভয়াবহ, আমি উদ্বিগ্ন হই এবং এটি মোটেও উপভোগ করি না, এমনকি প্রতিবার যখনই আমি এটি করি তখনও আমি থামতে পারি না। আমি এই পরিস্থিতি নিয়ে সত্যিই উদ্বিগ্ন, আমি ওষুধ খাই এবং মনোবিজ্ঞানীর কাছে যাই থামানোর চেষ্টা করি, কিন্তু কখনও কখনও আমি 2 মাস"&amp;" বা তারও বেশি সময় ধরে থামি এবং আবারও অসুস্থ হয়ে পড়ি। আমি গ্রুপে যাওয়ার কথা ভাবছি, কিন্তু আমি সত্যিই বিশ্বাস করি না যে তারা আমাকে সাহায্য করতে পারবে। কিন্তু আমার চেষ্টা করা দরকার। আমার কথাগুলো পড়ার জন্য ধন্যবাদ, আমার এই বিষয়ে একটু কথা বলা দরকার কারণ "&amp;"আমার বন্ধুবান্ধব এবং পরিবারের জন্য এটি বোঝা সত্যিই কঠিন।")</f>
        <v>আমি আগে রিক্রিয়েটিভ ওষুধ খেতাম কিন্তু একসময় আর সহ্য করতে পারতাম না, আর পুনর্বাসনের মাধ্যমে আমি আর কখনও আত্মহত্যাপ্রবণ না হওয়ার চেষ্টা করি। কোয়ারেন্টাইনের আগে আমি কোকাকোলা শুরু করেছিলাম (যা আগে খুব বেশি গ্রহণ করা হত না) এবং এখন আমি জানি না কীভাবে তা ছেড়ে দেব। আমার উচ্চ রক্তচাপ ভয়াবহ, আমি উদ্বিগ্ন হই এবং এটি মোটেও উপভোগ করি না, এমনকি প্রতিবার যখনই আমি এটি করি তখনও আমি থামতে পারি না। আমি এই পরিস্থিতি নিয়ে সত্যিই উদ্বিগ্ন, আমি ওষুধ খাই এবং মনোবিজ্ঞানীর কাছে যাই থামানোর চেষ্টা করি, কিন্তু কখনও কখনও আমি 2 মাস বা তারও বেশি সময় ধরে থামি এবং আবারও অসুস্থ হয়ে পড়ি। আমি গ্রুপে যাওয়ার কথা ভাবছি, কিন্তু আমি সত্যিই বিশ্বাস করি না যে তারা আমাকে সাহায্য করতে পারবে। কিন্তু আমার চেষ্টা করা দরকার। আমার কথাগুলো পড়ার জন্য ধন্যবাদ, আমার এই বিষয়ে একটু কথা বলা দরকার কারণ আমার বন্ধুবান্ধব এবং পরিবারের জন্য এটি বোঝা সত্যিই কঠিন।</v>
      </c>
    </row>
    <row r="90" spans="1:3" ht="15" x14ac:dyDescent="0.25">
      <c r="A90" s="3" t="s">
        <v>92</v>
      </c>
      <c r="B90" s="3" t="s">
        <v>4</v>
      </c>
      <c r="C90" s="4" t="str">
        <f ca="1">IFERROR(__xludf.DUMMYFUNCTION("GOOGLETRANSLATE(A90, ""auto"", ""bn"")"),"আমি আগে কখনও এতটা বিষণ্ণ ছিলাম না। আমি প্রায় ২ বছর আগে ট্রামাডল ব্যবহার শুরু করেছিলাম, এবং এটি আমার মেজাজ, আমার কাজ ইত্যাদি নাটকীয়ভাবে উন্নত করেছে। তাছাড়া, আমি প্রায় ১৫ বছর ধরে হতাশা এবং উদ্বেগ (একটি প্যানিক ডিসঅর্ডার সহ) মোকাবেলা করেছি। ট্রামাডল ব্যব"&amp;"হার শুরু করার পর, আমি জীবনে প্রথমবারের মতো বৈধভাবে খুশি বোধ করেছি। আমি কর্মক্ষেত্রে এটি বন্ধ করে দিচ্ছিলাম, প্রতিদিন ব্যায়াম করছিলাম, একটি দুর্দান্ত যৌন জীবন এবং সম্পর্ক ছিল, ইত্যাদি। তারপর আমার অনলাইন সংযোগ চলে গেল। আমি প্রত্যাহার এড়াতে হেরোইন নাক ডাকত"&amp;"ে শুরু করেছিলাম। আমি শেষবার ২৯শে জানুয়ারী ব্যবহার করেছিলাম, কিন্তু আমি দুধ ছাড়াচ্ছিলাম এবং নভেম্বরের শেষ থেকে সত্যিই পরিষ্কার হওয়ার চেষ্টা করছিলাম। তারপর থেকে, আমি সম্পূর্ণরূপে অকেজো। আমি আমার চাকরি হারিয়েছি। আমি প্রতিদিন সঙ্গীত (আমার ব্যাঞ্জো) বাজাতা"&amp;"ম, এবং এখন আমি খুব কমই এটি স্পর্শ করি। তাছাড়া, আমার কোনও যৌন ইচ্ছা নেই, এবং উত্তেজিত হওয়াও আমার পক্ষে কঠিন। তাছাড়া, আমি কখনও এতটা হতাশ বোধ করিনি। তাছাড়া, আমি ক্রমাগত আত্মহত্যার কথা ভাবি। তাছাড়া, আমি বেশ কয়েকটি অ্যান্টিডিপ্রেসেন্ট চেষ্টা করেছি কিন্তু"&amp;" কোনও লাভ হয়নি। আমি শেষ যে অ্যান্টিডিপ্রেসেন্টটি নিচ্ছিলাম, ওয়েলবুট্রিন, তার ফলে ২ সপ্তাহ আগে আমার মারাত্মক ম্যাল সিজার হয়েছিল এবং আমি ৪ দিন (আমার জন্মদিন সহ) হাসপাতালে কাটিয়েছি। গত কয়েকদিন ধরে আমি নিজেকে ব্যায়াম করতে বাধ্য করছি এই আশায় যে এটি আমাক"&amp;"ে সুস্থ হতে সাহায্য করবে। আমি জানি না এখন কী করব বা কীভাবে মোকাবেলা করব। তাছাড়া, আমি মনে করি আমি এমন কিছু লোকের কাছ থেকে শুনতে চাই যারা ওপিওয়েড আসক্তির অন্য দিক থেকে বেরিয়ে এসেছেন। তাছাড়া, আমি আসক্তির সাথে অপরিচিত নই। তাছাড়া, আমি ৪ বছর ধরে বেজোসে আসক"&amp;"্ত ছিলাম এবং ২০১৫ সালে ওপিওয়েড এবং অ্যালকোহল সেবন করে প্রায় আমার জীবন হারিয়ে ফেলেছিলাম। ৬ মাস ধরে বেঞ্জের ভয়াবহ প্রত্যাহারের মধ্য দিয়ে গিয়েছিলাম এবং পঙ্গু উদ্বেগের সাথে, কিন্তু আমি কখনও এতটা হতাশা, এতটা হতাশা, এতটা আত্মহত্যাপ্রবণ বোধ করিনি। আমি সেই "&amp;"মজার বহির্মুখী ছিলাম যে সবাইকে হাসাতেন। আমি আমার আগের স্বভাবের একটি খোলস। তাছাড়া, আমি সাবক্সোন চেষ্টা করেছি কিন্তু এটি কোনও লাভ করেনি। তাছাড়া, আমি ট্রামাডলের জন্য আবেদন করার জন্য ডাক্তারের কাছে যাওয়ার কথা ভাবছি কারণ এমন কিছু গবেষণা আছে যা দেখায় যে এটি এ"&amp;"কটি কার্যকর অ্যান্টিডিপ্রেসেন্ট, কিন্তু আমি জানি এটির সম্ভাবনা খুবই কম, এবং এটি আবার আসক্তির দিকে পরিচালিত করবে।")</f>
        <v>আমি আগে কখনও এতটা বিষণ্ণ ছিলাম না। আমি প্রায় ২ বছর আগে ট্রামাডল ব্যবহার শুরু করেছিলাম, এবং এটি আমার মেজাজ, আমার কাজ ইত্যাদি নাটকীয়ভাবে উন্নত করেছে। তাছাড়া, আমি প্রায় ১৫ বছর ধরে হতাশা এবং উদ্বেগ (একটি প্যানিক ডিসঅর্ডার সহ) মোকাবেলা করেছি। ট্রামাডল ব্যবহার শুরু করার পর, আমি জীবনে প্রথমবারের মতো বৈধভাবে খুশি বোধ করেছি। আমি কর্মক্ষেত্রে এটি বন্ধ করে দিচ্ছিলাম, প্রতিদিন ব্যায়াম করছিলাম, একটি দুর্দান্ত যৌন জীবন এবং সম্পর্ক ছিল, ইত্যাদি। তারপর আমার অনলাইন সংযোগ চলে গেল। আমি প্রত্যাহার এড়াতে হেরোইন নাক ডাকতে শুরু করেছিলাম। আমি শেষবার ২৯শে জানুয়ারী ব্যবহার করেছিলাম, কিন্তু আমি দুধ ছাড়াচ্ছিলাম এবং নভেম্বরের শেষ থেকে সত্যিই পরিষ্কার হওয়ার চেষ্টা করছিলাম। তারপর থেকে, আমি সম্পূর্ণরূপে অকেজো। আমি আমার চাকরি হারিয়েছি। আমি প্রতিদিন সঙ্গীত (আমার ব্যাঞ্জো) বাজাতাম, এবং এখন আমি খুব কমই এটি স্পর্শ করি। তাছাড়া, আমার কোনও যৌন ইচ্ছা নেই, এবং উত্তেজিত হওয়াও আমার পক্ষে কঠিন। তাছাড়া, আমি কখনও এতটা হতাশ বোধ করিনি। তাছাড়া, আমি ক্রমাগত আত্মহত্যার কথা ভাবি। তাছাড়া, আমি বেশ কয়েকটি অ্যান্টিডিপ্রেসেন্ট চেষ্টা করেছি কিন্তু কোনও লাভ হয়নি। আমি শেষ যে অ্যান্টিডিপ্রেসেন্টটি নিচ্ছিলাম, ওয়েলবুট্রিন, তার ফলে ২ সপ্তাহ আগে আমার মারাত্মক ম্যাল সিজার হয়েছিল এবং আমি ৪ দিন (আমার জন্মদিন সহ) হাসপাতালে কাটিয়েছি। গত কয়েকদিন ধরে আমি নিজেকে ব্যায়াম করতে বাধ্য করছি এই আশায় যে এটি আমাকে সুস্থ হতে সাহায্য করবে। আমি জানি না এখন কী করব বা কীভাবে মোকাবেলা করব। তাছাড়া, আমি মনে করি আমি এমন কিছু লোকের কাছ থেকে শুনতে চাই যারা ওপিওয়েড আসক্তির অন্য দিক থেকে বেরিয়ে এসেছেন। তাছাড়া, আমি আসক্তির সাথে অপরিচিত নই। তাছাড়া, আমি ৪ বছর ধরে বেজোসে আসক্ত ছিলাম এবং ২০১৫ সালে ওপিওয়েড এবং অ্যালকোহল সেবন করে প্রায় আমার জীবন হারিয়ে ফেলেছিলাম। ৬ মাস ধরে বেঞ্জের ভয়াবহ প্রত্যাহারের মধ্য দিয়ে গিয়েছিলাম এবং পঙ্গু উদ্বেগের সাথে, কিন্তু আমি কখনও এতটা হতাশা, এতটা হতাশা, এতটা আত্মহত্যাপ্রবণ বোধ করিনি। আমি সেই মজার বহির্মুখী ছিলাম যে সবাইকে হাসাতেন। আমি আমার আগের স্বভাবের একটি খোলস। তাছাড়া, আমি সাবক্সোন চেষ্টা করেছি কিন্তু এটি কোনও লাভ করেনি। তাছাড়া, আমি ট্রামাডলের জন্য আবেদন করার জন্য ডাক্তারের কাছে যাওয়ার কথা ভাবছি কারণ এমন কিছু গবেষণা আছে যা দেখায় যে এটি একটি কার্যকর অ্যান্টিডিপ্রেসেন্ট, কিন্তু আমি জানি এটির সম্ভাবনা খুবই কম, এবং এটি আবার আসক্তির দিকে পরিচালিত করবে।</v>
      </c>
    </row>
    <row r="91" spans="1:3" ht="15" x14ac:dyDescent="0.25">
      <c r="A91" s="3" t="s">
        <v>93</v>
      </c>
      <c r="B91" s="3" t="s">
        <v>4</v>
      </c>
      <c r="C91" s="4" t="str">
        <f ca="1">IFERROR(__xludf.DUMMYFUNCTION("GOOGLETRANSLATE(A91, ""auto"", ""bn"")"),"আমি কলেজের প্রথম বর্ষের দ্বিতীয় সেমিস্টারে পড়ি। কলেজের আগে আমি কখনও অ্যাডেরাল ব্যবহার করিনি, কিন্তু সেপ্টেম্বরের দিকে এটি নেওয়া শুরু করেছিলাম। তাছাড়া, একজন গড়পড়তা ছাত্র হিসেবে হাই স্কুল ছেড়ে যাওয়ার পর আমি শেষ সেমিস্টারে ৪.০ পেয়েছিলাম। তাছাড়া, আম"&amp;"ি বিশ্বাস করি যে আমি আমার অ্যাডেরাল ব্যবহারের সাথে এই ৪.০ এর সমতুল্য হতে পারি। তাছাড়া, আমার মনে হয় আমার পছন্দের গ্রেড অর্জনের জন্য অ্যাডেরালের প্রয়োজন, এবং এটি ছাড়া আমি ভালো করতে পারব না। তাছাড়া, আমার মনে হয় না যে আমি এখনও পুরোপুরি স্পাইরাল হয়েছি, "&amp;"তবে আমার মনে হচ্ছে এটি ঘনিয়ে আসছে। অ্যাডেরাল ব্যবহার বন্ধ করার বা এর বিকল্প সম্পর্কে কোন টিপস আছে?")</f>
        <v>আমি কলেজের প্রথম বর্ষের দ্বিতীয় সেমিস্টারে পড়ি। কলেজের আগে আমি কখনও অ্যাডেরাল ব্যবহার করিনি, কিন্তু সেপ্টেম্বরের দিকে এটি নেওয়া শুরু করেছিলাম। তাছাড়া, একজন গড়পড়তা ছাত্র হিসেবে হাই স্কুল ছেড়ে যাওয়ার পর আমি শেষ সেমিস্টারে ৪.০ পেয়েছিলাম। তাছাড়া, আমি বিশ্বাস করি যে আমি আমার অ্যাডেরাল ব্যবহারের সাথে এই ৪.০ এর সমতুল্য হতে পারি। তাছাড়া, আমার মনে হয় আমার পছন্দের গ্রেড অর্জনের জন্য অ্যাডেরালের প্রয়োজন, এবং এটি ছাড়া আমি ভালো করতে পারব না। তাছাড়া, আমার মনে হয় না যে আমি এখনও পুরোপুরি স্পাইরাল হয়েছি, তবে আমার মনে হচ্ছে এটি ঘনিয়ে আসছে। অ্যাডেরাল ব্যবহার বন্ধ করার বা এর বিকল্প সম্পর্কে কোন টিপস আছে?</v>
      </c>
    </row>
    <row r="92" spans="1:3" ht="15" x14ac:dyDescent="0.25">
      <c r="A92" s="3" t="s">
        <v>94</v>
      </c>
      <c r="B92" s="3" t="s">
        <v>4</v>
      </c>
      <c r="C92" s="4" t="str">
        <f ca="1">IFERROR(__xludf.DUMMYFUNCTION("GOOGLETRANSLATE(A92, ""auto"", ""bn"")"),"আমি সর্বত্র দেখেছি যে যতক্ষণ না তুমি অন্তর্নিহিত সমস্যাগুলি সমাধান করো, ততক্ষণ তুমি কখনোই তোমার আসক্তি কাটিয়ে উঠতে পারবে না। আচ্ছা, আমি উদ্বেগ এবং বিষণ্ণতার সাথে গুরুতর OCD এর জন্য অ্যান্টিডিপ্রেসেন্ট গ্রহণ করছি। ছোটবেলায় আমার উপর যৌন নির্যাতন করা হয়েছ"&amp;"িল। আমার বড় ভাই আমার সাথে শারীরিকভাবে নির্যাতন করত। আমি জানি না এই ঝামেলা কোথা থেকে শুরু করব।")</f>
        <v>আমি সর্বত্র দেখেছি যে যতক্ষণ না তুমি অন্তর্নিহিত সমস্যাগুলি সমাধান করো, ততক্ষণ তুমি কখনোই তোমার আসক্তি কাটিয়ে উঠতে পারবে না। আচ্ছা, আমি উদ্বেগ এবং বিষণ্ণতার সাথে গুরুতর OCD এর জন্য অ্যান্টিডিপ্রেসেন্ট গ্রহণ করছি। ছোটবেলায় আমার উপর যৌন নির্যাতন করা হয়েছিল। আমার বড় ভাই আমার সাথে শারীরিকভাবে নির্যাতন করত। আমি জানি না এই ঝামেলা কোথা থেকে শুরু করব।</v>
      </c>
    </row>
    <row r="93" spans="1:3" ht="15" x14ac:dyDescent="0.25">
      <c r="A93" s="3" t="s">
        <v>95</v>
      </c>
      <c r="B93" s="3" t="s">
        <v>4</v>
      </c>
      <c r="C93" s="4" t="str">
        <f ca="1">IFERROR(__xludf.DUMMYFUNCTION("GOOGLETRANSLATE(A93, ""auto"", ""bn"")"),"আমি অনেক মাদকাসক্ত এবং সুস্থ হয়ে ওঠা মানুষদের চিনি, এবং তাদের জন্য এটা আমার চেয়ে অনেক বেশি কঠিন এবং গুরুতর বলে মনে হয়, তাই আমি যখন লড়াই করি তখন সাধারণত আমি কারো সাথে যোগাযোগ করি না বা কথা বলি না, আমি মনে করি? আমি তাদের সুস্থ হয়ে ওঠার ক্ষেত্রে সমস্যা "&amp;"তৈরি করতে চাই না, এবং আমি কখনও এমন কিছু গ্রহণ করিনি যা ""কঠিন"", ""গুরুতর"" বা কোনও আসক্তের দ্বারা স্টেরিওটাইপিকভাবে করা হয়েছিল। কিন্তু এখন আমার খুব কষ্ট হচ্ছে, এবং আমি কেবল সমর্থন চাই কারণ আমার মনে হচ্ছে আমার সাথে কথা বলার মতো আর কেউ নেই। আমি কিছু সময়ে"&amp;"র জন্য ঘুমের বড়ি ব্যবহার করেছি, বেশিরভাগই ওটিসি এবং যদি আমি তাদের প্রেসক্রিপশনে হাত পেতে পারি, কিন্তু একবার আমি অনেক বেশি ওটিসি ঘুমের ওষুধ খেয়েছি এবং অনেক লোককে ভয় পেয়েছি এবং আমার মস্তিষ্ক এবং স্মৃতিশক্তিকে বেশ খারাপভাবে নষ্ট করে দিয়েছি। এর পরে, আমি "&amp;"কেবল আগাছা অতিরিক্ত মাত্রায় খেয়েছি, এবং তারপরে আমি হুইপেটগুলিতে খুব বেশি আসক্ত হয়ে পড়েছি, এবং তারপরে আমি আমার বাগদত্তাকে বেশ কয়েকবার ভয় দেখিয়েছি, এবং এখন আমি কিছুই করি না। সে জানে না এটা আমার জন্য সত্যিই কঠিন ছিল, কারণ সে প্রায় আড়াই বছর ধরে ক্র্য"&amp;"াক এবং মাদকাসক্তি থেকে সেরে উঠছে, এবং আমি তার জন্য এটা আরও কঠিন করতে চাই না। আমি খুব বেশি বাইরের সাহায্য ছাড়াই নিজেকে এগুলো গ্রহণ থেকে বিরত রাখতে পেরেছি, সর্বাধিক বলতে গেলে, যাদের সাথে আমি থাকি তারা জোর করে বলছি যে আমি আগের মতো কিছু খাই এবং যখন আমার খুব "&amp;"খারাপ ইচ্ছা হয় বা মনে হয় যে আমি এটি না কেনার জন্য নিজেকে আটকাতে পারছি না তখন আমার বিড়ালের উপর মনোযোগ দিন, কিন্তু আজকাল... অতিরিক্ত কঠিন। জীবন কঠিন হয়ে গেলে এটি সবসময়ই খুব কঠিন হয়ে যায়, এবং জীবন সত্যিই কঠিন হয়ে পড়েছে, তাই কিছু না করা কঠিন। আমি সত্"&amp;"যিই চাই, কিন্তু একই সাথে আমি তা করি না। আমি সবকিছু ফেলে দিতে চাই এবং প্রায় 5 উপায়ে পুনরায় মাদকাসক্তিতে আক্রান্ত হতে চাই, এমনকি আমার বিড়ালের কথা চিন্তা করাও সাহায্য করছে না। কিছুই না, আর আমি এখন নিজেকে একটু ভয় পাচ্ছি, আর আমি কাজে বসে ভাবছি যে আসলে কতটা"&amp;" খারাপ হবে (এখন আমার মনে খুব একটা আসে না) যদি একগুচ্ছ হুইপেট, ঘুমের ওষুধ এবং অ্যালকোহল কিনে বাড়ি গিয়ে আমার বাগদত্তা বাড়িতে ফিরে আসার আগে একবারে সব করে ফেলি, যাতে আমাকে জীবন এবং এর সাথে যা কিছু ঘটছে তার মুখোমুখি হতে না হয়। তাই আমাকে আগামীকাল ঘুম থেকে উঠে ক"&amp;"াজে বা ডেটে বা অন্য কোথাও নিজেকে টেনে নিয়ে যেতে হবে না, আর ভান করতে হবে না যে সবকিছু ঠিকঠাক চলছে, আমার সমস্ত সমস্যা সমাধান হয়ে গেছে, এবং আমি আমার সমস্ত পরিস্থিতি নিয়ে খুশি। আমার মনে হয় না আমার কোনও বন্ধু যদি আমি তাদের সাথে এই বিষয়ে কথা বলি তবে তারা আ"&amp;"মাকে সত্যিই গুরুত্ব সহকারে নেবে কারণ এগুলি কেবল স্বাভাবিক জিনিস যা তারা চিন্তা না করেই নেয়। ওরা কঠিন জিনিসের প্রতি আসক্ত ছিল, আর আমি এখানে বসে আছি, কারণ আমি হুইপেট করতে চাই, তাই আমি নিজেকে ভয় পাই। আমার মনে হচ্ছে ওরা আমাকে বোকা ভাববে কারণ ওরা আমাকে এতবার"&amp;" এতবার করতে দেখেও পাত্তা দেয়নি যে আমি নীল হয়ে যাই এবং অজ্ঞান হয়ে যাই এবং আগামীকাল সকাল না হওয়া পর্যন্ত কেউ আমাকে জাগায় না এবং আমার কাজের অ্যালার্ম বন্ধ হয়ে যায়। ওরা পাত্তা দেয় না যে আমি অন্য ঘরে আমার মৃত ভাইয়ের সাথে কথা বলছি কারণ আমি আধা বোতল ঘুম"&amp;"ের ওষুধ খেয়েছি, আর এটা তখনই সমস্যা যখন আমি আমার বিষ্ঠা হারাতে শুরু করি এবং জায়গাটা নষ্ট করে ফেলি। আমার মনে হয় আমি আর পাত্তা দিই না। আর এটা আমাকে অনেক ভয় দেখায়। আর আমার মনে হয় আমি কেবল শুনতে চাই কেউ যেন আমাকে বলে যে তারা ""সংযত"" থাকার জন্য আমার উপর "&amp;"গর্বিত... আমি জানি না কতক্ষণ, আমি দিন গণনা করি না, তবে আমার মনে হয় কেউ যদি আমাকে বলে যে তারা আমার উপর পরিষ্কার থাকার জন্য গর্বিত, এবং এটি এভাবেই রাখা আরও ভালো হবে, এমনকি যদি আমার চারপাশের লোকেরা সত্যিই বুঝতে না পারে যে এটি আমার জন্য একটি সংগ্রাম, এবং আমা"&amp;"কে আবার এই সমস্ত কিছুতে ফিরে না যাওয়ার জন্য প্রতিদিন প্রচুর সক্রিয় প্রচেষ্টা করতে হচ্ছে। আমি কেবল ক্লান্ত। এবং আমি হাল ছেড়ে দিতে চাই, কিন্তু আমিও করি না, এবং আমার মনে হয় হাল ছেড়ে দিতে চাওয়া এখন না থাকার চেয়ে কিছুটা শক্তিশালী।")</f>
        <v>আমি অনেক মাদকাসক্ত এবং সুস্থ হয়ে ওঠা মানুষদের চিনি, এবং তাদের জন্য এটা আমার চেয়ে অনেক বেশি কঠিন এবং গুরুতর বলে মনে হয়, তাই আমি যখন লড়াই করি তখন সাধারণত আমি কারো সাথে যোগাযোগ করি না বা কথা বলি না, আমি মনে করি? আমি তাদের সুস্থ হয়ে ওঠার ক্ষেত্রে সমস্যা তৈরি করতে চাই না, এবং আমি কখনও এমন কিছু গ্রহণ করিনি যা "কঠিন", "গুরুতর" বা কোনও আসক্তের দ্বারা স্টেরিওটাইপিকভাবে করা হয়েছিল। কিন্তু এখন আমার খুব কষ্ট হচ্ছে, এবং আমি কেবল সমর্থন চাই কারণ আমার মনে হচ্ছে আমার সাথে কথা বলার মতো আর কেউ নেই। আমি কিছু সময়ের জন্য ঘুমের বড়ি ব্যবহার করেছি, বেশিরভাগই ওটিসি এবং যদি আমি তাদের প্রেসক্রিপশনে হাত পেতে পারি, কিন্তু একবার আমি অনেক বেশি ওটিসি ঘুমের ওষুধ খেয়েছি এবং অনেক লোককে ভয় পেয়েছি এবং আমার মস্তিষ্ক এবং স্মৃতিশক্তিকে বেশ খারাপভাবে নষ্ট করে দিয়েছি। এর পরে, আমি কেবল আগাছা অতিরিক্ত মাত্রায় খেয়েছি, এবং তারপরে আমি হুইপেটগুলিতে খুব বেশি আসক্ত হয়ে পড়েছি, এবং তারপরে আমি আমার বাগদত্তাকে বেশ কয়েকবার ভয় দেখিয়েছি, এবং এখন আমি কিছুই করি না। সে জানে না এটা আমার জন্য সত্যিই কঠিন ছিল, কারণ সে প্রায় আড়াই বছর ধরে ক্র্যাক এবং মাদকাসক্তি থেকে সেরে উঠছে, এবং আমি তার জন্য এটা আরও কঠিন করতে চাই না। আমি খুব বেশি বাইরের সাহায্য ছাড়াই নিজেকে এগুলো গ্রহণ থেকে বিরত রাখতে পেরেছি, সর্বাধিক বলতে গেলে, যাদের সাথে আমি থাকি তারা জোর করে বলছি যে আমি আগের মতো কিছু খাই এবং যখন আমার খুব খারাপ ইচ্ছা হয় বা মনে হয় যে আমি এটি না কেনার জন্য নিজেকে আটকাতে পারছি না তখন আমার বিড়ালের উপর মনোযোগ দিন, কিন্তু আজকাল... অতিরিক্ত কঠিন। জীবন কঠিন হয়ে গেলে এটি সবসময়ই খুব কঠিন হয়ে যায়, এবং জীবন সত্যিই কঠিন হয়ে পড়েছে, তাই কিছু না করা কঠিন। আমি সত্যিই চাই, কিন্তু একই সাথে আমি তা করি না। আমি সবকিছু ফেলে দিতে চাই এবং প্রায় 5 উপায়ে পুনরায় মাদকাসক্তিতে আক্রান্ত হতে চাই, এমনকি আমার বিড়ালের কথা চিন্তা করাও সাহায্য করছে না। কিছুই না, আর আমি এখন নিজেকে একটু ভয় পাচ্ছি, আর আমি কাজে বসে ভাবছি যে আসলে কতটা খারাপ হবে (এখন আমার মনে খুব একটা আসে না) যদি একগুচ্ছ হুইপেট, ঘুমের ওষুধ এবং অ্যালকোহল কিনে বাড়ি গিয়ে আমার বাগদত্তা বাড়িতে ফিরে আসার আগে একবারে সব করে ফেলি, যাতে আমাকে জীবন এবং এর সাথে যা কিছু ঘটছে তার মুখোমুখি হতে না হয়। তাই আমাকে আগামীকাল ঘুম থেকে উঠে কাজে বা ডেটে বা অন্য কোথাও নিজেকে টেনে নিয়ে যেতে হবে না, আর ভান করতে হবে না যে সবকিছু ঠিকঠাক চলছে, আমার সমস্ত সমস্যা সমাধান হয়ে গেছে, এবং আমি আমার সমস্ত পরিস্থিতি নিয়ে খুশি। আমার মনে হয় না আমার কোনও বন্ধু যদি আমি তাদের সাথে এই বিষয়ে কথা বলি তবে তারা আমাকে সত্যিই গুরুত্ব সহকারে নেবে কারণ এগুলি কেবল স্বাভাবিক জিনিস যা তারা চিন্তা না করেই নেয়। ওরা কঠিন জিনিসের প্রতি আসক্ত ছিল, আর আমি এখানে বসে আছি, কারণ আমি হুইপেট করতে চাই, তাই আমি নিজেকে ভয় পাই। আমার মনে হচ্ছে ওরা আমাকে বোকা ভাববে কারণ ওরা আমাকে এতবার এতবার করতে দেখেও পাত্তা দেয়নি যে আমি নীল হয়ে যাই এবং অজ্ঞান হয়ে যাই এবং আগামীকাল সকাল না হওয়া পর্যন্ত কেউ আমাকে জাগায় না এবং আমার কাজের অ্যালার্ম বন্ধ হয়ে যায়। ওরা পাত্তা দেয় না যে আমি অন্য ঘরে আমার মৃত ভাইয়ের সাথে কথা বলছি কারণ আমি আধা বোতল ঘুমের ওষুধ খেয়েছি, আর এটা তখনই সমস্যা যখন আমি আমার বিষ্ঠা হারাতে শুরু করি এবং জায়গাটা নষ্ট করে ফেলি। আমার মনে হয় আমি আর পাত্তা দিই না। আর এটা আমাকে অনেক ভয় দেখায়। আর আমার মনে হয় আমি কেবল শুনতে চাই কেউ যেন আমাকে বলে যে তারা "সংযত" থাকার জন্য আমার উপর গর্বিত... আমি জানি না কতক্ষণ, আমি দিন গণনা করি না, তবে আমার মনে হয় কেউ যদি আমাকে বলে যে তারা আমার উপর পরিষ্কার থাকার জন্য গর্বিত, এবং এটি এভাবেই রাখা আরও ভালো হবে, এমনকি যদি আমার চারপাশের লোকেরা সত্যিই বুঝতে না পারে যে এটি আমার জন্য একটি সংগ্রাম, এবং আমাকে আবার এই সমস্ত কিছুতে ফিরে না যাওয়ার জন্য প্রতিদিন প্রচুর সক্রিয় প্রচেষ্টা করতে হচ্ছে। আমি কেবল ক্লান্ত। এবং আমি হাল ছেড়ে দিতে চাই, কিন্তু আমিও করি না, এবং আমার মনে হয় হাল ছেড়ে দিতে চাওয়া এখন না থাকার চেয়ে কিছুটা শক্তিশালী।</v>
      </c>
    </row>
    <row r="94" spans="1:3" ht="15" x14ac:dyDescent="0.25">
      <c r="A94" s="3" t="s">
        <v>96</v>
      </c>
      <c r="B94" s="3" t="s">
        <v>4</v>
      </c>
      <c r="C94" s="4" t="str">
        <f ca="1">IFERROR(__xludf.DUMMYFUNCTION("GOOGLETRANSLATE(A94, ""auto"", ""bn"")"),"যখন আমরা সুস্থতার পথে প্রবেশ করি, তখন খুব কমই ভালো জায়গায় পৌঁছাই। বেশিরভাগ ক্ষেত্রেই, এটি আমাদের জীবনের সবচেয়ে খারাপ জায়গা। আমরা চোখ বন্ধ করে এবং অন্ধ বিশ্বাস নিয়ে সেখানে প্রবেশ করি। প্রথমে, আমরা আমাদের সংযমের মধ্যে ঘুরে বেড়াই এবং প্রিয় জীবনের সাথে তাল ম"&amp;"িলিয়ে প্রতিটি দিনকে একটি অলৌকিক অর্জন হিসেবে গণনা করি, এবং অবশ্যই, এটি ঠিক তাই। সময়ের সাথে সাথে আমরা আমাদের অর্জনকে বিবর্তনের আরেকটি বছর হিসেবে উদযাপন করি যেখানে আমরা বেড়ে উঠেছি এবং পরিপক্ক হয়েছি সেই প্রাপ্তবয়স্কদের মধ্যে যা আমাদের জীবন এবং আসক্তি, বি"&amp;"ভিন্ন মানুষ, বিভিন্ন উপায়ে দখল করার আগে হওয়া উচিত ছিল। আমরা যখন সুস্থতার গতিশীলতার গভীরে ডুবে যাই, তখন আমরা দেখতে পাই যে আমরা আমাদের অনুসন্ধানের গভীরে যতটা গভীরভাবে প্রবেশ করতে পারি ততটা পুনরুদ্ধার করতে পেরেছি। কখনও কখনও আমরা আমাদের সুস্থতাকে একটি গন্তব"&amp;"্য হিসেবে ভাবি, সেই বছরগুলি গণনা করি যে তারিখটি আমাদের মনে এত গভীরভাবে গেঁথে আছে যে আমরা আমাদের পরবর্তী বার্ষিকী পর্যন্ত দিনগুলি গণনা করতে পারি এবং এটি আমাদের নতুন স্বাধীনতার আনন্দের অংশ যা আমরা পুনরুদ্ধার করার আকাঙ্ক্ষা থেকে মুক্তি পাই। এটি আমাদের যাত্রা"&amp;"র একটি গুরুত্বপূর্ণ অংশ এবং পথের আশীর্বাদ এবং উপহার।* আজকের জন্য, আমি প্রায় ৯ বছর ধরে আমার কোন বিকল্প নেই এমন মাদক থেকে মুক্ত এবং আমি এখন বুঝতে পারছি যে প্রকৃত উদযাপনটি প্রতিদিনই করা উচিত, আমরা প্রতিদিনই শান্ত এবং পরিষ্কার থাকি, যেমন আজকের জন্য ইঙ্গিত দেয"&amp;"় যখন আমরা এটিকে সেই দিনে রাখি যখন এটি বোঝা হালকা করে এবং তারিখগুলি হল একটি অনুভূত জাতির অহংকারী অনুমান যেখানে আমরা বিজয়ী বা পরাজিত। আজকের জন্য, আমি এই দিনটি অন্য যেকোনো দিনের মতো উদযাপন করব, নিজের এবং অন্যদের প্রতি সদয় হয়ে, খোলা হৃদয়ে এবং আমার বোধগম্"&amp;"যতার দেবতা/উচ্চতর শক্তির প্রতি অটল বিশ্বাস রেখে। আজ আমি আমার যাত্রার প্রতিফলন করে এবং আমার শক্তিতে বিস্মিত হয়ে আমার অর্জনগুলিতে বিনীত। আমি এখানে যা আমাকে নিয়ে এসেছে, মানুষ, স্থান এবং জিনিসগুলির জন্য আমার কৃতজ্ঞতার উপর মনোনিবেশ করব। চিরস্থায়ী লুপে খেলা "&amp;"একটি পুরানো গল্পকে পুনরুজ্জীবিত করার যন্ত্রণা, দুঃখ এবং দুর্দশা, আমাদের অহংকারী মন্ত্রগুলি যদি আপনি চান, এই গল্পগুলি কেন্দ্রবিন্দুতে স্থান পায় এবং একই রকম আরও কিছুর জন্য আমাদের ভাগ্য হয়ে ওঠে। আজ আমি এই দিনটি অন্য যেকোনো দিনের মতোই উদযাপন করব, নিজের এবং "&amp;"অন্যদের প্রতি সদয় হয়ে, খোলা হৃদয়ে এবং আমার বোধগম্যতার দেবতা/উচ্চতর শক্তির প্রতি অটল বিশ্বাস রেখে। এই উচ্চতর শক্তি সর্বদা আমার ভালো সেবা করে, এবং এটি এখনও আমাকে কখনও হতাশ করেনি। বিশ্বাস রাখুন। আমরা অবশ্যই সুস্থ হব!")</f>
        <v>যখন আমরা সুস্থতার পথে প্রবেশ করি, তখন খুব কমই ভালো জায়গায় পৌঁছাই। বেশিরভাগ ক্ষেত্রেই, এটি আমাদের জীবনের সবচেয়ে খারাপ জায়গা। আমরা চোখ বন্ধ করে এবং অন্ধ বিশ্বাস নিয়ে সেখানে প্রবেশ করি। প্রথমে, আমরা আমাদের সংযমের মধ্যে ঘুরে বেড়াই এবং প্রিয় জীবনের সাথে তাল মিলিয়ে প্রতিটি দিনকে একটি অলৌকিক অর্জন হিসেবে গণনা করি, এবং অবশ্যই, এটি ঠিক তাই। সময়ের সাথে সাথে আমরা আমাদের অর্জনকে বিবর্তনের আরেকটি বছর হিসেবে উদযাপন করি যেখানে আমরা বেড়ে উঠেছি এবং পরিপক্ক হয়েছি সেই প্রাপ্তবয়স্কদের মধ্যে যা আমাদের জীবন এবং আসক্তি, বিভিন্ন মানুষ, বিভিন্ন উপায়ে দখল করার আগে হওয়া উচিত ছিল। আমরা যখন সুস্থতার গতিশীলতার গভীরে ডুবে যাই, তখন আমরা দেখতে পাই যে আমরা আমাদের অনুসন্ধানের গভীরে যতটা গভীরভাবে প্রবেশ করতে পারি ততটা পুনরুদ্ধার করতে পেরেছি। কখনও কখনও আমরা আমাদের সুস্থতাকে একটি গন্তব্য হিসেবে ভাবি, সেই বছরগুলি গণনা করি যে তারিখটি আমাদের মনে এত গভীরভাবে গেঁথে আছে যে আমরা আমাদের পরবর্তী বার্ষিকী পর্যন্ত দিনগুলি গণনা করতে পারি এবং এটি আমাদের নতুন স্বাধীনতার আনন্দের অংশ যা আমরা পুনরুদ্ধার করার আকাঙ্ক্ষা থেকে মুক্তি পাই। এটি আমাদের যাত্রার একটি গুরুত্বপূর্ণ অংশ এবং পথের আশীর্বাদ এবং উপহার।* আজকের জন্য, আমি প্রায় ৯ বছর ধরে আমার কোন বিকল্প নেই এমন মাদক থেকে মুক্ত এবং আমি এখন বুঝতে পারছি যে প্রকৃত উদযাপনটি প্রতিদিনই করা উচিত, আমরা প্রতিদিনই শান্ত এবং পরিষ্কার থাকি, যেমন আজকের জন্য ইঙ্গিত দেয় যখন আমরা এটিকে সেই দিনে রাখি যখন এটি বোঝা হালকা করে এবং তারিখগুলি হল একটি অনুভূত জাতির অহংকারী অনুমান যেখানে আমরা বিজয়ী বা পরাজিত। আজকের জন্য, আমি এই দিনটি অন্য যেকোনো দিনের মতো উদযাপন করব, নিজের এবং অন্যদের প্রতি সদয় হয়ে, খোলা হৃদয়ে এবং আমার বোধগম্যতার দেবতা/উচ্চতর শক্তির প্রতি অটল বিশ্বাস রেখে। আজ আমি আমার যাত্রার প্রতিফলন করে এবং আমার শক্তিতে বিস্মিত হয়ে আমার অর্জনগুলিতে বিনীত। আমি এখানে যা আমাকে নিয়ে এসেছে, মানুষ, স্থান এবং জিনিসগুলির জন্য আমার কৃতজ্ঞতার উপর মনোনিবেশ করব। চিরস্থায়ী লুপে খেলা একটি পুরানো গল্পকে পুনরুজ্জীবিত করার যন্ত্রণা, দুঃখ এবং দুর্দশা, আমাদের অহংকারী মন্ত্রগুলি যদি আপনি চান, এই গল্পগুলি কেন্দ্রবিন্দুতে স্থান পায় এবং একই রকম আরও কিছুর জন্য আমাদের ভাগ্য হয়ে ওঠে। আজ আমি এই দিনটি অন্য যেকোনো দিনের মতোই উদযাপন করব, নিজের এবং অন্যদের প্রতি সদয় হয়ে, খোলা হৃদয়ে এবং আমার বোধগম্যতার দেবতা/উচ্চতর শক্তির প্রতি অটল বিশ্বাস রেখে। এই উচ্চতর শক্তি সর্বদা আমার ভালো সেবা করে, এবং এটি এখনও আমাকে কখনও হতাশ করেনি। বিশ্বাস রাখুন। আমরা অবশ্যই সুস্থ হব!</v>
      </c>
    </row>
    <row r="95" spans="1:3" ht="15" x14ac:dyDescent="0.25">
      <c r="A95" s="3" t="s">
        <v>97</v>
      </c>
      <c r="B95" s="3" t="s">
        <v>4</v>
      </c>
      <c r="C95" s="4" t="str">
        <f ca="1">IFERROR(__xludf.DUMMYFUNCTION("GOOGLETRANSLATE(A95, ""auto"", ""bn"")"),"তাই আমি আমার পরিবারের জন্য নিজেকে শক্ত করে ধরে রাখার চেষ্টা করছি। আমি সবসময় ক্লান্ত থাকি এবং গতকাল আমার জন্য শেষ বিষয় ছিল। আমি আক্ষরিক অর্থেই ২৪ ঘন্টারও বেশি সময় ধরে ঘুমাইনি, আগের দিনের তুলনায় হয়তো ৪ ঘন্টা ঘুমিয়েছি। তাছাড়া, আমি বোকার মতো ১৫ মিলিগ্রাম অ্"&amp;"যাডেরল নিয়েছি। আর দেখো, আমাকে জানানো হয়েছে যে আগামীকাল আমার চাকরির জন্য ড্রাগ টেস্ট করতে হবে। আমার নিজেকে বোকা মনে হচ্ছে। আমার এটা করা উচিত হয়নি। কিন্তু আমি সত্যিই এখন এই চাকরিটা হারাতে পারি না। আমি প্রচুর পানি পান করছি কিন্তু পরীক্ষার আগে কি এটা আমার শরী"&amp;"র থেকে বের করে দিতে পারি? দয়া করে কোনও মন্তব্য করবেন না। আমি ইতিমধ্যেই নিজেকে লাথি মেরে ফেলছি এবং নিজেকে যা বলতে চাই তা সবই বলছি। আমি জানি সম্ভাবনা খুবই কম, কিন্তু আমি দেখতে চেয়েছিলাম যে কেউ আমাকে সাহায্য করতে পারে কিনা।")</f>
        <v>তাই আমি আমার পরিবারের জন্য নিজেকে শক্ত করে ধরে রাখার চেষ্টা করছি। আমি সবসময় ক্লান্ত থাকি এবং গতকাল আমার জন্য শেষ বিষয় ছিল। আমি আক্ষরিক অর্থেই ২৪ ঘন্টারও বেশি সময় ধরে ঘুমাইনি, আগের দিনের তুলনায় হয়তো ৪ ঘন্টা ঘুমিয়েছি। তাছাড়া, আমি বোকার মতো ১৫ মিলিগ্রাম অ্যাডেরল নিয়েছি। আর দেখো, আমাকে জানানো হয়েছে যে আগামীকাল আমার চাকরির জন্য ড্রাগ টেস্ট করতে হবে। আমার নিজেকে বোকা মনে হচ্ছে। আমার এটা করা উচিত হয়নি। কিন্তু আমি সত্যিই এখন এই চাকরিটা হারাতে পারি না। আমি প্রচুর পানি পান করছি কিন্তু পরীক্ষার আগে কি এটা আমার শরীর থেকে বের করে দিতে পারি? দয়া করে কোনও মন্তব্য করবেন না। আমি ইতিমধ্যেই নিজেকে লাথি মেরে ফেলছি এবং নিজেকে যা বলতে চাই তা সবই বলছি। আমি জানি সম্ভাবনা খুবই কম, কিন্তু আমি দেখতে চেয়েছিলাম যে কেউ আমাকে সাহায্য করতে পারে কিনা।</v>
      </c>
    </row>
    <row r="96" spans="1:3" ht="15" x14ac:dyDescent="0.25">
      <c r="A96" s="3" t="s">
        <v>98</v>
      </c>
      <c r="B96" s="3" t="s">
        <v>4</v>
      </c>
      <c r="C96" s="4" t="str">
        <f ca="1">IFERROR(__xludf.DUMMYFUNCTION("GOOGLETRANSLATE(A96, ""auto"", ""bn"")"),"আমার মা ১৩ মাস ধরে সুস্থ। তার আর কোনও নেশা হয়নি (আমি জানি - সত্যি বলতে), কিন্তু আজ আমি তার বাথরুমে ক্লোনোপিনের একটি নতুন বোতল দেখতে পেলাম। সেও ক্লোনোপিনের অপব্যবহার করেছিল, কিন্তু মদই ছিল তার প্রধান পছন্দ। আমি খুব চিন্তিত। আমি কীভাবে এটি করব? আমি গোপনে ব"&amp;"লতে চাইনি, বোতলটি দেখে আমি চিন্তিত হয়ে পড়েছিলাম। আমি তাকেও দোষ দিতে চাই না।")</f>
        <v>আমার মা ১৩ মাস ধরে সুস্থ। তার আর কোনও নেশা হয়নি (আমি জানি - সত্যি বলতে), কিন্তু আজ আমি তার বাথরুমে ক্লোনোপিনের একটি নতুন বোতল দেখতে পেলাম। সেও ক্লোনোপিনের অপব্যবহার করেছিল, কিন্তু মদই ছিল তার প্রধান পছন্দ। আমি খুব চিন্তিত। আমি কীভাবে এটি করব? আমি গোপনে বলতে চাইনি, বোতলটি দেখে আমি চিন্তিত হয়ে পড়েছিলাম। আমি তাকেও দোষ দিতে চাই না।</v>
      </c>
    </row>
    <row r="97" spans="1:3" ht="15" x14ac:dyDescent="0.25">
      <c r="A97" s="3" t="s">
        <v>99</v>
      </c>
      <c r="B97" s="3" t="s">
        <v>4</v>
      </c>
      <c r="C97" s="4" t="str">
        <f ca="1">IFERROR(__xludf.DUMMYFUNCTION("GOOGLETRANSLATE(A97, ""auto"", ""bn"")"),"আমি সুস্থ ছিলাম এবং ২২ বছর বয়সীদের মতোই অ্যালকোহল খেতাম (১৮ বছর বয়স থেকে মদ্যপান করতাম) যতক্ষণ না আমি হতাশাগ্রস্ত হয়ে পড়ি এবং টানা ৬৩ দিন ধরে মদ্যপান করতাম। মাঝে মাঝে আমি মাতাল হয়ে যেতাম, অন্য সময় আমি মাত্র দুই বা তিনটি বিয়ার টপস খেতাম। শেষ দিনে আম"&amp;"ার মা আমাকে জ্যানাক্সের মতো দেখতে একটি গোলাপি বড়ি দিয়েছিলেন (আমি তখন জানতাম না এটি কী) আমি পুরো বড়িটি খেয়ে ঘুমিয়ে পড়ি। তিন দিন পর আমি ৪টি বিয়ার পান না করা পর্যন্ত আর পান করিনি। পরের দিন ঘুম থেকে ওঠার পর আমি আমার উদ্বেগ নিয়ন্ত্রণ করতে পারিনি। আমি ক"&amp;"াঁদছিলাম এবং কারণটি বুঝতে পারিনি, ৪ দিন ধরে এই তীব্র উদ্বেগ ছিল এবং ডাক্তারের কাছে গিয়ে তিনি আমাকে ক্লোনাজেপাম লিখে দিয়েছিলেন কিন্তু এটি কোনও উপকারে আসেনি। প্রায় ১৩ দিন ধরে আমি অবিরাম আতঙ্কের মধ্যে ছিলাম এবং অনিয়ন্ত্রিত ভয় পেয়েছিলাম। উদ্বেগ আমাকে ভো"&amp;"র ৫টায় জাগিয়ে তুলছিল এবং প্রতিদিনের প্রতি ঘন্টার প্রতি মিনিটে আমি ভয় অনুভব করতাম। এটি ছিল আমার সাথে ঘটে যাওয়া সবচেয়ে ভয়ঙ্কর ঘটনা। অবশেষে, তারা আমাকে হাসপাতালে ভর্তি করে, আমার উপর কিছু IV প্রয়োগ করে, আমি ২ দিন ঘুমিয়েছিলাম, এবং ৫ দিন পর তারা ছেড়ে দ"&amp;"েয়। আমার মনোরোগ বিশেষজ্ঞ কোভিড (রিপ) রোগে মারা গেছেন এবং কখনও তাকে কারণ জিজ্ঞাসা করার সুযোগ পাননি। এটা কি অ্যালকোহল প্রত্যাহার ছিল নাকি জ্যানাক্স ছিল? আমার তীব্র উদ্বেগের চেয়ে বেশি লক্ষণ ছিল না।")</f>
        <v>আমি সুস্থ ছিলাম এবং ২২ বছর বয়সীদের মতোই অ্যালকোহল খেতাম (১৮ বছর বয়স থেকে মদ্যপান করতাম) যতক্ষণ না আমি হতাশাগ্রস্ত হয়ে পড়ি এবং টানা ৬৩ দিন ধরে মদ্যপান করতাম। মাঝে মাঝে আমি মাতাল হয়ে যেতাম, অন্য সময় আমি মাত্র দুই বা তিনটি বিয়ার টপস খেতাম। শেষ দিনে আমার মা আমাকে জ্যানাক্সের মতো দেখতে একটি গোলাপি বড়ি দিয়েছিলেন (আমি তখন জানতাম না এটি কী) আমি পুরো বড়িটি খেয়ে ঘুমিয়ে পড়ি। তিন দিন পর আমি ৪টি বিয়ার পান না করা পর্যন্ত আর পান করিনি। পরের দিন ঘুম থেকে ওঠার পর আমি আমার উদ্বেগ নিয়ন্ত্রণ করতে পারিনি। আমি কাঁদছিলাম এবং কারণটি বুঝতে পারিনি, ৪ দিন ধরে এই তীব্র উদ্বেগ ছিল এবং ডাক্তারের কাছে গিয়ে তিনি আমাকে ক্লোনাজেপাম লিখে দিয়েছিলেন কিন্তু এটি কোনও উপকারে আসেনি। প্রায় ১৩ দিন ধরে আমি অবিরাম আতঙ্কের মধ্যে ছিলাম এবং অনিয়ন্ত্রিত ভয় পেয়েছিলাম। উদ্বেগ আমাকে ভোর ৫টায় জাগিয়ে তুলছিল এবং প্রতিদিনের প্রতি ঘন্টার প্রতি মিনিটে আমি ভয় অনুভব করতাম। এটি ছিল আমার সাথে ঘটে যাওয়া সবচেয়ে ভয়ঙ্কর ঘটনা। অবশেষে, তারা আমাকে হাসপাতালে ভর্তি করে, আমার উপর কিছু IV প্রয়োগ করে, আমি ২ দিন ঘুমিয়েছিলাম, এবং ৫ দিন পর তারা ছেড়ে দেয়। আমার মনোরোগ বিশেষজ্ঞ কোভিড (রিপ) রোগে মারা গেছেন এবং কখনও তাকে কারণ জিজ্ঞাসা করার সুযোগ পাননি। এটা কি অ্যালকোহল প্রত্যাহার ছিল নাকি জ্যানাক্স ছিল? আমার তীব্র উদ্বেগের চেয়ে বেশি লক্ষণ ছিল না।</v>
      </c>
    </row>
    <row r="98" spans="1:3" ht="15" x14ac:dyDescent="0.25">
      <c r="A98" s="3" t="s">
        <v>100</v>
      </c>
      <c r="B98" s="3" t="s">
        <v>4</v>
      </c>
      <c r="C98" s="4" t="str">
        <f ca="1">IFERROR(__xludf.DUMMYFUNCTION("GOOGLETRANSLATE(A98, ""auto"", ""bn"")"),"আমি বেশ্যার চেয়েও খারাপ। আমি এই আসক্তিতে ভুগছি, মজা করছি না। তাছাড়া, আমি এতটাই বিক্ষিপ্ত যে প্রতিদিন ঘুম থেকে উঠেই হুকআপ খুঁজতে থাকি। সেক্সের পর আমি ডেটিং অ্যাপে অন্য একটা খুঁজতে থাকি। একই দিনে! এটা খুবই ঝুঁকিপূর্ণ এবং বিপজ্জনক। অনেক দেরি হওয়ার আগে কি "&amp;"এর জন্য কোন হস্তক্ষেপ আছে? আমি ১৬ বছর বয়স থেকেই এই আসক্ত, এখন আমার বয়স ২০, এটা সত্যিই লজ্জাজনক। আমি আমার স্কুল এবং ক্যারিয়ারের উপর মনোযোগ দিতে পারছি না কারণ আমি ক্রমাগত যৌনতার খোঁজ করছি। উভকামী পুরুষ এখানে** এটা আমার মানসিক স্বাস্থ্যেরও ক্ষতি করছে। নিশ"&amp;"্চিতভাবেই যখন আমি হুকআপ খুঁজে পাই না তখন আমি সবসময় দুঃখিত বোধ করি। মাদক বা অ্যালকোহল থেকে আমার এই আসক্তি আরও খারাপ। মনে হচ্ছে আমি ডেটিং অ্যাপের উপর নির্ভরশীল।")</f>
        <v>আমি বেশ্যার চেয়েও খারাপ। আমি এই আসক্তিতে ভুগছি, মজা করছি না। তাছাড়া, আমি এতটাই বিক্ষিপ্ত যে প্রতিদিন ঘুম থেকে উঠেই হুকআপ খুঁজতে থাকি। সেক্সের পর আমি ডেটিং অ্যাপে অন্য একটা খুঁজতে থাকি। একই দিনে! এটা খুবই ঝুঁকিপূর্ণ এবং বিপজ্জনক। অনেক দেরি হওয়ার আগে কি এর জন্য কোন হস্তক্ষেপ আছে? আমি ১৬ বছর বয়স থেকেই এই আসক্ত, এখন আমার বয়স ২০, এটা সত্যিই লজ্জাজনক। আমি আমার স্কুল এবং ক্যারিয়ারের উপর মনোযোগ দিতে পারছি না কারণ আমি ক্রমাগত যৌনতার খোঁজ করছি। উভকামী পুরুষ এখানে** এটা আমার মানসিক স্বাস্থ্যেরও ক্ষতি করছে। নিশ্চিতভাবেই যখন আমি হুকআপ খুঁজে পাই না তখন আমি সবসময় দুঃখিত বোধ করি। মাদক বা অ্যালকোহল থেকে আমার এই আসক্তি আরও খারাপ। মনে হচ্ছে আমি ডেটিং অ্যাপের উপর নির্ভরশীল।</v>
      </c>
    </row>
    <row r="99" spans="1:3" ht="15" x14ac:dyDescent="0.25">
      <c r="A99" s="3" t="s">
        <v>101</v>
      </c>
      <c r="B99" s="3" t="s">
        <v>4</v>
      </c>
      <c r="C99" s="4" t="str">
        <f ca="1">IFERROR(__xludf.DUMMYFUNCTION("GOOGLETRANSLATE(A99, ""auto"", ""bn"")"),"আমি প্রথমে দুর্ঘটনাক্রমে মেথ সেবন শুরু করেছিলাম। কলেজের সিনিয়র বর্ষের বসন্ত বিরতির সময়, কলেজ থেকে স্নাতক হওয়ার আনন্দ উদযাপন করার জন্য নিজেকে সপ্তাহের জন্য সান ফ্রান্সিসকো ভ্রমণের উপহার দেওয়ার সিদ্ধান্ত নিই। আমার ভ্রমণের মাঝামাঝি সময়ে আমি গ্রিন্ডারের "&amp;"এক লোকের সাথে দেখা করি, যার উদ্দেশ্য ছিল যৌন মিলন। আমি যখন পৌঁছাই তখন সে এই অদ্ভুত আকৃতির পাইপ থেকে কিছু একটা তৈরি করে, আমি বুঝতে পারি এটি আগাছা এবং আমি ফুঁ দিয়ে ফুঁ দিয়েছি। আমি জানতাম না যে আমি যা ধূমপান করেছি তা আসলে মেথ। কয়েক মাস পরেই সিয়াটলে এক দম"&amp;"্পতির সাথে হুক আপ করার সময় আমি আবার মেথ সেবন করি, এই সময়টিই আমার ক্যালিফোর্নিয়া ভ্রমণের সাথে সংযোগ স্থাপন করে। দ্রুত এগিয়ে যান আগস্টের শেষের দিকে, এবং আমি নিজেকে মেথ ধূমপান থেকে ইনজেকশনে পরিণত হতে দেখি। মেথ এমন একটি জিনিস যা সমকামী সম্প্রদায়কে জর্জরি"&amp;"ত করছে। এটি প্রতিটি সমকামী পুরুষের মিথ্যা ধারণার উপর নির্ভর করে যে তাদের ঘন্টার পর ঘন্টা পর্ন তারকাদের সাথে যৌন সম্পর্ক স্থাপন করতে হবে। আমি এখন এক দশক ধরে এই লড়াই চালিয়ে যাচ্ছি। আমার ব্যবহার কখনও সামঞ্জস্যপূর্ণ ছিল না, প্রতি 6 মাস অন্তর এক বা দুই সপ্তা"&amp;"হান্তে, তারপর আমি বন্ধ করে দেই। কিন্তু ২০২০ সালে কোভিড মহামারীর কারণে চাকরি হারানোর পর থেকে, আমার ব্যবহার আরও ঘন ঘন হয়ে ওঠে, এক বছরের জন্য মাসে দুবার বা তার বেশি সময় ধরে। এখন ২০২২ সাল এবং কোনও পরিবর্তন হয়নি, আমার চাকরি বজায় রাখতে সমস্যা হচ্ছে, এবং আমা"&amp;"র ব্যবহার ক্রমাগত বৃদ্ধি পাচ্ছে। আমি জানি আমি অসন্তুষ্ট, এবং পরিবর্তন করতে চাই। আমি জানি না কোথা থেকে শুরু করব। আমি আগে একবার পুনর্বাসনে গিয়েছিলাম, এবং সম্ভবত আবার এটি বিবেচনা করছি। তাছাড়া, আমিও গাঁজা ধূমপান করি, এবং আমি এমন এক পর্যায়ে আছি যেখানে আমার ম"&amp;"নে হয় সবকিছু ছেড়ে দেওয়াই উচিত। তাছাড়া, আমি গাঁজা পছন্দ করি, আমার পরিবারের একটি CBD ব্যবসা আছে, এমনকি এই ধরণের জিনিসকে বিদায় জানানোও আমাকে উদ্বেগের কারণ করে। মেথ আমাকে অবিশ্বাস্য চাকরি হারাতে সাহায্য করেছে। এটি আমার সুস্থ যৌন এবং ঘনিষ্ঠ সম্পর্ক রাখার ক"&amp;"্ষমতা নষ্ট করছে। আমি জানি যে আমি এই ব্যস্ত জীবনযাপন করতে ক্লান্ত, এবং এখন আমি এটি বেশি দিন ধরে রাখতে পারছি না।")</f>
        <v>আমি প্রথমে দুর্ঘটনাক্রমে মেথ সেবন শুরু করেছিলাম। কলেজের সিনিয়র বর্ষের বসন্ত বিরতির সময়, কলেজ থেকে স্নাতক হওয়ার আনন্দ উদযাপন করার জন্য নিজেকে সপ্তাহের জন্য সান ফ্রান্সিসকো ভ্রমণের উপহার দেওয়ার সিদ্ধান্ত নিই। আমার ভ্রমণের মাঝামাঝি সময়ে আমি গ্রিন্ডারের এক লোকের সাথে দেখা করি, যার উদ্দেশ্য ছিল যৌন মিলন। আমি যখন পৌঁছাই তখন সে এই অদ্ভুত আকৃতির পাইপ থেকে কিছু একটা তৈরি করে, আমি বুঝতে পারি এটি আগাছা এবং আমি ফুঁ দিয়ে ফুঁ দিয়েছি। আমি জানতাম না যে আমি যা ধূমপান করেছি তা আসলে মেথ। কয়েক মাস পরেই সিয়াটলে এক দম্পতির সাথে হুক আপ করার সময় আমি আবার মেথ সেবন করি, এই সময়টিই আমার ক্যালিফোর্নিয়া ভ্রমণের সাথে সংযোগ স্থাপন করে। দ্রুত এগিয়ে যান আগস্টের শেষের দিকে, এবং আমি নিজেকে মেথ ধূমপান থেকে ইনজেকশনে পরিণত হতে দেখি। মেথ এমন একটি জিনিস যা সমকামী সম্প্রদায়কে জর্জরিত করছে। এটি প্রতিটি সমকামী পুরুষের মিথ্যা ধারণার উপর নির্ভর করে যে তাদের ঘন্টার পর ঘন্টা পর্ন তারকাদের সাথে যৌন সম্পর্ক স্থাপন করতে হবে। আমি এখন এক দশক ধরে এই লড়াই চালিয়ে যাচ্ছি। আমার ব্যবহার কখনও সামঞ্জস্যপূর্ণ ছিল না, প্রতি 6 মাস অন্তর এক বা দুই সপ্তাহান্তে, তারপর আমি বন্ধ করে দেই। কিন্তু ২০২০ সালে কোভিড মহামারীর কারণে চাকরি হারানোর পর থেকে, আমার ব্যবহার আরও ঘন ঘন হয়ে ওঠে, এক বছরের জন্য মাসে দুবার বা তার বেশি সময় ধরে। এখন ২০২২ সাল এবং কোনও পরিবর্তন হয়নি, আমার চাকরি বজায় রাখতে সমস্যা হচ্ছে, এবং আমার ব্যবহার ক্রমাগত বৃদ্ধি পাচ্ছে। আমি জানি আমি অসন্তুষ্ট, এবং পরিবর্তন করতে চাই। আমি জানি না কোথা থেকে শুরু করব। আমি আগে একবার পুনর্বাসনে গিয়েছিলাম, এবং সম্ভবত আবার এটি বিবেচনা করছি। তাছাড়া, আমিও গাঁজা ধূমপান করি, এবং আমি এমন এক পর্যায়ে আছি যেখানে আমার মনে হয় সবকিছু ছেড়ে দেওয়াই উচিত। তাছাড়া, আমি গাঁজা পছন্দ করি, আমার পরিবারের একটি CBD ব্যবসা আছে, এমনকি এই ধরণের জিনিসকে বিদায় জানানোও আমাকে উদ্বেগের কারণ করে। মেথ আমাকে অবিশ্বাস্য চাকরি হারাতে সাহায্য করেছে। এটি আমার সুস্থ যৌন এবং ঘনিষ্ঠ সম্পর্ক রাখার ক্ষমতা নষ্ট করছে। আমি জানি যে আমি এই ব্যস্ত জীবনযাপন করতে ক্লান্ত, এবং এখন আমি এটি বেশি দিন ধরে রাখতে পারছি না।</v>
      </c>
    </row>
    <row r="100" spans="1:3" ht="15" x14ac:dyDescent="0.25">
      <c r="A100" s="3" t="s">
        <v>102</v>
      </c>
      <c r="B100" s="3" t="s">
        <v>4</v>
      </c>
      <c r="C100" s="4" t="str">
        <f ca="1">IFERROR(__xludf.DUMMYFUNCTION("GOOGLETRANSLATE(A100, ""auto"", ""bn"")"),"আমি সবসময় খুব সাবধানে এবং স্বাভাবিকভাবে ব্যবহার করেছি। প্রায় ৩ মাস আগে আমি এটা বন্ধ করে দিয়েছিলাম এবং এখন বেশ এলোমেলো হয়ে গেছে। গত রাতে আমি পার্টি করতে লস অ্যাঞ্জেলেসে গাড়ি চালিয়েছিলাম, আজ সকালে ঘুম থেকে উঠে দেখি আমার ট্রাকে পার্কিং টিকিটের টিকিটের দাম এক"&amp;" ঘন্টা দেরিতে হয়ে গেছে। আমি অফিসে যাওয়ার পথে দুটি ভিন্ন পেট্রোল পাম্পে থামি, শুধু বমি করে পান করার জন্য, আর এখন আমি রেডিটে ঘামে ভিজে নিজেকে জিজ্ঞাসা করছি, ""আমি এখানে কীভাবে এলাম?""")</f>
        <v>আমি সবসময় খুব সাবধানে এবং স্বাভাবিকভাবে ব্যবহার করেছি। প্রায় ৩ মাস আগে আমি এটা বন্ধ করে দিয়েছিলাম এবং এখন বেশ এলোমেলো হয়ে গেছে। গত রাতে আমি পার্টি করতে লস অ্যাঞ্জেলেসে গাড়ি চালিয়েছিলাম, আজ সকালে ঘুম থেকে উঠে দেখি আমার ট্রাকে পার্কিং টিকিটের টিকিটের দাম এক ঘন্টা দেরিতে হয়ে গেছে। আমি অফিসে যাওয়ার পথে দুটি ভিন্ন পেট্রোল পাম্পে থামি, শুধু বমি করে পান করার জন্য, আর এখন আমি রেডিটে ঘামে ভিজে নিজেকে জিজ্ঞাসা করছি, "আমি এখানে কীভাবে এলাম?"</v>
      </c>
    </row>
    <row r="101" spans="1:3" ht="15" x14ac:dyDescent="0.25">
      <c r="A101" s="3" t="s">
        <v>103</v>
      </c>
      <c r="B101" s="3" t="s">
        <v>4</v>
      </c>
      <c r="C101" s="4" t="str">
        <f ca="1">IFERROR(__xludf.DUMMYFUNCTION("GOOGLETRANSLATE(A101, ""auto"", ""bn"")"),"আমি নিজেকে বলি যে আমি অফিসে দুপুরের খাবার নিয়ে আসব এবং ফাস্ট ফুডের দোকানে এত টাকা খরচ করা বন্ধ করব কিন্তু আমি কখনও করি না। আমি যখন বাড়িতে থাকি তখন দুপুরের খাবারের জন্য ডোর ড্যাশ অর্ডার করি, আগে থেকে থাকা খাবার খাওয়ার পরিবর্তে। আর কেউ কি এই সমস্যার মুখো"&amp;"মুখি?")</f>
        <v>আমি নিজেকে বলি যে আমি অফিসে দুপুরের খাবার নিয়ে আসব এবং ফাস্ট ফুডের দোকানে এত টাকা খরচ করা বন্ধ করব কিন্তু আমি কখনও করি না। আমি যখন বাড়িতে থাকি তখন দুপুরের খাবারের জন্য ডোর ড্যাশ অর্ডার করি, আগে থেকে থাকা খাবার খাওয়ার পরিবর্তে। আর কেউ কি এই সমস্যার মুখোমুখি?</v>
      </c>
    </row>
    <row r="102" spans="1:3" ht="15" x14ac:dyDescent="0.25">
      <c r="A102" s="3" t="s">
        <v>104</v>
      </c>
      <c r="B102" s="3" t="s">
        <v>4</v>
      </c>
      <c r="C102" s="4" t="str">
        <f ca="1">IFERROR(__xludf.DUMMYFUNCTION("GOOGLETRANSLATE(A102, ""auto"", ""bn"")"),"সম্প্রতি আমার একটা দীর্ঘমেয়াদী বন্ধুত্ব ভেঙে গেছে। সে একজন আসক্ত... অ্যালকোহল, অ্যাডেরল, অনলাইন গেমিং, অনলাইনে মহিলাদের সাথে ডেটিং, প্রেমে পড়া, বাস্তব জগতে না থাকা.... শুধু সে এখনও বুঝতে পারেনি যে সে কতটা দূরে চলে গেছে... তার মানসিক অসুস্থতার ক্ষেত্রেও "&amp;"তাকে ভুলভাবে নির্ণয় করা হতে পারে... আমি জানি আমাদের মধ্যে তার মতামত আমার থেকে অনেক আলাদা। আমি জানি সে নিজে নয়। তাছাড়া, আমি জানি সে আমাকে যা বলেছে তা ব্যক্তিগতভাবে নেওয়া উচিত নয়। তাছাড়া, আমি জানি সে আমার সাথে কথা বলতে পারে না, কারণ সে স্বীকার করতে প্"&amp;"রস্তুত নয় যে তার একটি আসল সমস্যা আছে। কিন্তু আমি আমার বন্ধুকে মিস করি, এবং আমি আশা করি একদিন আমরা আবার সংযোগ স্থাপন করতে পারব। তোমাদের কারো কারো আমার মতো বন্ধু আছে... বন্ধুরা যারা ভাবছে তুমি ঠিক আছো কিনা.... বন্ধুরা যারা ভালো সময় মনে রাখে... বন্ধুরা যার"&amp;"া চায় তুমি নিজের সম্পর্কে ভালো বোধ করো... বন্ধুরা যারা তোমাকে ভালোবাসে... সবকিছু সত্ত্বেও।")</f>
        <v>সম্প্রতি আমার একটা দীর্ঘমেয়াদী বন্ধুত্ব ভেঙে গেছে। সে একজন আসক্ত... অ্যালকোহল, অ্যাডেরল, অনলাইন গেমিং, অনলাইনে মহিলাদের সাথে ডেটিং, প্রেমে পড়া, বাস্তব জগতে না থাকা.... শুধু সে এখনও বুঝতে পারেনি যে সে কতটা দূরে চলে গেছে... তার মানসিক অসুস্থতার ক্ষেত্রেও তাকে ভুলভাবে নির্ণয় করা হতে পারে... আমি জানি আমাদের মধ্যে তার মতামত আমার থেকে অনেক আলাদা। আমি জানি সে নিজে নয়। তাছাড়া, আমি জানি সে আমাকে যা বলেছে তা ব্যক্তিগতভাবে নেওয়া উচিত নয়। তাছাড়া, আমি জানি সে আমার সাথে কথা বলতে পারে না, কারণ সে স্বীকার করতে প্রস্তুত নয় যে তার একটি আসল সমস্যা আছে। কিন্তু আমি আমার বন্ধুকে মিস করি, এবং আমি আশা করি একদিন আমরা আবার সংযোগ স্থাপন করতে পারব। তোমাদের কারো কারো আমার মতো বন্ধু আছে... বন্ধুরা যারা ভাবছে তুমি ঠিক আছো কিনা.... বন্ধুরা যারা ভালো সময় মনে রাখে... বন্ধুরা যারা চায় তুমি নিজের সম্পর্কে ভালো বোধ করো... বন্ধুরা যারা তোমাকে ভালোবাসে... সবকিছু সত্ত্বেও।</v>
      </c>
    </row>
    <row r="103" spans="1:3" ht="15" x14ac:dyDescent="0.25">
      <c r="A103" s="3" t="s">
        <v>105</v>
      </c>
      <c r="B103" s="3" t="s">
        <v>4</v>
      </c>
      <c r="C103" s="4" t="str">
        <f ca="1">IFERROR(__xludf.DUMMYFUNCTION("GOOGLETRANSLATE(A103, ""auto"", ""bn"")"),"আমি সবসময় সিগারেট খাওয়াকে পুরষ্কার হিসেবে ব্যবহার করতাম। উদাহরণস্বরূপ, আমি টানা ৫ ঘন্টা পড়াশোনা করি এবং তারপর নিজেকে একটি সিগারেট দিয়ে পুরস্কৃত করি। সিগারেটের পরিবর্তে আমি নিজেকে পুরস্কৃত করতে পারি এমন ভালো বিকল্প আর কী হতে পারে? কিছু দেখা বা খাওয়া ছ"&amp;"াড়া।")</f>
        <v>আমি সবসময় সিগারেট খাওয়াকে পুরষ্কার হিসেবে ব্যবহার করতাম। উদাহরণস্বরূপ, আমি টানা ৫ ঘন্টা পড়াশোনা করি এবং তারপর নিজেকে একটি সিগারেট দিয়ে পুরস্কৃত করি। সিগারেটের পরিবর্তে আমি নিজেকে পুরস্কৃত করতে পারি এমন ভালো বিকল্প আর কী হতে পারে? কিছু দেখা বা খাওয়া ছাড়া।</v>
      </c>
    </row>
    <row r="104" spans="1:3" ht="15" x14ac:dyDescent="0.25">
      <c r="A104" s="3" t="s">
        <v>106</v>
      </c>
      <c r="B104" s="3" t="s">
        <v>4</v>
      </c>
      <c r="C104" s="4" t="str">
        <f ca="1">IFERROR(__xludf.DUMMYFUNCTION("GOOGLETRANSLATE(A104, ""auto"", ""bn"")"),"আমি আমার সুস্থতা আমার নিজস্ব উপায়ে ব্যায়ামের মাধ্যমে করছি, যা আসলে মস্তিষ্ককে ঠিক করে এবং আসক্তির বিরুদ্ধে আরও অপ্রতিরোধ্য করে তোলে। আমি দাঁতের স্বাস্থ্যবিধির জন্য স্কুলে যাচ্ছি এবং আবারও একটি উদ্দেশ্য আছে। ১২ ধাপে লোকেরা কেন আপনার উপর এটি চাপানোর চেষ্টা"&amp;" করে, যখন বিজ্ঞান দেখিয়েছে যে ব্যায়াম আসক্তির জন্য আরও কার্যকর?")</f>
        <v>আমি আমার সুস্থতা আমার নিজস্ব উপায়ে ব্যায়ামের মাধ্যমে করছি, যা আসলে মস্তিষ্ককে ঠিক করে এবং আসক্তির বিরুদ্ধে আরও অপ্রতিরোধ্য করে তোলে। আমি দাঁতের স্বাস্থ্যবিধির জন্য স্কুলে যাচ্ছি এবং আবারও একটি উদ্দেশ্য আছে। ১২ ধাপে লোকেরা কেন আপনার উপর এটি চাপানোর চেষ্টা করে, যখন বিজ্ঞান দেখিয়েছে যে ব্যায়াম আসক্তির জন্য আরও কার্যকর?</v>
      </c>
    </row>
    <row r="105" spans="1:3" ht="15" x14ac:dyDescent="0.25">
      <c r="A105" s="3" t="s">
        <v>107</v>
      </c>
      <c r="B105" s="3" t="s">
        <v>4</v>
      </c>
      <c r="C105" s="4" t="str">
        <f ca="1">IFERROR(__xludf.DUMMYFUNCTION("GOOGLETRANSLATE(A105, ""auto"", ""bn"")"),"কখনও কখনও একজন ব্যক্তি বাইরে যত বেশি উজ্জ্বল, তা তার আধ্যাত্মিক চরিত্রগত ত্রুটিগুলির উপর ভ্রম সৃষ্টি করতে পারে। আমাদের পুনরুদ্ধারের শৈশবকালে, আমরা, আমাদের নতুন অভিজ্ঞতা দ্বারা অন্ধ হয়ে, আমাদের উচ্চতর পুনরুজ্জীবিত ইন্দ্রিয়গুলিকে কিছু সময়ের জন্য। আমরা প্"&amp;"রায়শই আমাদের পুনরুদ্ধার এবং সত্যের প্রতি জাগ্রত হতে দীর্ঘ সময় নিই, যাতে আমরা বুঝতে পারি যে কোনও আর্থিক মূল্যহীন এবং প্রতিপত্তিহীন পুরুষ/নারীর গভীরতম হৃদয় এবং বিশ্রামের জন্য সবচেয়ে নিরাপদ স্থান রয়েছে। নান্দনিকতা, প্রতিপত্তি এবং বিশেষ করে শব্দের বাইরে "&amp;"তাকানো প্রায়শই লোকেরা এখানে প্রস্তাবিত কাজ অনুশীলন করার পরিবর্তে মৌখিকভাবে একটি সুস্থ পুনরুদ্ধারের অনুকরণ করতে পারে, যা নিজেদের জন্য এবং নতুন ব্যক্তির জন্যও বড় বিপদ। আমরা যদি পরিষ্কার থাকতে চাই, তবে ভাসা ভাসা ধার্মিকতার চেয়ে কাঁচা সততা অপরিহার্য। কেবল "&amp;"শব্দই আপনাকে কেবল সীমান্ত নিয়ন্ত্রণ পর্যন্ত নিয়ে যাবে, যদি আপনি একটি নতুন পৃথিবীতে পা রাখতে চান তবে আপনাকে আপনার সত্য বলতে হবে। অন্যদের সাথে সৎ থাকুন তবে আরও গুরুত্বপূর্ণভাবে নিজের সাথে সৎ থাকুন, এর জন্য প্রচুর সাহস, সাহস এবং শক্তি প্রয়োজন। উন্নত জীবনে"&amp;"র জন্য সবচেয়ে মৌলিক প্রয়োজন হল স্বচ্ছতা, ভাসা ভাসা নয়। এটি ভিতরের ঈশ্বর/উচ্চ শক্তিকে প্রজ্বলিত করবে। যখন আমরা অধ্যবসায়ের সাথে এবং ক্রমাগত সঠিক কাজ করি তখন এটি আপনার আবেগে পরিণত হয়। তোমার আবেগ জীবনের এক নতুন পথ হয়ে ওঠে।")</f>
        <v>কখনও কখনও একজন ব্যক্তি বাইরে যত বেশি উজ্জ্বল, তা তার আধ্যাত্মিক চরিত্রগত ত্রুটিগুলির উপর ভ্রম সৃষ্টি করতে পারে। আমাদের পুনরুদ্ধারের শৈশবকালে, আমরা, আমাদের নতুন অভিজ্ঞতা দ্বারা অন্ধ হয়ে, আমাদের উচ্চতর পুনরুজ্জীবিত ইন্দ্রিয়গুলিকে কিছু সময়ের জন্য। আমরা প্রায়শই আমাদের পুনরুদ্ধার এবং সত্যের প্রতি জাগ্রত হতে দীর্ঘ সময় নিই, যাতে আমরা বুঝতে পারি যে কোনও আর্থিক মূল্যহীন এবং প্রতিপত্তিহীন পুরুষ/নারীর গভীরতম হৃদয় এবং বিশ্রামের জন্য সবচেয়ে নিরাপদ স্থান রয়েছে। নান্দনিকতা, প্রতিপত্তি এবং বিশেষ করে শব্দের বাইরে তাকানো প্রায়শই লোকেরা এখানে প্রস্তাবিত কাজ অনুশীলন করার পরিবর্তে মৌখিকভাবে একটি সুস্থ পুনরুদ্ধারের অনুকরণ করতে পারে, যা নিজেদের জন্য এবং নতুন ব্যক্তির জন্যও বড় বিপদ। আমরা যদি পরিষ্কার থাকতে চাই, তবে ভাসা ভাসা ধার্মিকতার চেয়ে কাঁচা সততা অপরিহার্য। কেবল শব্দই আপনাকে কেবল সীমান্ত নিয়ন্ত্রণ পর্যন্ত নিয়ে যাবে, যদি আপনি একটি নতুন পৃথিবীতে পা রাখতে চান তবে আপনাকে আপনার সত্য বলতে হবে। অন্যদের সাথে সৎ থাকুন তবে আরও গুরুত্বপূর্ণভাবে নিজের সাথে সৎ থাকুন, এর জন্য প্রচুর সাহস, সাহস এবং শক্তি প্রয়োজন। উন্নত জীবনের জন্য সবচেয়ে মৌলিক প্রয়োজন হল স্বচ্ছতা, ভাসা ভাসা নয়। এটি ভিতরের ঈশ্বর/উচ্চ শক্তিকে প্রজ্বলিত করবে। যখন আমরা অধ্যবসায়ের সাথে এবং ক্রমাগত সঠিক কাজ করি তখন এটি আপনার আবেগে পরিণত হয়। তোমার আবেগ জীবনের এক নতুন পথ হয়ে ওঠে।</v>
      </c>
    </row>
    <row r="106" spans="1:3" ht="15" x14ac:dyDescent="0.25">
      <c r="A106" s="3" t="s">
        <v>108</v>
      </c>
      <c r="B106" s="3" t="s">
        <v>4</v>
      </c>
      <c r="C106" s="4" t="str">
        <f ca="1">IFERROR(__xludf.DUMMYFUNCTION("GOOGLETRANSLATE(A106, ""auto"", ""bn"")"),"কেউ কেউ কেবল নিজের অদম্য যন্ত্রণায় ডুবে থাকার আকাঙ্ক্ষা থেকে সেরে ওঠে। প্রায়শই আমাদের পুনরুদ্ধারের যাত্রায়, ভেতরের কাজ ছাড়াই আমরা মানুষ, অনুভূতি এবং বিরক্তি তুলে নিই, তারাও আপনার পছন্দের নতুন ওষুধ হয়ে ওঠে, এটি অজ্ঞানভাবে, অস্থায়ীভাবে আপনার একাকী ক্ষুধা"&amp;"র্ত হৃদয়কে পূর্ণ করবে। এই যাত্রায় নম্র থাকুন। আপনি স্যুটকেসটি চিরকাল বহন করতে পারেন, এমনকি প্রতিটি সভা বা প্রতিটি প্রচেষ্টায় এটি টেনে নিয়ে যেতে পারেন, অথবা আপনি সাহসী হয়ে উঠতে পারেন এবং জিনিসপত্র খুলে রাখতে পারেন। যখন আমরা অন্যের হাতে আমরা কীভাবে কষ্ট"&amp;" পেয়েছি তা দেখি, তখন এটি শূন্যতার মধ্যে কেবল সাময়িক স্বস্তি নিয়ে আসে। যখন আপনি আপনার জীবনের বিষয়বস্তু দেখেন যেখানে আমাদের ভুলের জন্য আপনিও দায়ী ছিলেন, তখন এটি দোষারোপের খেলা থেকে ক্যাথার্টিক আধ্যাত্মিক মুক্তি নিয়ে আসে, সাহসী হোন সৎ থাকুন। অন্যদের উপ"&amp;"র সমস্ত দোষ চাপানো যতই উপযুক্ত হোক না কেন, অলসতা এবং সহজ। নিজের সাথে সৎ থাকাই নিরাময়ের মূল কারণ।")</f>
        <v>কেউ কেউ কেবল নিজের অদম্য যন্ত্রণায় ডুবে থাকার আকাঙ্ক্ষা থেকে সেরে ওঠে। প্রায়শই আমাদের পুনরুদ্ধারের যাত্রায়, ভেতরের কাজ ছাড়াই আমরা মানুষ, অনুভূতি এবং বিরক্তি তুলে নিই, তারাও আপনার পছন্দের নতুন ওষুধ হয়ে ওঠে, এটি অজ্ঞানভাবে, অস্থায়ীভাবে আপনার একাকী ক্ষুধার্ত হৃদয়কে পূর্ণ করবে। এই যাত্রায় নম্র থাকুন। আপনি স্যুটকেসটি চিরকাল বহন করতে পারেন, এমনকি প্রতিটি সভা বা প্রতিটি প্রচেষ্টায় এটি টেনে নিয়ে যেতে পারেন, অথবা আপনি সাহসী হয়ে উঠতে পারেন এবং জিনিসপত্র খুলে রাখতে পারেন। যখন আমরা অন্যের হাতে আমরা কীভাবে কষ্ট পেয়েছি তা দেখি, তখন এটি শূন্যতার মধ্যে কেবল সাময়িক স্বস্তি নিয়ে আসে। যখন আপনি আপনার জীবনের বিষয়বস্তু দেখেন যেখানে আমাদের ভুলের জন্য আপনিও দায়ী ছিলেন, তখন এটি দোষারোপের খেলা থেকে ক্যাথার্টিক আধ্যাত্মিক মুক্তি নিয়ে আসে, সাহসী হোন সৎ থাকুন। অন্যদের উপর সমস্ত দোষ চাপানো যতই উপযুক্ত হোক না কেন, অলসতা এবং সহজ। নিজের সাথে সৎ থাকাই নিরাময়ের মূল কারণ।</v>
      </c>
    </row>
    <row r="107" spans="1:3" ht="15" x14ac:dyDescent="0.25">
      <c r="A107" s="3" t="s">
        <v>109</v>
      </c>
      <c r="B107" s="3" t="s">
        <v>4</v>
      </c>
      <c r="C107" s="4" t="str">
        <f ca="1">IFERROR(__xludf.DUMMYFUNCTION("GOOGLETRANSLATE(A107, ""auto"", ""bn"")"),"আমি খুব আটকা পড়ে গেছি। বছরের পর বছর ধরে প্রতিদিন ধূমপানের পর, আমি দুই দিন ধরে গাঁজা ধূমপান ছেড়ে দিয়েছি। আমার সবচেয়ে খারাপ লক্ষণগুলি ছিল? অনিদ্রা, জ্বর, ঠান্ডা লাগা, রাতের ঘাম, আক্রমণাত্মকতা। আমি আমার সঙ্গীর উপর ঝাঁপিয়ে পড়েছি। এই লক্ষণগুলি এতটাই তীব্"&amp;"র হয়ে উঠেছে যে আমি একদিনের জন্য কাজ থেকে ছুটি নিয়েছি। আমি খুব লজ্জিত বোধ করছি। এটি একটি একেবারে নতুন চাকরি এবং খুব বেশি চাপ। আমি এমন একটি চাকরি থেকে এসেছি যা আমাকে মানসিকভাবে আঘাত করেছে, এবং এখন আমাকে অনেক বেশি বেতন দেওয়া হচ্ছে। যদিও এটি মানসিকভাবে খুব"&amp;" কঠিন। তাই আমি ধূমপান ছেড়ে দিয়েছি। তারপর আমি ঘুমাতে পারিনি। এখন আমি সত্যিই, সত্যিই পরাজিত।")</f>
        <v>আমি খুব আটকা পড়ে গেছি। বছরের পর বছর ধরে প্রতিদিন ধূমপানের পর, আমি দুই দিন ধরে গাঁজা ধূমপান ছেড়ে দিয়েছি। আমার সবচেয়ে খারাপ লক্ষণগুলি ছিল? অনিদ্রা, জ্বর, ঠান্ডা লাগা, রাতের ঘাম, আক্রমণাত্মকতা। আমি আমার সঙ্গীর উপর ঝাঁপিয়ে পড়েছি। এই লক্ষণগুলি এতটাই তীব্র হয়ে উঠেছে যে আমি একদিনের জন্য কাজ থেকে ছুটি নিয়েছি। আমি খুব লজ্জিত বোধ করছি। এটি একটি একেবারে নতুন চাকরি এবং খুব বেশি চাপ। আমি এমন একটি চাকরি থেকে এসেছি যা আমাকে মানসিকভাবে আঘাত করেছে, এবং এখন আমাকে অনেক বেশি বেতন দেওয়া হচ্ছে। যদিও এটি মানসিকভাবে খুব কঠিন। তাই আমি ধূমপান ছেড়ে দিয়েছি। তারপর আমি ঘুমাতে পারিনি। এখন আমি সত্যিই, সত্যিই পরাজিত।</v>
      </c>
    </row>
    <row r="108" spans="1:3" ht="15" x14ac:dyDescent="0.25">
      <c r="A108" s="3" t="s">
        <v>110</v>
      </c>
      <c r="B108" s="3" t="s">
        <v>4</v>
      </c>
      <c r="C108" s="4" t="str">
        <f ca="1">IFERROR(__xludf.DUMMYFUNCTION("GOOGLETRANSLATE(A108, ""auto"", ""bn"")"),"আমি ৩-৪ বছর ধরে পর্নে আসক্ত? এখন মাঝে মাঝে, শুরুটা সবচেয়ে খারাপ ছিল সম্ভবত দিনে একবার হস্তমৈথুন করা। এখন আমি এখনও সপ্তাহে কমপক্ষে ৩ বার এটি করি। এটা সবসময় রাতে ঘুমানোর আগে হয়। আমার একজন প্রেমিকা আছে এবং সে জানে না, এটা আমার সাথে একটা ঝগড়া। আমি এটা থেক"&amp;"ে মুক্তি পেতে চাই। আমি এখনও স্কুলে পড়ি, আমার ছোট ছোট শখ আছে, আমি ব্যায়াম করি। তাছাড়া, আমি সবসময় নিজেকে বলি ""এটা শেষবার?"", সম্ভবত ১০০ বারেরও বেশি সময় ধরে নিজেকে এটা বলছি। আমি সাহায্য চাইছি কারণ আমি জানি এটি একটি আসক্তি এবং আমি সত্যিই থামাতে চাই। তাছ"&amp;"াড়া, আমি জানি এটি আমার মানসিক স্বাস্থ্য এবং অন্য সবকিছুর জন্য খারাপ। তাহলে অতীতের যেকোনো পর্ন আসক্তের জন্য, আপনি কীভাবে এটি কাটিয়ে উঠেছেন?")</f>
        <v>আমি ৩-৪ বছর ধরে পর্নে আসক্ত? এখন মাঝে মাঝে, শুরুটা সবচেয়ে খারাপ ছিল সম্ভবত দিনে একবার হস্তমৈথুন করা। এখন আমি এখনও সপ্তাহে কমপক্ষে ৩ বার এটি করি। এটা সবসময় রাতে ঘুমানোর আগে হয়। আমার একজন প্রেমিকা আছে এবং সে জানে না, এটা আমার সাথে একটা ঝগড়া। আমি এটা থেকে মুক্তি পেতে চাই। আমি এখনও স্কুলে পড়ি, আমার ছোট ছোট শখ আছে, আমি ব্যায়াম করি। তাছাড়া, আমি সবসময় নিজেকে বলি "এটা শেষবার?", সম্ভবত ১০০ বারেরও বেশি সময় ধরে নিজেকে এটা বলছি। আমি সাহায্য চাইছি কারণ আমি জানি এটি একটি আসক্তি এবং আমি সত্যিই থামাতে চাই। তাছাড়া, আমি জানি এটি আমার মানসিক স্বাস্থ্য এবং অন্য সবকিছুর জন্য খারাপ। তাহলে অতীতের যেকোনো পর্ন আসক্তের জন্য, আপনি কীভাবে এটি কাটিয়ে উঠেছেন?</v>
      </c>
    </row>
    <row r="109" spans="1:3" ht="15" x14ac:dyDescent="0.25">
      <c r="A109" s="3" t="s">
        <v>111</v>
      </c>
      <c r="B109" s="3" t="s">
        <v>4</v>
      </c>
      <c r="C109" s="4" t="str">
        <f ca="1">IFERROR(__xludf.DUMMYFUNCTION("GOOGLETRANSLATE(A109, ""auto"", ""bn"")"),"আমি (২৭ফ) একজন উচ্চ কর্মক্ষম মদ্যপ ছিলাম। আমার একটা চাকরি ছিল যেখানে আমি ভালো ছিলাম, আমি আমার অ্যাপার্টমেন্ট পরিষ্কার করতাম, কাপড় ধোতাম, বিল পরিশোধ করতাম। যতক্ষণ না আমি ছিলাম। গত বছর আমার মা মারা যাওয়ার আগ পর্যন্ত। আমি ১৩ বছর ধরে উদ্বেগ এবং বিষণ্ণতার জন"&amp;"্য থেরাপি নিচ্ছি। আমার মনে হয় (যখন আমার বয়স ২০ বছর) অবশেষে আমাকে অ্যালকোহলের দিকে ঠেলে দিয়েছিল যে এটি আমাকে অনেক কিছু দিয়েছে যা আমি নিজেকে দিতে পারিনি। এটি একটি দ্রুত সমাধান ছিল। এটি আমাকে এমন একটি ভিত্তি তৈরি করার জন্য একটি বিল্ডিং ব্লক দিয়েছে যা আম"&amp;"ি নিজের উপর তৈরি করতে পারিনি। আমার মদ্যপান, বিষণ্ণতা এবং উদ্বেগ এখন সহাবস্থান করে; কিন্তু আমার মদ্যপান আমার মানসিক অসুস্থতার লক্ষণ, কারণ নয়। অ্যালকোহল আমাকে একটি ব্যক্তিত্ব দিয়েছে। এটি আমাকে এমন একটি সামাজিক জীবন দিয়েছে যা আমি শান্ত থাকার জন্য খুব বেশি"&amp;" উদ্বিগ্ন ছিলাম। এটি আমার কিছু শখকে আরও উপভোগ্য করে তুলেছে। তদুপরি, এটি আমাকে নিজের পক্ষে দাঁড়াতে ভয় পায়নি। তদুপরি, এটি আমার কাঁপানো হাত কেড়ে নিয়েছে (যা উদ্বেগ বা স্নায়বিক ব্যাধির কারণে হতে পারে)। আমি যেকোনো কিছু করতে পারি, যেকোনো কিছু সামলাতে পারি।"&amp;" আজ আমি IOP-এর জন্য আমার ইনটেক করতে গিয়েছিলাম, আর যখনই আমার চিকিৎসক বললেন, ""এগিয়ে যাওয়ার জন্য তোমাকে নিজের ভেতরে তাকাতে হবে,"" তখনই আমার মস্তিষ্কে শর্ট সার্কিট শুরু হয়ে গেল। উদ্বেগে আমার গলা বন্ধ হয়ে আসতে শুরু করল। সেখানে কিছুই নেই। আমার ভেতরে কিছুই"&amp;" নেই। আমার ব্যক্তিত্ব ছিল আমার কাজ, আমার মানসিক অসুস্থতা এবং ট্রমা, এবং স্কুল। অ্যালকোহল ছাড়া আমার এমন কোনও শখ নেই যা আমি সত্যিই উপভোগ করি। আমি অন্যদের সাথে কথা বলতে পছন্দ করি না। তাছাড়া, আমি জানি না কোথা থেকে শুরু করব। তাছাড়া, আমার জানার কোনও প্রেরণা "&amp;"নেই। তাছাড়া, আমার মানসিক অসুস্থতা খুঁজে না পেয়ে জীবনে এতদূর আসতে পেরেছি বলে আমার খারাপ লাগে। তাছাড়া, IOP/থেরাপিতে তারা আপনাকে যে সমস্ত সরঞ্জাম দেয় তা আমার জন্য কাজ করেনি বলে আমার খারাপ লাগে। তাছাড়া, আমি যখন ভিতরে তাকাই তখন আমি যা দেখি তা আমার খারাপ ল"&amp;"াগে। তাছাড়া, আমি এটাও ঘৃণা করি যে আমি জানি না এর সাথে কী করব।")</f>
        <v>আমি (২৭ফ) একজন উচ্চ কর্মক্ষম মদ্যপ ছিলাম। আমার একটা চাকরি ছিল যেখানে আমি ভালো ছিলাম, আমি আমার অ্যাপার্টমেন্ট পরিষ্কার করতাম, কাপড় ধোতাম, বিল পরিশোধ করতাম। যতক্ষণ না আমি ছিলাম। গত বছর আমার মা মারা যাওয়ার আগ পর্যন্ত। আমি ১৩ বছর ধরে উদ্বেগ এবং বিষণ্ণতার জন্য থেরাপি নিচ্ছি। আমার মনে হয় (যখন আমার বয়স ২০ বছর) অবশেষে আমাকে অ্যালকোহলের দিকে ঠেলে দিয়েছিল যে এটি আমাকে অনেক কিছু দিয়েছে যা আমি নিজেকে দিতে পারিনি। এটি একটি দ্রুত সমাধান ছিল। এটি আমাকে এমন একটি ভিত্তি তৈরি করার জন্য একটি বিল্ডিং ব্লক দিয়েছে যা আমি নিজের উপর তৈরি করতে পারিনি। আমার মদ্যপান, বিষণ্ণতা এবং উদ্বেগ এখন সহাবস্থান করে; কিন্তু আমার মদ্যপান আমার মানসিক অসুস্থতার লক্ষণ, কারণ নয়। অ্যালকোহল আমাকে একটি ব্যক্তিত্ব দিয়েছে। এটি আমাকে এমন একটি সামাজিক জীবন দিয়েছে যা আমি শান্ত থাকার জন্য খুব বেশি উদ্বিগ্ন ছিলাম। এটি আমার কিছু শখকে আরও উপভোগ্য করে তুলেছে। তদুপরি, এটি আমাকে নিজের পক্ষে দাঁড়াতে ভয় পায়নি। তদুপরি, এটি আমার কাঁপানো হাত কেড়ে নিয়েছে (যা উদ্বেগ বা স্নায়বিক ব্যাধির কারণে হতে পারে)। আমি যেকোনো কিছু করতে পারি, যেকোনো কিছু সামলাতে পারি। আজ আমি IOP-এর জন্য আমার ইনটেক করতে গিয়েছিলাম, আর যখনই আমার চিকিৎসক বললেন, "এগিয়ে যাওয়ার জন্য তোমাকে নিজের ভেতরে তাকাতে হবে," তখনই আমার মস্তিষ্কে শর্ট সার্কিট শুরু হয়ে গেল। উদ্বেগে আমার গলা বন্ধ হয়ে আসতে শুরু করল। সেখানে কিছুই নেই। আমার ভেতরে কিছুই নেই। আমার ব্যক্তিত্ব ছিল আমার কাজ, আমার মানসিক অসুস্থতা এবং ট্রমা, এবং স্কুল। অ্যালকোহল ছাড়া আমার এমন কোনও শখ নেই যা আমি সত্যিই উপভোগ করি। আমি অন্যদের সাথে কথা বলতে পছন্দ করি না। তাছাড়া, আমি জানি না কোথা থেকে শুরু করব। তাছাড়া, আমার জানার কোনও প্রেরণা নেই। তাছাড়া, আমার মানসিক অসুস্থতা খুঁজে না পেয়ে জীবনে এতদূর আসতে পেরেছি বলে আমার খারাপ লাগে। তাছাড়া, IOP/থেরাপিতে তারা আপনাকে যে সমস্ত সরঞ্জাম দেয় তা আমার জন্য কাজ করেনি বলে আমার খারাপ লাগে। তাছাড়া, আমি যখন ভিতরে তাকাই তখন আমি যা দেখি তা আমার খারাপ লাগে। তাছাড়া, আমি এটাও ঘৃণা করি যে আমি জানি না এর সাথে কী করব।</v>
      </c>
    </row>
    <row r="110" spans="1:3" ht="15" x14ac:dyDescent="0.25">
      <c r="A110" s="3" t="s">
        <v>112</v>
      </c>
      <c r="B110" s="3" t="s">
        <v>4</v>
      </c>
      <c r="C110" s="4" t="str">
        <f ca="1">IFERROR(__xludf.DUMMYFUNCTION("GOOGLETRANSLATE(A110, ""auto"", ""bn"")"),"আজ আমি কর্মক্ষেত্রে টনি হক আন্ডারগ্রাউন্ড ২ এর সাউন্ডট্র্যাক শুনছিলাম, তাই যদি আপনি শিরোনামের রেফারেন্সটি ধরেন তবে আপনি একজন তারকা। যাই হোক। আমি সত্যিই একটি ভাঙনের পর্যায়ে পৌঁছেছি কিন্তু খারাপ অভ্যাস (যা এই মুহুর্তে, আসুন সত্য কথা বলি, খারাপ জীবনযাত্রার "&amp;"পছন্দ) ছেড়ে দেওয়া কঠিন। বিশেষ করে যদি আপনি তাদের শক্তিশালী আফিমের জন্য তাদের উপর নির্ভর করেন। আমার একটি খারাপ ব্রেকআপ হয়েছিল যা আমাকে বিরক্ত করেছিল। চার বছর ধরে মদ্যপান না করার, ক্রমাগত ""এএ"" করার জন্য আমি দূরে ঠেলে দিয়েছিলাম, এবং এখন আমি প্রায় এক ব"&amp;"ছর ধরে প্রতিদিন এই মেয়েটির জন্য মদ্যপান করছি। শুধু তাই নয়, আমি আবার গাঁজাও খেয়েছি, এবং মুখে সিগারেট ছাড়া ১৫ মিনিটের বেশি সময় না কাটানোর চেষ্টা করি। আমার আত্মসম্মান কখনও এতটা কম ছিল না। যা আমাকে মেরে ফেলে তা হল ""এএ"" জেনে রাখা এবং সংযমকে গুরুত্ব সহকা"&amp;"রে নেওয়া আমার পুরো জীবনকে বদলে দেবে; এটি ইতিমধ্যে একবার করে ফেলেছি। কিন্তু আমি এই গর্তে এতটাই গভীর যে আমার মূল্যবান রাসায়নিক প্রশমক ছাড়া বেঁচে থাকার চিন্তা সর্বদা মৃত্যুর চেয়েও খারাপ বলে মনে হয়। আমি আবার পাহাড়ের চূড়ায় দাঁড়াতে চাই। আমি জানতে চাই য"&amp;"ে এখানে কেউ আমার জায়গায় ছিল কিনা। তাছাড়া, আমি জানতে চাই তুমি কীভাবে বেরিয়ে এসেছো। তাছাড়া, আমার জানা দরকার যে আমি একা নই কারণ আমি টার্মিনাল ইউনিকনে অভিশপ্ত (যেমনটা তারা সবসময় AA তে বলে) এবং একরকম মনে হচ্ছে আমার পরিস্থিতি অনন্যভাবে উদ্বেগজনক, বিশেষ; এবং ত"&amp;"াই সাহায্যের বাইরে। যদি কেউ এটি সম্পর্কে কথা বলতে চান, তাহলে আসুন এটি সম্পর্কে কথা বলি।")</f>
        <v>আজ আমি কর্মক্ষেত্রে টনি হক আন্ডারগ্রাউন্ড ২ এর সাউন্ডট্র্যাক শুনছিলাম, তাই যদি আপনি শিরোনামের রেফারেন্সটি ধরেন তবে আপনি একজন তারকা। যাই হোক। আমি সত্যিই একটি ভাঙনের পর্যায়ে পৌঁছেছি কিন্তু খারাপ অভ্যাস (যা এই মুহুর্তে, আসুন সত্য কথা বলি, খারাপ জীবনযাত্রার পছন্দ) ছেড়ে দেওয়া কঠিন। বিশেষ করে যদি আপনি তাদের শক্তিশালী আফিমের জন্য তাদের উপর নির্ভর করেন। আমার একটি খারাপ ব্রেকআপ হয়েছিল যা আমাকে বিরক্ত করেছিল। চার বছর ধরে মদ্যপান না করার, ক্রমাগত "এএ" করার জন্য আমি দূরে ঠেলে দিয়েছিলাম, এবং এখন আমি প্রায় এক বছর ধরে প্রতিদিন এই মেয়েটির জন্য মদ্যপান করছি। শুধু তাই নয়, আমি আবার গাঁজাও খেয়েছি, এবং মুখে সিগারেট ছাড়া ১৫ মিনিটের বেশি সময় না কাটানোর চেষ্টা করি। আমার আত্মসম্মান কখনও এতটা কম ছিল না। যা আমাকে মেরে ফেলে তা হল "এএ" জেনে রাখা এবং সংযমকে গুরুত্ব সহকারে নেওয়া আমার পুরো জীবনকে বদলে দেবে; এটি ইতিমধ্যে একবার করে ফেলেছি। কিন্তু আমি এই গর্তে এতটাই গভীর যে আমার মূল্যবান রাসায়নিক প্রশমক ছাড়া বেঁচে থাকার চিন্তা সর্বদা মৃত্যুর চেয়েও খারাপ বলে মনে হয়। আমি আবার পাহাড়ের চূড়ায় দাঁড়াতে চাই। আমি জানতে চাই যে এখানে কেউ আমার জায়গায় ছিল কিনা। তাছাড়া, আমি জানতে চাই তুমি কীভাবে বেরিয়ে এসেছো। তাছাড়া, আমার জানা দরকার যে আমি একা নই কারণ আমি টার্মিনাল ইউনিকনে অভিশপ্ত (যেমনটা তারা সবসময় AA তে বলে) এবং একরকম মনে হচ্ছে আমার পরিস্থিতি অনন্যভাবে উদ্বেগজনক, বিশেষ; এবং তাই সাহায্যের বাইরে। যদি কেউ এটি সম্পর্কে কথা বলতে চান, তাহলে আসুন এটি সম্পর্কে কথা বলি।</v>
      </c>
    </row>
    <row r="111" spans="1:3" ht="15" x14ac:dyDescent="0.25">
      <c r="A111" s="3" t="s">
        <v>113</v>
      </c>
      <c r="B111" s="3" t="s">
        <v>4</v>
      </c>
      <c r="C111" s="4" t="str">
        <f ca="1">IFERROR(__xludf.DUMMYFUNCTION("GOOGLETRANSLATE(A111, ""auto"", ""bn"")"),"গত এক বছর ধরে আমি প্রায় প্রতিদিন (৩০ মিলিগ্রাম) অক্সি পিল খাচ্ছি, কিছুদিন আগে আমার এক বন্ধু আমাকে হেরোইনের সাথে পরিচয় করিয়ে দিয়েছিল। প্রথমে আমি ন্যাশের মতো ছিলাম কিন্তু পরে চেষ্টা করেছিলাম, আর এটা ছিল অসাধারণ একটা হাই, যদিও আমি প্রতিদিন এটা করতাম না, আম"&amp;"ার খুব খারাপ লাগছিল। এখনকার সময়ে আমি দিনে কমপক্ষে ১টি হেরোইন খাই এবং মনে হচ্ছে থামতে চাই না, কিন্তু আমি জানি এটা টাকা ছাড়াই চলে যাচ্ছে। ওহ, আর একটা বিষয় হলো, এই একটা নেশা করলেও আমাকে সবসময় গাঁজা ধূমপান করতে হয়।")</f>
        <v>গত এক বছর ধরে আমি প্রায় প্রতিদিন (৩০ মিলিগ্রাম) অক্সি পিল খাচ্ছি, কিছুদিন আগে আমার এক বন্ধু আমাকে হেরোইনের সাথে পরিচয় করিয়ে দিয়েছিল। প্রথমে আমি ন্যাশের মতো ছিলাম কিন্তু পরে চেষ্টা করেছিলাম, আর এটা ছিল অসাধারণ একটা হাই, যদিও আমি প্রতিদিন এটা করতাম না, আমার খুব খারাপ লাগছিল। এখনকার সময়ে আমি দিনে কমপক্ষে ১টি হেরোইন খাই এবং মনে হচ্ছে থামতে চাই না, কিন্তু আমি জানি এটা টাকা ছাড়াই চলে যাচ্ছে। ওহ, আর একটা বিষয় হলো, এই একটা নেশা করলেও আমাকে সবসময় গাঁজা ধূমপান করতে হয়।</v>
      </c>
    </row>
    <row r="112" spans="1:3" ht="15" x14ac:dyDescent="0.25">
      <c r="A112" s="3" t="s">
        <v>114</v>
      </c>
      <c r="B112" s="3" t="s">
        <v>4</v>
      </c>
      <c r="C112" s="4" t="str">
        <f ca="1">IFERROR(__xludf.DUMMYFUNCTION("GOOGLETRANSLATE(A112, ""auto"", ""bn"")"),"আমি সারা জীবন মদ্যপান, তামাক এবং মাদকের সাথে লড়াই করেছি। আমি বারবার ত্যাগ করার চেষ্টা করি। গত ১০ বছর ধরে আমি এটাই করেছি কিন্তু আমি আবার শুরুতে আছি। আমি চক্রাকারে ঘুরছি। প্রায়শই আমি NABAC একবার ১ বছরের জন্য ছেড়ে দিয়েছি, আরেকবার ৬ মাসের জন্য, একবার ৪ মা"&amp;"স ধরে ছেড়ে দিয়েছি এবং আরও অনেক কিছু। আমার জীবনে আর শুধু মদ্যপান নেই! ১.৫ বছর ধরে... কিন্তু আমি ৩.৫ বছর ধরে AMD ছেড়ে দিতে পেরেছি, তারপর আবার ফিরে এসেছি... আর এখন ১.৫ বছর। কিন্তু এটাই। আমার অন্যান্য সমস্ত আসক্তি আমি দীর্ঘ রাম এও পরিত্রাণ পেতে পারছি না। আ"&amp;"মার কী করা উচিত, কী পরিবর্তন করা উচিত? আমি সত্যিই জানি না। পড়ার জন্য ধন্যবাদ, আমার কম ইংরেজি দক্ষতার জন্য দুঃখিত, আমি অস্ট্রিয়া থেকে এসেছি। শান্তি")</f>
        <v>আমি সারা জীবন মদ্যপান, তামাক এবং মাদকের সাথে লড়াই করেছি। আমি বারবার ত্যাগ করার চেষ্টা করি। গত ১০ বছর ধরে আমি এটাই করেছি কিন্তু আমি আবার শুরুতে আছি। আমি চক্রাকারে ঘুরছি। প্রায়শই আমি NABAC একবার ১ বছরের জন্য ছেড়ে দিয়েছি, আরেকবার ৬ মাসের জন্য, একবার ৪ মাস ধরে ছেড়ে দিয়েছি এবং আরও অনেক কিছু। আমার জীবনে আর শুধু মদ্যপান নেই! ১.৫ বছর ধরে... কিন্তু আমি ৩.৫ বছর ধরে AMD ছেড়ে দিতে পেরেছি, তারপর আবার ফিরে এসেছি... আর এখন ১.৫ বছর। কিন্তু এটাই। আমার অন্যান্য সমস্ত আসক্তি আমি দীর্ঘ রাম এও পরিত্রাণ পেতে পারছি না। আমার কী করা উচিত, কী পরিবর্তন করা উচিত? আমি সত্যিই জানি না। পড়ার জন্য ধন্যবাদ, আমার কম ইংরেজি দক্ষতার জন্য দুঃখিত, আমি অস্ট্রিয়া থেকে এসেছি। শান্তি</v>
      </c>
    </row>
    <row r="113" spans="1:3" ht="15" x14ac:dyDescent="0.25">
      <c r="A113" s="3" t="s">
        <v>115</v>
      </c>
      <c r="B113" s="3" t="s">
        <v>4</v>
      </c>
      <c r="C113" s="4" t="str">
        <f ca="1">IFERROR(__xludf.DUMMYFUNCTION("GOOGLETRANSLATE(A113, ""auto"", ""bn"")"),"মূলত শিরোনাম। আমি কেবল দেখতে চেয়েছিলাম যে কেন মানুষ পুনরায় আসক্তির পরেও আসক্তিতে লিপ্ত থাকে বা কেন তারা সংযত থাকে তার পিছনের গল্পটি কী। সম্পূর্ণ প্রকাশের জন্য, আমি 2 বছর ধরে সংযত ছিলাম, কিন্তু ববি লির পুনরায় আসক্তির কথা শোনার পর আমি অন্যদের গল্প শুনতে "&amp;"আগ্রহী হয়েছিলাম যাতে ভবিষ্যতে মানসিক স্বাস্থ্যের ক্ষেত্রে আরও ভাল কন্টেন্ট তৈরি করতে পারি।")</f>
        <v>মূলত শিরোনাম। আমি কেবল দেখতে চেয়েছিলাম যে কেন মানুষ পুনরায় আসক্তির পরেও আসক্তিতে লিপ্ত থাকে বা কেন তারা সংযত থাকে তার পিছনের গল্পটি কী। সম্পূর্ণ প্রকাশের জন্য, আমি 2 বছর ধরে সংযত ছিলাম, কিন্তু ববি লির পুনরায় আসক্তির কথা শোনার পর আমি অন্যদের গল্প শুনতে আগ্রহী হয়েছিলাম যাতে ভবিষ্যতে মানসিক স্বাস্থ্যের ক্ষেত্রে আরও ভাল কন্টেন্ট তৈরি করতে পারি।</v>
      </c>
    </row>
    <row r="114" spans="1:3" ht="15" x14ac:dyDescent="0.25">
      <c r="A114" s="3" t="s">
        <v>116</v>
      </c>
      <c r="B114" s="3" t="s">
        <v>4</v>
      </c>
      <c r="C114" s="4" t="str">
        <f ca="1">IFERROR(__xludf.DUMMYFUNCTION("GOOGLETRANSLATE(A114, ""auto"", ""bn"")"),"ব্রিস্টল বিশ্ববিদ্যালয়ের গবেষকরা ধূমপান ত্যাগ করার চেষ্টা করছেন এমন ধূমপায়ীদের সমর্থন করার জন্য ছোট ছোট বার্তা তৈরি করছেন। যদি আপনি ধূমপান ত্যাগ করার চেষ্টা করছেন এবং সত্যিই সিগারেট খেতে আগ্রহী হন অথবা আপনার দিনটি খারাপ যাচ্ছে, তাহলে কোন একটি বার্তা আপন"&amp;"াকে চালিয়ে যেতে সাহায্য করতে পারে?")</f>
        <v>ব্রিস্টল বিশ্ববিদ্যালয়ের গবেষকরা ধূমপান ত্যাগ করার চেষ্টা করছেন এমন ধূমপায়ীদের সমর্থন করার জন্য ছোট ছোট বার্তা তৈরি করছেন। যদি আপনি ধূমপান ত্যাগ করার চেষ্টা করছেন এবং সত্যিই সিগারেট খেতে আগ্রহী হন অথবা আপনার দিনটি খারাপ যাচ্ছে, তাহলে কোন একটি বার্তা আপনাকে চালিয়ে যেতে সাহায্য করতে পারে?</v>
      </c>
    </row>
    <row r="115" spans="1:3" ht="15" x14ac:dyDescent="0.25">
      <c r="A115" s="3" t="s">
        <v>117</v>
      </c>
      <c r="B115" s="3" t="s">
        <v>4</v>
      </c>
      <c r="C115" s="4" t="str">
        <f ca="1">IFERROR(__xludf.DUMMYFUNCTION("GOOGLETRANSLATE(A115, ""auto"", ""bn"")"),"আমি যতটা সম্ভব সংক্ষিপ্তভাবে বলার চেষ্টা করব। আমার বাবা ২০ বছর বয়স থেকেই একজন আসক্ত ছিলেন এবং এখন তার বয়স প্রায় ৫৫। আমার মনে হয় এটি কোকেন এবং অন্যান্য পদার্থের সাথে শুরু হয়েছিল, কিন্তু এখন এটি অ্যালকোহল। তিনি অনেকবার পুনর্বাসনের জন্য এসেছেন এবং একাধি"&amp;"কবার ডিইউআই-এর শিকার হয়েছেন। গত ১০ বছর ধরে তিনি চাকরি ধরে রাখতে পারেননি এবং তিনি আমার দাদা-দাদির (তার বাবা-মা) বাড়িতে থাকেন। তিনি কীভাবে এখনও অ্যালকোহল পান করতে পারেন সে সম্পর্কে আমার কয়েকটি তত্ত্ব আছে, যদিও তার বাবা-মা তার কাছ থেকে বাড়ির সমস্ত গাড়ির"&amp;" চাবি লুকিয়ে রাখেন এবং তাকে টাকা দেন না। তারা তাকে তার মাথার উপর ছাদ, খাবার এবং যখনই সে চায় তখনই এক প্যাকেট সিগারেট দেয়। ছোটবেলা থেকে তিনি আমার এবং আমার মায়ের প্রতি মানসিক এবং শারীরিকভাবে নির্যাতন করতেন, তাই স্পষ্টতই আমাদের সম্পর্ক সবচেয়ে ভালো নয়। আ"&amp;"মি সবসময় তাকে ভালোবাসব কারণ তিনি আমার বাবা, তবে আমি যথেষ্ট দূরত্ব বজায় রাখার চেষ্টা করি। সম্প্রতি তিনি প্রচুর মদ্যপান করছেন, এবং স্পষ্টতই এটি বেশ খারাপ হয়েছে। গত সপ্তাহে আমার দাদী আমাকে ফোন করেছিলেন এবং আমার দাদুকে (তার স্বামীকে) আমার বাবাকে পুনর্বাসন "&amp;"কেন্দ্রে পাঠানোর জন্য রাজি করানোর জন্য অনুরোধ করছেন। আমার দাদু-দাদী অবিশ্বাস্যভাবে ধনী, তাই খরচ কোনও সমস্যা নয়, কিন্তু আমার দাদু মনে করেন না যে পুনর্বাসনের আরেকটি রাউন্ড কিছু করবে। আমার জীবনে অনেকবার আমাকে সন্তানের পিতামাতার ভূমিকা পালন করতে হয়েছে, এবং "&amp;"আমি যা যা সহ্য করেছি তার জন্য আমি থেরাপিতে আছি। আমি যখন ছোট ছিলাম তখন থেকেই এই কথোপকথন করা আমার দায়িত্ব নয় বলে মনে করি, আমার দাদী এতটাই ভয় পান যে আমার বাবার সাথে কিছু ঘটতে চলেছে, আমি মনে করি তিনি মরিয়া। আমি স্পষ্টতই চাই আমার বাবা সুস্থ হয়ে উঠুক। আমার"&amp;" মা সবসময় আমাকে গল্প বলতেন যে তারা যখন প্রথম দেখা করেছিলেন এবং আমার জন্মের পর প্রথম কয়েক বছর ধরে তিনি কতটা অসাধারণ ছিলেন। আমার সন্দেহের একমাত্র কারণ হল পুনর্বাসনের পরে কী হবে। হ্যাঁ, আমার বাবা 3 মাসের জন্য একটি প্রোগ্রামে যাবেন, কিন্তু পরে তিনি কী করবেন"&amp;"? আসক্তদের পুনরুদ্ধারের জন্য কি কোনও ধরণের কর্মসূচী আছে? আমি কেবল চিন্তিত যে তিনি একই বাড়িতে ফিরে যাবেন এবং আগের মতো একই অভ্যাসে পড়ে যাবেন। আর সবই বৃথা হবে।")</f>
        <v>আমি যতটা সম্ভব সংক্ষিপ্তভাবে বলার চেষ্টা করব। আমার বাবা ২০ বছর বয়স থেকেই একজন আসক্ত ছিলেন এবং এখন তার বয়স প্রায় ৫৫। আমার মনে হয় এটি কোকেন এবং অন্যান্য পদার্থের সাথে শুরু হয়েছিল, কিন্তু এখন এটি অ্যালকোহল। তিনি অনেকবার পুনর্বাসনের জন্য এসেছেন এবং একাধিকবার ডিইউআই-এর শিকার হয়েছেন। গত ১০ বছর ধরে তিনি চাকরি ধরে রাখতে পারেননি এবং তিনি আমার দাদা-দাদির (তার বাবা-মা) বাড়িতে থাকেন। তিনি কীভাবে এখনও অ্যালকোহল পান করতে পারেন সে সম্পর্কে আমার কয়েকটি তত্ত্ব আছে, যদিও তার বাবা-মা তার কাছ থেকে বাড়ির সমস্ত গাড়ির চাবি লুকিয়ে রাখেন এবং তাকে টাকা দেন না। তারা তাকে তার মাথার উপর ছাদ, খাবার এবং যখনই সে চায় তখনই এক প্যাকেট সিগারেট দেয়। ছোটবেলা থেকে তিনি আমার এবং আমার মায়ের প্রতি মানসিক এবং শারীরিকভাবে নির্যাতন করতেন, তাই স্পষ্টতই আমাদের সম্পর্ক সবচেয়ে ভালো নয়। আমি সবসময় তাকে ভালোবাসব কারণ তিনি আমার বাবা, তবে আমি যথেষ্ট দূরত্ব বজায় রাখার চেষ্টা করি। সম্প্রতি তিনি প্রচুর মদ্যপান করছেন, এবং স্পষ্টতই এটি বেশ খারাপ হয়েছে। গত সপ্তাহে আমার দাদী আমাকে ফোন করেছিলেন এবং আমার দাদুকে (তার স্বামীকে) আমার বাবাকে পুনর্বাসন কেন্দ্রে পাঠানোর জন্য রাজি করানোর জন্য অনুরোধ করছেন। আমার দাদু-দাদী অবিশ্বাস্যভাবে ধনী, তাই খরচ কোনও সমস্যা নয়, কিন্তু আমার দাদু মনে করেন না যে পুনর্বাসনের আরেকটি রাউন্ড কিছু করবে। আমার জীবনে অনেকবার আমাকে সন্তানের পিতামাতার ভূমিকা পালন করতে হয়েছে, এবং আমি যা যা সহ্য করেছি তার জন্য আমি থেরাপিতে আছি। আমি যখন ছোট ছিলাম তখন থেকেই এই কথোপকথন করা আমার দায়িত্ব নয় বলে মনে করি, আমার দাদী এতটাই ভয় পান যে আমার বাবার সাথে কিছু ঘটতে চলেছে, আমি মনে করি তিনি মরিয়া। আমি স্পষ্টতই চাই আমার বাবা সুস্থ হয়ে উঠুক। আমার মা সবসময় আমাকে গল্প বলতেন যে তারা যখন প্রথম দেখা করেছিলেন এবং আমার জন্মের পর প্রথম কয়েক বছর ধরে তিনি কতটা অসাধারণ ছিলেন। আমার সন্দেহের একমাত্র কারণ হল পুনর্বাসনের পরে কী হবে। হ্যাঁ, আমার বাবা 3 মাসের জন্য একটি প্রোগ্রামে যাবেন, কিন্তু পরে তিনি কী করবেন? আসক্তদের পুনরুদ্ধারের জন্য কি কোনও ধরণের কর্মসূচী আছে? আমি কেবল চিন্তিত যে তিনি একই বাড়িতে ফিরে যাবেন এবং আগের মতো একই অভ্যাসে পড়ে যাবেন। আর সবই বৃথা হবে।</v>
      </c>
    </row>
    <row r="116" spans="1:3" ht="15" x14ac:dyDescent="0.25">
      <c r="A116" s="3" t="s">
        <v>118</v>
      </c>
      <c r="B116" s="3" t="s">
        <v>4</v>
      </c>
      <c r="C116" s="4" t="str">
        <f ca="1">IFERROR(__xludf.DUMMYFUNCTION("GOOGLETRANSLATE(A116, ""auto"", ""bn"")"),"হয়তো এটা একটা বোকামিপূর্ণ প্রশ্ন, কারণ আমার মতে, আসক্তি হলো ইচ্ছাশক্তি এবং শৃঙ্খলার উপর নির্ভর করে যে আপনি যা আসক্ত তা না করেন। দুর্ভাগ্যবশত এটা সহজ নয় কারণ আমি এই ক্ষেত্রে নিজেকে লড়াই করি। শুধু ভাবছি। ধরুন আপনি ২০ বছর ধরে কোনও কিছুর প্রতি আসক্ত। এই আসক"&amp;"্তি নিরাময়ে কত সময় লাগবে - ৪০ দিন বা ১০০ দিন বা তার বেশি সময় কি আছে যার মধ্যে লক্ষণীয় পার্থক্য দেখা যায়? কখন আপনার মস্তিষ্কে এমন একটা প্যাটার্ন তৈরি হয় যে আপনি আসক্তির জন্য আকুল হবেন না?")</f>
        <v>হয়তো এটা একটা বোকামিপূর্ণ প্রশ্ন, কারণ আমার মতে, আসক্তি হলো ইচ্ছাশক্তি এবং শৃঙ্খলার উপর নির্ভর করে যে আপনি যা আসক্ত তা না করেন। দুর্ভাগ্যবশত এটা সহজ নয় কারণ আমি এই ক্ষেত্রে নিজেকে লড়াই করি। শুধু ভাবছি। ধরুন আপনি ২০ বছর ধরে কোনও কিছুর প্রতি আসক্ত। এই আসক্তি নিরাময়ে কত সময় লাগবে - ৪০ দিন বা ১০০ দিন বা তার বেশি সময় কি আছে যার মধ্যে লক্ষণীয় পার্থক্য দেখা যায়? কখন আপনার মস্তিষ্কে এমন একটা প্যাটার্ন তৈরি হয় যে আপনি আসক্তির জন্য আকুল হবেন না?</v>
      </c>
    </row>
    <row r="117" spans="1:3" ht="15" x14ac:dyDescent="0.25">
      <c r="A117" s="3" t="s">
        <v>119</v>
      </c>
      <c r="B117" s="3" t="s">
        <v>4</v>
      </c>
      <c r="C117" s="4" t="str">
        <f ca="1">IFERROR(__xludf.DUMMYFUNCTION("GOOGLETRANSLATE(A117, ""auto"", ""bn"")"),"আমি অ্যাম্ফিটামিনের আসক্তি থেকে সেরে উঠছি। আমার ডাক্তার মনোযোগ কেন্দ্রীভূত করার সমস্যা মোকাবেলা করার জন্য আমাকে ওয়েলবুট্রিন দেওয়ার কথা ভাবছেন। আমি দেখতে পাচ্ছি যে এটি একটি নোরড্রেনালিন এবং ডোপামিন রিআপটেক ইনহিবিটর? ঠিক অ্যাডেরালের মতো। ওয়েলবুট্রিনের সা"&amp;"থে কারও কি কোনও অভিজ্ঞতা আছে এবং এর আসক্তির সম্ভাবনা আছে? আমি যতটা বলতে পারি তার জন্য বেশিরভাগই নিরাপদ বলে মনে হচ্ছে আমি কেবল অতিরিক্ত সতর্কতা অবলম্বন করতে চাই।")</f>
        <v>আমি অ্যাম্ফিটামিনের আসক্তি থেকে সেরে উঠছি। আমার ডাক্তার মনোযোগ কেন্দ্রীভূত করার সমস্যা মোকাবেলা করার জন্য আমাকে ওয়েলবুট্রিন দেওয়ার কথা ভাবছেন। আমি দেখতে পাচ্ছি যে এটি একটি নোরড্রেনালিন এবং ডোপামিন রিআপটেক ইনহিবিটর? ঠিক অ্যাডেরালের মতো। ওয়েলবুট্রিনের সাথে কারও কি কোনও অভিজ্ঞতা আছে এবং এর আসক্তির সম্ভাবনা আছে? আমি যতটা বলতে পারি তার জন্য বেশিরভাগই নিরাপদ বলে মনে হচ্ছে আমি কেবল অতিরিক্ত সতর্কতা অবলম্বন করতে চাই।</v>
      </c>
    </row>
    <row r="118" spans="1:3" ht="15" x14ac:dyDescent="0.25">
      <c r="A118" s="3" t="s">
        <v>120</v>
      </c>
      <c r="B118" s="3" t="s">
        <v>4</v>
      </c>
      <c r="C118" s="4" t="str">
        <f ca="1">IFERROR(__xludf.DUMMYFUNCTION("GOOGLETRANSLATE(A118, ""auto"", ""bn"")"),"আমি একজন মদ্যপ, কিন্তু আমি ৩০ দিন ধরে শান্ত (উহু!)। আমার বন্ধুবান্ধব এবং পরিবারের সকলেই আমার প্রতি অত্যন্ত আগ্রহী এবং আমি বেশিরভাগ ক্ষেত্রেই অনেক ভালো করছি; অবশেষে পরিষ্কার-পরিচ্ছন্নতা, গোসল এবং সাধারণত নিজের যত্ন নেওয়ার জন্য যথেষ্ট অনুপ্রাণিত হয়েছি। আম"&amp;"ি নিজের উপরও সত্যিই গর্বিত। আমি আরোগ্য লাভের ব্যাপারে উৎসাহী ছিলাম এবং প্রায় এক সপ্তাহ আগে আমি একটি সভায়ও গিয়েছিলাম (আসলে আমার পছন্দ ছিল না, তবে আমি চেষ্টা করে দেখে খুশি হয়েছিলাম)। অন্যদিকে, আমি ""শান্ত"" থাকতে পেরেছি তার একটি কারণ হল আমি সম্প্রতি অ্য"&amp;"ামফিটামিন ব্যবহার শুরু করেছি। আমার মনে হয় না যে এটি একটি আসক্তির পরিবর্তে অন্য আসক্তির জন্য। এগুলি ব্যবহার আমাকে মদ্যপানের মতো আত্ম-ধ্বংসের দিকে ঠেলে দেয়, তবে এখনও যখন আমার প্রিয় মানুষরা আমাকে বলে যে তারা ""শান্ত"" বলে আমার উপর এত গর্ব করে। ভুল বুঝবেন "&amp;"না, আমি চাইতাম যদি কোনও ওষুধের প্রয়োজন না হয়ে দিনটা কাটাতে পারতাম, কিন্তু এই মুহূর্তে এটা বাস্তবসম্মত নয়।")</f>
        <v>আমি একজন মদ্যপ, কিন্তু আমি ৩০ দিন ধরে শান্ত (উহু!)। আমার বন্ধুবান্ধব এবং পরিবারের সকলেই আমার প্রতি অত্যন্ত আগ্রহী এবং আমি বেশিরভাগ ক্ষেত্রেই অনেক ভালো করছি; অবশেষে পরিষ্কার-পরিচ্ছন্নতা, গোসল এবং সাধারণত নিজের যত্ন নেওয়ার জন্য যথেষ্ট অনুপ্রাণিত হয়েছি। আমি নিজের উপরও সত্যিই গর্বিত। আমি আরোগ্য লাভের ব্যাপারে উৎসাহী ছিলাম এবং প্রায় এক সপ্তাহ আগে আমি একটি সভায়ও গিয়েছিলাম (আসলে আমার পছন্দ ছিল না, তবে আমি চেষ্টা করে দেখে খুশি হয়েছিলাম)। অন্যদিকে, আমি "শান্ত" থাকতে পেরেছি তার একটি কারণ হল আমি সম্প্রতি অ্যামফিটামিন ব্যবহার শুরু করেছি। আমার মনে হয় না যে এটি একটি আসক্তির পরিবর্তে অন্য আসক্তির জন্য। এগুলি ব্যবহার আমাকে মদ্যপানের মতো আত্ম-ধ্বংসের দিকে ঠেলে দেয়, তবে এখনও যখন আমার প্রিয় মানুষরা আমাকে বলে যে তারা "শান্ত" বলে আমার উপর এত গর্ব করে। ভুল বুঝবেন না, আমি চাইতাম যদি কোনও ওষুধের প্রয়োজন না হয়ে দিনটা কাটাতে পারতাম, কিন্তু এই মুহূর্তে এটা বাস্তবসম্মত নয়।</v>
      </c>
    </row>
    <row r="119" spans="1:3" ht="15" x14ac:dyDescent="0.25">
      <c r="A119" s="3" t="s">
        <v>121</v>
      </c>
      <c r="B119" s="3" t="s">
        <v>4</v>
      </c>
      <c r="C119" s="4" t="str">
        <f ca="1">IFERROR(__xludf.DUMMYFUNCTION("GOOGLETRANSLATE(A119, ""auto"", ""bn"")"),"ছোটবেলায় আমি স্কুলে বেশ ভালো ফলাফল করেছি, এবং আমি সবসময় আমার বুদ্ধিমত্তাকে অনেক বেশি গুরুত্ব দিতাম, কারণ আমার মনে হত না যে এর চেয়ে বেশি কিছু আমার কাছে আছে। আমি শেখা এবং তথ্য গ্রহণ করতে ভালোবাসি। কিন্তু যত বড় হচ্ছি, আমার মাদকাসক্তি আরও খারাপ হচ্ছে, এবং "&amp;"আমার সত্যিই মনে হচ্ছে আমি দিন দিন আরও 'বোকা' হয়ে যাচ্ছি। আমার মন ক্রমাগত কুয়াশাচ্ছন্ন, আমার আগের মতো বুদ্ধি নেই। আমি মাত্র এক বছর আগে মানুষের সাথে আমার কথোপকথনের কথা পড়েছি, এবং আমি সম্পূর্ণ ভিন্ন ব্যক্তির মতো শোনাচ্ছি? স্পষ্টতই আমি জানি যে মাদক আপনার ব"&amp;"োধগম্যতাকে প্রভাবিত করে, তবে আমি সত্যিই চিন্তিত যে বছরের পর বছর ধরে মাদকাসক্তির পরে আমি নিজেকে অপূরণীয় মস্তিষ্কের ক্ষতি করতে পারি। যারা পরিষ্কার হয়ে গেছে, তাদের কাছে কি কুয়াশা কখনও কেটে যাবে? আমি সত্যিই একদিন স্কুলে ফিরে যেতে চাই, এবং এই মুহূর্তে আমার "&amp;"আক্ষরিক অর্থেই সেই মানসিক ক্ষমতা নেই।")</f>
        <v>ছোটবেলায় আমি স্কুলে বেশ ভালো ফলাফল করেছি, এবং আমি সবসময় আমার বুদ্ধিমত্তাকে অনেক বেশি গুরুত্ব দিতাম, কারণ আমার মনে হত না যে এর চেয়ে বেশি কিছু আমার কাছে আছে। আমি শেখা এবং তথ্য গ্রহণ করতে ভালোবাসি। কিন্তু যত বড় হচ্ছি, আমার মাদকাসক্তি আরও খারাপ হচ্ছে, এবং আমার সত্যিই মনে হচ্ছে আমি দিন দিন আরও 'বোকা' হয়ে যাচ্ছি। আমার মন ক্রমাগত কুয়াশাচ্ছন্ন, আমার আগের মতো বুদ্ধি নেই। আমি মাত্র এক বছর আগে মানুষের সাথে আমার কথোপকথনের কথা পড়েছি, এবং আমি সম্পূর্ণ ভিন্ন ব্যক্তির মতো শোনাচ্ছি? স্পষ্টতই আমি জানি যে মাদক আপনার বোধগম্যতাকে প্রভাবিত করে, তবে আমি সত্যিই চিন্তিত যে বছরের পর বছর ধরে মাদকাসক্তির পরে আমি নিজেকে অপূরণীয় মস্তিষ্কের ক্ষতি করতে পারি। যারা পরিষ্কার হয়ে গেছে, তাদের কাছে কি কুয়াশা কখনও কেটে যাবে? আমি সত্যিই একদিন স্কুলে ফিরে যেতে চাই, এবং এই মুহূর্তে আমার আক্ষরিক অর্থেই সেই মানসিক ক্ষমতা নেই।</v>
      </c>
    </row>
    <row r="120" spans="1:3" ht="15" x14ac:dyDescent="0.25">
      <c r="A120" s="3" t="s">
        <v>122</v>
      </c>
      <c r="B120" s="3" t="s">
        <v>4</v>
      </c>
      <c r="C120" s="4" t="str">
        <f ca="1">IFERROR(__xludf.DUMMYFUNCTION("GOOGLETRANSLATE(A120, ""auto"", ""bn"")"),"আমার কাছে কয়েকদিন টিকে থাকার মতো যথেষ্ট টাকা আছে, তারপর আমি ঠান্ডা মাথায় চলে যাব। প্রথম দিন আমি একা থাকবো, কিন্তু পরের ৩ দিন আমার বান্ধবীরা আসবে, আর সে বললো সে আমাকে সাহায্য করবে, এতে অনেক কিছু পরিবর্তন আসবে। আমার মানসিক সুস্থতার জন্য আমাকে এটা করতে হবে ক"&amp;"ারণ টাকা আর স্মৃতিশক্তি না থাকলে আমি আর এক সপ্তাহও থাকতে পারছি না। আমি শুধু ভয় পাচ্ছি যে আমি এটা থেকে দূরে থাকতে পারবো না এবং এই রোগ চিরকাল এই চক্রে থাকবে।")</f>
        <v>আমার কাছে কয়েকদিন টিকে থাকার মতো যথেষ্ট টাকা আছে, তারপর আমি ঠান্ডা মাথায় চলে যাব। প্রথম দিন আমি একা থাকবো, কিন্তু পরের ৩ দিন আমার বান্ধবীরা আসবে, আর সে বললো সে আমাকে সাহায্য করবে, এতে অনেক কিছু পরিবর্তন আসবে। আমার মানসিক সুস্থতার জন্য আমাকে এটা করতে হবে কারণ টাকা আর স্মৃতিশক্তি না থাকলে আমি আর এক সপ্তাহও থাকতে পারছি না। আমি শুধু ভয় পাচ্ছি যে আমি এটা থেকে দূরে থাকতে পারবো না এবং এই রোগ চিরকাল এই চক্রে থাকবে।</v>
      </c>
    </row>
    <row r="121" spans="1:3" ht="15" x14ac:dyDescent="0.25">
      <c r="A121" s="3" t="s">
        <v>123</v>
      </c>
      <c r="B121" s="3" t="s">
        <v>4</v>
      </c>
      <c r="C121" s="4" t="str">
        <f ca="1">IFERROR(__xludf.DUMMYFUNCTION("GOOGLETRANSLATE(A121, ""auto"", ""bn"")"),"আমি (২৪ বছর বয়সী) ১৫ বছর বয়স থেকে ধূমপান করছি। এই মুহূর্তে, আমি ভাবতেও চাই না যে অনেক আগেই ছেড়ে দিলে অথবা কখনও শুরু না করলে আমার জীবন কতটা ভিন্ন হত। কিন্তু সিগারেট নানাভাবে আমার জীবনের একটি অংশ হয়ে উঠেছে। এটা এমন যে, আমার অ্যাপার্টমেন্ট ছাড়ার আগে, আম"&amp;"ি তালিকাটি পর্যালোচনা করি: গাড়ির চাবি, মানিব্যাগ, টাকা, ফোন, লাইটার এবং সিগারেট? ওহহহহ এবং যখন আমি ধূমপান করি না তখন মনে হয় যেন আমাকে বাইরে বেরিয়ে সিগারেট ধরাতে হবে। ধুর! তোমরা সবাই এটা কিভাবে করলে?")</f>
        <v>আমি (২৪ বছর বয়সী) ১৫ বছর বয়স থেকে ধূমপান করছি। এই মুহূর্তে, আমি ভাবতেও চাই না যে অনেক আগেই ছেড়ে দিলে অথবা কখনও শুরু না করলে আমার জীবন কতটা ভিন্ন হত। কিন্তু সিগারেট নানাভাবে আমার জীবনের একটি অংশ হয়ে উঠেছে। এটা এমন যে, আমার অ্যাপার্টমেন্ট ছাড়ার আগে, আমি তালিকাটি পর্যালোচনা করি: গাড়ির চাবি, মানিব্যাগ, টাকা, ফোন, লাইটার এবং সিগারেট? ওহহহহ এবং যখন আমি ধূমপান করি না তখন মনে হয় যেন আমাকে বাইরে বেরিয়ে সিগারেট ধরাতে হবে। ধুর! তোমরা সবাই এটা কিভাবে করলে?</v>
      </c>
    </row>
    <row r="122" spans="1:3" ht="15" x14ac:dyDescent="0.25">
      <c r="A122" s="3" t="s">
        <v>124</v>
      </c>
      <c r="B122" s="3" t="s">
        <v>4</v>
      </c>
      <c r="C122" s="4" t="str">
        <f ca="1">IFERROR(__xludf.DUMMYFUNCTION("GOOGLETRANSLATE(A122, ""auto"", ""bn"")"),"আমি জানি একটা খারাপ অভ্যাসের পরিবর্তে অন্যটা খারাপ আচরণ করা সাধারণত খারাপ, কিন্তু আমি লক্ষ্য করেছি যে বেশিরভাগ সুস্থ মানুষ নিকোটিন ব্যবহার করে। নিকোটিনের মধ্যে এমন কিছু আছে যা আপনাকে সুস্থ থাকতে সাহায্য করে? কোন অভিজ্ঞতা আছে কি?")</f>
        <v>আমি জানি একটা খারাপ অভ্যাসের পরিবর্তে অন্যটা খারাপ আচরণ করা সাধারণত খারাপ, কিন্তু আমি লক্ষ্য করেছি যে বেশিরভাগ সুস্থ মানুষ নিকোটিন ব্যবহার করে। নিকোটিনের মধ্যে এমন কিছু আছে যা আপনাকে সুস্থ থাকতে সাহায্য করে? কোন অভিজ্ঞতা আছে কি?</v>
      </c>
    </row>
    <row r="123" spans="1:3" ht="15" x14ac:dyDescent="0.25">
      <c r="A123" s="3" t="s">
        <v>125</v>
      </c>
      <c r="B123" s="3" t="s">
        <v>4</v>
      </c>
      <c r="C123" s="4" t="str">
        <f ca="1">IFERROR(__xludf.DUMMYFUNCTION("GOOGLETRANSLATE(A123, ""auto"", ""bn"")"),"এই পৃথিবীতে আমার ২৬ বছর ধরে আমি অনেক মাদকের প্রতি আসক্ত। আমি কোকেন, অ্যালকোহল এবং গাঁজা ছেড়ে দিয়েছি কিন্তু সবচেয়ে কঠিন কাজ হল পর্ন দেখা ছেড়ে দেওয়া। যে জিনিসটি এটিকে এত কঠিন করে তোলে তা হল সহজে পাওয়া। এটি এমন একটি মাদক ব্যবসায়ীর পকেটে থাকার মতো, এবং"&amp;" আপনি যে কোনও ধরণের মাদক এবং তার যতটুকুই চান বিনামূল্যে পেতে পারেন। কিন্তু এটি কি আসলে বিনামূল্যে? না, না। এর ফলে আমার মানসিক স্বাস্থ্য, আমার সামাজিকীকরণ দক্ষতা, একটি প্রেমের সম্পর্ক খোঁজার প্রয়োজন এবং আমার আত্মমর্যাদা নষ্ট হয়েছে। আমাকে ক্ষমা করুন, আমাকে"&amp;" কেবল মুখ ফুটে বলতে হবে। তোমাদের সকলের প্রতি রইলো বিশাল আকুতি। তোমাদের আসক্তি কাটিয়ে ওঠার জন্য।")</f>
        <v>এই পৃথিবীতে আমার ২৬ বছর ধরে আমি অনেক মাদকের প্রতি আসক্ত। আমি কোকেন, অ্যালকোহল এবং গাঁজা ছেড়ে দিয়েছি কিন্তু সবচেয়ে কঠিন কাজ হল পর্ন দেখা ছেড়ে দেওয়া। যে জিনিসটি এটিকে এত কঠিন করে তোলে তা হল সহজে পাওয়া। এটি এমন একটি মাদক ব্যবসায়ীর পকেটে থাকার মতো, এবং আপনি যে কোনও ধরণের মাদক এবং তার যতটুকুই চান বিনামূল্যে পেতে পারেন। কিন্তু এটি কি আসলে বিনামূল্যে? না, না। এর ফলে আমার মানসিক স্বাস্থ্য, আমার সামাজিকীকরণ দক্ষতা, একটি প্রেমের সম্পর্ক খোঁজার প্রয়োজন এবং আমার আত্মমর্যাদা নষ্ট হয়েছে। আমাকে ক্ষমা করুন, আমাকে কেবল মুখ ফুটে বলতে হবে। তোমাদের সকলের প্রতি রইলো বিশাল আকুতি। তোমাদের আসক্তি কাটিয়ে ওঠার জন্য।</v>
      </c>
    </row>
    <row r="124" spans="1:3" ht="15" x14ac:dyDescent="0.25">
      <c r="A124" s="3" t="s">
        <v>126</v>
      </c>
      <c r="B124" s="3" t="s">
        <v>4</v>
      </c>
      <c r="C124" s="4" t="str">
        <f ca="1">IFERROR(__xludf.DUMMYFUNCTION("GOOGLETRANSLATE(A124, ""auto"", ""bn"")"),"আমি গাঁজা ধূমপান ত্যাগ করতে অনেক কষ্ট করছি, শুধুমাত্র এই কারণে যে উচ্চ রক্তচাপ আমার উদ্বেগ কমিয়ে দেয়। আমি যে আরামদায়ক অনুভূতি পাই তা আনন্দের। আমি ছেড়ে দিতে পারছি না কারণ আমি জানি যে আর কিছুই আমাকে এত স্বাচ্ছন্দ্য বোধ করতে পারে না। গাঁজা ছাড়া আমি বেশি"&amp;"রভাগ সময় আমার GAD মোকাবেলা করতে পারি, কিন্তু যখন আপনি জানেন যে একটু ধূমপান করলে এটি অনেক সহজ হয়ে যাবে তখন এটি করা কঠিন।")</f>
        <v>আমি গাঁজা ধূমপান ত্যাগ করতে অনেক কষ্ট করছি, শুধুমাত্র এই কারণে যে উচ্চ রক্তচাপ আমার উদ্বেগ কমিয়ে দেয়। আমি যে আরামদায়ক অনুভূতি পাই তা আনন্দের। আমি ছেড়ে দিতে পারছি না কারণ আমি জানি যে আর কিছুই আমাকে এত স্বাচ্ছন্দ্য বোধ করতে পারে না। গাঁজা ছাড়া আমি বেশিরভাগ সময় আমার GAD মোকাবেলা করতে পারি, কিন্তু যখন আপনি জানেন যে একটু ধূমপান করলে এটি অনেক সহজ হয়ে যাবে তখন এটি করা কঠিন।</v>
      </c>
    </row>
    <row r="125" spans="1:3" ht="15" x14ac:dyDescent="0.25">
      <c r="A125" s="3" t="s">
        <v>127</v>
      </c>
      <c r="B125" s="3" t="s">
        <v>4</v>
      </c>
      <c r="C125" s="4" t="str">
        <f ca="1">IFERROR(__xludf.DUMMYFUNCTION("GOOGLETRANSLATE(A125, ""auto"", ""bn"")"),"আমি মার্চ ২০২০ (যখন কোয়ারেন্টাইন শুরু হয়েছিল) থেকে আমার মনোরোগ বিশেষজ্ঞের পরামর্শে ক্লোনোপিন খাচ্ছি। যদি আমি আমার ওষুধ না খাই তাহলে আমার বমি বমি ভাব হয় এবং মাঝে মাঝে বমি বমি ভাব হয়। আমি যখন আমার ওষুধ খেতে ভুলে যাই তখনও আমি খুব উদ্বিগ্ন বোধ করি (কারণ ও"&amp;"ষুধগুলি আমাকে তন্দ্রাচ্ছন্ন করে তোলে)। হাসপাতালের একটি ফার্মেসিতে আমার আতঙ্কের আক্রমণ হয়েছিল কারণ সেগুলি বন্ধ ছিল এবং আমি জানতাম না যে কীভাবে আমার ওষুধগুলি পুনরায় পূরণ করতে হয়। যখন আমি মাতাল হই তখন আমি অস্থির হয়ে পড়ি। আমি প্রায় ২ বছর ধরে এটি খাচ্ছি "&amp;"এবং প্রায় এক বছর ধরে প্রতিদিন ৩ মিলিগ্রাম ডোজ নিচ্ছি। আমার মনোরোগ বিশেষজ্ঞ কেবল এটি পুনরায় পূরণ করতে রাজি হচ্ছেন। আমি ডোজ বাড়াতে চাই, কিন্তু আমি জানি না আমি আরও গভীরে যেতে চাই কিনা। বেনজোডিয়াজেপাইন প্রত্যাহারের জন্য আমাকে কি হাসপাতালে সময় কাটাতে হবে?"&amp;" আমাকে কি পুনর্বাসনে যেতে হবে? যারা আগে এই পরিস্থিতিতে ছিলেন তাদের কাছ থেকে যে কোনও পরামর্শের জন্য আমি সত্যিই কৃতজ্ঞ থাকব।")</f>
        <v>আমি মার্চ ২০২০ (যখন কোয়ারেন্টাইন শুরু হয়েছিল) থেকে আমার মনোরোগ বিশেষজ্ঞের পরামর্শে ক্লোনোপিন খাচ্ছি। যদি আমি আমার ওষুধ না খাই তাহলে আমার বমি বমি ভাব হয় এবং মাঝে মাঝে বমি বমি ভাব হয়। আমি যখন আমার ওষুধ খেতে ভুলে যাই তখনও আমি খুব উদ্বিগ্ন বোধ করি (কারণ ওষুধগুলি আমাকে তন্দ্রাচ্ছন্ন করে তোলে)। হাসপাতালের একটি ফার্মেসিতে আমার আতঙ্কের আক্রমণ হয়েছিল কারণ সেগুলি বন্ধ ছিল এবং আমি জানতাম না যে কীভাবে আমার ওষুধগুলি পুনরায় পূরণ করতে হয়। যখন আমি মাতাল হই তখন আমি অস্থির হয়ে পড়ি। আমি প্রায় ২ বছর ধরে এটি খাচ্ছি এবং প্রায় এক বছর ধরে প্রতিদিন ৩ মিলিগ্রাম ডোজ নিচ্ছি। আমার মনোরোগ বিশেষজ্ঞ কেবল এটি পুনরায় পূরণ করতে রাজি হচ্ছেন। আমি ডোজ বাড়াতে চাই, কিন্তু আমি জানি না আমি আরও গভীরে যেতে চাই কিনা। বেনজোডিয়াজেপাইন প্রত্যাহারের জন্য আমাকে কি হাসপাতালে সময় কাটাতে হবে? আমাকে কি পুনর্বাসনে যেতে হবে? যারা আগে এই পরিস্থিতিতে ছিলেন তাদের কাছ থেকে যে কোনও পরামর্শের জন্য আমি সত্যিই কৃতজ্ঞ থাকব।</v>
      </c>
    </row>
    <row r="126" spans="1:3" ht="15" x14ac:dyDescent="0.25">
      <c r="A126" s="3" t="s">
        <v>128</v>
      </c>
      <c r="B126" s="3" t="s">
        <v>4</v>
      </c>
      <c r="C126" s="4" t="str">
        <f ca="1">IFERROR(__xludf.DUMMYFUNCTION("GOOGLETRANSLATE(A126, ""auto"", ""bn"")"),"আমার স্ত্রী আর আমি আমাদের সম্পর্কের সাথে লড়াই করছি। কয়েক বছর ধরে এটা একটা সমস্যা। সম্প্রতি আমাদের মধ্যে একটা বিরাট ""আলোচনা"" হয়েছে? আমার যোগাযোগের অভাব এবং এটি আমার প্রতি তার অনুভূতি কীভাবে বদলে দিচ্ছে তা নিয়ে। আর আমাদের জীবনে যা কিছু ঘটছে, তার সাথে "&amp;"সাথে সে এক বিরাট মানসিক চাপের কারণ হয়ে দাঁড়িয়েছে, যার ফলে উদ্বেগ এবং রাতের ভালো ঘুম পেতে অক্ষমতা হচ্ছে। আজ রাতের দিকে দ্রুত এগিয়ে যান। আমি এলোমেলোভাবে তার অবস্থান পরীক্ষা করে দেখলাম যে সে সময়মতো বাড়ি ফিরবে কিনা। আমাদের দুজনেরই এমন কঠিন ক্যারিয়ার রয"&amp;"়েছে যার কারণে মাঝে মাঝে আমাদের দেরি করে কাজ করতে হয়। যখন আমি বুঝতে পারলাম সে কোন ""বন্ধুর"" বাড়িতে আছে, তখন আমি জিজ্ঞাসা করলাম সে কোথায় আছে, এবং তার উত্তর ছিল সে বাড়ি ফিরছে। আমি জিজ্ঞাসা করলাম সে কি কাজ থেকে বেরিয়েছে, যার উত্তর সে কেবল প্রশ্নের উত্ত"&amp;"র এড়িয়ে গেছে। পরে সেই রাতে, আমি তাকে ফোন করেছিলাম এবং সে স্বীকার করে যে সে জ্যানাক্সে আক্রান্ত হচ্ছে। আমি জানি না কতদিন ধরে এটা চলছে। আমি খুব রেগে আছি কিন্তু আমার আরও কষ্ট হচ্ছে যে সে যাকে সবকিছু বলার কথা ছিল তার কাছ থেকে সম্পূর্ণরূপে লুকিয়ে রাখতে যাচ্"&amp;"ছিল। তাছাড়া, আমি মনে করি আপনাদের সকলের কাছে আমার স্ত্রীর সাথে কীভাবে কথা বলব সে সম্পর্কে পরামর্শ চাইছি। আমি কখনও এমন পরিস্থিতির মুখোমুখি হইনি এবং এতটা রেগে না গিয়ে কীভাবে এগিয়ে যাব তাও জানি না যে আমি শেষ পর্যন্ত চলে যেতে বাধ্য হব। হয়তো জ্যানাক্সই তার "&amp;"প্রয়োজন, কিন্তু আমি কেবল চাই যে সে আমার সাথে কথা বলত এবং স্ব-রোগ নির্ণয় এবং স্ব-ঔষধের দায়িত্ব নেওয়ার পরিবর্তে ডাক্তারের কাছে যেত। আমি এখানে কী করব তা জানি না। আমি খুব বেশি ক্ষতি বোধ করছি এবং আমি যাকে সবচেয়ে বেশি ভালোবাসি তার থেকে বিচ্ছিন্ন।")</f>
        <v>আমার স্ত্রী আর আমি আমাদের সম্পর্কের সাথে লড়াই করছি। কয়েক বছর ধরে এটা একটা সমস্যা। সম্প্রতি আমাদের মধ্যে একটা বিরাট "আলোচনা" হয়েছে? আমার যোগাযোগের অভাব এবং এটি আমার প্রতি তার অনুভূতি কীভাবে বদলে দিচ্ছে তা নিয়ে। আর আমাদের জীবনে যা কিছু ঘটছে, তার সাথে সাথে সে এক বিরাট মানসিক চাপের কারণ হয়ে দাঁড়িয়েছে, যার ফলে উদ্বেগ এবং রাতের ভালো ঘুম পেতে অক্ষমতা হচ্ছে। আজ রাতের দিকে দ্রুত এগিয়ে যান। আমি এলোমেলোভাবে তার অবস্থান পরীক্ষা করে দেখলাম যে সে সময়মতো বাড়ি ফিরবে কিনা। আমাদের দুজনেরই এমন কঠিন ক্যারিয়ার রয়েছে যার কারণে মাঝে মাঝে আমাদের দেরি করে কাজ করতে হয়। যখন আমি বুঝতে পারলাম সে কোন "বন্ধুর" বাড়িতে আছে, তখন আমি জিজ্ঞাসা করলাম সে কোথায় আছে, এবং তার উত্তর ছিল সে বাড়ি ফিরছে। আমি জিজ্ঞাসা করলাম সে কি কাজ থেকে বেরিয়েছে, যার উত্তর সে কেবল প্রশ্নের উত্তর এড়িয়ে গেছে। পরে সেই রাতে, আমি তাকে ফোন করেছিলাম এবং সে স্বীকার করে যে সে জ্যানাক্সে আক্রান্ত হচ্ছে। আমি জানি না কতদিন ধরে এটা চলছে। আমি খুব রেগে আছি কিন্তু আমার আরও কষ্ট হচ্ছে যে সে যাকে সবকিছু বলার কথা ছিল তার কাছ থেকে সম্পূর্ণরূপে লুকিয়ে রাখতে যাচ্ছিল। তাছাড়া, আমি মনে করি আপনাদের সকলের কাছে আমার স্ত্রীর সাথে কীভাবে কথা বলব সে সম্পর্কে পরামর্শ চাইছি। আমি কখনও এমন পরিস্থিতির মুখোমুখি হইনি এবং এতটা রেগে না গিয়ে কীভাবে এগিয়ে যাব তাও জানি না যে আমি শেষ পর্যন্ত চলে যেতে বাধ্য হব। হয়তো জ্যানাক্সই তার প্রয়োজন, কিন্তু আমি কেবল চাই যে সে আমার সাথে কথা বলত এবং স্ব-রোগ নির্ণয় এবং স্ব-ঔষধের দায়িত্ব নেওয়ার পরিবর্তে ডাক্তারের কাছে যেত। আমি এখানে কী করব তা জানি না। আমি খুব বেশি ক্ষতি বোধ করছি এবং আমি যাকে সবচেয়ে বেশি ভালোবাসি তার থেকে বিচ্ছিন্ন।</v>
      </c>
    </row>
    <row r="127" spans="1:3" ht="15" x14ac:dyDescent="0.25">
      <c r="A127" s="3" t="s">
        <v>129</v>
      </c>
      <c r="B127" s="3" t="s">
        <v>4</v>
      </c>
      <c r="C127" s="4" t="str">
        <f ca="1">IFERROR(__xludf.DUMMYFUNCTION("GOOGLETRANSLATE(A127, ""auto"", ""bn"")"),"আমি আমার মাকে আমার সমস্ত হৃদয় দিয়ে ভালোবাসি। তিনি যখন পরিষ্কার-পরিচ্ছন্ন থাকেন তখন তিনি সবচেয়ে যত্নশীল এবং পরিশ্রমী মহিলা। কিন্তু যখন তিনি মাদকাসক্ত হন তখন তা অসহনীয়। আমার মা ভালো ছিলেন। তিনি চাকরি করতেন, একটি গাড়ি কিনেছিলেন এবং আমি এবং আমার ভাইবোনের"&amp;"া তাকে দেখতে অ্যারিজোনা থেকে উটাহ যেতাম। মহামারী চলাকালীন, তিনি একজন খারাপ প্রাক্তন প্রেমিকের সাথে সম্পর্ক পুনরুজ্জীবিত করেছিলেন যিনি মাদক ব্যবহার করতেন, এবং অবশেষে তিনি তার এবং তার বন্ধুদের সাথে আড্ডা দিতে শুরু করেন এবং সবকিছু হারিয়ে ফেলেন। তাকে স্থানান"&amp;"্তরিত করার এবং ক্রমাগত ঝগড়া করার পরে তাকে তাড়িয়ে দেওয়া হয়েছিল এবং আমি নিশ্চিত করেছিলাম যে তিনি আবার মাদকাসক্ত হয়ে পড়েছেন কারণ তিনি যখন আমার সাথে তার ফোন ভুলে গিয়েছিলেন তখন আমি কিছু টেক্সট মেসেজ পড়েছিলাম। (সে জানে না যে আমি এটি করেছি)। তার মন 16 ব"&amp;"ছর বয়সী একজন কিশোরীর মতো। সে কেবল পার্টি করতে এবং আনন্দ করতে চায়, এবং সে মিথ্যা কথা বলে যাতে আমি এবং আমার ভাই তাকে টাকা দিতে পারি। আমি মাত্র 23 বছর বয়সী এবং একটি ভাল চাকরি, একটি নতুন অ্যাপার্টমেন্ট এবং একটি গাড়ি পেয়েছি। এই নতুন বিলগুলো আমাকে একটা কঠি"&amp;"ন পরিস্থিতিতে ফেলে, তাই যখন সে টাকা চাইবে তখন আমি প্রায়ই তাকে না বলি, আর এটা আমাকে রেগে যায় যে আমি দায়িত্বশীল এবং ৫২ বছর বয়সী একজন মহিলা হিসেবে সে যখন আমি তাকে টাকা দেই তখন সে যে সমস্যার মধ্যে পড়ে, সে বিষয়টা তার পরোয়া করে না। আমি এখনও নিজেকে দোষী মনে করি "&amp;"এবং তাকে টাকা দেই। এখন যেহেতু সে AZ-তে চলে যাওয়ার এবং আমার সাথে থাকার ইঙ্গিত দিয়েছে তার সবকিছু হারিয়ে ফেলেছে। আমার মনে হয় আমি তাকে না বলতে চাই। আমি তাকে বলেছিলাম যে ঐ লোকদের সাথে না থাকতে, এবং সে আমার চেয়ে অনেকবার তাদের পছন্দ করেছে। এমনকি কলেজের ছুটির স"&amp;"ময় যখন আমি সেখানে শীতকালীন চাকরি করতাম, তখন সে তার ব্যবহারকারী প্রেমিককে তার গাড়িতে করে ঘুরতে নিয়ে যেত, তখন আমাকে তুষারপাতের মধ্যে হেঁটে কাজে যেতে বাধ্য করেছিল। তাই এখন যেহেতু সে সবকিছু হারিয়েছে এবং এখনও দায়িত্বজ্ঞানহীন আচরণ করছে, আমার মনে হয় না যে তার "&amp;"যত্ন নেওয়া আমার অগ্রাধিকার। কিন্তু অন্যদিকে, যদি তার সাথে কিছু ঘটে, তাহলে আমি অপরাধী বোধ করব এবং আমি ভাবব যে সে যখন মানসিকভাবে ভালো ছিল তখন সে আমার জন্য কতবার করেছে। আমি কীভাবে আমার মাকে সাহায্য করব ?? আমি এতটাই হতবুদ্ধি বোধ করছি যে কী করব। তুমি কী করবে??")</f>
        <v>আমি আমার মাকে আমার সমস্ত হৃদয় দিয়ে ভালোবাসি। তিনি যখন পরিষ্কার-পরিচ্ছন্ন থাকেন তখন তিনি সবচেয়ে যত্নশীল এবং পরিশ্রমী মহিলা। কিন্তু যখন তিনি মাদকাসক্ত হন তখন তা অসহনীয়। আমার মা ভালো ছিলেন। তিনি চাকরি করতেন, একটি গাড়ি কিনেছিলেন এবং আমি এবং আমার ভাইবোনেরা তাকে দেখতে অ্যারিজোনা থেকে উটাহ যেতাম। মহামারী চলাকালীন, তিনি একজন খারাপ প্রাক্তন প্রেমিকের সাথে সম্পর্ক পুনরুজ্জীবিত করেছিলেন যিনি মাদক ব্যবহার করতেন, এবং অবশেষে তিনি তার এবং তার বন্ধুদের সাথে আড্ডা দিতে শুরু করেন এবং সবকিছু হারিয়ে ফেলেন। তাকে স্থানান্তরিত করার এবং ক্রমাগত ঝগড়া করার পরে তাকে তাড়িয়ে দেওয়া হয়েছিল এবং আমি নিশ্চিত করেছিলাম যে তিনি আবার মাদকাসক্ত হয়ে পড়েছেন কারণ তিনি যখন আমার সাথে তার ফোন ভুলে গিয়েছিলেন তখন আমি কিছু টেক্সট মেসেজ পড়েছিলাম। (সে জানে না যে আমি এটি করেছি)। তার মন 16 বছর বয়সী একজন কিশোরীর মতো। সে কেবল পার্টি করতে এবং আনন্দ করতে চায়, এবং সে মিথ্যা কথা বলে যাতে আমি এবং আমার ভাই তাকে টাকা দিতে পারি। আমি মাত্র 23 বছর বয়সী এবং একটি ভাল চাকরি, একটি নতুন অ্যাপার্টমেন্ট এবং একটি গাড়ি পেয়েছি। এই নতুন বিলগুলো আমাকে একটা কঠিন পরিস্থিতিতে ফেলে, তাই যখন সে টাকা চাইবে তখন আমি প্রায়ই তাকে না বলি, আর এটা আমাকে রেগে যায় যে আমি দায়িত্বশীল এবং ৫২ বছর বয়সী একজন মহিলা হিসেবে সে যখন আমি তাকে টাকা দেই তখন সে যে সমস্যার মধ্যে পড়ে, সে বিষয়টা তার পরোয়া করে না। আমি এখনও নিজেকে দোষী মনে করি এবং তাকে টাকা দেই। এখন যেহেতু সে AZ-তে চলে যাওয়ার এবং আমার সাথে থাকার ইঙ্গিত দিয়েছে তার সবকিছু হারিয়ে ফেলেছে। আমার মনে হয় আমি তাকে না বলতে চাই। আমি তাকে বলেছিলাম যে ঐ লোকদের সাথে না থাকতে, এবং সে আমার চেয়ে অনেকবার তাদের পছন্দ করেছে। এমনকি কলেজের ছুটির সময় যখন আমি সেখানে শীতকালীন চাকরি করতাম, তখন সে তার ব্যবহারকারী প্রেমিককে তার গাড়িতে করে ঘুরতে নিয়ে যেত, তখন আমাকে তুষারপাতের মধ্যে হেঁটে কাজে যেতে বাধ্য করেছিল। তাই এখন যেহেতু সে সবকিছু হারিয়েছে এবং এখনও দায়িত্বজ্ঞানহীন আচরণ করছে, আমার মনে হয় না যে তার যত্ন নেওয়া আমার অগ্রাধিকার। কিন্তু অন্যদিকে, যদি তার সাথে কিছু ঘটে, তাহলে আমি অপরাধী বোধ করব এবং আমি ভাবব যে সে যখন মানসিকভাবে ভালো ছিল তখন সে আমার জন্য কতবার করেছে। আমি কীভাবে আমার মাকে সাহায্য করব ?? আমি এতটাই হতবুদ্ধি বোধ করছি যে কী করব। তুমি কী করবে??</v>
      </c>
    </row>
    <row r="128" spans="1:3" ht="15" x14ac:dyDescent="0.25">
      <c r="A128" s="3" t="s">
        <v>130</v>
      </c>
      <c r="B128" s="3" t="s">
        <v>4</v>
      </c>
      <c r="C128" s="4" t="str">
        <f ca="1">IFERROR(__xludf.DUMMYFUNCTION("GOOGLETRANSLATE(A128, ""auto"", ""bn"")"),"আমি ভাবলাম একজন আসক্ত হিসেবে আমার অভিজ্ঞতা সম্পর্কে কিছু কথা শেয়ার করি। আমার বয়স ২৫ বছর। তাছাড়া, আমি যখন বারো বছর বয়সে লাস ভেগাসে ""ফিয়ার অ্যান্ড লথিং"" দেখেছিলাম, এবং এটি শেষ হওয়ার পর আমি আমার শোবার ঘরে ফিরে যাই যেন আমি ইথারে আছি, হান্টারের ব্যক্তি"&amp;"ত্ব সম্পূর্ণরূপে ডাউনলোড করছি। আমার বোনের বন্ধু তাকে বলেছিল যে আমি ""বাজে""? যখন সে জানতে পারে যে এটি আমার প্রিয় সিনেমা এবং উপন্যাস। সিনেমায় ভ্রমণগুলি কতটা অন্ধকার ছিল তা সত্ত্বেও আমি এটিকে রোমান্টিক করে তুলেছিলাম। ঠিক যেমন আমি আমার আদর্শ কার্ট কোবেইন এ"&amp;"বং জিম মরিসনের জীবনকে রোমান্টিক করে তুলেছিলাম। আমি একজন সৃজনশীল সত্তা হওয়ার যন্ত্রণা বহন করি। অতিরিক্ত অনুভূতি এবং চিরকাল আমার মাথার ভিতরে বাস করি। আমি ১২ বছর বয়স থেকে গাঁজা ধূমপান করতাম এবং পার্টিতে মদ্যপান করতাম। হাই স্কুলে ভূতের ট্যুর গাইড আমাকে সাইক"&amp;"েডেলিক্স ""তোমার আধ্যাত্মিক জালের ক্ষতি করে?"" বলার পরেও ১৬ বছর বয়স থেকে সাইকেডেলিক্সের সাথে সাইকোপ্যাথ অন্বেষণে আমি মুগ্ধ হয়েছিলাম। আমার বয়স যখন ১৮ বছর তখন আমি মেথ বড়ি খাওয়ার কারণে এক বছর ধরে মাদকজনিত সাইকোসিসে আক্রান্ত হয়েছিলাম। আমি নির্বিশেষে সেব"&amp;"ন এবং পার্টি করতে থাকি। ৫ বছর পর ২৩ বছর বয়সে আমি পুনর্বাসনে গেলাম। এটা আমার জীবন বাঁচিয়েছে। সকাল থেকে রাত পর্যন্ত মদ্যপান থেকে শুরু করে, পিষে ফেলা অ্যাম্ফিটামিন এবং বেজোসের পাহাড় থেকে নাক ডাকা থেকে। কেটামিনের জন্য ভাড়ার টাকা খরচ করা থেকে। আমি অনেকবার "&amp;"নেশাগ্রস্ত হয়েছি এবং অনেকবার আবার মনোবিকারের গভীরে ফিরে এসেছি, মৃত্যুর কাছাকাছি এসেছি এবং প্রিয়জনদের কষ্ট দিয়েছি এবং তবুও আমি ""নির্বাচন করছি?"" ব্যবহার করতে চাই। আসক্তি এবং জীবনের মানসিক যন্ত্রণাকে রোমান্টিক করার ফাঁদে আমি বারবার পড়ে যাচ্ছি। কিন্তু প"&amp;"্রতিটি পুনরায় নেশার সাথে সাথে ব্যবহার বন্ধ করা সহজ হয়ে যায়। এই মুহূর্তে আমি কফি এবং সিগারেটের অপব্যবহার করছি, বিস্মৃতিতে ক্যাফিনযুক্ত। স্টোইসিজম আমার প্রকৃতির দর্শন। যদিও আমি যখন নেমে আসি তখন আমি বেশ শূন্যবাদী হয়ে পড়ি। নিজেকে জানার চেষ্টা কখনও শেষ হয"&amp;"় না, এবং আসক্তি থেকে নিজেকে বের করে আনার জন্য আপনাকে নিজেকে ভালোভাবে জানতে হবে। শুধু মনে রাখবেন সুস্থ আসক্তরা সবচেয়ে সুন্দর মানুষে পরিণত হয়। আবেগের চরম নিম্ন স্তর অতিক্রম করার পরে, আসক্তি আপনাকে শান্ত সময়ে আগের চেয়ে আরও ভালভাবে ফিরে আসতে সাহায্য করে।")</f>
        <v>আমি ভাবলাম একজন আসক্ত হিসেবে আমার অভিজ্ঞতা সম্পর্কে কিছু কথা শেয়ার করি। আমার বয়স ২৫ বছর। তাছাড়া, আমি যখন বারো বছর বয়সে লাস ভেগাসে "ফিয়ার অ্যান্ড লথিং" দেখেছিলাম, এবং এটি শেষ হওয়ার পর আমি আমার শোবার ঘরে ফিরে যাই যেন আমি ইথারে আছি, হান্টারের ব্যক্তিত্ব সম্পূর্ণরূপে ডাউনলোড করছি। আমার বোনের বন্ধু তাকে বলেছিল যে আমি "বাজে"? যখন সে জানতে পারে যে এটি আমার প্রিয় সিনেমা এবং উপন্যাস। সিনেমায় ভ্রমণগুলি কতটা অন্ধকার ছিল তা সত্ত্বেও আমি এটিকে রোমান্টিক করে তুলেছিলাম। ঠিক যেমন আমি আমার আদর্শ কার্ট কোবেইন এবং জিম মরিসনের জীবনকে রোমান্টিক করে তুলেছিলাম। আমি একজন সৃজনশীল সত্তা হওয়ার যন্ত্রণা বহন করি। অতিরিক্ত অনুভূতি এবং চিরকাল আমার মাথার ভিতরে বাস করি। আমি ১২ বছর বয়স থেকে গাঁজা ধূমপান করতাম এবং পার্টিতে মদ্যপান করতাম। হাই স্কুলে ভূতের ট্যুর গাইড আমাকে সাইকেডেলিক্স "তোমার আধ্যাত্মিক জালের ক্ষতি করে?" বলার পরেও ১৬ বছর বয়স থেকে সাইকেডেলিক্সের সাথে সাইকোপ্যাথ অন্বেষণে আমি মুগ্ধ হয়েছিলাম। আমার বয়স যখন ১৮ বছর তখন আমি মেথ বড়ি খাওয়ার কারণে এক বছর ধরে মাদকজনিত সাইকোসিসে আক্রান্ত হয়েছিলাম। আমি নির্বিশেষে সেবন এবং পার্টি করতে থাকি। ৫ বছর পর ২৩ বছর বয়সে আমি পুনর্বাসনে গেলাম। এটা আমার জীবন বাঁচিয়েছে। সকাল থেকে রাত পর্যন্ত মদ্যপান থেকে শুরু করে, পিষে ফেলা অ্যাম্ফিটামিন এবং বেজোসের পাহাড় থেকে নাক ডাকা থেকে। কেটামিনের জন্য ভাড়ার টাকা খরচ করা থেকে। আমি অনেকবার নেশাগ্রস্ত হয়েছি এবং অনেকবার আবার মনোবিকারের গভীরে ফিরে এসেছি, মৃত্যুর কাছাকাছি এসেছি এবং প্রিয়জনদের কষ্ট দিয়েছি এবং তবুও আমি "নির্বাচন করছি?" ব্যবহার করতে চাই। আসক্তি এবং জীবনের মানসিক যন্ত্রণাকে রোমান্টিক করার ফাঁদে আমি বারবার পড়ে যাচ্ছি। কিন্তু প্রতিটি পুনরায় নেশার সাথে সাথে ব্যবহার বন্ধ করা সহজ হয়ে যায়। এই মুহূর্তে আমি কফি এবং সিগারেটের অপব্যবহার করছি, বিস্মৃতিতে ক্যাফিনযুক্ত। স্টোইসিজম আমার প্রকৃতির দর্শন। যদিও আমি যখন নেমে আসি তখন আমি বেশ শূন্যবাদী হয়ে পড়ি। নিজেকে জানার চেষ্টা কখনও শেষ হয় না, এবং আসক্তি থেকে নিজেকে বের করে আনার জন্য আপনাকে নিজেকে ভালোভাবে জানতে হবে। শুধু মনে রাখবেন সুস্থ আসক্তরা সবচেয়ে সুন্দর মানুষে পরিণত হয়। আবেগের চরম নিম্ন স্তর অতিক্রম করার পরে, আসক্তি আপনাকে শান্ত সময়ে আগের চেয়ে আরও ভালভাবে ফিরে আসতে সাহায্য করে।</v>
      </c>
    </row>
    <row r="129" spans="1:3" ht="15" x14ac:dyDescent="0.25">
      <c r="A129" s="3" t="s">
        <v>131</v>
      </c>
      <c r="B129" s="3" t="s">
        <v>4</v>
      </c>
      <c r="C129" s="4" t="str">
        <f ca="1">IFERROR(__xludf.DUMMYFUNCTION("GOOGLETRANSLATE(A129, ""auto"", ""bn"")"),"আমার মনে হতে শুরু করেছে যে এটা ""প্রেরণা"" বা ""সংকল্প"" এর সমস্যা নয়? কারণ, যখনই আমি প্রত্যাহারের মাঝখানে থাকি, তখনই আমার প্রচুর অনুপ্রেরণা থাকে - উঠে দাঁড়ানোর এবং উন্নতি করার জন্য। এটা আমার বিরুদ্ধে কাজ করে।")</f>
        <v>আমার মনে হতে শুরু করেছে যে এটা "প্রেরণা" বা "সংকল্প" এর সমস্যা নয়? কারণ, যখনই আমি প্রত্যাহারের মাঝখানে থাকি, তখনই আমার প্রচুর অনুপ্রেরণা থাকে - উঠে দাঁড়ানোর এবং উন্নতি করার জন্য। এটা আমার বিরুদ্ধে কাজ করে।</v>
      </c>
    </row>
    <row r="130" spans="1:3" ht="15" x14ac:dyDescent="0.25">
      <c r="A130" s="3" t="s">
        <v>132</v>
      </c>
      <c r="B130" s="3" t="s">
        <v>4</v>
      </c>
      <c r="C130" s="4" t="str">
        <f ca="1">IFERROR(__xludf.DUMMYFUNCTION("GOOGLETRANSLATE(A130, ""auto"", ""bn"")"),"আজ প্রায় আমার ডিলারকে ফোন করেছিলাম, আসলে আমি তাকে ফোন করেছিলাম, কিন্তু ফোন কেটে দিলাম। আমি আমার বান্ধবীর সাথে আড্ডা দিতে বেরিয়ে গেলাম। আমি খুশি যে আমি এখানে লেখালেখি করছি না? আবার শুরু করার সময় এসেছে? তোমাদের সকলের কি কিছু করার (যেমন শখ বা কার্যকলাপ) ধা"&amp;"রণা আছে যা আমাকে প্রলোভন থেকে দূরে রাখবে, যদি থাকে তাহলে প্রশংসা করা হবে!")</f>
        <v>আজ প্রায় আমার ডিলারকে ফোন করেছিলাম, আসলে আমি তাকে ফোন করেছিলাম, কিন্তু ফোন কেটে দিলাম। আমি আমার বান্ধবীর সাথে আড্ডা দিতে বেরিয়ে গেলাম। আমি খুশি যে আমি এখানে লেখালেখি করছি না? আবার শুরু করার সময় এসেছে? তোমাদের সকলের কি কিছু করার (যেমন শখ বা কার্যকলাপ) ধারণা আছে যা আমাকে প্রলোভন থেকে দূরে রাখবে, যদি থাকে তাহলে প্রশংসা করা হবে!</v>
      </c>
    </row>
    <row r="131" spans="1:3" ht="15" x14ac:dyDescent="0.25">
      <c r="A131" s="3" t="s">
        <v>133</v>
      </c>
      <c r="B131" s="3" t="s">
        <v>4</v>
      </c>
      <c r="C131" s="4" t="str">
        <f ca="1">IFERROR(__xludf.DUMMYFUNCTION("GOOGLETRANSLATE(A131, ""auto"", ""bn"")"),"আমি এখনও আতঙ্কিত নই। আমি আমার বন্ধুকে প্রায় Âœ৪০০ টাকা ধার দিতে বলেছিলাম এবং একজন ডিলারের কাছে আমার ঋণ ২৮০ টাকা। তাছাড়া, আমি জানি না কিভাবে সেগুলো পরিশোধ করব। ডিলারকে ৪০০ টাকা ধার করে তা বন্ধ করে দেওয়ার পরিবর্তে, আমি জুয়া খেলতে শুরু করি। কোকেন, অ্যালক"&amp;"োহল এবং জুয়া। বিপর্যয়ের রেসিপি। আমি কাউকে বলতে পারি না, তাই আমি আমার ডিলারের কাছে ফিরে গিয়ে আমার মন থেকে বেরিয়ে যাওয়ার জন্য আরও কোকেন চাই। আমি পর্নো খুঁজি এবং রাস্তায় যাদের কাছে যেতাম তাদের সাথে কথা বলি। আমি চাকরি খুঁজছি, কিন্তু আমি সাক্ষাৎকার ঘৃণা "&amp;"করি। আমি ভেঙে পড়েছি এবং সবাই খুব দ্রুত এগিয়ে যাচ্ছে। জীবন দ্রুত এগিয়ে যাচ্ছে, এবং আমি সত্যিই জানি না কী করব। নিজেকে সুখী করার জন্য এক পা অন্যের সামনে রাখতে আমি লড়াই করছি।")</f>
        <v>আমি এখনও আতঙ্কিত নই। আমি আমার বন্ধুকে প্রায় Âœ৪০০ টাকা ধার দিতে বলেছিলাম এবং একজন ডিলারের কাছে আমার ঋণ ২৮০ টাকা। তাছাড়া, আমি জানি না কিভাবে সেগুলো পরিশোধ করব। ডিলারকে ৪০০ টাকা ধার করে তা বন্ধ করে দেওয়ার পরিবর্তে, আমি জুয়া খেলতে শুরু করি। কোকেন, অ্যালকোহল এবং জুয়া। বিপর্যয়ের রেসিপি। আমি কাউকে বলতে পারি না, তাই আমি আমার ডিলারের কাছে ফিরে গিয়ে আমার মন থেকে বেরিয়ে যাওয়ার জন্য আরও কোকেন চাই। আমি পর্নো খুঁজি এবং রাস্তায় যাদের কাছে যেতাম তাদের সাথে কথা বলি। আমি চাকরি খুঁজছি, কিন্তু আমি সাক্ষাৎকার ঘৃণা করি। আমি ভেঙে পড়েছি এবং সবাই খুব দ্রুত এগিয়ে যাচ্ছে। জীবন দ্রুত এগিয়ে যাচ্ছে, এবং আমি সত্যিই জানি না কী করব। নিজেকে সুখী করার জন্য এক পা অন্যের সামনে রাখতে আমি লড়াই করছি।</v>
      </c>
    </row>
    <row r="132" spans="1:3" ht="15" x14ac:dyDescent="0.25">
      <c r="A132" s="3" t="s">
        <v>134</v>
      </c>
      <c r="B132" s="3" t="s">
        <v>4</v>
      </c>
      <c r="C132" s="4" t="str">
        <f ca="1">IFERROR(__xludf.DUMMYFUNCTION("GOOGLETRANSLATE(A132, ""auto"", ""bn"")"),"কিছুদিন ধরে আসক্ত থাকার পর প্রায় এক বছর আগে আমি গাঁজা ছেড়ে দিয়েছিলাম। প্রত্যাহারের সময়টা ছিল ভয়াবহ এবং পরবর্তী সময়েও তীব্র প্রত্যাহার। আমি এখনও প্রতিদিনই এগুলোর সাথে মোকাবিলা করি। গাঁজা ছেড়ে দেওয়ার পর আমি নিকোটিন ধূমপান শুরু করেছিলাম এবং তখন থেকেই"&amp;" ধূমপান করে আসছি। ধূমপান ছেড়ে দিতে আমার ভয় লাগে কারণ আমি এখনও প্রত্যাহারের সময়টাতে ভয় পাই কারণ আমি এখনও PAWS-এর মধ্য দিয়ে যাচ্ছি।")</f>
        <v>কিছুদিন ধরে আসক্ত থাকার পর প্রায় এক বছর আগে আমি গাঁজা ছেড়ে দিয়েছিলাম। প্রত্যাহারের সময়টা ছিল ভয়াবহ এবং পরবর্তী সময়েও তীব্র প্রত্যাহার। আমি এখনও প্রতিদিনই এগুলোর সাথে মোকাবিলা করি। গাঁজা ছেড়ে দেওয়ার পর আমি নিকোটিন ধূমপান শুরু করেছিলাম এবং তখন থেকেই ধূমপান করে আসছি। ধূমপান ছেড়ে দিতে আমার ভয় লাগে কারণ আমি এখনও প্রত্যাহারের সময়টাতে ভয় পাই কারণ আমি এখনও PAWS-এর মধ্য দিয়ে যাচ্ছি।</v>
      </c>
    </row>
    <row r="133" spans="1:3" ht="15" x14ac:dyDescent="0.25">
      <c r="A133" s="3" t="s">
        <v>135</v>
      </c>
      <c r="B133" s="3" t="s">
        <v>4</v>
      </c>
      <c r="C133" s="4" t="str">
        <f ca="1">IFERROR(__xludf.DUMMYFUNCTION("GOOGLETRANSLATE(A133, ""auto"", ""bn"")"),"আমার বয়স ২১ মিলিয়ন। আমার বাবা মদ্যপানের কারণে মারা গেছেন এবং আমার পরিবারের অন্য সবাই হয় মদ্যপ, অথবা অন্তত মদ্যপান করতে ভালোবাসে। এটা দেখে আমার মদ্যপান নষ্ট হয়ে গেছে এবং আমি খুব কমই মদ্যপান করি। সোশ্যাল মিডিয়া, ভিডিও গেম, টিভি ইত্যাদির প্রতি আসক্তির সাথে "&amp;"আমার লড়াই হয়। আমি নেটফ্লিক্স দেখতে পারি না কারণ একবার আমি একটি সিরিজ শুরু করলে এটি আমার জীবন গ্রাস করে, এবং আমি এটি উপভোগ না করলেও দিনে ১৬ ঘন্টা দেখি। তাছাড়া, আমি ক্রমাগত সোশ্যাল মিডিয়া ছেড়ে দেওয়ার চেষ্টা করি, কিন্তু কয়েকদিন পর ব্যর্থ হই এবং আত্মনিয়ন্ত্"&amp;"রণের সাথে সত্যিই লড়াই করি। তাছাড়া, আমি কেবল বাধ্যবাধকতা প্রতিরোধ করতে পারি না এবং আমার বন্ধুরা বুঝতে পারে না কেন আমি কেবল থামতে পারছি না। তুমি কি মনে করো আমার কেবল শৃঙ্খলার সমস্যা আছে নাকি আমার জেনেটিক্সও ভূমিকা পালন করতে পারে? মদ্যপরা কি পদার্থ-বহির্ভূত"&amp;" আসক্তির সাথেও লড়াই করে?")</f>
        <v>আমার বয়স ২১ মিলিয়ন। আমার বাবা মদ্যপানের কারণে মারা গেছেন এবং আমার পরিবারের অন্য সবাই হয় মদ্যপ, অথবা অন্তত মদ্যপান করতে ভালোবাসে। এটা দেখে আমার মদ্যপান নষ্ট হয়ে গেছে এবং আমি খুব কমই মদ্যপান করি। সোশ্যাল মিডিয়া, ভিডিও গেম, টিভি ইত্যাদির প্রতি আসক্তির সাথে আমার লড়াই হয়। আমি নেটফ্লিক্স দেখতে পারি না কারণ একবার আমি একটি সিরিজ শুরু করলে এটি আমার জীবন গ্রাস করে, এবং আমি এটি উপভোগ না করলেও দিনে ১৬ ঘন্টা দেখি। তাছাড়া, আমি ক্রমাগত সোশ্যাল মিডিয়া ছেড়ে দেওয়ার চেষ্টা করি, কিন্তু কয়েকদিন পর ব্যর্থ হই এবং আত্মনিয়ন্ত্রণের সাথে সত্যিই লড়াই করি। তাছাড়া, আমি কেবল বাধ্যবাধকতা প্রতিরোধ করতে পারি না এবং আমার বন্ধুরা বুঝতে পারে না কেন আমি কেবল থামতে পারছি না। তুমি কি মনে করো আমার কেবল শৃঙ্খলার সমস্যা আছে নাকি আমার জেনেটিক্সও ভূমিকা পালন করতে পারে? মদ্যপরা কি পদার্থ-বহির্ভূত আসক্তির সাথেও লড়াই করে?</v>
      </c>
    </row>
    <row r="134" spans="1:3" ht="15" x14ac:dyDescent="0.25">
      <c r="A134" s="3" t="s">
        <v>136</v>
      </c>
      <c r="B134" s="3" t="s">
        <v>4</v>
      </c>
      <c r="C134" s="4" t="str">
        <f ca="1">IFERROR(__xludf.DUMMYFUNCTION("GOOGLETRANSLATE(A134, ""auto"", ""bn"")"),"নিশ্চিন্তে ঘুমাতে যাওয়ার চেষ্টা করা খুব কঠিন। আমার মন শুধু এলোমেলো জিনিসের কথা ভাবতেই ছটফট করে। ওভার-দ্য-কাউন্টার ঘুমের ওষুধগুলোও খুব একটা ভালো কাজ করছে বলে মনে হচ্ছে না। যদি না আমি ভুলগুলো নিচ্ছি। আপনারা যে কোনও টিপস দিতে পারেন, তা অত্যন্ত প্রশংসার দাবি "&amp;"রাখব।")</f>
        <v>নিশ্চিন্তে ঘুমাতে যাওয়ার চেষ্টা করা খুব কঠিন। আমার মন শুধু এলোমেলো জিনিসের কথা ভাবতেই ছটফট করে। ওভার-দ্য-কাউন্টার ঘুমের ওষুধগুলোও খুব একটা ভালো কাজ করছে বলে মনে হচ্ছে না। যদি না আমি ভুলগুলো নিচ্ছি। আপনারা যে কোনও টিপস দিতে পারেন, তা অত্যন্ত প্রশংসার দাবি রাখব।</v>
      </c>
    </row>
    <row r="135" spans="1:3" ht="15" x14ac:dyDescent="0.25">
      <c r="A135" s="3" t="s">
        <v>137</v>
      </c>
      <c r="B135" s="3" t="s">
        <v>4</v>
      </c>
      <c r="C135" s="4" t="str">
        <f ca="1">IFERROR(__xludf.DUMMYFUNCTION("GOOGLETRANSLATE(A135, ""auto"", ""bn"")"),"আমার থেরাপিস্ট আরএন অফিসে নেই, তাই তার সুপারভাইজার আমার সাথে দেখা করে। আমি স্বীকার করেছি যে আমি তৎক্ষণাৎ আবার অসুস্থ হয়ে পড়েছি, সে প্রথমে সহানুভূতিশীল ছিল, কিন্তু যখন আমি বললাম যে এখন আবার সুস্থ হওয়ার কোনও ইচ্ছা আমার নেই তখন তার সুর অনেকটা বদলে গেল। এট"&amp;"া আমার কাছে বাজে অনুভূতির মতো মনে হল। যেমন আমি ইতিমধ্যেই জানি যে আমি একজন পাগল এবং হতাশ। এটা আমার প্রয়োজন ছিল না, এবং কেবল আরও বেশি ব্যবহার করতে চেয়েছিলাম। আমি আশা করি না বা চাই না যে কেউ আমার বাজে কথা ছেড়ে দেবে, আমি কেবল সমর্থন, ধৈর্য এবং কিছু বোঝাপড়"&amp;"া চাই। আমি আবার সংযমে লজ্জিত হব না। আমি ইতিমধ্যেই সৎ থাকার জন্য খুব কঠোর পরিশ্রম করছি, স্বীকার করছি যে এখনই সহজ ছিল না, এবং এখন আমি কেবল এই বিষয়ে বাজে কথা বলতে চাই।")</f>
        <v>আমার থেরাপিস্ট আরএন অফিসে নেই, তাই তার সুপারভাইজার আমার সাথে দেখা করে। আমি স্বীকার করেছি যে আমি তৎক্ষণাৎ আবার অসুস্থ হয়ে পড়েছি, সে প্রথমে সহানুভূতিশীল ছিল, কিন্তু যখন আমি বললাম যে এখন আবার সুস্থ হওয়ার কোনও ইচ্ছা আমার নেই তখন তার সুর অনেকটা বদলে গেল। এটা আমার কাছে বাজে অনুভূতির মতো মনে হল। যেমন আমি ইতিমধ্যেই জানি যে আমি একজন পাগল এবং হতাশ। এটা আমার প্রয়োজন ছিল না, এবং কেবল আরও বেশি ব্যবহার করতে চেয়েছিলাম। আমি আশা করি না বা চাই না যে কেউ আমার বাজে কথা ছেড়ে দেবে, আমি কেবল সমর্থন, ধৈর্য এবং কিছু বোঝাপড়া চাই। আমি আবার সংযমে লজ্জিত হব না। আমি ইতিমধ্যেই সৎ থাকার জন্য খুব কঠোর পরিশ্রম করছি, স্বীকার করছি যে এখনই সহজ ছিল না, এবং এখন আমি কেবল এই বিষয়ে বাজে কথা বলতে চাই।</v>
      </c>
    </row>
    <row r="136" spans="1:3" ht="15" x14ac:dyDescent="0.25">
      <c r="A136" s="3" t="s">
        <v>138</v>
      </c>
      <c r="B136" s="3" t="s">
        <v>4</v>
      </c>
      <c r="C136" s="4" t="str">
        <f ca="1">IFERROR(__xludf.DUMMYFUNCTION("GOOGLETRANSLATE(A136, ""auto"", ""bn"")"),"আমি চেষ্টা করবো এই বিষয়টা সংক্ষিপ্ত করে বলতে কারণ এটা একটা জটিল পারিবারিক সমস্যা। আমার খালার মানসিক স্বাস্থ্য এবং মদ্যপানের সমস্যা অনেক। সেপ্টেম্বরে তার মেয়ে তাকে বাড়ি থেকে বের করে দেওয়ার আগে পর্যন্ত তিনি তার মেয়ের সাথে ১৫ বছর ধরে বসবাস করছিলেন। সংক্ষেপ"&amp;"ে বলতে গেলে, আমার খালা তার নাতির বন্ধুদের দ্বারা মৌখিক এবং মানসিকভাবে নির্যাতনের শিকার হচ্ছিলেন, যারা এখন সেই বাড়িটি নিয়ন্ত্রণ করছে, এবং তিনি প্রতিদিন আমার কাছে এই বিষয়ে কেঁদেছিলেন। অবশেষে, আমার খালা নিজের পক্ষে দাঁড়িয়ে ম্যানেজারকে বললেন যে এই ছেলেরা লিজে"&amp;" যোগ না করেই সেখানে থাকছে এবং ম্যানেজার তাদের বললেন যে ছেলেদের চলে যেতে হবে। সেই কারণেই তার মেয়ে তাকে বের করে দিল। যাই হোক, আমার খালা ২ সপ্তাহের জন্য একটি সস্তা মোটেলে চলে গেলেও আমি অবশেষে হাল ছেড়ে দিলাম এবং তাকে বললাম যে সে আমার সাথে কয়েক মাস থাকতে পার"&amp;"ে যতক্ষণ না সে কিছু টাকা জমায় এবং তার জীবন ঠিকঠাক করে। ৩ মাস পর আমি আমার থেকে হাঁটার দূরত্বে একটি ঘর পেলাম তাই আমরা এটি পরীক্ষা করে দেখলাম, এবং সে একজন বন্ধুত্বপূর্ণ মহিলার সাথে থাকতে রাজি হলো যার বয়স ৬০ এর কোঠায়। সবকিছু ঠিকঠাক হয়ে গেছে বলে মনে হচ্ছিল, আম"&amp;"ার খালা মনে হচ্ছিল তার জীবন আবার ঠিকঠাক হয়ে গেছে। তারপর তার সবচেয়ে ভালো বন্ধু আমাকে ৪ দিন আগে ফোন করে আমার খালাকে আবার ঘরে নিতে বলে। আমি জিজ্ঞাসা করলাম কেন, এই বন্ধুটি আমাকে বলল যে নতুন হাউসমেট আমার খালার আর্থিক সুবিধা নিচ্ছে, মূলত আমার খালা কস্টকোর সদস্"&amp;"যপদ খরচ করেছেন, সমস্ত মুদিখানার জিনিসপত্র ইত্যাদির জন্য অর্থ প্রদান করেছেন। স্পষ্টতই আমার খালা এই মহিলা এবং নিজেকে প্রতি রাতে ১২ প্যাকেট বিয়ার কিনেছিলেন, এবং তারা অতিরিক্ত মদ্যপান করছিলেন। তাই আমি আমার খালার বন্ধুকে বললাম, আমি তাদের দুজনের সাথে কথা বলব এ"&amp;"বং দেখব আমরা এই সমস্যার সমাধান করতে পারি কিনা। বন্ধুটি জিজ্ঞাসা করল কেন আমি আমার খালাকে ফিরিয়ে নিই না, এবং আমি তাকে বললাম যে আমি প্রথমে তাদের সাথে কথা বলার চেষ্টা করতে চাই। তার বন্ধু তখন বলে, ""আচ্ছা, সে এই মহিলার সাথে অনেক মদ্যপান করে, যখন সে তোমার সাথে"&amp;" থাকে, তখন তার কাছে প্রতি রাতে মাত্র ৬ প্যাকেট থাকে?? আমি তার বন্ধুকে ইঙ্গিত করেছিলাম যে এটাই পুরো সমস্যা। তাই আমার কিছু পরামর্শ দরকার, আমি কি আমার খালাকে আবার ঘরে ফিরিয়ে আনার চেষ্টা করব এবং তার সাথে মোকাবিলা করব যতক্ষণ না আমি তার জন্য একজন নতুন হাউসমেট "&amp;"খুঁজে পাই? নাকি আমি তাকে বলব যে তাকে নিজের পক্ষে দাঁড়াতে হবে, সবকিছুর জন্য অর্থ প্রদান করতে হবে না এবং তার মদ্যপান কমাতে হবে? এটা আমার জন্য মানসিকভাবে খুবই ক্লান্তিকর কারণ আমার খালার বন্ধু আমাকে আমার প্রতি যত্নশীল না বলে অভিযোগ করে কারণ আমার একটা খালি ঘর"&amp;" আছে। মূলত, আমার মনে হয় যদি আমি তাকে নতুন হাউসমেট পাই এবং ভাড়া করার জন্য একটি নতুন ঘর খুঁজে পাই, তবুও সে সমস্যায় পড়বে কারণ সে লোকেদের না বলতে পারে না। সে সবকিছুর জন্য টাকা দিতে জোর দেয়, এবং সে লোকেদের জন্য বিয়ার কিনতে পছন্দ করে কারণ সে চায় যে লোকের"&amp;"া প্রতিদিন তার সাথে প্রচুর পরিমাণে মদ্যপান করুক। তাই হ্যাঁ, হাউসমেট সম্ভবত এর সুযোগ নিচ্ছে, কিন্তু আরও অনেক লোক একই কাজ করবে এবং আমি আমার খালাকে বলি লোকেদের জন্য টাকা দেওয়া বন্ধ করে না বলা শিখতে। সে দাবি করে যে সে ভয় পায় যে সে যদি না বলে তবে মানুষ তাকে"&amp;" পছন্দ করবে না। সে যখন আমাকে এটা বলে তখন আমি সবসময় ভয় পাই কারণ এটা এমন কিছু শোনাচ্ছে যা একটি শিশু বলবে। যাই হোক, আমি শেষ অংশটি যোগ করতে চেয়েছিলাম যাতে তোমরা সবাই পুরো প্রেক্ষাপট বুঝতে পারো।")</f>
        <v>আমি চেষ্টা করবো এই বিষয়টা সংক্ষিপ্ত করে বলতে কারণ এটা একটা জটিল পারিবারিক সমস্যা। আমার খালার মানসিক স্বাস্থ্য এবং মদ্যপানের সমস্যা অনেক। সেপ্টেম্বরে তার মেয়ে তাকে বাড়ি থেকে বের করে দেওয়ার আগে পর্যন্ত তিনি তার মেয়ের সাথে ১৫ বছর ধরে বসবাস করছিলেন। সংক্ষেপে বলতে গেলে, আমার খালা তার নাতির বন্ধুদের দ্বারা মৌখিক এবং মানসিকভাবে নির্যাতনের শিকার হচ্ছিলেন, যারা এখন সেই বাড়িটি নিয়ন্ত্রণ করছে, এবং তিনি প্রতিদিন আমার কাছে এই বিষয়ে কেঁদেছিলেন। অবশেষে, আমার খালা নিজের পক্ষে দাঁড়িয়ে ম্যানেজারকে বললেন যে এই ছেলেরা লিজে যোগ না করেই সেখানে থাকছে এবং ম্যানেজার তাদের বললেন যে ছেলেদের চলে যেতে হবে। সেই কারণেই তার মেয়ে তাকে বের করে দিল। যাই হোক, আমার খালা ২ সপ্তাহের জন্য একটি সস্তা মোটেলে চলে গেলেও আমি অবশেষে হাল ছেড়ে দিলাম এবং তাকে বললাম যে সে আমার সাথে কয়েক মাস থাকতে পারে যতক্ষণ না সে কিছু টাকা জমায় এবং তার জীবন ঠিকঠাক করে। ৩ মাস পর আমি আমার থেকে হাঁটার দূরত্বে একটি ঘর পেলাম তাই আমরা এটি পরীক্ষা করে দেখলাম, এবং সে একজন বন্ধুত্বপূর্ণ মহিলার সাথে থাকতে রাজি হলো যার বয়স ৬০ এর কোঠায়। সবকিছু ঠিকঠাক হয়ে গেছে বলে মনে হচ্ছিল, আমার খালা মনে হচ্ছিল তার জীবন আবার ঠিকঠাক হয়ে গেছে। তারপর তার সবচেয়ে ভালো বন্ধু আমাকে ৪ দিন আগে ফোন করে আমার খালাকে আবার ঘরে নিতে বলে। আমি জিজ্ঞাসা করলাম কেন, এই বন্ধুটি আমাকে বলল যে নতুন হাউসমেট আমার খালার আর্থিক সুবিধা নিচ্ছে, মূলত আমার খালা কস্টকোর সদস্যপদ খরচ করেছেন, সমস্ত মুদিখানার জিনিসপত্র ইত্যাদির জন্য অর্থ প্রদান করেছেন। স্পষ্টতই আমার খালা এই মহিলা এবং নিজেকে প্রতি রাতে ১২ প্যাকেট বিয়ার কিনেছিলেন, এবং তারা অতিরিক্ত মদ্যপান করছিলেন। তাই আমি আমার খালার বন্ধুকে বললাম, আমি তাদের দুজনের সাথে কথা বলব এবং দেখব আমরা এই সমস্যার সমাধান করতে পারি কিনা। বন্ধুটি জিজ্ঞাসা করল কেন আমি আমার খালাকে ফিরিয়ে নিই না, এবং আমি তাকে বললাম যে আমি প্রথমে তাদের সাথে কথা বলার চেষ্টা করতে চাই। তার বন্ধু তখন বলে, "আচ্ছা, সে এই মহিলার সাথে অনেক মদ্যপান করে, যখন সে তোমার সাথে থাকে, তখন তার কাছে প্রতি রাতে মাত্র ৬ প্যাকেট থাকে?? আমি তার বন্ধুকে ইঙ্গিত করেছিলাম যে এটাই পুরো সমস্যা। তাই আমার কিছু পরামর্শ দরকার, আমি কি আমার খালাকে আবার ঘরে ফিরিয়ে আনার চেষ্টা করব এবং তার সাথে মোকাবিলা করব যতক্ষণ না আমি তার জন্য একজন নতুন হাউসমেট খুঁজে পাই? নাকি আমি তাকে বলব যে তাকে নিজের পক্ষে দাঁড়াতে হবে, সবকিছুর জন্য অর্থ প্রদান করতে হবে না এবং তার মদ্যপান কমাতে হবে? এটা আমার জন্য মানসিকভাবে খুবই ক্লান্তিকর কারণ আমার খালার বন্ধু আমাকে আমার প্রতি যত্নশীল না বলে অভিযোগ করে কারণ আমার একটা খালি ঘর আছে। মূলত, আমার মনে হয় যদি আমি তাকে নতুন হাউসমেট পাই এবং ভাড়া করার জন্য একটি নতুন ঘর খুঁজে পাই, তবুও সে সমস্যায় পড়বে কারণ সে লোকেদের না বলতে পারে না। সে সবকিছুর জন্য টাকা দিতে জোর দেয়, এবং সে লোকেদের জন্য বিয়ার কিনতে পছন্দ করে কারণ সে চায় যে লোকেরা প্রতিদিন তার সাথে প্রচুর পরিমাণে মদ্যপান করুক। তাই হ্যাঁ, হাউসমেট সম্ভবত এর সুযোগ নিচ্ছে, কিন্তু আরও অনেক লোক একই কাজ করবে এবং আমি আমার খালাকে বলি লোকেদের জন্য টাকা দেওয়া বন্ধ করে না বলা শিখতে। সে দাবি করে যে সে ভয় পায় যে সে যদি না বলে তবে মানুষ তাকে পছন্দ করবে না। সে যখন আমাকে এটা বলে তখন আমি সবসময় ভয় পাই কারণ এটা এমন কিছু শোনাচ্ছে যা একটি শিশু বলবে। যাই হোক, আমি শেষ অংশটি যোগ করতে চেয়েছিলাম যাতে তোমরা সবাই পুরো প্রেক্ষাপট বুঝতে পারো।</v>
      </c>
    </row>
    <row r="137" spans="1:3" ht="15" x14ac:dyDescent="0.25">
      <c r="A137" s="3" t="s">
        <v>139</v>
      </c>
      <c r="B137" s="3" t="s">
        <v>4</v>
      </c>
      <c r="C137" s="4" t="str">
        <f ca="1">IFERROR(__xludf.DUMMYFUNCTION("GOOGLETRANSLATE(A137, ""auto"", ""bn"")"),"তাই সম্প্রতি আমি কোক এবং মেথের কারণে মানসিকভাবে সুস্থ হয়ে উঠেছি, কিন্তু তাতেও এই সত্যটি বদলায় না যে আমি কাজ থেকে বড়ি চুরি করছি। আমি যতটা সম্ভব বেজোসের কাছ থেকে টাকা চুরি করেছি, আশা করি ধরা পড়ব না। কিন্তু এই মুহূর্তে আমার এতটাই খারাপ লাগছে যে সংযম বজায"&amp;"় রাখা এত কঠিন?")</f>
        <v>তাই সম্প্রতি আমি কোক এবং মেথের কারণে মানসিকভাবে সুস্থ হয়ে উঠেছি, কিন্তু তাতেও এই সত্যটি বদলায় না যে আমি কাজ থেকে বড়ি চুরি করছি। আমি যতটা সম্ভব বেজোসের কাছ থেকে টাকা চুরি করেছি, আশা করি ধরা পড়ব না। কিন্তু এই মুহূর্তে আমার এতটাই খারাপ লাগছে যে সংযম বজায় রাখা এত কঠিন?</v>
      </c>
    </row>
    <row r="138" spans="1:3" ht="15" x14ac:dyDescent="0.25">
      <c r="A138" s="3" t="s">
        <v>140</v>
      </c>
      <c r="B138" s="3" t="s">
        <v>4</v>
      </c>
      <c r="C138" s="4" t="str">
        <f ca="1">IFERROR(__xludf.DUMMYFUNCTION("GOOGLETRANSLATE(A138, ""auto"", ""bn"")"),"ডাক্তাররা কি আপনার প্রেসক্রিপশনে যা লিখেছেন বা লিখে রেখেছেন তা সব দেখতে পান না? যখন তারা বলেন, ""আপনি কি বর্তমানে কোনও ওষুধ খাচ্ছেন?"" তখন আমার মনে হয় এটি একটি কৌশলী প্রশ্ন।")</f>
        <v>ডাক্তাররা কি আপনার প্রেসক্রিপশনে যা লিখেছেন বা লিখে রেখেছেন তা সব দেখতে পান না? যখন তারা বলেন, "আপনি কি বর্তমানে কোনও ওষুধ খাচ্ছেন?" তখন আমার মনে হয় এটি একটি কৌশলী প্রশ্ন।</v>
      </c>
    </row>
    <row r="139" spans="1:3" ht="15" x14ac:dyDescent="0.25">
      <c r="A139" s="3" t="s">
        <v>141</v>
      </c>
      <c r="B139" s="3" t="s">
        <v>4</v>
      </c>
      <c r="C139" s="4" t="str">
        <f ca="1">IFERROR(__xludf.DUMMYFUNCTION("GOOGLETRANSLATE(A139, ""auto"", ""bn"")"),"আমি নিজেকে চুদেছি এবং ডিটক্স ছেড়ে দিয়েছি, এখন আমার বীমা আমাকে আর ৬০ দিনের জন্য কভার করবে না? আমাকে এখন থামাতে হবে। তাছাড়া, আমি ভয় পাচ্ছি। আমি কি একা এটা করতে পারি? লোকেরা বলে আমি পারব, কিন্তু তারপর আমি পড়ি যে এটি কতটা কঠিন এবং বেদনাদায়ক। আমি সবসময় "&amp;"পরামর্শ খুঁজছি। দয়া করে সাহায্য করুন। আজ কিছুই করিনি।")</f>
        <v>আমি নিজেকে চুদেছি এবং ডিটক্স ছেড়ে দিয়েছি, এখন আমার বীমা আমাকে আর ৬০ দিনের জন্য কভার করবে না? আমাকে এখন থামাতে হবে। তাছাড়া, আমি ভয় পাচ্ছি। আমি কি একা এটা করতে পারি? লোকেরা বলে আমি পারব, কিন্তু তারপর আমি পড়ি যে এটি কতটা কঠিন এবং বেদনাদায়ক। আমি সবসময় পরামর্শ খুঁজছি। দয়া করে সাহায্য করুন। আজ কিছুই করিনি।</v>
      </c>
    </row>
    <row r="140" spans="1:3" ht="15" x14ac:dyDescent="0.25">
      <c r="A140" s="3" t="s">
        <v>142</v>
      </c>
      <c r="B140" s="3" t="s">
        <v>4</v>
      </c>
      <c r="C140" s="4" t="str">
        <f ca="1">IFERROR(__xludf.DUMMYFUNCTION("GOOGLETRANSLATE(A140, ""auto"", ""bn"")"),"এটা এখানে পোস্ট করাটা আমার জায়গায় থাকা কেউ যেন বুঝতে পারে যে অ্যালকোহলের উপর নির্ভরশীল হওয়া কতটা গুরুতর হতে পারে। না, এটা মজার নয়, আর না এটা এমন কিছু নয় যা তুমি সবসময় নিয়ন্ত্রণ করতে পারো। আমার মনে আছে মাসের পর মাস মদ্যপান ছাড়াই কাটিয়েছি, কিন্তু কাজ থেকে ব"&amp;"াড়ি ফিরেই নিজেকে অজ্ঞান করে ফেলেছি কারণ আমি সহ্য করতে পারছি না যে আমার রান্নাঘরে এক বোতল মদের ভরা ছিল। হ্যাঁ, আমি এটা শেষ করেছি। ৪টি ভালো স্বাদ এবং এটা শেষ হয়ে গেছে। আমি এতে গর্বিত নই, শুধু দেখিয়ে দিচ্ছি যে এটা কতটা খারাপ ছিল। আরও অনেক দিন কেটে গেছে যে আ"&amp;"মি মাতাল ছিলাম। অ্যালকোহল ছাড়া আমি প্রায় ভুলেই যেতে শুরু করেছিলাম, এটা অন্য কারো শরীরে বন্দী থাকার মতো ছিল কারণ আমি যা করতাম বা বলতাম তাও নিয়ন্ত্রণ করতে পারতাম না, এটা লজ্জাজনক ছিল কারণ এখানে আমি সফল হচ্ছিলাম, কিন্তু আমার পিঠে একটা ভূত ছিল যা আমাকে বহন ক"&amp;"রছিল।")</f>
        <v>এটা এখানে পোস্ট করাটা আমার জায়গায় থাকা কেউ যেন বুঝতে পারে যে অ্যালকোহলের উপর নির্ভরশীল হওয়া কতটা গুরুতর হতে পারে। না, এটা মজার নয়, আর না এটা এমন কিছু নয় যা তুমি সবসময় নিয়ন্ত্রণ করতে পারো। আমার মনে আছে মাসের পর মাস মদ্যপান ছাড়াই কাটিয়েছি, কিন্তু কাজ থেকে বাড়ি ফিরেই নিজেকে অজ্ঞান করে ফেলেছি কারণ আমি সহ্য করতে পারছি না যে আমার রান্নাঘরে এক বোতল মদের ভরা ছিল। হ্যাঁ, আমি এটা শেষ করেছি। ৪টি ভালো স্বাদ এবং এটা শেষ হয়ে গেছে। আমি এতে গর্বিত নই, শুধু দেখিয়ে দিচ্ছি যে এটা কতটা খারাপ ছিল। আরও অনেক দিন কেটে গেছে যে আমি মাতাল ছিলাম। অ্যালকোহল ছাড়া আমি প্রায় ভুলেই যেতে শুরু করেছিলাম, এটা অন্য কারো শরীরে বন্দী থাকার মতো ছিল কারণ আমি যা করতাম বা বলতাম তাও নিয়ন্ত্রণ করতে পারতাম না, এটা লজ্জাজনক ছিল কারণ এখানে আমি সফল হচ্ছিলাম, কিন্তু আমার পিঠে একটা ভূত ছিল যা আমাকে বহন করছিল।</v>
      </c>
    </row>
    <row r="141" spans="1:3" ht="15" x14ac:dyDescent="0.25">
      <c r="A141" s="3" t="s">
        <v>143</v>
      </c>
      <c r="B141" s="3" t="s">
        <v>4</v>
      </c>
      <c r="C141" s="4" t="str">
        <f ca="1">IFERROR(__xludf.DUMMYFUNCTION("GOOGLETRANSLATE(A141, ""auto"", ""bn"")"),"আমার পরিবারের মাদকাসক্তি এবং অ্যালকোহলের অপব্যবহারের ইতিহাস অনেক। আমি ৪৬ বছর বয়সী একজন পুরুষ। আমার কৈশোরের শেষের দিকে, আমি ২০ বছর বয়সে প্রতিদিন ৮ ভাগ আগাছা এবং এক কাপ বিয়ার ধূমপান করতাম (হ্যাঁ, একদিন) এবং এখনও পিটসবার্গের মেলন (সিভিক) এরিনায় HVAC টেকন"&amp;"িশিয়ান হিসেবে চাকরি করতাম। পরিস্থিতি এমন পর্যায়ে পৌঁছেছিল যে, এমনকি এটি আমাকে আমার প্রয়োজনীয় উচ্চতা দিচ্ছিল না। একদিন কাজ শেষ করার পর, আমার এক বন্ধু যখন আমি উত্তেজিত এবং উত্তেজিত ছিলাম তখন আমাকে ডাকাতির চেষ্টা করেছিল। আমি জানতাম যে আমার আগাছা এবং মদ্য"&amp;"পান একটি ভাঙনের পর্যায়ে পৌঁছেছে যখন কাজ শেষ করার পরে আমাকে শান্ত হতে এত সময় লাগছিল এবং লোকেরা ভেবেছিল যে আমি এমন এক পর্যায়ে এসেছি যেখানে তারা আমার উপর আধিপত্য বিস্তার করতে পারে। তাই আমি সবকিছু ঠান্ডা করা বন্ধ করে দিয়েছি। আমি কখনই এমন পরিস্থিতিতে পড়তে"&amp;" চাইনি যেখানে আমার মন পরিষ্কার ছিল না। আমার মাইগ্রেনের ইতিহাস আছে যার আভা এতটাই যে আমাকে অন্ধকার শান্ত ঘরে থাকতে হবে, আমার অস্থির পা আছে, বর্তমানে হার্নিয়া (অস্ত্রোপচারের অপেক্ষায়) এবং বছরের পর বছর ধরে হকি খেলার কারণে পিঠ এবং হাঁটুতে ব্যথা হচ্ছে। তাছাড়া"&amp;", প্রয়োজনে আমি এক্সেপশন এবং আইবুপ্রোফেন দিয়ে স্ব-ঔষধ সেবন করেছি। তাছাড়া, আমি সকল ডাক্তার এবং দন্ত চিকিৎসকদের বলেছি যেন তারা আমাকে অভ্যাসগতভাবে তৈরি যেকোনো ওষুধ বা মাদকদ্রব্য থেকে দূরে রাখে। ২ দিন আগে আমার পিসিপি আমাকে গ্যাবাপেন্টিন লিখে দিয়েছিল কারণ আমার"&amp;" টোকোমাক আর মাইগ্রেনের ব্যথায় সাহায্য করছিল না। গতকাল আমি আমার প্রথমটি খেয়েছিলাম, এবং এটি আমাকে পাগল করে তুলেছিল। আজ এটি খেতে আমার ভয় হচ্ছে। গ্যাবাপেন্টিন কি অভ্যাসগত? এটি কি মাদকদ্রব্য? আমার কি চিন্তিত হওয়া উচিত? আমি সবকিছু গুগলে সার্চ করেছি, এবং আমি "&amp;"পরস্পরবিরোধী রিপোর্ট পাচ্ছি, তাই আমি ভেবেছিলাম আমি উৎসের কাছে যাব, যারা আসক্ত।")</f>
        <v>আমার পরিবারের মাদকাসক্তি এবং অ্যালকোহলের অপব্যবহারের ইতিহাস অনেক। আমি ৪৬ বছর বয়সী একজন পুরুষ। আমার কৈশোরের শেষের দিকে, আমি ২০ বছর বয়সে প্রতিদিন ৮ ভাগ আগাছা এবং এক কাপ বিয়ার ধূমপান করতাম (হ্যাঁ, একদিন) এবং এখনও পিটসবার্গের মেলন (সিভিক) এরিনায় HVAC টেকনিশিয়ান হিসেবে চাকরি করতাম। পরিস্থিতি এমন পর্যায়ে পৌঁছেছিল যে, এমনকি এটি আমাকে আমার প্রয়োজনীয় উচ্চতা দিচ্ছিল না। একদিন কাজ শেষ করার পর, আমার এক বন্ধু যখন আমি উত্তেজিত এবং উত্তেজিত ছিলাম তখন আমাকে ডাকাতির চেষ্টা করেছিল। আমি জানতাম যে আমার আগাছা এবং মদ্যপান একটি ভাঙনের পর্যায়ে পৌঁছেছে যখন কাজ শেষ করার পরে আমাকে শান্ত হতে এত সময় লাগছিল এবং লোকেরা ভেবেছিল যে আমি এমন এক পর্যায়ে এসেছি যেখানে তারা আমার উপর আধিপত্য বিস্তার করতে পারে। তাই আমি সবকিছু ঠান্ডা করা বন্ধ করে দিয়েছি। আমি কখনই এমন পরিস্থিতিতে পড়তে চাইনি যেখানে আমার মন পরিষ্কার ছিল না। আমার মাইগ্রেনের ইতিহাস আছে যার আভা এতটাই যে আমাকে অন্ধকার শান্ত ঘরে থাকতে হবে, আমার অস্থির পা আছে, বর্তমানে হার্নিয়া (অস্ত্রোপচারের অপেক্ষায়) এবং বছরের পর বছর ধরে হকি খেলার কারণে পিঠ এবং হাঁটুতে ব্যথা হচ্ছে। তাছাড়া, প্রয়োজনে আমি এক্সেপশন এবং আইবুপ্রোফেন দিয়ে স্ব-ঔষধ সেবন করেছি। তাছাড়া, আমি সকল ডাক্তার এবং দন্ত চিকিৎসকদের বলেছি যেন তারা আমাকে অভ্যাসগতভাবে তৈরি যেকোনো ওষুধ বা মাদকদ্রব্য থেকে দূরে রাখে। ২ দিন আগে আমার পিসিপি আমাকে গ্যাবাপেন্টিন লিখে দিয়েছিল কারণ আমার টোকোমাক আর মাইগ্রেনের ব্যথায় সাহায্য করছিল না। গতকাল আমি আমার প্রথমটি খেয়েছিলাম, এবং এটি আমাকে পাগল করে তুলেছিল। আজ এটি খেতে আমার ভয় হচ্ছে। গ্যাবাপেন্টিন কি অভ্যাসগত? এটি কি মাদকদ্রব্য? আমার কি চিন্তিত হওয়া উচিত? আমি সবকিছু গুগলে সার্চ করেছি, এবং আমি পরস্পরবিরোধী রিপোর্ট পাচ্ছি, তাই আমি ভেবেছিলাম আমি উৎসের কাছে যাব, যারা আসক্ত।</v>
      </c>
    </row>
    <row r="142" spans="1:3" ht="15" x14ac:dyDescent="0.25">
      <c r="A142" s="3" t="s">
        <v>144</v>
      </c>
      <c r="B142" s="3" t="s">
        <v>4</v>
      </c>
      <c r="C142" s="4" t="str">
        <f ca="1">IFERROR(__xludf.DUMMYFUNCTION("GOOGLETRANSLATE(A142, ""auto"", ""bn"")"),"আমার বাবা ধূমপায়ী ছিলেন, কিন্তু আমার ভাই এবং আমার জন্মের পর তিনি তামাক চিবানোর দিকে ঝুঁকে পড়েন, এক নিকোটিন উৎস থেকে অন্য উৎসে চলে যান। কিন্তু এর কয়েক বছর পর, তিনি চুইংগাম চিবানোর দিকে ঝুঁকে পড়েন (সম্ভবত ধাপের মাঝখানে নিকোটিন গাম দিয়ে)। আমি এটা অস্বীক"&amp;"ার করছি না, তামাকের চেয়ে শীতকালীন তাজা চুইংগামে আসক্ত হওয়া অনেক ভালো, কিন্তু আমার মা এবং আমি মনে করি যখন সে আর আসক্তিকর নিকোটিন গ্রহণ বন্ধ করে দেয় তখন আসক্তি কমে যায়, কিন্তু তাকে এখনও সবসময় কিছু না কিছু চিবানোর প্রয়োজন হয়।")</f>
        <v>আমার বাবা ধূমপায়ী ছিলেন, কিন্তু আমার ভাই এবং আমার জন্মের পর তিনি তামাক চিবানোর দিকে ঝুঁকে পড়েন, এক নিকোটিন উৎস থেকে অন্য উৎসে চলে যান। কিন্তু এর কয়েক বছর পর, তিনি চুইংগাম চিবানোর দিকে ঝুঁকে পড়েন (সম্ভবত ধাপের মাঝখানে নিকোটিন গাম দিয়ে)। আমি এটা অস্বীকার করছি না, তামাকের চেয়ে শীতকালীন তাজা চুইংগামে আসক্ত হওয়া অনেক ভালো, কিন্তু আমার মা এবং আমি মনে করি যখন সে আর আসক্তিকর নিকোটিন গ্রহণ বন্ধ করে দেয় তখন আসক্তি কমে যায়, কিন্তু তাকে এখনও সবসময় কিছু না কিছু চিবানোর প্রয়োজন হয়।</v>
      </c>
    </row>
    <row r="143" spans="1:3" ht="15" x14ac:dyDescent="0.25">
      <c r="A143" s="3" t="s">
        <v>145</v>
      </c>
      <c r="B143" s="3" t="s">
        <v>4</v>
      </c>
      <c r="C143" s="4" t="str">
        <f ca="1">IFERROR(__xludf.DUMMYFUNCTION("GOOGLETRANSLATE(A143, ""auto"", ""bn"")"),"সবাইকে নমস্কার! আমার আচরণ সম্পর্কে কিছু স্পষ্টীকরণ প্রয়োজন। আমি বিশ্রাম, মানসিক প্রশান্তি এবং ঘুমিয়ে পড়ার জন্য ব্যথানাশক (অ-ওপিওড) ব্যবহার করি (ঘুম আমার মুক্তির উপায়)। আমি সপ্তাহে দু'বার নিয়মিত এটি ব্যবহার করি। আমি কি এটিকে আসক্তি বলতে পারি? আগাম ধন্"&amp;"যবাদ, আপনাদের সকলের যত্ন নিন :)")</f>
        <v>সবাইকে নমস্কার! আমার আচরণ সম্পর্কে কিছু স্পষ্টীকরণ প্রয়োজন। আমি বিশ্রাম, মানসিক প্রশান্তি এবং ঘুমিয়ে পড়ার জন্য ব্যথানাশক (অ-ওপিওড) ব্যবহার করি (ঘুম আমার মুক্তির উপায়)। আমি সপ্তাহে দু'বার নিয়মিত এটি ব্যবহার করি। আমি কি এটিকে আসক্তি বলতে পারি? আগাম ধন্যবাদ, আপনাদের সকলের যত্ন নিন :)</v>
      </c>
    </row>
    <row r="144" spans="1:3" ht="15" x14ac:dyDescent="0.25">
      <c r="A144" s="3" t="s">
        <v>146</v>
      </c>
      <c r="B144" s="3" t="s">
        <v>4</v>
      </c>
      <c r="C144" s="4" t="str">
        <f ca="1">IFERROR(__xludf.DUMMYFUNCTION("GOOGLETRANSLATE(A144, ""auto"", ""bn"")"),"সেপ্টেম্বর থেকে নিকোটিন বা কোক খাইনি এবং নভেম্বরের শেষের দিক থেকে আগাছা স্পর্শ করিনি, এবং সাধারণত তেমন একটা পান করি না। আমি বর্তমানে লাল রঙের বোতলের তিন-চতুর্থাংশের কাছাকাছি এবং আমি কেবল এটি সম্পূর্ণরূপে পাঠাতে চাই। কোক আমার হাতের কাছে যা-ই আসুক না কেন, ত"&amp;"া ভোঁতা করে দেয়। আমার হেডফোনে বাজানো সঙ্গীত, বাড়ি এবং আমার বন্ধুদের থেকে হাজার হাজার মাইল দূরে। আমার ক্যারিয়ার এবং জীবনের গতিপথ সম্পর্কে যদি আমার ভালো ধারণা থাকত, তাহলে আমি মদ্যপানের ব্যাপারে দুবার ভাবতাম না। কোভিড আমাকে এক ধাপ পিছিয়ে দিয়েছে এবং আমাক"&amp;"ে কয়েকটি মাদক থেকে এক ধাপ পিছিয়ে যেতে হয়েছিল, কিন্তু আমি এখনও সেই অনুভূতি অনুভব করি। এখনও ভারী মদ্যপান করতে চাই। আমি কেবল তাদের সাথে এত খারাপ অভিজ্ঞতা পাইনি, আমার প্রতিরোধ কেবল আমার জীবনের স্থবিরতা এবং সময় নষ্ট করার প্রবণতা। এছাড়াও, পারিবারিক মদ্যপান"&amp;" উদ্বেগের কারণ। আমি নিশ্চিত নই যে আমি সম্পূর্ণরূপে একটি শান্ত জীবনযাপন উপভোগ করতে পারব কিনা। সত্যি বলতে, আমি এখনও পর্যন্ত আমার অভিজ্ঞতা উপভোগ করিনি। আমার চিন্তাভাবনার সমালোচনা করতে দ্বিধা করবেন না, কিন্তু এই মুহূর্তে আমার সবচেয়ে বড় প্রেরণা হল বন্ধুদের স"&amp;"াথে মাদকাসক্তির সাথে মজা করার বৈধতা অনুভব করা। আমি নিজেকে অন্য কোনও উপায়ে অনুপ্রাণিত করতে পারছি না। আমার মনে হয় আমি এমন এক পর্যায়ে পৌঁছেছি যেখানে আমি যেকোনো অনুপ্রেরণাকেই আঁকড়ে ধরব। সত্যি বলতে, আচরণ পরিবর্তনের সীমা কী? আমি প্রতিটি পদার্থ কেটে ফেলতে পা"&amp;"রি, কিন্তু এখনও আমি ঘুরে বেড়াই। যখন আমি আমার সবচেয়ে অবক্ষয়ের পর্যায়ে ছিলাম তখন আমি আমার সবচেয়ে বেশি অর্থ উপার্জন করছিলাম এবং বেশ রাজকীয় বোধ করছিলাম। আমি কোনও দিকনির্দেশনা ছাড়াই অর্ধেক সুস্থ বেকারের মতো নই। যদি এটি পদার্থ না হয় তবে এটি যৌনতা, যদি এ"&amp;"টি যৌনতা না হয় তবে এটি পরিপক্কতা, যেন আমি নিজেকে সবকিছু থেকে বঞ্চিত করতে পারি না, তাই না? অনুচ্ছেদের এই চরম বিশৃঙ্খলার প্রতিক্রিয়া জানাতে যে কারও প্রতি উন্মাদ শ্রদ্ধা।")</f>
        <v>সেপ্টেম্বর থেকে নিকোটিন বা কোক খাইনি এবং নভেম্বরের শেষের দিক থেকে আগাছা স্পর্শ করিনি, এবং সাধারণত তেমন একটা পান করি না। আমি বর্তমানে লাল রঙের বোতলের তিন-চতুর্থাংশের কাছাকাছি এবং আমি কেবল এটি সম্পূর্ণরূপে পাঠাতে চাই। কোক আমার হাতের কাছে যা-ই আসুক না কেন, তা ভোঁতা করে দেয়। আমার হেডফোনে বাজানো সঙ্গীত, বাড়ি এবং আমার বন্ধুদের থেকে হাজার হাজার মাইল দূরে। আমার ক্যারিয়ার এবং জীবনের গতিপথ সম্পর্কে যদি আমার ভালো ধারণা থাকত, তাহলে আমি মদ্যপানের ব্যাপারে দুবার ভাবতাম না। কোভিড আমাকে এক ধাপ পিছিয়ে দিয়েছে এবং আমাকে কয়েকটি মাদক থেকে এক ধাপ পিছিয়ে যেতে হয়েছিল, কিন্তু আমি এখনও সেই অনুভূতি অনুভব করি। এখনও ভারী মদ্যপান করতে চাই। আমি কেবল তাদের সাথে এত খারাপ অভিজ্ঞতা পাইনি, আমার প্রতিরোধ কেবল আমার জীবনের স্থবিরতা এবং সময় নষ্ট করার প্রবণতা। এছাড়াও, পারিবারিক মদ্যপান উদ্বেগের কারণ। আমি নিশ্চিত নই যে আমি সম্পূর্ণরূপে একটি শান্ত জীবনযাপন উপভোগ করতে পারব কিনা। সত্যি বলতে, আমি এখনও পর্যন্ত আমার অভিজ্ঞতা উপভোগ করিনি। আমার চিন্তাভাবনার সমালোচনা করতে দ্বিধা করবেন না, কিন্তু এই মুহূর্তে আমার সবচেয়ে বড় প্রেরণা হল বন্ধুদের সাথে মাদকাসক্তির সাথে মজা করার বৈধতা অনুভব করা। আমি নিজেকে অন্য কোনও উপায়ে অনুপ্রাণিত করতে পারছি না। আমার মনে হয় আমি এমন এক পর্যায়ে পৌঁছেছি যেখানে আমি যেকোনো অনুপ্রেরণাকেই আঁকড়ে ধরব। সত্যি বলতে, আচরণ পরিবর্তনের সীমা কী? আমি প্রতিটি পদার্থ কেটে ফেলতে পারি, কিন্তু এখনও আমি ঘুরে বেড়াই। যখন আমি আমার সবচেয়ে অবক্ষয়ের পর্যায়ে ছিলাম তখন আমি আমার সবচেয়ে বেশি অর্থ উপার্জন করছিলাম এবং বেশ রাজকীয় বোধ করছিলাম। আমি কোনও দিকনির্দেশনা ছাড়াই অর্ধেক সুস্থ বেকারের মতো নই। যদি এটি পদার্থ না হয় তবে এটি যৌনতা, যদি এটি যৌনতা না হয় তবে এটি পরিপক্কতা, যেন আমি নিজেকে সবকিছু থেকে বঞ্চিত করতে পারি না, তাই না? অনুচ্ছেদের এই চরম বিশৃঙ্খলার প্রতিক্রিয়া জানাতে যে কারও প্রতি উন্মাদ শ্রদ্ধা।</v>
      </c>
    </row>
    <row r="145" spans="1:3" ht="15" x14ac:dyDescent="0.25">
      <c r="A145" s="3" t="s">
        <v>147</v>
      </c>
      <c r="B145" s="3" t="s">
        <v>4</v>
      </c>
      <c r="C145" s="4" t="s">
        <v>3016</v>
      </c>
    </row>
    <row r="146" spans="1:3" ht="15" x14ac:dyDescent="0.25">
      <c r="A146" s="3" t="s">
        <v>148</v>
      </c>
      <c r="B146" s="3" t="s">
        <v>4</v>
      </c>
      <c r="C146" s="4" t="str">
        <f ca="1">IFERROR(__xludf.DUMMYFUNCTION("GOOGLETRANSLATE(A146, ""auto"", ""bn"")"),"আমি কিছুদিন ধরে আসক্তির সাথে লড়াই করছি এবং তা কাটিয়ে ওঠার জন্য অনুশীলন করছি কিন্তু আমার আসক্তি কখনও গুরুতর কিছু ছিল না। সম্প্রতি আমি অনেক কষ্ট করছি এবং আমি আরও ভালো বোধ করতে চাই। আমি কৌতূহলী হয়ে আলমারির জিনিসপত্রগুলো ভালো করে দেখলাম এবং অস্ত্রোপচারের আ"&amp;"গে পরিবারের সদস্যদের কাছ থেকে নেওয়া একগুচ্ছ বড়ির বোতল খুঁজে পেলাম।")</f>
        <v>আমি কিছুদিন ধরে আসক্তির সাথে লড়াই করছি এবং তা কাটিয়ে ওঠার জন্য অনুশীলন করছি কিন্তু আমার আসক্তি কখনও গুরুতর কিছু ছিল না। সম্প্রতি আমি অনেক কষ্ট করছি এবং আমি আরও ভালো বোধ করতে চাই। আমি কৌতূহলী হয়ে আলমারির জিনিসপত্রগুলো ভালো করে দেখলাম এবং অস্ত্রোপচারের আগে পরিবারের সদস্যদের কাছ থেকে নেওয়া একগুচ্ছ বড়ির বোতল খুঁজে পেলাম।</v>
      </c>
    </row>
    <row r="147" spans="1:3" ht="15" x14ac:dyDescent="0.25">
      <c r="A147" s="3" t="s">
        <v>149</v>
      </c>
      <c r="B147" s="3" t="s">
        <v>4</v>
      </c>
      <c r="C147" s="4" t="str">
        <f ca="1">IFERROR(__xludf.DUMMYFUNCTION("GOOGLETRANSLATE(A147, ""auto"", ""bn"")"),"আমি যখন ১৭ বছর বয়সে ঘুমের জন্য পপি ব্যবহার করতাম। আমার মা প্রতি রাতে এগুলো ব্যবহার করতেন তাই এটা সহজ ছিল। ১৮ বছর বয়সে আমি বুঝতে পারলাম যে আমি যদি জেগে থাকি তাহলে এগুলো আমার জন্য কতটা ভালো লাগে। তাই, আমি আনন্দের জন্য সপ্তাহে একবার এগুলো ব্যবহার শুরু করি। ত"&amp;"ারপর, আমি বাইরে চলে যাই, এবং আমার বিষণ্ণতা আরও খারাপ হতে থাকে। আমি ""আগামীকাল আমার খাওয়ার কথা ছিল, কিন্তু কাল বাইরে যাচ্ছি তাই আজই ব্যবহার করতে হবে"" এর মতো অজুহাত খুঁজতে শুরু করি। তারপর, আমি বুঝতে পারলাম যে আমি আর থামতে পারছি না। প্রতিদিনই অতিরিক্ত গরম "&amp;"না থাকাটা তুলনামূলকভাবে খারাপ লাগছিল। আমি মূলত প্রতিদিনই অতিরিক্ত গরম থাকতাম এবং বন্ধুদের জন্য ছবি তোলার সময় নিজেকে কেটে ফেলার মতো অনেক বোকামি করতাম। অতিরিক্ত গরমের সময় এটা কোনভাবে যুক্তিসঙ্গত ছিল। তারপর, আমার ভাই মাদকের জন্য জেলে যাওয়ার কারণে আমার মা "&amp;"এগুলো বেশি ব্যবহার শুরু করেছিলেন তাই তার ঘুমের জন্য আরও বেশি প্রয়োজন ছিল। এখন সে আমাকে আর এগুলো পাঠায় না। আমি এক মাসেরও বেশি সময় ধরে একটিও বড়ি ব্যবহার করিনি। আমার বয়স এখন ২০। কিন্তু, এখন আমার মা আবার এগুলো ব্যবহার করেছেন, এবং আমি আজ তাকে দেখতে যাচ্ছি"&amp;"। আমি জানি ওষুধ ছাড়া আমি কতটা সুখী। বিশেষ করে যেহেতু আমি এক মাসেরও বেশি সময় ধরে ওষুধ ছাড়াই আছি। আমার শরীরটা খুব ভালো লাগছে এবং এখনই ভালো সময়, এটা আমার জন্য ভালো। কিন্তু, আজকে নেশায় ডুবে যাওয়ার কথা ভাবলেই মনে হয় যেন আমি এমন এক পুরনো বন্ধুর সাথে দেখা করতে "&amp;"যাচ্ছি যাকে আমি বছরের পর বছর দেখিনি। প্রতি সেকেন্ডে আমি ওষুধের কথা ভাবি, আমার শারীরিকভাবে অসাধারণ অনুভূতি হয়। আমি এক মাস ধরে আমার বন্ধুদের বা কুকুরের সাথেও দেখা করিনি, কিন্তু বন্ধুদের বা কুকুরের চেয়েও বেশি ওষুধ মিস করছি, এটাই আমাকে অসুস্থ করে তোলে।")</f>
        <v>আমি যখন ১৭ বছর বয়সে ঘুমের জন্য পপি ব্যবহার করতাম। আমার মা প্রতি রাতে এগুলো ব্যবহার করতেন তাই এটা সহজ ছিল। ১৮ বছর বয়সে আমি বুঝতে পারলাম যে আমি যদি জেগে থাকি তাহলে এগুলো আমার জন্য কতটা ভালো লাগে। তাই, আমি আনন্দের জন্য সপ্তাহে একবার এগুলো ব্যবহার শুরু করি। তারপর, আমি বাইরে চলে যাই, এবং আমার বিষণ্ণতা আরও খারাপ হতে থাকে। আমি "আগামীকাল আমার খাওয়ার কথা ছিল, কিন্তু কাল বাইরে যাচ্ছি তাই আজই ব্যবহার করতে হবে" এর মতো অজুহাত খুঁজতে শুরু করি। তারপর, আমি বুঝতে পারলাম যে আমি আর থামতে পারছি না। প্রতিদিনই অতিরিক্ত গরম না থাকাটা তুলনামূলকভাবে খারাপ লাগছিল। আমি মূলত প্রতিদিনই অতিরিক্ত গরম থাকতাম এবং বন্ধুদের জন্য ছবি তোলার সময় নিজেকে কেটে ফেলার মতো অনেক বোকামি করতাম। অতিরিক্ত গরমের সময় এটা কোনভাবে যুক্তিসঙ্গত ছিল। তারপর, আমার ভাই মাদকের জন্য জেলে যাওয়ার কারণে আমার মা এগুলো বেশি ব্যবহার শুরু করেছিলেন তাই তার ঘুমের জন্য আরও বেশি প্রয়োজন ছিল। এখন সে আমাকে আর এগুলো পাঠায় না। আমি এক মাসেরও বেশি সময় ধরে একটিও বড়ি ব্যবহার করিনি। আমার বয়স এখন ২০। কিন্তু, এখন আমার মা আবার এগুলো ব্যবহার করেছেন, এবং আমি আজ তাকে দেখতে যাচ্ছি। আমি জানি ওষুধ ছাড়া আমি কতটা সুখী। বিশেষ করে যেহেতু আমি এক মাসেরও বেশি সময় ধরে ওষুধ ছাড়াই আছি। আমার শরীরটা খুব ভালো লাগছে এবং এখনই ভালো সময়, এটা আমার জন্য ভালো। কিন্তু, আজকে নেশায় ডুবে যাওয়ার কথা ভাবলেই মনে হয় যেন আমি এমন এক পুরনো বন্ধুর সাথে দেখা করতে যাচ্ছি যাকে আমি বছরের পর বছর দেখিনি। প্রতি সেকেন্ডে আমি ওষুধের কথা ভাবি, আমার শারীরিকভাবে অসাধারণ অনুভূতি হয়। আমি এক মাস ধরে আমার বন্ধুদের বা কুকুরের সাথেও দেখা করিনি, কিন্তু বন্ধুদের বা কুকুরের চেয়েও বেশি ওষুধ মিস করছি, এটাই আমাকে অসুস্থ করে তোলে।</v>
      </c>
    </row>
    <row r="148" spans="1:3" ht="15" x14ac:dyDescent="0.25">
      <c r="A148" s="3" t="s">
        <v>150</v>
      </c>
      <c r="B148" s="3" t="s">
        <v>4</v>
      </c>
      <c r="C148" s="4" t="str">
        <f ca="1">IFERROR(__xludf.DUMMYFUNCTION("GOOGLETRANSLATE(A148, ""auto"", ""bn"")"),"এটা কোন রকেট সায়েন্স নয়। আমি শুধু ক্লাসিক নেশার পথ বেছে নিয়েছি, যতক্ষণ না এর পরিণতি খুব খারাপ হয়ে যায়। আমি সহানুভূতি খুঁজছি না, আমি শুধু এটা প্রক্রিয়া করার চেষ্টা করছি। আমি যা করেছি তাতে আমি এতটাই বিরক্ত যে আমি এখনও এটি টাইপ করতে পারছি না? কারণ আমি জানি;"&amp;" আমার বুদ্ধিবৃত্তিক দিকটি মূলত আমাকে বলছে যে তুমি এর চেয়ে বেশি ভুল আর করতে পারো না। শুধু নিজেকে আহত করা নয়, বরং অন্যদেরও জীবনব্যাপী সমস্যার মধ্যে ঠেলে দেওয়া।? আমার মনে হয় আমার আবেগগত দিকটি এখনও আশা করছে যে এটি সব ঠিক হয়ে যাবে, কিন্তু তা হবে না, এবার নয"&amp;"়। আমি আগেও ভুল করে থাকতে পারি কিন্তু এটা, ওহ, এটা জঘন্য। ভুল করার অনেক স্তর আছে, এবং এর সম্পূর্ণ পরিধি এখনও প্রকাশ করা হয়নি। আমার কেবল কিছু বিবরণ টাইপ করা উচিত, এটি বেশ অস্পষ্ট হয়ে উঠছে। কমপক্ষে একটি রক্তের STD, হেপাটাইটিসে আক্রান্ত, HIV-তেও ভীত। বিবাহ"&amp;"িত, সংকোচনের সময় গর্ভবতী স্ত্রী, এবং ৪.৫ বছর বয়সী। এটা প্রায় ৬ মাস পরের কথা, কারণ আমার লক্ষণ দেখা যাচ্ছে এবং আমার হেপাটাইটিস পরীক্ষার ফলাফলের জন্য অপেক্ষা করছি। আমি আগেও নিয়মিত যৌন সংক্রামক রোগের জন্য স্ক্রিনিং করেছি। যেমনটা আমি বলেছি, এটা জঘন্য, এবং আ"&amp;"মি কোনও ছোটখাটো তথ্য খুঁজছি না। আমি কেবল এটি প্রক্রিয়া করার জন্য এটি টাইপ করছি। আমি জানি আমি ইতিমধ্যেই কী ধরণের মন্তব্য পাব, কারণ এই ঘটনাগুলির সময় আমি আগেও একই রকম পোস্ট লিখেছিলাম। এবং প্রতিটি মৃত্যু কামনার সাথে আমি সম্পূর্ণ একমত। দুর্ভাগ্যবশত আমি সম্পূ"&amp;"র্ণ আসক্তির ছোঁয়া গ্রহণ করেছিলাম। আমি ভেবেছিলাম যতক্ষণ না আমি পারব ততক্ষণ পর্যন্ত আমি সামলাতে পারব। ভেবেছিলাম যতক্ষণ না আমি নিরাপদ ছিলাম ততক্ষণ পর্যন্ত আমি ভাবলাম। যতক্ষণ না আমি ছিলাম ততক্ষণ পর্যন্ত আমি নিয়ন্ত্রণে ছিলাম। এখন আমি বেশ কয়েকটি জীবনকে বিপদে "&amp;"ফেলেছি, এবং যদি আমি এটি থেকে মুক্তি পেতাম তবে আমি সম্ভবত চালিয়ে যেতাম। আমি আমার স্বামীর মুখের সামনে সরাসরি মিথ্যা বলেছি, যদিও সে মূলত আমাকে ধরে ফেলেছিল। তার অন্ত্র তাকে বলেছিল যে জিনিসগুলি যোগ হচ্ছে না, কিন্তু আমি আমার (মিথ্যা) বর্ণনায় সত্য থেকেছি। এবং "&amp;"এটি সবচেয়ে খারাপ অংশও নয়। আমার নিজের আচরণের কথা চিন্তা করে আমি সম্পূর্ণ স্বার্থপর কাপুরুষ; যদি আমি সত্যিই তাদের সম্পর্কে আমার চেয়ে বেশি চিন্তিত থাকতাম, তাহলে সম্ভাব্য ঝুঁকির আগেই আমি অনেক আগেই পরিষ্কার হয়ে যেতাম। এখন আমি এখনও পরীক্ষার ফলাফলের জন্য অপে"&amp;"ক্ষা করছি, যদিও আমি নিশ্চিত যে এবার এটি কী বলবে, আমার লক্ষণগুলি স্পষ্ট। এটি সংশোধনের বাইরে, এটি সমাধানের জন্য অন্যান্য জীবনকে ঝুঁকির মধ্যে ফেলছে, এবং এটি দুঃখজনক যে আমি ব্যবস্থা গ্রহণ করিনি, আমি ভাল করেই জানি। বিবাহবিচ্ছেদ আসছে এবং আমার পক্ষে একাকী জীবনযা"&amp;"পন করা হচ্ছে। এর পরে আমি কারও মুখোমুখি হতে পারিনি। কিন্তু আমি আমার স্ত্রীর জীবন এবং আমার দুই সন্তানের লালন-পালন নষ্ট করেছি তা আরও খারাপ। আমি বলতে চাইছি, যদি সে আর কখনও আমাকে দেখতে না চায়, বা আমাদের সন্তানদের সাথে আমাকে কিছু করতে না চায় তবে এটি ন্যায্য ব"&amp;"লে মনে হয়। এবং এটি সম্পূর্ণ ব্যথা। এবং তার উপরে, আজীবন দীর্ঘস্থায়ী রোগের একটি বড় ঝুঁকি রয়েছে। আমি যা মাথা ঘামাতে পারি না তা হল আমি কীভাবে এখানে এসেছি। আমি বোকা নই, বিপরীতে, লোকেরা প্রায়শই আমাকে চালাক এবং চিন্তাশীল বলে মনে করে। ছোটবেলায় আমার নীতিবোধ ঠ"&amp;"িকই ছিল, কিন্তু অতীতের দিকে তাকালে আমি দেখতে পাই সময়ের সাথে সাথে এটা ভুল হয়ে গেছে। আর আমার বাবা-মায়ের বিবাহবিচ্ছেদ হওয়া সত্ত্বেও আমার লালন-পালন ভালোভাবেই হয়েছে। আমি ভেবেছিলাম আমি খুব বেশি বুদ্ধিমান, সম্ভবত যৌন রোগে আক্রান্তদের মধ্যে সবচেয়ে খারাপ কিছু ধর"&amp;"তে পারিনি। তার উপর - আমি একজন উচ্চ বিদ্যালয়ের বিজ্ঞান শিক্ষক - আমার ছাত্রদের এই ভুলগুলো না করার শিক্ষা দেওয়ার কথা। আমি আমার ব্যক্তিত্বের এই দিক থেকে এতটাই বিচ্ছিন্ন যে, মনে হয় না যে আমি এই জিনিসগুলো করতে পারব। আমার এই করুণ মনোলোগের অবসান ঘটানো উচিত। যেমনট"&amp;"া আমি বলেছি, এটি সম্ভবত এমন কিছু খারাপ জিনিস যা আপনি অন্য কাউকে দিতে পারেন, আমি ভালো করেই জানি।")</f>
        <v>এটা কোন রকেট সায়েন্স নয়। আমি শুধু ক্লাসিক নেশার পথ বেছে নিয়েছি, যতক্ষণ না এর পরিণতি খুব খারাপ হয়ে যায়। আমি সহানুভূতি খুঁজছি না, আমি শুধু এটা প্রক্রিয়া করার চেষ্টা করছি। আমি যা করেছি তাতে আমি এতটাই বিরক্ত যে আমি এখনও এটি টাইপ করতে পারছি না? কারণ আমি জানি; আমার বুদ্ধিবৃত্তিক দিকটি মূলত আমাকে বলছে যে তুমি এর চেয়ে বেশি ভুল আর করতে পারো না। শুধু নিজেকে আহত করা নয়, বরং অন্যদেরও জীবনব্যাপী সমস্যার মধ্যে ঠেলে দেওয়া।? আমার মনে হয় আমার আবেগগত দিকটি এখনও আশা করছে যে এটি সব ঠিক হয়ে যাবে, কিন্তু তা হবে না, এবার নয়। আমি আগেও ভুল করে থাকতে পারি কিন্তু এটা, ওহ, এটা জঘন্য। ভুল করার অনেক স্তর আছে, এবং এর সম্পূর্ণ পরিধি এখনও প্রকাশ করা হয়নি। আমার কেবল কিছু বিবরণ টাইপ করা উচিত, এটি বেশ অস্পষ্ট হয়ে উঠছে। কমপক্ষে একটি রক্তের STD, হেপাটাইটিসে আক্রান্ত, HIV-তেও ভীত। বিবাহিত, সংকোচনের সময় গর্ভবতী স্ত্রী, এবং ৪.৫ বছর বয়সী। এটা প্রায় ৬ মাস পরের কথা, কারণ আমার লক্ষণ দেখা যাচ্ছে এবং আমার হেপাটাইটিস পরীক্ষার ফলাফলের জন্য অপেক্ষা করছি। আমি আগেও নিয়মিত যৌন সংক্রামক রোগের জন্য স্ক্রিনিং করেছি। যেমনটা আমি বলেছি, এটা জঘন্য, এবং আমি কোনও ছোটখাটো তথ্য খুঁজছি না। আমি কেবল এটি প্রক্রিয়া করার জন্য এটি টাইপ করছি। আমি জানি আমি ইতিমধ্যেই কী ধরণের মন্তব্য পাব, কারণ এই ঘটনাগুলির সময় আমি আগেও একই রকম পোস্ট লিখেছিলাম। এবং প্রতিটি মৃত্যু কামনার সাথে আমি সম্পূর্ণ একমত। দুর্ভাগ্যবশত আমি সম্পূর্ণ আসক্তির ছোঁয়া গ্রহণ করেছিলাম। আমি ভেবেছিলাম যতক্ষণ না আমি পারব ততক্ষণ পর্যন্ত আমি সামলাতে পারব। ভেবেছিলাম যতক্ষণ না আমি নিরাপদ ছিলাম ততক্ষণ পর্যন্ত আমি ভাবলাম। যতক্ষণ না আমি ছিলাম ততক্ষণ পর্যন্ত আমি নিয়ন্ত্রণে ছিলাম। এখন আমি বেশ কয়েকটি জীবনকে বিপদে ফেলেছি, এবং যদি আমি এটি থেকে মুক্তি পেতাম তবে আমি সম্ভবত চালিয়ে যেতাম। আমি আমার স্বামীর মুখের সামনে সরাসরি মিথ্যা বলেছি, যদিও সে মূলত আমাকে ধরে ফেলেছিল। তার অন্ত্র তাকে বলেছিল যে জিনিসগুলি যোগ হচ্ছে না, কিন্তু আমি আমার (মিথ্যা) বর্ণনায় সত্য থেকেছি। এবং এটি সবচেয়ে খারাপ অংশও নয়। আমার নিজের আচরণের কথা চিন্তা করে আমি সম্পূর্ণ স্বার্থপর কাপুরুষ; যদি আমি সত্যিই তাদের সম্পর্কে আমার চেয়ে বেশি চিন্তিত থাকতাম, তাহলে সম্ভাব্য ঝুঁকির আগেই আমি অনেক আগেই পরিষ্কার হয়ে যেতাম। এখন আমি এখনও পরীক্ষার ফলাফলের জন্য অপেক্ষা করছি, যদিও আমি নিশ্চিত যে এবার এটি কী বলবে, আমার লক্ষণগুলি স্পষ্ট। এটি সংশোধনের বাইরে, এটি সমাধানের জন্য অন্যান্য জীবনকে ঝুঁকির মধ্যে ফেলছে, এবং এটি দুঃখজনক যে আমি ব্যবস্থা গ্রহণ করিনি, আমি ভাল করেই জানি। বিবাহবিচ্ছেদ আসছে এবং আমার পক্ষে একাকী জীবনযাপন করা হচ্ছে। এর পরে আমি কারও মুখোমুখি হতে পারিনি। কিন্তু আমি আমার স্ত্রীর জীবন এবং আমার দুই সন্তানের লালন-পালন নষ্ট করেছি তা আরও খারাপ। আমি বলতে চাইছি, যদি সে আর কখনও আমাকে দেখতে না চায়, বা আমাদের সন্তানদের সাথে আমাকে কিছু করতে না চায় তবে এটি ন্যায্য বলে মনে হয়। এবং এটি সম্পূর্ণ ব্যথা। এবং তার উপরে, আজীবন দীর্ঘস্থায়ী রোগের একটি বড় ঝুঁকি রয়েছে। আমি যা মাথা ঘামাতে পারি না তা হল আমি কীভাবে এখানে এসেছি। আমি বোকা নই, বিপরীতে, লোকেরা প্রায়শই আমাকে চালাক এবং চিন্তাশীল বলে মনে করে। ছোটবেলায় আমার নীতিবোধ ঠিকই ছিল, কিন্তু অতীতের দিকে তাকালে আমি দেখতে পাই সময়ের সাথে সাথে এটা ভুল হয়ে গেছে। আর আমার বাবা-মায়ের বিবাহবিচ্ছেদ হওয়া সত্ত্বেও আমার লালন-পালন ভালোভাবেই হয়েছে। আমি ভেবেছিলাম আমি খুব বেশি বুদ্ধিমান, সম্ভবত যৌন রোগে আক্রান্তদের মধ্যে সবচেয়ে খারাপ কিছু ধরতে পারিনি। তার উপর - আমি একজন উচ্চ বিদ্যালয়ের বিজ্ঞান শিক্ষক - আমার ছাত্রদের এই ভুলগুলো না করার শিক্ষা দেওয়ার কথা। আমি আমার ব্যক্তিত্বের এই দিক থেকে এতটাই বিচ্ছিন্ন যে, মনে হয় না যে আমি এই জিনিসগুলো করতে পারব। আমার এই করুণ মনোলোগের অবসান ঘটানো উচিত। যেমনটা আমি বলেছি, এটি সম্ভবত এমন কিছু খারাপ জিনিস যা আপনি অন্য কাউকে দিতে পারেন, আমি ভালো করেই জানি।</v>
      </c>
    </row>
    <row r="149" spans="1:3" ht="15" x14ac:dyDescent="0.25">
      <c r="A149" s="3" t="s">
        <v>151</v>
      </c>
      <c r="B149" s="3" t="s">
        <v>4</v>
      </c>
      <c r="C149" s="4" t="str">
        <f ca="1">IFERROR(__xludf.DUMMYFUNCTION("GOOGLETRANSLATE(A149, ""auto"", ""bn"")"),"আমি জানতাম তাদের নেশা/মাদকদ্রব্যের অপব্যবহারের ইতিহাস ছিল এবং তারা সুস্থ হয়ে উঠেছে। অন্যদিন জানতে পারলাম যে তারা কয়েক মাস ধরে আমার কাছ থেকে তাদের বর্তমান অসুস্থতা লুকাচ্ছে। গত মাসে আমাকে তাদের ৪ বার জরুরি বিভাগে নিয়ে যেতে হয়েছে। সম্প্রতি তাদের একটি দী"&amp;"র্ঘস্থায়ী ব্যাধি ধরা পড়েছে, এবং আমরা ভেবেছিলাম যে এটিই এই ঘটনাগুলির কারণ। আমরা এমনকি এক পর্যায়ে উভয়েই ধারণা করেছিলাম যে এটি একটি খুব গুরুতর এবং মারাত্মক রোগ হতে পারে এবং পরীক্ষা করার জন্য বিশেষজ্ঞদের সাহায্য চেয়েছিলাম। আমরা যে জরুরি বিভাগে গিয়েছিলাম"&amp;", যেখানে আমরা দুবার গিয়েছিলাম, তার মধ্যে একটি খুব খারাপ ছিল এবং আমাদের কোনও তথ্য দেয়নি। তারা কেবল তাদের তরল সরবরাহ করে বাড়িতে পাঠিয়ে দেয়। তৃতীয় হাসপাতালে ভর্তি হওয়ার আগে তারা আমাদের বলেছিল ""আরে... তুমি অত্যন্ত মাতাল এবং এটি তোমার দীর্ঘস্থায়ী অসুস"&amp;"্থতাকে আরও বাড়িয়ে তুলতে পারে""। এটা আমাকে অবাক করে দিয়েছিল কারণ হাসপাতালে যাওয়ার পথে আমি তাদের জিজ্ঞাসা করেছিলাম যে আজ রাতে তাদের কাছে কিছু পান করার আছে কিনা, এবং তারা বলেছিল না, এবং আমি তাদের বিশ্বাস করেছিলাম কারণ আমি সারা রাত তাদের আশেপাশে ছিলাম এবং"&amp;" তাদের এক ফোঁটাও মদ পান করতে দেখিনি। নার্স যখন আমাদের এই কথা বললো তখন আমার খুব সন্দেহ হয়ে গেল কিন্তু মনে হলো আমি অতিরিক্ত চিন্তা করছি। আমরা রাজি হলাম: আর কোনও মদ খাবো না। আমি তাদের উপর ভালোভাবে নজর রাখতে নিশ্চিত হয়েছিলাম, যাতে নিশ্চিত হতে পারি যে তারা মদ"&amp;"্যপান করছে না, এবং কয়েক সপ্তাহ ধরে মনে হচ্ছিল যে তারা তাদের প্রতিশ্রুতি পূরণ করছে। এর পরে তাদের কয়েকটি হালকা ""পর্ব"" হয়েছিল যা তাদের দীর্ঘস্থায়ী অসুস্থতার সাথে মিলে যায়। এবং সেই ছোট পর্বগুলির সময়, তারা আমাকে বলেছিল যে তাদের পান করার মতো কিছুই নেই এ"&amp;"বং আমি তাদের বিশ্বাস করেছিলাম কারণ, আবার, আমি তাদের আশেপাশে ছিলাম এবং তাদের একেবারেই পান করতে দেখিনি। তারপর অন্য দিন আমাদের আবার তাদের জরুরি বিভাগে নিয়ে যেতে হয়েছিল। আমি খুব বেশি ভীত ছিলাম। আমরা যে বিশেষজ্ঞের সাথে দেখা করছিলাম তার কাছ থেকে আমরা আসলে কিছ"&amp;"ু নিশ্চিত পাইনি, এবং আমি ভেবেছিলাম সবচেয়ে খারাপ ঘটতে চলেছে; তারা মারা যাবে। আমি তাদের হাসপাতাল থেকে তুলে নিয়ে আবার জিজ্ঞাসা করলাম, ""আজ রাতে কি তুমি মদ্যপান করেছ?"" এবং তারা আমাকে ""না"" বলল। আমরা যখন বাড়ি ফিরে এলাম, তখন আমি লক্ষ্য করলাম তারা অদ্ভুত কিছু"&amp;" করেছে: তারা আমাদের দ্বিতীয় বাথরুমে ঢুকেছে, যা আমি আগে কখনও ব্যবহার করতে দেখিনি। যখন তারা বেরিয়ে এলো, তখন আমি ভেতরে গেলাম, দ্রুত তল্লাশি করে দেখলাম, এবং একটি ড্রয়ারে লুকিয়ে রাখা ভদকার বিশাল বোতল দেখতে পেলাম। আমি তাদের সাথে এই বিষয়ে কথা বললাম, এবং অবশেষে ত"&amp;"ারা স্বীকার করল যে তারা গত কয়েক মাস ধরে প্রচুর পরিমাণে মদ্যপান করছে, গোপনে এবং অবিশ্বাস্যভাবে জটিলভাবে, এবং ঘটনাক্রমে, এবং বৈধভাবে, এটি লুকানোর জন্য তাদের একটি দীর্ঘস্থায়ী ব্যাধি ধরা পড়েছে। আমি তাদের বাবা-মাকে ফোন করেছিলাম, এবং আমরা সকলেই একটি পুনর্বাসন"&amp;" কেন্দ্রে অ্যাপয়েন্টমেন্টের ব্যবস্থা করেছিলাম। তদুপরি, আমি এই বিস্তৃত বিশ্বাসঘাতকতা বা মিথ্যাচার এবং কারসাজিতে এমনকি রাগও করিনি। তদুপরি, আমি কেবল বৈধভাবে ভীত, বিরক্ত এবং চিন্তিত ছিলাম, এবং আছি। তদুপরি, আমি আজ তাদের রেখে এসেছি এবং যদিও আমি খুশি যে তারা সা"&amp;"হায্য চাইতে রাজি হয়েছে, তবুও আমি বেশিরভাগ সময় মনে করি যে আমি এখনও হতবাক, এবং এটি আমাকে এখনও সত্যিই আঘাত করেনি। তাছাড়া, মাদকাসক্তি এবং আসক্তির সাথে আমার নিজস্ব সংগ্রাম এবং ইতিহাস আছে, তাই আমি বুঝতে পারি এবং সাহায্য করতে চাই। তাছাড়া, আমি নিজেকে ঘৃণা করি ক"&amp;"ারণ আমি এটা আগে থেকে বুঝতে পারিনি/খেয়াল করিনি। তারা সাধারণত মিথ্যা বলার বা কৌশল অবলম্বন করার মতো ব্যক্তি নয়, তাই আমি তাদের যা বলেছি তা বিশ্বাস করেছিলাম। তারা হয়তো ৩ মাস পুনর্বাসনে থাকবে এবং কোভিডের কারণে আমি এবং আমার পরিবারে কেউ দেখা করতে পারবে না কারণ"&amp;" আমি সব দিক থেকেই ক্লান্ত বোধ করছি। আমি জানি তারা ভালো হাতে আছে, কিন্তু আমি হতবাক যে এটি এতদূর গেছে/এত খারাপ হয়ে গেছে। তারা আমার দেখা সবচেয়ে ভালো, মিষ্টি এবং সবচেয়ে নিঃস্বার্থ ব্যক্তিদের মধ্যে একজন, এবং আমি কেবল চাই তারা যেন ভালো থাকে।")</f>
        <v>আমি জানতাম তাদের নেশা/মাদকদ্রব্যের অপব্যবহারের ইতিহাস ছিল এবং তারা সুস্থ হয়ে উঠেছে। অন্যদিন জানতে পারলাম যে তারা কয়েক মাস ধরে আমার কাছ থেকে তাদের বর্তমান অসুস্থতা লুকাচ্ছে। গত মাসে আমাকে তাদের ৪ বার জরুরি বিভাগে নিয়ে যেতে হয়েছে। সম্প্রতি তাদের একটি দীর্ঘস্থায়ী ব্যাধি ধরা পড়েছে, এবং আমরা ভেবেছিলাম যে এটিই এই ঘটনাগুলির কারণ। আমরা এমনকি এক পর্যায়ে উভয়েই ধারণা করেছিলাম যে এটি একটি খুব গুরুতর এবং মারাত্মক রোগ হতে পারে এবং পরীক্ষা করার জন্য বিশেষজ্ঞদের সাহায্য চেয়েছিলাম। আমরা যে জরুরি বিভাগে গিয়েছিলাম, যেখানে আমরা দুবার গিয়েছিলাম, তার মধ্যে একটি খুব খারাপ ছিল এবং আমাদের কোনও তথ্য দেয়নি। তারা কেবল তাদের তরল সরবরাহ করে বাড়িতে পাঠিয়ে দেয়। তৃতীয় হাসপাতালে ভর্তি হওয়ার আগে তারা আমাদের বলেছিল "আরে... তুমি অত্যন্ত মাতাল এবং এটি তোমার দীর্ঘস্থায়ী অসুস্থতাকে আরও বাড়িয়ে তুলতে পারে"। এটা আমাকে অবাক করে দিয়েছিল কারণ হাসপাতালে যাওয়ার পথে আমি তাদের জিজ্ঞাসা করেছিলাম যে আজ রাতে তাদের কাছে কিছু পান করার আছে কিনা, এবং তারা বলেছিল না, এবং আমি তাদের বিশ্বাস করেছিলাম কারণ আমি সারা রাত তাদের আশেপাশে ছিলাম এবং তাদের এক ফোঁটাও মদ পান করতে দেখিনি। নার্স যখন আমাদের এই কথা বললো তখন আমার খুব সন্দেহ হয়ে গেল কিন্তু মনে হলো আমি অতিরিক্ত চিন্তা করছি। আমরা রাজি হলাম: আর কোনও মদ খাবো না। আমি তাদের উপর ভালোভাবে নজর রাখতে নিশ্চিত হয়েছিলাম, যাতে নিশ্চিত হতে পারি যে তারা মদ্যপান করছে না, এবং কয়েক সপ্তাহ ধরে মনে হচ্ছিল যে তারা তাদের প্রতিশ্রুতি পূরণ করছে। এর পরে তাদের কয়েকটি হালকা "পর্ব" হয়েছিল যা তাদের দীর্ঘস্থায়ী অসুস্থতার সাথে মিলে যায়। এবং সেই ছোট পর্বগুলির সময়, তারা আমাকে বলেছিল যে তাদের পান করার মতো কিছুই নেই এবং আমি তাদের বিশ্বাস করেছিলাম কারণ, আবার, আমি তাদের আশেপাশে ছিলাম এবং তাদের একেবারেই পান করতে দেখিনি। তারপর অন্য দিন আমাদের আবার তাদের জরুরি বিভাগে নিয়ে যেতে হয়েছিল। আমি খুব বেশি ভীত ছিলাম। আমরা যে বিশেষজ্ঞের সাথে দেখা করছিলাম তার কাছ থেকে আমরা আসলে কিছু নিশ্চিত পাইনি, এবং আমি ভেবেছিলাম সবচেয়ে খারাপ ঘটতে চলেছে; তারা মারা যাবে। আমি তাদের হাসপাতাল থেকে তুলে নিয়ে আবার জিজ্ঞাসা করলাম, "আজ রাতে কি তুমি মদ্যপান করেছ?" এবং তারা আমাকে "না" বলল। আমরা যখন বাড়ি ফিরে এলাম, তখন আমি লক্ষ্য করলাম তারা অদ্ভুত কিছু করেছে: তারা আমাদের দ্বিতীয় বাথরুমে ঢুকেছে, যা আমি আগে কখনও ব্যবহার করতে দেখিনি। যখন তারা বেরিয়ে এলো, তখন আমি ভেতরে গেলাম, দ্রুত তল্লাশি করে দেখলাম, এবং একটি ড্রয়ারে লুকিয়ে রাখা ভদকার বিশাল বোতল দেখতে পেলাম। আমি তাদের সাথে এই বিষয়ে কথা বললাম, এবং অবশেষে তারা স্বীকার করল যে তারা গত কয়েক মাস ধরে প্রচুর পরিমাণে মদ্যপান করছে, গোপনে এবং অবিশ্বাস্যভাবে জটিলভাবে, এবং ঘটনাক্রমে, এবং বৈধভাবে, এটি লুকানোর জন্য তাদের একটি দীর্ঘস্থায়ী ব্যাধি ধরা পড়েছে। আমি তাদের বাবা-মাকে ফোন করেছিলাম, এবং আমরা সকলেই একটি পুনর্বাসন কেন্দ্রে অ্যাপয়েন্টমেন্টের ব্যবস্থা করেছিলাম। তদুপরি, আমি এই বিস্তৃত বিশ্বাসঘাতকতা বা মিথ্যাচার এবং কারসাজিতে এমনকি রাগও করিনি। তদুপরি, আমি কেবল বৈধভাবে ভীত, বিরক্ত এবং চিন্তিত ছিলাম, এবং আছি। তদুপরি, আমি আজ তাদের রেখে এসেছি এবং যদিও আমি খুশি যে তারা সাহায্য চাইতে রাজি হয়েছে, তবুও আমি বেশিরভাগ সময় মনে করি যে আমি এখনও হতবাক, এবং এটি আমাকে এখনও সত্যিই আঘাত করেনি। তাছাড়া, মাদকাসক্তি এবং আসক্তির সাথে আমার নিজস্ব সংগ্রাম এবং ইতিহাস আছে, তাই আমি বুঝতে পারি এবং সাহায্য করতে চাই। তাছাড়া, আমি নিজেকে ঘৃণা করি কারণ আমি এটা আগে থেকে বুঝতে পারিনি/খেয়াল করিনি। তারা সাধারণত মিথ্যা বলার বা কৌশল অবলম্বন করার মতো ব্যক্তি নয়, তাই আমি তাদের যা বলেছি তা বিশ্বাস করেছিলাম। তারা হয়তো ৩ মাস পুনর্বাসনে থাকবে এবং কোভিডের কারণে আমি এবং আমার পরিবারে কেউ দেখা করতে পারবে না কারণ আমি সব দিক থেকেই ক্লান্ত বোধ করছি। আমি জানি তারা ভালো হাতে আছে, কিন্তু আমি হতবাক যে এটি এতদূর গেছে/এত খারাপ হয়ে গেছে। তারা আমার দেখা সবচেয়ে ভালো, মিষ্টি এবং সবচেয়ে নিঃস্বার্থ ব্যক্তিদের মধ্যে একজন, এবং আমি কেবল চাই তারা যেন ভালো থাকে।</v>
      </c>
    </row>
    <row r="150" spans="1:3" ht="15" x14ac:dyDescent="0.25">
      <c r="A150" s="3" t="s">
        <v>152</v>
      </c>
      <c r="B150" s="3" t="s">
        <v>4</v>
      </c>
      <c r="C150" s="4" t="str">
        <f ca="1">IFERROR(__xludf.DUMMYFUNCTION("GOOGLETRANSLATE(A150, ""auto"", ""bn"")"),"আমার সত্যিই মনে নেই, আমি ড্রাগ টেস্টে পাশ করার জন্য একটা ছোট বিরতি নিয়েছিলাম এবং সেটা ছিল বুধবার। পরীক্ষার পর আমি চলে গেলাম এবং গীক হয়ে গেলাম। সপ্তাহটা ছিল একটা অদ্ভুত ব্যাপার। আমি জানি আমি সকাল ৮টার পরে একটু ঘুমিয়েছিলাম এবং ৫টা পর্যন্ত ঘুমিয়েছিলাম। ত"&amp;"ারপর আবার গীক হয়ে গেলাম। পরিবারের কারণে আমি এখনও ঘুমাতে পারছি না। আমি জানি না কেন আমি নিজের সাথে এমন করেছি। তাছাড়া, আমাকে কমপক্ষে ৫ ঘন্টা জেগে থাকতে হবে। তাছাড়া, আমি জানি না আমি পারব কিনা। শুরুটা শ্রবণশক্তির মাধুর্য এবং তারপর কিছুটা বাস্তব দৃশ্যমান মাধুর"&amp;"্যের সাথে, যদিও খুব বেশি পাগলামি নেই। আমার পরিবার আমার সাথে থাকায় আমাকে শান্ত থাকতে হয়েছে। আজ রাতে আমাকে ঘুমাতে সাহায্য করার জন্য কেউ আসছে, কিন্তু তা প্রায় ৫ ঘন্টার মধ্যে। তাছাড়া, আমি প্রায় এক ঘন্টা আগে দুটি ৫ ঘন্টার শক্তি পান করি, কিন্তু এখন আমার শরী"&amp;"র সত্যিই উচ্চ বোধ করছে, এবং আমি কাঁপতে পারছি না। এটি আমার নেওয়া সবচেয়ে বোকামিপূর্ণ সিদ্ধান্ত হতে পারে। আমাকে আমার মাদকাসক্ত বন্ধুদের ত্যাগ করতে হবে। আমি দাঁড়িয়ে থাকার চেষ্টা করছি এবং ছোট ছোট বিরতি নিচ্ছি এমন একটা জায়গায় বসে/বসে থাকার জন্য যেখানে আমি ধাক"&amp;"্কা খেতে পারি না। প্রতিবার যখনই আমি ২ দিনের বেশি জেগে থাকি, তখনই আমার অডিটোরিয়ামের হ্যালুসিনেশনগুলো শুরু হয়, আর সেগুলো আমাকে সত্যিই ভয় পাইয়ে দেয়। এবার সেগুলো এত বাস্তব শোনাচ্ছে। আমি কেবল এমন গান শুনতে থাকি যেগুলো মাঝে মাঝে আমার কাছে এমন কিছু গানের মতো মনে"&amp;" হয় যা আমি আগে কখনও শুনিনি বা ভাবিনি। আর মাত্র ৫ ঘন্টা।")</f>
        <v>আমার সত্যিই মনে নেই, আমি ড্রাগ টেস্টে পাশ করার জন্য একটা ছোট বিরতি নিয়েছিলাম এবং সেটা ছিল বুধবার। পরীক্ষার পর আমি চলে গেলাম এবং গীক হয়ে গেলাম। সপ্তাহটা ছিল একটা অদ্ভুত ব্যাপার। আমি জানি আমি সকাল ৮টার পরে একটু ঘুমিয়েছিলাম এবং ৫টা পর্যন্ত ঘুমিয়েছিলাম। তারপর আবার গীক হয়ে গেলাম। পরিবারের কারণে আমি এখনও ঘুমাতে পারছি না। আমি জানি না কেন আমি নিজের সাথে এমন করেছি। তাছাড়া, আমাকে কমপক্ষে ৫ ঘন্টা জেগে থাকতে হবে। তাছাড়া, আমি জানি না আমি পারব কিনা। শুরুটা শ্রবণশক্তির মাধুর্য এবং তারপর কিছুটা বাস্তব দৃশ্যমান মাধুর্যের সাথে, যদিও খুব বেশি পাগলামি নেই। আমার পরিবার আমার সাথে থাকায় আমাকে শান্ত থাকতে হয়েছে। আজ রাতে আমাকে ঘুমাতে সাহায্য করার জন্য কেউ আসছে, কিন্তু তা প্রায় ৫ ঘন্টার মধ্যে। তাছাড়া, আমি প্রায় এক ঘন্টা আগে দুটি ৫ ঘন্টার শক্তি পান করি, কিন্তু এখন আমার শরীর সত্যিই উচ্চ বোধ করছে, এবং আমি কাঁপতে পারছি না। এটি আমার নেওয়া সবচেয়ে বোকামিপূর্ণ সিদ্ধান্ত হতে পারে। আমাকে আমার মাদকাসক্ত বন্ধুদের ত্যাগ করতে হবে। আমি দাঁড়িয়ে থাকার চেষ্টা করছি এবং ছোট ছোট বিরতি নিচ্ছি এমন একটা জায়গায় বসে/বসে থাকার জন্য যেখানে আমি ধাক্কা খেতে পারি না। প্রতিবার যখনই আমি ২ দিনের বেশি জেগে থাকি, তখনই আমার অডিটোরিয়ামের হ্যালুসিনেশনগুলো শুরু হয়, আর সেগুলো আমাকে সত্যিই ভয় পাইয়ে দেয়। এবার সেগুলো এত বাস্তব শোনাচ্ছে। আমি কেবল এমন গান শুনতে থাকি যেগুলো মাঝে মাঝে আমার কাছে এমন কিছু গানের মতো মনে হয় যা আমি আগে কখনও শুনিনি বা ভাবিনি। আর মাত্র ৫ ঘন্টা।</v>
      </c>
    </row>
    <row r="151" spans="1:3" ht="15" x14ac:dyDescent="0.25">
      <c r="A151" s="3" t="s">
        <v>153</v>
      </c>
      <c r="B151" s="3" t="s">
        <v>4</v>
      </c>
      <c r="C151" s="4" t="str">
        <f ca="1">IFERROR(__xludf.DUMMYFUNCTION("GOOGLETRANSLATE(A151, ""auto"", ""bn"")"),"তাই আমরা এক বছরেরও কম সময় আগে এই চমৎকার ভবনে চলে এসেছি, এবং এটি নরক ছাড়া আর কিছুই নয়। সবচেয়ে খারাপ দিক হল আমাদের ব্যবস্থাপনা কর্তৃপক্ষ এমনভাবে জিনিসপত্র ঝেড়ে ফেলে যেন তাদের অস্তিত্বই নেই। আমাদের সামনে অনেক লোক থাকে, এবং তারা কোন না কোন ধরণের পদার্থ ধ"&amp;"ূমপান করে, আমরা নিশ্চিত নই যে এটি কী। দুর্গন্ধ ভোর ১টা থেকে সকাল ৮টা পর্যন্ত, ব্যবস্থাপনা অফিস খোলার ঠিক আগে। এটি আমাদের সারা রাত জাগিয়ে রাখে এবং আমাদের মাথাব্যথা করে। সত্যি বলতে, আমি যখন গন্ধ পাই তখন আমি কিছুই ভাবতে বা করতে পারি না, এটি এতটাই খারাপ। গন্"&amp;"ধ সিগারেট বা খাবারের মতো নয়। আমি মাঝে মাঝে আগাছার গন্ধ পাই, কিন্তু তাও তা নয়। সংক্ষেপে, আমরা কর্তৃপক্ষকে বারবার এটি সম্পর্কে বলেছি, এবং তারা আমাদের বিশ্বাস করবে না। মনে হচ্ছে তারা এটিকে ঢেকে রাখার চেষ্টা করছে বা অন্য কিছু। তারা আমাদের বারবার বলছে যে তার"&amp;"া সকালে এর গন্ধ পায় না, এবং তারা ফিল্টার পরিবর্তন করেছে, এবং তারা এতে কিছুই খুঁজে পায়নি। একবার আমরা পুলিশকে ফোন করেছিলাম, ভোর ৩টার দিকে, অফিসার দরজায় কড়া নাড়লেন না, কারণ দেরি হয়ে গিয়েছিল। এবং আমাদের বললেন ম্যানেজমেন্টের সাথে যোগাযোগ করতে। আমরা পাগল"&amp;" হয়ে যাচ্ছি। তারা কীভাবে এভাবে পার পেয়ে যেতে পারে? আর আপনি কীভাবে ম্যানেজারের কাছে এটি প্রমাণ করবেন, অথবা তারা এটি সম্পর্কে জানে এবং এটি ধামাচাপা দেওয়ার চেষ্টা করছে?")</f>
        <v>তাই আমরা এক বছরেরও কম সময় আগে এই চমৎকার ভবনে চলে এসেছি, এবং এটি নরক ছাড়া আর কিছুই নয়। সবচেয়ে খারাপ দিক হল আমাদের ব্যবস্থাপনা কর্তৃপক্ষ এমনভাবে জিনিসপত্র ঝেড়ে ফেলে যেন তাদের অস্তিত্বই নেই। আমাদের সামনে অনেক লোক থাকে, এবং তারা কোন না কোন ধরণের পদার্থ ধূমপান করে, আমরা নিশ্চিত নই যে এটি কী। দুর্গন্ধ ভোর ১টা থেকে সকাল ৮টা পর্যন্ত, ব্যবস্থাপনা অফিস খোলার ঠিক আগে। এটি আমাদের সারা রাত জাগিয়ে রাখে এবং আমাদের মাথাব্যথা করে। সত্যি বলতে, আমি যখন গন্ধ পাই তখন আমি কিছুই ভাবতে বা করতে পারি না, এটি এতটাই খারাপ। গন্ধ সিগারেট বা খাবারের মতো নয়। আমি মাঝে মাঝে আগাছার গন্ধ পাই, কিন্তু তাও তা নয়। সংক্ষেপে, আমরা কর্তৃপক্ষকে বারবার এটি সম্পর্কে বলেছি, এবং তারা আমাদের বিশ্বাস করবে না। মনে হচ্ছে তারা এটিকে ঢেকে রাখার চেষ্টা করছে বা অন্য কিছু। তারা আমাদের বারবার বলছে যে তারা সকালে এর গন্ধ পায় না, এবং তারা ফিল্টার পরিবর্তন করেছে, এবং তারা এতে কিছুই খুঁজে পায়নি। একবার আমরা পুলিশকে ফোন করেছিলাম, ভোর ৩টার দিকে, অফিসার দরজায় কড়া নাড়লেন না, কারণ দেরি হয়ে গিয়েছিল। এবং আমাদের বললেন ম্যানেজমেন্টের সাথে যোগাযোগ করতে। আমরা পাগল হয়ে যাচ্ছি। তারা কীভাবে এভাবে পার পেয়ে যেতে পারে? আর আপনি কীভাবে ম্যানেজারের কাছে এটি প্রমাণ করবেন, অথবা তারা এটি সম্পর্কে জানে এবং এটি ধামাচাপা দেওয়ার চেষ্টা করছে?</v>
      </c>
    </row>
    <row r="152" spans="1:3" ht="15" x14ac:dyDescent="0.25">
      <c r="A152" s="3" t="s">
        <v>154</v>
      </c>
      <c r="B152" s="3" t="s">
        <v>4</v>
      </c>
      <c r="C152" s="4" t="str">
        <f ca="1">IFERROR(__xludf.DUMMYFUNCTION("GOOGLETRANSLATE(A152, ""auto"", ""bn"")"),"হ্যালো ২৫(এম) ক্যাম সাইট নিয়ে আমার একটা সমস্যা আছে। ১৪ বছর বয়স থেকেই আমি পর্ণ দিয়ে কাজ শুরু করেছিলাম এবং অবশেষে একটা অ্যাডের মাধ্যমে ক্যাম সাইট ব্যবহার শুরু করি। আমার বয়স যখন মাত্র ১৩ বা ১৪ বছর তখন এটা (ভুল) হয়, কিন্তু এটাই সত্যি। আমি মাঝে মাঝে টাকা খরচ "&amp;"করি। অনেক সময় অনেক অপরাধবোধ এবং লজ্জা লাগত যখন আমি ""শেষ"" করতাম? তারপর আমি কিছু সময়ের জন্য কাজ ছেড়ে দিতাম কিন্তু কোন বোকামিপূর্ণ কারণে আমি সবসময় সেগুলোর কাছে ফিরে আসি। আমার জীবনে এমন কিছু সময় আসে যখন আমি অনেক দিন ধরে সাইটগুলো ব্যবহার করিনি, কিন্তু মনে"&amp;" হয় কোনো না কোনো কারণে আমি কঠিন সময়ে সেগুলোর কাছে ফিরে যাই। এই সমস্যা আমার সারা জীবন ধরে বারবার আসছে। আমি এই গ্রহের সবচেয়ে সুন্দরী মেয়ের সাথে একটি সুন্দর সম্পর্কে আছি। সে সত্যিই আমার যা প্রয়োজন তার সবকিছু। আমরা প্রেমিক, বন্ধু, সেরা বন্ধু এবং সবাই একসাথে।"&amp;" আমাদের সম্পর্কের ক্ষেত্রেও উত্থান-পতন ছিল, যেমনটা বেশিরভাগ মানুষেরই হয়। কিছু কঠিন এবং কঠিন জিনিস, কিন্তু আমরা সবসময় সবকিছু সমাধান করতে পেরেছি। সম্পর্কের ২-২.৫ বছর পর, কোনও কারণে, আমি আবার সেইসব ক্যাম সাইটগুলিতে ফিরে আসি, ডোপামিনের উন্মাদনার জন্য। আমার স"&amp;"ম্পর্ক শেষ হওয়ার পরের মুহূর্তগুলিতে আমার খুব খারাপ লাগছিল। আমি নিজেকে বোকা বোকা অজুহাত দেওয়ার চেষ্টা করেছিলাম যে এটি কেবল ""পর্নের মতো?"" অথবা পরিচিত কিছু। কিন্তু আসলে তা নয়। আমি বুঝতে পারি না, আমাদের সম্পর্কের মধ্যে কোনও ভুল নেই, সে সুন্দরী এবং আমি প্"&amp;"রতিটি উপায়ে (আবেগগত এবং যৌনভাবে) সন্তুষ্ট যে আমরা দুর্দান্ত যৌনতা করেছি। এর সাথে তার কোনও সম্পর্ক নেই বা সম্পর্কের মধ্যে কিছু অনুপস্থিতি রয়েছে। তবুও আমি এখনও সেই সাইটগুলিতে ফিরে এসে ভয়ানক লজ্জা এবং অপরাধবোধ অনুভব করি। আবারও বলছি। আমার গাঁজা, অ্যালকোহল "&amp;"এবং বেজোসের মতো মাদকাসক্তির ইতিহাস রয়েছে। তাই আসক্তি অবশ্যই এমন একটি জিনিস যা আমি মোকাবেলা করছি এবং আমার জীবনে মোকাবেলা করেছি। কিছু আয়াহুয়াস্কা অনুষ্ঠানের সাহায্যে আমি এখন সম্পূর্ণ সুস্থ এবং আমি নিজেকে একত্রিত করছি এবং অবশেষে পরিস্থিতি খুব ভাল দিকে যাচ"&amp;"্ছে। গতকাল এমন একটি মুহূর্ত ছিল যখন আমার মনে হয়েছিল যে আমাকে আমার প্রেমিককে বলতে হবে তাই আমি তা করেছিলাম। সে এতে হতবাক হয়ে গেল এবং অনুভব করল যেন আমি তার সাথে প্রতারণা করেছি যা আমি বুঝতে পারছি। সে রেগে গেল, দুঃখ পেল, খুব বিরক্ত হল এবং এর জন্য ভয়ঙ্কর বোধ"&amp;" করল। আর তাকে এই যন্ত্রণার সাথে দেখে আমার খুব কষ্ট হচ্ছে। তাকে এমন কিছু বলার জন্য। সে এটা মোটেও আশা করেনি এবং সে প্রতারিত বোধ করছে। আমি যা করেছি তার জন্য আমি খুব দুঃখিত। আমি লজ্জিত, ভয়ানক, আলোচিত, অপরাধবোধ, শোক, দুঃখিত এবং নিজের সম্পর্কে খুব খারাপ বোধ কর"&amp;"ছি। তাছাড়া, আমি তাকে বলেছি কারণ পরিষ্কার হওয়া দরকার ছিল নাহলে আমি আর নিজের সাথে থাকতে পারব না। সে সম্পূর্ণ হতবাক হয়ে গেল এবং আজ ভালোবাসা দিবসে সে আমাকে বলল যে তাকে বাড়ি যেতে হবে এবং কিছুক্ষণ একা থাকতে হবে এবং সবকিছু ভেবে দেখতে হবে। আমার খুব খারাপ লাগছ"&amp;"ে, আমি ভয় পাচ্ছি যে আমি সম্পর্ক নষ্ট করে দিয়েছি এবং সে আমাকে ক্ষমা করতে পারবে না এবং এটিকে কেবল আমার একটি সমস্যা হিসেবে দেখতে পারবে না যা আমি ছোটবেলা থেকেই অনুভব করছি। আমার মনে হচ্ছে আমি আমার সুন্দরী মেয়েটিকে হারিয়েছি এবং আমি নিজের সাথে বাঁচতে পারছি ন"&amp;"া। যদিও সে বলেছিল যে তার সময়ের প্রয়োজন, আমি খুব ভয় পাচ্ছি যে সে এর সাথে বাঁচতে পারবে না। আমি তাকে ক্যাম্পসাইট থেকে বছরের পর বছর ধরে আমার সমস্ত লেনদেন দেখিয়েছি, এবং এটা দেখে তার হৃদয় ভেঙে গেছে, এবং সেও এভাবে প্রতিক্রিয়া দেখাতে দেখে আমার হৃদয় ভেঙে গে"&amp;"ছে। আমি কেবল তার সাথে এগিয়ে যেতে চাই। আমি হতাশ, হতাশ এবং লজ্জিত বোধ করছি। সে আমার জন্য সবকিছু এবং আমি আশা করি সে বুঝতে পারবে যে এর সাথে তার বা এই জাতীয় কোনও কিছুর কোনও সম্পর্ক নেই। আমি নিশ্চিতভাবে একটি জিনিস জানি। আমি চিরতরে এই জিনিসটি ছেড়ে দিচ্ছি কারণ"&amp;" আমি আর এভাবে বাঁচতে পারব না। কেউ কি আমাকে এই পরিস্থিতি কীভাবে মোকাবেলা করতে হবে বা কী করতে হবে সে সম্পর্কে কিছু পরামর্শ দিতে পারেন? আমি ইতিমধ্যেই নিশ্চিত যে আমি আর কখনও এটি সম্পর্কের উপর কী প্রভাব ফেলেছে তা দেখে এটি করব না। কিন্তু আমি এখন ভীত, হতাশ এবং হ"&amp;"তাশ। সে আমার জন্য সবকিছু।")</f>
        <v>হ্যালো ২৫(এম) ক্যাম সাইট নিয়ে আমার একটা সমস্যা আছে। ১৪ বছর বয়স থেকেই আমি পর্ণ দিয়ে কাজ শুরু করেছিলাম এবং অবশেষে একটা অ্যাডের মাধ্যমে ক্যাম সাইট ব্যবহার শুরু করি। আমার বয়স যখন মাত্র ১৩ বা ১৪ বছর তখন এটা (ভুল) হয়, কিন্তু এটাই সত্যি। আমি মাঝে মাঝে টাকা খরচ করি। অনেক সময় অনেক অপরাধবোধ এবং লজ্জা লাগত যখন আমি "শেষ" করতাম? তারপর আমি কিছু সময়ের জন্য কাজ ছেড়ে দিতাম কিন্তু কোন বোকামিপূর্ণ কারণে আমি সবসময় সেগুলোর কাছে ফিরে আসি। আমার জীবনে এমন কিছু সময় আসে যখন আমি অনেক দিন ধরে সাইটগুলো ব্যবহার করিনি, কিন্তু মনে হয় কোনো না কোনো কারণে আমি কঠিন সময়ে সেগুলোর কাছে ফিরে যাই। এই সমস্যা আমার সারা জীবন ধরে বারবার আসছে। আমি এই গ্রহের সবচেয়ে সুন্দরী মেয়ের সাথে একটি সুন্দর সম্পর্কে আছি। সে সত্যিই আমার যা প্রয়োজন তার সবকিছু। আমরা প্রেমিক, বন্ধু, সেরা বন্ধু এবং সবাই একসাথে। আমাদের সম্পর্কের ক্ষেত্রেও উত্থান-পতন ছিল, যেমনটা বেশিরভাগ মানুষেরই হয়। কিছু কঠিন এবং কঠিন জিনিস, কিন্তু আমরা সবসময় সবকিছু সমাধান করতে পেরেছি। সম্পর্কের ২-২.৫ বছর পর, কোনও কারণে, আমি আবার সেইসব ক্যাম সাইটগুলিতে ফিরে আসি, ডোপামিনের উন্মাদনার জন্য। আমার সম্পর্ক শেষ হওয়ার পরের মুহূর্তগুলিতে আমার খুব খারাপ লাগছিল। আমি নিজেকে বোকা বোকা অজুহাত দেওয়ার চেষ্টা করেছিলাম যে এটি কেবল "পর্নের মতো?" অথবা পরিচিত কিছু। কিন্তু আসলে তা নয়। আমি বুঝতে পারি না, আমাদের সম্পর্কের মধ্যে কোনও ভুল নেই, সে সুন্দরী এবং আমি প্রতিটি উপায়ে (আবেগগত এবং যৌনভাবে) সন্তুষ্ট যে আমরা দুর্দান্ত যৌনতা করেছি। এর সাথে তার কোনও সম্পর্ক নেই বা সম্পর্কের মধ্যে কিছু অনুপস্থিতি রয়েছে। তবুও আমি এখনও সেই সাইটগুলিতে ফিরে এসে ভয়ানক লজ্জা এবং অপরাধবোধ অনুভব করি। আবারও বলছি। আমার গাঁজা, অ্যালকোহল এবং বেজোসের মতো মাদকাসক্তির ইতিহাস রয়েছে। তাই আসক্তি অবশ্যই এমন একটি জিনিস যা আমি মোকাবেলা করছি এবং আমার জীবনে মোকাবেলা করেছি। কিছু আয়াহুয়াস্কা অনুষ্ঠানের সাহায্যে আমি এখন সম্পূর্ণ সুস্থ এবং আমি নিজেকে একত্রিত করছি এবং অবশেষে পরিস্থিতি খুব ভাল দিকে যাচ্ছে। গতকাল এমন একটি মুহূর্ত ছিল যখন আমার মনে হয়েছিল যে আমাকে আমার প্রেমিককে বলতে হবে তাই আমি তা করেছিলাম। সে এতে হতবাক হয়ে গেল এবং অনুভব করল যেন আমি তার সাথে প্রতারণা করেছি যা আমি বুঝতে পারছি। সে রেগে গেল, দুঃখ পেল, খুব বিরক্ত হল এবং এর জন্য ভয়ঙ্কর বোধ করল। আর তাকে এই যন্ত্রণার সাথে দেখে আমার খুব কষ্ট হচ্ছে। তাকে এমন কিছু বলার জন্য। সে এটা মোটেও আশা করেনি এবং সে প্রতারিত বোধ করছে। আমি যা করেছি তার জন্য আমি খুব দুঃখিত। আমি লজ্জিত, ভয়ানক, আলোচিত, অপরাধবোধ, শোক, দুঃখিত এবং নিজের সম্পর্কে খুব খারাপ বোধ করছি। তাছাড়া, আমি তাকে বলেছি কারণ পরিষ্কার হওয়া দরকার ছিল নাহলে আমি আর নিজের সাথে থাকতে পারব না। সে সম্পূর্ণ হতবাক হয়ে গেল এবং আজ ভালোবাসা দিবসে সে আমাকে বলল যে তাকে বাড়ি যেতে হবে এবং কিছুক্ষণ একা থাকতে হবে এবং সবকিছু ভেবে দেখতে হবে। আমার খুব খারাপ লাগছে, আমি ভয় পাচ্ছি যে আমি সম্পর্ক নষ্ট করে দিয়েছি এবং সে আমাকে ক্ষমা করতে পারবে না এবং এটিকে কেবল আমার একটি সমস্যা হিসেবে দেখতে পারবে না যা আমি ছোটবেলা থেকেই অনুভব করছি। আমার মনে হচ্ছে আমি আমার সুন্দরী মেয়েটিকে হারিয়েছি এবং আমি নিজের সাথে বাঁচতে পারছি না। যদিও সে বলেছিল যে তার সময়ের প্রয়োজন, আমি খুব ভয় পাচ্ছি যে সে এর সাথে বাঁচতে পারবে না। আমি তাকে ক্যাম্পসাইট থেকে বছরের পর বছর ধরে আমার সমস্ত লেনদেন দেখিয়েছি, এবং এটা দেখে তার হৃদয় ভেঙে গেছে, এবং সেও এভাবে প্রতিক্রিয়া দেখাতে দেখে আমার হৃদয় ভেঙে গেছে। আমি কেবল তার সাথে এগিয়ে যেতে চাই। আমি হতাশ, হতাশ এবং লজ্জিত বোধ করছি। সে আমার জন্য সবকিছু এবং আমি আশা করি সে বুঝতে পারবে যে এর সাথে তার বা এই জাতীয় কোনও কিছুর কোনও সম্পর্ক নেই। আমি নিশ্চিতভাবে একটি জিনিস জানি। আমি চিরতরে এই জিনিসটি ছেড়ে দিচ্ছি কারণ আমি আর এভাবে বাঁচতে পারব না। কেউ কি আমাকে এই পরিস্থিতি কীভাবে মোকাবেলা করতে হবে বা কী করতে হবে সে সম্পর্কে কিছু পরামর্শ দিতে পারেন? আমি ইতিমধ্যেই নিশ্চিত যে আমি আর কখনও এটি সম্পর্কের উপর কী প্রভাব ফেলেছে তা দেখে এটি করব না। কিন্তু আমি এখন ভীত, হতাশ এবং হতাশ। সে আমার জন্য সবকিছু।</v>
      </c>
    </row>
    <row r="153" spans="1:3" ht="15" x14ac:dyDescent="0.25">
      <c r="A153" s="3" t="s">
        <v>155</v>
      </c>
      <c r="B153" s="3" t="s">
        <v>4</v>
      </c>
      <c r="C153" s="4" t="str">
        <f ca="1">IFERROR(__xludf.DUMMYFUNCTION("GOOGLETRANSLATE(A153, ""auto"", ""bn"")"),"আমি জানি বিভিন্ন রিসোর্সের একটি তালিকা আছে কিন্তু আমি ঠিক নিশ্চিত নই যে কীভাবে সেগুলো ব্যবহার করব। আমার বয়ফ্রেন্ড এবং আমি আসক্তির সাথে লড়াই করছি, বিশেষ করে কোকেন এবং পর্নোগ্রাফির সাথে, কিন্তু অ্যালকোহলও এর সাথে জড়িত। আমি সাহায্য পেতে চাই কিন্তু কোথা থে"&amp;"কে শুরু করব তা নিশ্চিত নই। আমি বরং একটি অনলাইন প্রোগ্রাম চাই কারণ কিছু বিষয় ব্যক্তিগত, এবং আমরা মানুষের সাথে মুখোমুখি কথা বলতে স্বাচ্ছন্দ্য বোধ করি না। আমরাও বেশ ব্যস্ত, তাই আমাদের এমন একটি প্রোগ্রামের প্রয়োজন যা আমাদের জীবনযাত্রার সাথে নমনীয়।")</f>
        <v>আমি জানি বিভিন্ন রিসোর্সের একটি তালিকা আছে কিন্তু আমি ঠিক নিশ্চিত নই যে কীভাবে সেগুলো ব্যবহার করব। আমার বয়ফ্রেন্ড এবং আমি আসক্তির সাথে লড়াই করছি, বিশেষ করে কোকেন এবং পর্নোগ্রাফির সাথে, কিন্তু অ্যালকোহলও এর সাথে জড়িত। আমি সাহায্য পেতে চাই কিন্তু কোথা থেকে শুরু করব তা নিশ্চিত নই। আমি বরং একটি অনলাইন প্রোগ্রাম চাই কারণ কিছু বিষয় ব্যক্তিগত, এবং আমরা মানুষের সাথে মুখোমুখি কথা বলতে স্বাচ্ছন্দ্য বোধ করি না। আমরাও বেশ ব্যস্ত, তাই আমাদের এমন একটি প্রোগ্রামের প্রয়োজন যা আমাদের জীবনযাত্রার সাথে নমনীয়।</v>
      </c>
    </row>
    <row r="154" spans="1:3" ht="15" x14ac:dyDescent="0.25">
      <c r="A154" s="3" t="s">
        <v>156</v>
      </c>
      <c r="B154" s="3" t="s">
        <v>4</v>
      </c>
      <c r="C154" s="4" t="str">
        <f ca="1">IFERROR(__xludf.DUMMYFUNCTION("GOOGLETRANSLATE(A154, ""auto"", ""bn"")"),"আজ জেগে থাকার তৃতীয় দিন। আমি আর অ্যাডেরাল চাই না কারণ আমার হৃদয় বিস্ফোরিত হবে, এবং আমি এই মুহুর্তে তাড়াহুড়ো করতে চাই না, কিন্তু এটি আমার শরীর থেকে যত দূরে যাবে ততই আমি আসক্তির কারণে হৃদয় ভেঙে পড়ব এবং হতাশ হয়ে পড়ব। আমি অনেক কিছু খেয়ে ফেলেছি, কিন্ত"&amp;"ু এটা নতুন কিছু নয়। কিন্তু আমি আর বাইরে যাই না এবং আমার সমস্ত ক্যারিশমা হারিয়ে ফেলেছি এবং উদ্বেগ আমাকে কিছুটা হলেও অ্যাগোরাফোবিক করে তুলেছে। এবং আমি ভাবব যে আগামীকাল স্বাভাবিকভাবেই এই তৃষ্ণাগুলি চলে গেছে, যতক্ষণ না তারা ফিরে আসে এবং পরের দিন আবার আমাকে "&amp;"একজন করুণ অসহায় আসক্ত করে তোলে। আমার বন্ধুরা সবাই জানে (কিছুটা হলেও) কিন্তু তারা এর জন্য আমাকে আক্রমণ করে না, বরং তারা আমার জীবন থেকে ধীরে ধীরে কিন্তু নিশ্চিতভাবে অদৃশ্য হয়ে যাচ্ছে। ২৪ মি। অন্তত বলতে গেলে একটা আলিঙ্গন দরকার।")</f>
        <v>আজ জেগে থাকার তৃতীয় দিন। আমি আর অ্যাডেরাল চাই না কারণ আমার হৃদয় বিস্ফোরিত হবে, এবং আমি এই মুহুর্তে তাড়াহুড়ো করতে চাই না, কিন্তু এটি আমার শরীর থেকে যত দূরে যাবে ততই আমি আসক্তির কারণে হৃদয় ভেঙে পড়ব এবং হতাশ হয়ে পড়ব। আমি অনেক কিছু খেয়ে ফেলেছি, কিন্তু এটা নতুন কিছু নয়। কিন্তু আমি আর বাইরে যাই না এবং আমার সমস্ত ক্যারিশমা হারিয়ে ফেলেছি এবং উদ্বেগ আমাকে কিছুটা হলেও অ্যাগোরাফোবিক করে তুলেছে। এবং আমি ভাবব যে আগামীকাল স্বাভাবিকভাবেই এই তৃষ্ণাগুলি চলে গেছে, যতক্ষণ না তারা ফিরে আসে এবং পরের দিন আবার আমাকে একজন করুণ অসহায় আসক্ত করে তোলে। আমার বন্ধুরা সবাই জানে (কিছুটা হলেও) কিন্তু তারা এর জন্য আমাকে আক্রমণ করে না, বরং তারা আমার জীবন থেকে ধীরে ধীরে কিন্তু নিশ্চিতভাবে অদৃশ্য হয়ে যাচ্ছে। ২৪ মি। অন্তত বলতে গেলে একটা আলিঙ্গন দরকার।</v>
      </c>
    </row>
    <row r="155" spans="1:3" ht="15" x14ac:dyDescent="0.25">
      <c r="A155" s="3" t="s">
        <v>157</v>
      </c>
      <c r="B155" s="3" t="s">
        <v>4</v>
      </c>
      <c r="C155" s="4" t="str">
        <f ca="1">IFERROR(__xludf.DUMMYFUNCTION("GOOGLETRANSLATE(A155, ""auto"", ""bn"")"),"আমি সবসময় জিনিস লুকানোর ক্ষেত্রে খুব ভালো ছিলাম, আর আমার আসক্তিও এর ব্যতিক্রম নয়। আমি একজন দুর্দান্ত মিথ্যাবাদী, এবং এতে খুব গর্বিত। আমি প্রায় এক বছর ধরে বড়িগুলিতে আসক্ত। আমি শারীরিকভাবে যেকোনো কিছুর উপর নির্ভরশীল হওয়া এড়াতে পেরেছি কারণ আমি যা করি ত"&amp;"া প্রায়শই পরিবর্তন করি, আমার মূলত 7 বা 8 টি ওষুধের আবর্তন আছে যা আমি উপভোগ করি। অবশ্যই, আমার একটি প্রিয়, OXY আছে, কিন্তু আমি যেমন বলেছিলাম তেমন জিনিসগুলি ছড়িয়ে দেওয়ার চেষ্টা করেছি যাতে কোনও কিছুর উপর সহনশীলতা বা শারীরিক নির্ভরতা তৈরি না করা যায়। আমি"&amp;" ভেবেছিলাম আমি ""অতিরিক্ত বুদ্ধিমান?"" আসক্তি। আমি আসক্ত হতে পারিনি, কিন্তু সম্প্রতি আমি বুঝতে পেরেছি যে আসক্তি একটি মানসিক খেলা, শারীরিক নয়। আমি এখনও আমার অপব্যবহারের কোনও কঠিন পরিণতির মুখোমুখি হইনি, যা আরেকটি কারণ যা আমি নিজেকে কখনও ""আসক্ত"" বলে মনে ক"&amp;"রিনি। তদুপরি, আমি একজন কলেজ ছাত্র যার ভবিষ্যতের জন্য বড় পরিকল্পনা রয়েছে। তদুপরি, আমি আইন স্কুলে যেতে এবং স্বাস্থ্য আইনে কাজ করতে চাই। অনেক মানুষ সিস্টেমের দ্বারা প্রভাবিত হচ্ছে (কিন্তু এটি অন্য একটি পোস্ট)। আমি স্কুলে ভালো করছি, ৩.৭ এবং প্রতি সেমিস্টারে"&amp;" ডিনদের তালিকা তৈরি করছি। আমার প্রথম অনুশীলন LSAT-তে ১৬৫ স্কোর করেছি। তাই আমি জানি আইন স্কুল পাওয়া সম্ভব, কিন্তু আমি যদি সব বড়ি ছেড়ে দিই তাহলে স্কুলে আরও ভালো করব। বর্তমানে, আমার সবচেয়ে বড় সমস্যা হল আমি আমার স্কুলে একজন ক্রীড়াবিদ। আমার এখনও ড্রাগ টে"&amp;"স্ট করা হয়নি কারণ এগুলি এলোমেলো, কিন্তু যদি আমার পরীক্ষা করা হয় তাহলে আমি একেবারেই খারাপ হব। (যদিও হয়তো তারা ধরে নেবে যে আমি সবকিছুর জন্য ইতিবাচক পরীক্ষা করলে এটি একটি ত্রুটি, lol।) আমি এর পরিণতি সম্পর্কে ভাবতেও চাই না। আগাছার জন্য, বেশিরভাগ মানুষ প্রথ"&amp;"ম ইতিবাচক পরীক্ষার জন্য কেবল একটি সতর্কতা পায়, কিন্তু আমি শুনেছি যে আমার স্কুল অন্য কোনও বিষয়ে খুব কঠোর। আমাকে সম্ভবত দল থেকে বাদ দেওয়া হবে, এবং এটি অনেক কারণে খারাপ হবে। আমি যে সামান্য স্কলারশিপের টাকা পাই তা হারানো ছাড়াও (আমি একটি সুন্দর বিশেষ খেলা "&amp;"খেলি, তাই শীর্ষ স্তরেও আমরা খুব বেশি টাকা পাই না), আমি আমার সব সেরা বন্ধুদের হারাবো। আমার দল আমার পরিবার হয়ে উঠেছে। আমি তাদের হৃদয় দিয়ে ভালোবাসি এবং তাদের জন্য যেকোনো কিছু করতে প্রস্তুত। গতকাল অনুশীলনে আমার প্রধান কোচ আমাকে বলেছিলেন যে তিনি লক্ষ্য করেছ"&amp;"েন যে আমার ওজন কমে গেছে, এবং মনে হচ্ছে আমার পেশীর ভর কমে গেছে, এবং তিনি জানেন যে আমি প্রতিদিন জিমে থাকি তাই তার কাছে এটা অর্থহীন ছিল। আমার মনে হয় তিনি চিন্তিত ছিলেন যে আমার ED হতে পারে। অবশেষে আমি তার কাছে পরিষ্কার হয়ে গেলাম এবং তাকে সবকিছু বললাম। তাছাড"&amp;"়া, আমি তাকে আমার শারীরিক ও মানসিক নির্যাতনে ভরা নোংরা শৈশব সম্পর্কে বললাম, আমার বাবা আমাকে সমকামী হওয়ার জন্য কীভাবে ঘৃণা করেন, আমার আত্মহত্যার চেষ্টা এবং আমার মাদকের সমস্যা। খোলাখুলিভাবে কাউকে কিছু বলা এবং বলাটা নিখুঁত ছিল। যেমনটি আমি বলেছিলাম, আমি জিনি"&amp;"স লুকিয়ে রাখতে পারদর্শী, এবং বিশ্বাসের সমস্যার কারণে, আমি বেশিরভাগ লোকের কাছ থেকে বেশিরভাগ জিনিস লুকিয়ে রাখি। তার প্রতিক্রিয়া আমার কল্পনার চেয়েও ভালো ছিল। তিনি মূলত আমাকে বলেছিলেন যে তিনি আগে আমার পদে ছিলেন এবং তিনি আমাকে সাহায্য করার জন্য যা কিছু করত"&amp;"ে পারেন তা করবেন, এবং তিনি আমাকে স্কুল বা আমার বাবা-মায়ের সাথে ঝামেলায় ফেলতে চান না। আমরা একসাথে আমাকে সাহায্য করার জন্য একটি পরিকল্পনা নিয়ে এসেছি। প্রথমত, আমরা সপ্তাহে অন্তত একবার দেখা করব এবং কথা বলব, আমাকে তাকে আপডেট রাখতে হবে। যেকোনো কারণে আমি তাকে"&amp;" যেকোনো সময় ফোন করতে পারি। যদি আমাদের কারোরই মনে হয় যে আমার যেকোনো মুহূর্তে এটির প্রয়োজন, তাহলে তিনি পেশাদার সাহায্যের ব্যবস্থা করবেন। আমি যদি অনুশীলন, টিম মিটিং, খেলা, অথবা অন্য কিছুতে মাতাল বা অতিরিক্ত মদ্যপানে যাই, তাহলে তিনি আমাকে চলে যেতে বলবেন। আ"&amp;"র যদি আমি খেলার আগের দিন বা দিনের আগে মদ্যপান করি বা ব্যবহার করি, তাহলে আমি বেঞ্চে বসে থাকব। আর সবচেয়ে বড় কথা, যদি আমি তার কাছে এই বিষয়ে মিথ্যা বলি, তাহলে তাকে স্কুলে কথা বলতে হবে। এটা হয়তো খুব বেশি শিথিল মনে হতে পারে, যেন তার উচিত আমাকে একবারে সবকিছু"&amp;" বন্ধ করে দেওয়া, কিন্তু সে জানে কারণ সে আমার অবস্থানে আছে যে এটিই সবচেয়ে ভালো শুরু, এবং এভাবেই আমরা একে অপরের প্রতি আস্থা তৈরি করব। আমি জানি যে সময়ের সাথে সাথে সে আমার জন্য তার ""নিয়ম"" আরও কঠোর করবে। আমি তার প্রতি অত্যন্ত কৃতজ্ঞ। সে আমার সাথে কেবল গ্"&amp;"রহণযোগ্যতা, ভালোবাসা এবং শ্রদ্ধার সাথে আচরণ করেছিল। সে আমাকে অপরাধবোধ বা লজ্জিত বোধ না করার জন্য এবং আমরা একসাথে এই পরিস্থিতির মধ্য দিয়ে যেতে পারব তা নিশ্চিত করার জন্য। আমি মনে করি না সে কখনও এটি দেখতে পাবে, তবে যদি সম্ভব হয়: কোচ কে, ধন্যবাদ, আমি প্রতিশ"&amp;"্রুতি দিচ্ছি যে আমি কাজটি করব, আমার গল্প এভাবে শেষ হয় না।")</f>
        <v>আমি সবসময় জিনিস লুকানোর ক্ষেত্রে খুব ভালো ছিলাম, আর আমার আসক্তিও এর ব্যতিক্রম নয়। আমি একজন দুর্দান্ত মিথ্যাবাদী, এবং এতে খুব গর্বিত। আমি প্রায় এক বছর ধরে বড়িগুলিতে আসক্ত। আমি শারীরিকভাবে যেকোনো কিছুর উপর নির্ভরশীল হওয়া এড়াতে পেরেছি কারণ আমি যা করি তা প্রায়শই পরিবর্তন করি, আমার মূলত 7 বা 8 টি ওষুধের আবর্তন আছে যা আমি উপভোগ করি। অবশ্যই, আমার একটি প্রিয়, OXY আছে, কিন্তু আমি যেমন বলেছিলাম তেমন জিনিসগুলি ছড়িয়ে দেওয়ার চেষ্টা করেছি যাতে কোনও কিছুর উপর সহনশীলতা বা শারীরিক নির্ভরতা তৈরি না করা যায়। আমি ভেবেছিলাম আমি "অতিরিক্ত বুদ্ধিমান?" আসক্তি। আমি আসক্ত হতে পারিনি, কিন্তু সম্প্রতি আমি বুঝতে পেরেছি যে আসক্তি একটি মানসিক খেলা, শারীরিক নয়। আমি এখনও আমার অপব্যবহারের কোনও কঠিন পরিণতির মুখোমুখি হইনি, যা আরেকটি কারণ যা আমি নিজেকে কখনও "আসক্ত" বলে মনে করিনি। তদুপরি, আমি একজন কলেজ ছাত্র যার ভবিষ্যতের জন্য বড় পরিকল্পনা রয়েছে। তদুপরি, আমি আইন স্কুলে যেতে এবং স্বাস্থ্য আইনে কাজ করতে চাই। অনেক মানুষ সিস্টেমের দ্বারা প্রভাবিত হচ্ছে (কিন্তু এটি অন্য একটি পোস্ট)। আমি স্কুলে ভালো করছি, ৩.৭ এবং প্রতি সেমিস্টারে ডিনদের তালিকা তৈরি করছি। আমার প্রথম অনুশীলন LSAT-তে ১৬৫ স্কোর করেছি। তাই আমি জানি আইন স্কুল পাওয়া সম্ভব, কিন্তু আমি যদি সব বড়ি ছেড়ে দিই তাহলে স্কুলে আরও ভালো করব। বর্তমানে, আমার সবচেয়ে বড় সমস্যা হল আমি আমার স্কুলে একজন ক্রীড়াবিদ। আমার এখনও ড্রাগ টেস্ট করা হয়নি কারণ এগুলি এলোমেলো, কিন্তু যদি আমার পরীক্ষা করা হয় তাহলে আমি একেবারেই খারাপ হব। (যদিও হয়তো তারা ধরে নেবে যে আমি সবকিছুর জন্য ইতিবাচক পরীক্ষা করলে এটি একটি ত্রুটি, lol।) আমি এর পরিণতি সম্পর্কে ভাবতেও চাই না। আগাছার জন্য, বেশিরভাগ মানুষ প্রথম ইতিবাচক পরীক্ষার জন্য কেবল একটি সতর্কতা পায়, কিন্তু আমি শুনেছি যে আমার স্কুল অন্য কোনও বিষয়ে খুব কঠোর। আমাকে সম্ভবত দল থেকে বাদ দেওয়া হবে, এবং এটি অনেক কারণে খারাপ হবে। আমি যে সামান্য স্কলারশিপের টাকা পাই তা হারানো ছাড়াও (আমি একটি সুন্দর বিশেষ খেলা খেলি, তাই শীর্ষ স্তরেও আমরা খুব বেশি টাকা পাই না), আমি আমার সব সেরা বন্ধুদের হারাবো। আমার দল আমার পরিবার হয়ে উঠেছে। আমি তাদের হৃদয় দিয়ে ভালোবাসি এবং তাদের জন্য যেকোনো কিছু করতে প্রস্তুত। গতকাল অনুশীলনে আমার প্রধান কোচ আমাকে বলেছিলেন যে তিনি লক্ষ্য করেছেন যে আমার ওজন কমে গেছে, এবং মনে হচ্ছে আমার পেশীর ভর কমে গেছে, এবং তিনি জানেন যে আমি প্রতিদিন জিমে থাকি তাই তার কাছে এটা অর্থহীন ছিল। আমার মনে হয় তিনি চিন্তিত ছিলেন যে আমার ED হতে পারে। অবশেষে আমি তার কাছে পরিষ্কার হয়ে গেলাম এবং তাকে সবকিছু বললাম। তাছাড়া, আমি তাকে আমার শারীরিক ও মানসিক নির্যাতনে ভরা নোংরা শৈশব সম্পর্কে বললাম, আমার বাবা আমাকে সমকামী হওয়ার জন্য কীভাবে ঘৃণা করেন, আমার আত্মহত্যার চেষ্টা এবং আমার মাদকের সমস্যা। খোলাখুলিভাবে কাউকে কিছু বলা এবং বলাটা নিখুঁত ছিল। যেমনটি আমি বলেছিলাম, আমি জিনিস লুকিয়ে রাখতে পারদর্শী, এবং বিশ্বাসের সমস্যার কারণে, আমি বেশিরভাগ লোকের কাছ থেকে বেশিরভাগ জিনিস লুকিয়ে রাখি। তার প্রতিক্রিয়া আমার কল্পনার চেয়েও ভালো ছিল। তিনি মূলত আমাকে বলেছিলেন যে তিনি আগে আমার পদে ছিলেন এবং তিনি আমাকে সাহায্য করার জন্য যা কিছু করতে পারেন তা করবেন, এবং তিনি আমাকে স্কুল বা আমার বাবা-মায়ের সাথে ঝামেলায় ফেলতে চান না। আমরা একসাথে আমাকে সাহায্য করার জন্য একটি পরিকল্পনা নিয়ে এসেছি। প্রথমত, আমরা সপ্তাহে অন্তত একবার দেখা করব এবং কথা বলব, আমাকে তাকে আপডেট রাখতে হবে। যেকোনো কারণে আমি তাকে যেকোনো সময় ফোন করতে পারি। যদি আমাদের কারোরই মনে হয় যে আমার যেকোনো মুহূর্তে এটির প্রয়োজন, তাহলে তিনি পেশাদার সাহায্যের ব্যবস্থা করবেন। আমি যদি অনুশীলন, টিম মিটিং, খেলা, অথবা অন্য কিছুতে মাতাল বা অতিরিক্ত মদ্যপানে যাই, তাহলে তিনি আমাকে চলে যেতে বলবেন। আর যদি আমি খেলার আগের দিন বা দিনের আগে মদ্যপান করি বা ব্যবহার করি, তাহলে আমি বেঞ্চে বসে থাকব। আর সবচেয়ে বড় কথা, যদি আমি তার কাছে এই বিষয়ে মিথ্যা বলি, তাহলে তাকে স্কুলে কথা বলতে হবে। এটা হয়তো খুব বেশি শিথিল মনে হতে পারে, যেন তার উচিত আমাকে একবারে সবকিছু বন্ধ করে দেওয়া, কিন্তু সে জানে কারণ সে আমার অবস্থানে আছে যে এটিই সবচেয়ে ভালো শুরু, এবং এভাবেই আমরা একে অপরের প্রতি আস্থা তৈরি করব। আমি জানি যে সময়ের সাথে সাথে সে আমার জন্য তার "নিয়ম" আরও কঠোর করবে। আমি তার প্রতি অত্যন্ত কৃতজ্ঞ। সে আমার সাথে কেবল গ্রহণযোগ্যতা, ভালোবাসা এবং শ্রদ্ধার সাথে আচরণ করেছিল। সে আমাকে অপরাধবোধ বা লজ্জিত বোধ না করার জন্য এবং আমরা একসাথে এই পরিস্থিতির মধ্য দিয়ে যেতে পারব তা নিশ্চিত করার জন্য। আমি মনে করি না সে কখনও এটি দেখতে পাবে, তবে যদি সম্ভব হয়: কোচ কে, ধন্যবাদ, আমি প্রতিশ্রুতি দিচ্ছি যে আমি কাজটি করব, আমার গল্প এভাবে শেষ হয় না।</v>
      </c>
    </row>
    <row r="156" spans="1:3" ht="15" x14ac:dyDescent="0.25">
      <c r="A156" s="3" t="s">
        <v>158</v>
      </c>
      <c r="B156" s="3" t="s">
        <v>4</v>
      </c>
      <c r="C156" s="4" t="str">
        <f ca="1">IFERROR(__xludf.DUMMYFUNCTION("GOOGLETRANSLATE(A156, ""auto"", ""bn"")"),"আমি মাদকের প্রতি আসক্ত ছিলাম। আমি আমার পুরো জীবন কাটিয়েছি কার সাথে লাইন খাওয়া মজাদার, বড়ি খাওয়া আর নষ্ট হওয়া। আমি রিটালিন ধূমপান করেছি, কোডিনে সিগারেট ডুবিয়েছি, বেজোস এবং ওপিওয়েড খেয়েছি, এবং আমার বিপাকক্রিয়ায় পর্যাপ্ত কোকা ইথিলিন তৈরি করেছি যা টা"&amp;"না দুই মাস ধরে মাতাল থাকার জন্য। আমার পানীয়গুলিও সর্বদা শক্তিশালী ছিল। আমার পছন্দের পানীয়টি প্রায় 160% কাজ করে। আমি গলায় ফোঁটা ফোঁটা এবং কোকেনের লাইনে আঘাত করার ফলে পশুত্বের অমরত্বের অনুভূতির জন্য বেঁচে ছিলাম। আমি যখন রেললাইন থেকে পড়ে গিয়েছিলাম এবং "&amp;"আমার গাড়ি দুর্ঘটনায় পড়েছিলাম, আমার চাকরি, আমার সম্পর্ক এবং আমার মানসিক ভারসাম্য হারিয়েছিলাম তখন আমি চিকিৎসার সাথে পরিচিত হয়েছিলাম। মাদক ব্যবহারের মধ্যে কোনও আভিজাত্য নেই তার প্রমাণ হিসাবে যদি আপনি এখানে যা লিখছেন তা পড়তে কষ্ট করছেন তবে আমি আপনাকে অন"&amp;"ুরোধ করছি। একজন শান্ত ব্যক্তি হিসেবে এটি সত্যিই আমার জন্য একটি উন্নত জীবন। আমি অন্যদের পক্ষে কথা বলব না, তবে আমি যা কিছু আগে কেবল উচ্চাকাঙ্ক্ষা করতাম তাতেই আমি আরও ভালো, আমি অপরাধবোধের ভার এবং মাদক এবং বিষণ্ণতার ধীর একাকী মৃত্যু সর্পিল ছাড়াই আবেগগতভাবে ক"&amp;"াজ করতে সক্ষম যা অঞ্চলের সাথে আসে। আমি আগের চেয়ে ভালো বোধ করছি এবং আমি এগিয়ে যেতে চাই। আমি কখনো কল্পনাও করিনি যে সোজা প্রান্ত কেমন হবে এবং আমি কখনো ভাবতেও পারিনি, আমি আশা করি যে যারা এটি পড়বে তারা তা করবে।")</f>
        <v>আমি মাদকের প্রতি আসক্ত ছিলাম। আমি আমার পুরো জীবন কাটিয়েছি কার সাথে লাইন খাওয়া মজাদার, বড়ি খাওয়া আর নষ্ট হওয়া। আমি রিটালিন ধূমপান করেছি, কোডিনে সিগারেট ডুবিয়েছি, বেজোস এবং ওপিওয়েড খেয়েছি, এবং আমার বিপাকক্রিয়ায় পর্যাপ্ত কোকা ইথিলিন তৈরি করেছি যা টানা দুই মাস ধরে মাতাল থাকার জন্য। আমার পানীয়গুলিও সর্বদা শক্তিশালী ছিল। আমার পছন্দের পানীয়টি প্রায় 160% কাজ করে। আমি গলায় ফোঁটা ফোঁটা এবং কোকেনের লাইনে আঘাত করার ফলে পশুত্বের অমরত্বের অনুভূতির জন্য বেঁচে ছিলাম। আমি যখন রেললাইন থেকে পড়ে গিয়েছিলাম এবং আমার গাড়ি দুর্ঘটনায় পড়েছিলাম, আমার চাকরি, আমার সম্পর্ক এবং আমার মানসিক ভারসাম্য হারিয়েছিলাম তখন আমি চিকিৎসার সাথে পরিচিত হয়েছিলাম। মাদক ব্যবহারের মধ্যে কোনও আভিজাত্য নেই তার প্রমাণ হিসাবে যদি আপনি এখানে যা লিখছেন তা পড়তে কষ্ট করছেন তবে আমি আপনাকে অনুরোধ করছি। একজন শান্ত ব্যক্তি হিসেবে এটি সত্যিই আমার জন্য একটি উন্নত জীবন। আমি অন্যদের পক্ষে কথা বলব না, তবে আমি যা কিছু আগে কেবল উচ্চাকাঙ্ক্ষা করতাম তাতেই আমি আরও ভালো, আমি অপরাধবোধের ভার এবং মাদক এবং বিষণ্ণতার ধীর একাকী মৃত্যু সর্পিল ছাড়াই আবেগগতভাবে কাজ করতে সক্ষম যা অঞ্চলের সাথে আসে। আমি আগের চেয়ে ভালো বোধ করছি এবং আমি এগিয়ে যেতে চাই। আমি কখনো কল্পনাও করিনি যে সোজা প্রান্ত কেমন হবে এবং আমি কখনো ভাবতেও পারিনি, আমি আশা করি যে যারা এটি পড়বে তারা তা করবে।</v>
      </c>
    </row>
    <row r="157" spans="1:3" ht="15" x14ac:dyDescent="0.25">
      <c r="A157" s="3" t="s">
        <v>159</v>
      </c>
      <c r="B157" s="3" t="s">
        <v>4</v>
      </c>
      <c r="C157" s="4" t="str">
        <f ca="1">IFERROR(__xludf.DUMMYFUNCTION("GOOGLETRANSLATE(A157, ""auto"", ""bn"")"),"আসক্তির প্রতি বেশি ঝোঁক থাকার অর্থে... জীবনে এত কিছুর প্রতি আসক্ত হয়ে পড়েছি যে, এটা পাগলামি। অতীতে আমি একজন মাদকাসক্ত ছিলাম এবং বহু বছর পরেও এর সাথে লড়াই করতে পারছি। তাছাড়া, আমি নিশ্চিত যে এখন আমি একেবারেই মদ্যপ, ইউটিউব এবং সোশ্যাল মিডিয়ার প্রতি আমার আ"&amp;"সক্তি। তাছাড়া, আমিও ওষুধ খেতাম এবং খরচ করার মতো আর টাকা না থাকার কারণে আমি এগুলো ছেড়ে দিয়েছিলাম। রেফারেন্স হিসেবে বলতে গেলে, আমার বয়স মাত্র ১৮ এবং আমি আরও বেশি আসক্তি এবং এমন কৌশল তৈরি করতে পেরেছি যা অন্যরা তাদের জীবদ্দশায় পায় না...")</f>
        <v>আসক্তির প্রতি বেশি ঝোঁক থাকার অর্থে... জীবনে এত কিছুর প্রতি আসক্ত হয়ে পড়েছি যে, এটা পাগলামি। অতীতে আমি একজন মাদকাসক্ত ছিলাম এবং বহু বছর পরেও এর সাথে লড়াই করতে পারছি। তাছাড়া, আমি নিশ্চিত যে এখন আমি একেবারেই মদ্যপ, ইউটিউব এবং সোশ্যাল মিডিয়ার প্রতি আমার আসক্তি। তাছাড়া, আমিও ওষুধ খেতাম এবং খরচ করার মতো আর টাকা না থাকার কারণে আমি এগুলো ছেড়ে দিয়েছিলাম। রেফারেন্স হিসেবে বলতে গেলে, আমার বয়স মাত্র ১৮ এবং আমি আরও বেশি আসক্তি এবং এমন কৌশল তৈরি করতে পেরেছি যা অন্যরা তাদের জীবদ্দশায় পায় না...</v>
      </c>
    </row>
    <row r="158" spans="1:3" ht="15" x14ac:dyDescent="0.25">
      <c r="A158" s="3" t="s">
        <v>160</v>
      </c>
      <c r="B158" s="3" t="s">
        <v>4</v>
      </c>
      <c r="C158" s="4" t="str">
        <f ca="1">IFERROR(__xludf.DUMMYFUNCTION("GOOGLETRANSLATE(A158, ""auto"", ""bn"")"),"আমি এটা সহ্য করতে পারছি না, আমি দেরি করি, আমি উদ্বিগ্ন বোধ করি, আমি কখনই জানি না কী বলব বা করব, এবং আমার মাথার পিছনে সবসময় কিছু একটা ঘুরপাক খাচ্ছে। আমি যে কোনও উপায়ে নেশাগ্রস্ত থাকতে ভালোবাসি, যেকোনো কিছু করার জন্য আমি সর্বদা নিজেকেই ন্যায্যতা প্রমাণ কর"&amp;"তে বাধ্য করি। গতকাল আমার এক সঙ্গীর সাথে আমি 300mg MD খেয়েছিলাম কারণ আমাদের 2cb ফুরিয়ে গিয়েছিল, সেই সময়ের জন্য এটাই ছিল ন্যায্য পদক্ষেপ, তারপর মাত্র কয়েক ঘন্টা আগে আমি একটি স্কুল রচনা শেষ করার ন্যায্যতা প্রমাণ করার জন্য 2টি E বড়ি খেয়েছিলাম। আমি আমার"&amp;" বিষ্ঠা একসাথে রাখতে পারি না, এবং আমার মনে হয় আমি যা করি তা যথেষ্ট নয়, কিন্তু যখন আমি সুস্থ থাকি তখন আমি কখনই নিজেকে অনুপ্রাণিত করতে পারি না। এবং যখন আমি উচ্চ মাত্রায় থাকি তখনও আমি কাজ করতে পারি এবং সে সুস্থ থাকে না। আমি আটকা পড়ে থাকি। দুঃখিত, আমার খু"&amp;"ব একটা অর্থ হয় না। কয়েক সপ্তাহ আগে যখন আমি জিমের সদস্যপদ পেয়েছিলাম এবং এতদিন ধরে কিছুই ব্যবহার করিনি তখন আমি এত ক্ষমতায়িত বোধ করছিলাম যে আমি আমার জীবনকে এত ঘৃণা করি যে আমি সত্যিই নিজেকে এতটাই দূরে রাখতে চাই। এটি সহজেই আমার চিন্তাভাবনা/দিবাস্বপ্নের 20%"&amp;"। আমার ছোট্ট বকাঝকা পড়ার জন্য তারা ধন্যবাদ জানাচ্ছে।")</f>
        <v>আমি এটা সহ্য করতে পারছি না, আমি দেরি করি, আমি উদ্বিগ্ন বোধ করি, আমি কখনই জানি না কী বলব বা করব, এবং আমার মাথার পিছনে সবসময় কিছু একটা ঘুরপাক খাচ্ছে। আমি যে কোনও উপায়ে নেশাগ্রস্ত থাকতে ভালোবাসি, যেকোনো কিছু করার জন্য আমি সর্বদা নিজেকেই ন্যায্যতা প্রমাণ করতে বাধ্য করি। গতকাল আমার এক সঙ্গীর সাথে আমি 300mg MD খেয়েছিলাম কারণ আমাদের 2cb ফুরিয়ে গিয়েছিল, সেই সময়ের জন্য এটাই ছিল ন্যায্য পদক্ষেপ, তারপর মাত্র কয়েক ঘন্টা আগে আমি একটি স্কুল রচনা শেষ করার ন্যায্যতা প্রমাণ করার জন্য 2টি E বড়ি খেয়েছিলাম। আমি আমার বিষ্ঠা একসাথে রাখতে পারি না, এবং আমার মনে হয় আমি যা করি তা যথেষ্ট নয়, কিন্তু যখন আমি সুস্থ থাকি তখন আমি কখনই নিজেকে অনুপ্রাণিত করতে পারি না। এবং যখন আমি উচ্চ মাত্রায় থাকি তখনও আমি কাজ করতে পারি এবং সে সুস্থ থাকে না। আমি আটকা পড়ে থাকি। দুঃখিত, আমার খুব একটা অর্থ হয় না। কয়েক সপ্তাহ আগে যখন আমি জিমের সদস্যপদ পেয়েছিলাম এবং এতদিন ধরে কিছুই ব্যবহার করিনি তখন আমি এত ক্ষমতায়িত বোধ করছিলাম যে আমি আমার জীবনকে এত ঘৃণা করি যে আমি সত্যিই নিজেকে এতটাই দূরে রাখতে চাই। এটি সহজেই আমার চিন্তাভাবনা/দিবাস্বপ্নের 20%। আমার ছোট্ট বকাঝকা পড়ার জন্য তারা ধন্যবাদ জানাচ্ছে।</v>
      </c>
    </row>
    <row r="159" spans="1:3" ht="15" x14ac:dyDescent="0.25">
      <c r="A159" s="3" t="s">
        <v>161</v>
      </c>
      <c r="B159" s="3" t="s">
        <v>4</v>
      </c>
      <c r="C159" s="4" t="str">
        <f ca="1">IFERROR(__xludf.DUMMYFUNCTION("GOOGLETRANSLATE(A159, ""auto"", ""bn"")"),"আমার বয়স ৩৫। আমি সম্ভবত প্রায় ২০ বছর ধরে সিগারেট খেয়ে আসছি। কয়েক বছর আগে আমি একটি নতুন গাড়ি কিনেছিলাম, এবং তাতে ধূমপান করতে অস্বীকৃতি জানিয়েছিলাম। কর্মক্ষেত্রে ধূমপান না করার সিদ্ধান্তও নিয়েছিলাম (আমি একটি রেস্তোরাঁয় কাজ করি। জানো, যেখানে ধূমপান করলেই কেব"&amp;"ল বিরতি পাওয়া যায়?)। পরবর্তী ধাপগুলো ছিল বার এবং বাড়ি। কোভিড এতদিন ধরে এগুলোর মধ্যে একটির যত্ন নিয়েছিল যে আমি এটা নিয়ে আর ভাবিনি। তারপর এটা ছিল শুধু বাড়ি। ৩ সপ্তাহ আগে আমি এবং আমার সঙ্গী একটি স্থানীয় ক্যাসিনোতে ছিলাম, এবং আমরা সম্ভবত ১৫ মিনিটের জন্য ধূমপ"&amp;"ানের জায়গায় পা রাখি (সে নিয়মিত ধূমপান করে)। আমরা রাতটা হোটেলে ছিলাম, এবং যখন আমরা সকালে উঠে পোশাক পরেছিলাম, তখন আগের রাতে আমার হুডিটি প্রায় আমার মুখের মধ্যে আটকে যেত। আমি তখন এটা লক্ষ্য করিনি কিন্তু, সেই গন্ধটা অপ্রতিরোধ্য ছিল। তারপর থেকে আমি সিগারেট খাইন"&amp;"ি। রেকর্ডের জন্য, আমার মুখে দিনে কয়েকবার ""অন!"" ব্র্যান্ডের নিকোটিন পাউচ থাকে। কিন্তু, তাছাড়া, সঙ্গী এবং রুমমেট দুজনেই নিয়মিত ধূমপায়ী হওয়া সত্ত্বেও? আসলে ধূমপানের ইচ্ছা থাকে না। এটা আমার কাছে পাগলের মতো। কেউ আমাকে জগিং করতে, অথবা জিমে যোগদান করতে বা অন্য"&amp;" কিছুতে যোগদান করতে উৎসাহিত করে।")</f>
        <v>আমার বয়স ৩৫। আমি সম্ভবত প্রায় ২০ বছর ধরে সিগারেট খেয়ে আসছি। কয়েক বছর আগে আমি একটি নতুন গাড়ি কিনেছিলাম, এবং তাতে ধূমপান করতে অস্বীকৃতি জানিয়েছিলাম। কর্মক্ষেত্রে ধূমপান না করার সিদ্ধান্তও নিয়েছিলাম (আমি একটি রেস্তোরাঁয় কাজ করি। জানো, যেখানে ধূমপান করলেই কেবল বিরতি পাওয়া যায়?)। পরবর্তী ধাপগুলো ছিল বার এবং বাড়ি। কোভিড এতদিন ধরে এগুলোর মধ্যে একটির যত্ন নিয়েছিল যে আমি এটা নিয়ে আর ভাবিনি। তারপর এটা ছিল শুধু বাড়ি। ৩ সপ্তাহ আগে আমি এবং আমার সঙ্গী একটি স্থানীয় ক্যাসিনোতে ছিলাম, এবং আমরা সম্ভবত ১৫ মিনিটের জন্য ধূমপানের জায়গায় পা রাখি (সে নিয়মিত ধূমপান করে)। আমরা রাতটা হোটেলে ছিলাম, এবং যখন আমরা সকালে উঠে পোশাক পরেছিলাম, তখন আগের রাতে আমার হুডিটি প্রায় আমার মুখের মধ্যে আটকে যেত। আমি তখন এটা লক্ষ্য করিনি কিন্তু, সেই গন্ধটা অপ্রতিরোধ্য ছিল। তারপর থেকে আমি সিগারেট খাইনি। রেকর্ডের জন্য, আমার মুখে দিনে কয়েকবার "অন!" ব্র্যান্ডের নিকোটিন পাউচ থাকে। কিন্তু, তাছাড়া, সঙ্গী এবং রুমমেট দুজনেই নিয়মিত ধূমপায়ী হওয়া সত্ত্বেও? আসলে ধূমপানের ইচ্ছা থাকে না। এটা আমার কাছে পাগলের মতো। কেউ আমাকে জগিং করতে, অথবা জিমে যোগদান করতে বা অন্য কিছুতে যোগদান করতে উৎসাহিত করে।</v>
      </c>
    </row>
    <row r="160" spans="1:3" ht="15" x14ac:dyDescent="0.25">
      <c r="A160" s="3" t="s">
        <v>162</v>
      </c>
      <c r="B160" s="3" t="s">
        <v>4</v>
      </c>
      <c r="C160" s="4" t="str">
        <f ca="1">IFERROR(__xludf.DUMMYFUNCTION("GOOGLETRANSLATE(A160, ""auto"", ""bn"")"),"৮ বছর ধরে মেথ ব্যবহারের পর আমি ৩ বছরেরও বেশি সময় ধরে সুস্থতা অর্জন করেছি, তারপর এক সপ্তাহ আগে আমি ৪ দিন ব্যবহার করেছি। আমার আর কোনও ইচ্ছা বা স্মৃতির অভাব নেই, আমার মনে হয় না যে আমি ৩ বছর হারিয়ে ফেলেছি এবং আমি বিশ্বাস করি না যে আমি ব্যর্থ হয়েছি। আমি বু"&amp;"ঝতে পারছি কী আমাকে সেই অন্য জগতে ফিরিয়ে নিয়ে গেছে এবং আমি কীভাবে আমার পুনরুদ্ধার প্রোগ্রাম উন্নত করতে এবং একটি ভাল রিল্যাপস প্রতিরোধ পরিকল্পনা তৈরি করতে কাজ করছি। আমার রিল্যাপস দেখে আমি বিনীত, এটি একটি ভাল মনে করিয়ে দেয় যে আমার জন্য পরিস্থিতি যতই ভালো"&amp;" হোক না কেন আমি এখনও দুর্বল এবং আমার নিজের মধ্যে সেই দুর্বলতাকে সম্মান করা উচিত কারণ এটি কখনও চলে যাবে না।")</f>
        <v>৮ বছর ধরে মেথ ব্যবহারের পর আমি ৩ বছরেরও বেশি সময় ধরে সুস্থতা অর্জন করেছি, তারপর এক সপ্তাহ আগে আমি ৪ দিন ব্যবহার করেছি। আমার আর কোনও ইচ্ছা বা স্মৃতির অভাব নেই, আমার মনে হয় না যে আমি ৩ বছর হারিয়ে ফেলেছি এবং আমি বিশ্বাস করি না যে আমি ব্যর্থ হয়েছি। আমি বুঝতে পারছি কী আমাকে সেই অন্য জগতে ফিরিয়ে নিয়ে গেছে এবং আমি কীভাবে আমার পুনরুদ্ধার প্রোগ্রাম উন্নত করতে এবং একটি ভাল রিল্যাপস প্রতিরোধ পরিকল্পনা তৈরি করতে কাজ করছি। আমার রিল্যাপস দেখে আমি বিনীত, এটি একটি ভাল মনে করিয়ে দেয় যে আমার জন্য পরিস্থিতি যতই ভালো হোক না কেন আমি এখনও দুর্বল এবং আমার নিজের মধ্যে সেই দুর্বলতাকে সম্মান করা উচিত কারণ এটি কখনও চলে যাবে না।</v>
      </c>
    </row>
    <row r="161" spans="1:3" ht="15" x14ac:dyDescent="0.25">
      <c r="A161" s="3" t="s">
        <v>163</v>
      </c>
      <c r="B161" s="3" t="s">
        <v>4</v>
      </c>
      <c r="C161" s="4" t="str">
        <f ca="1">IFERROR(__xludf.DUMMYFUNCTION("GOOGLETRANSLATE(A161, ""auto"", ""bn"")"),"আমি নিজেকে বলি যে এটা এমন নয় যে আমি সত্যিই ক্ষতিকর কিছুতে আসক্ত, তাহলে কেন আমাকে ছেড়ে দিতে হবে? আমাকে ছেড়ে দিতে হবে কারণ আমার জীবন কোথাও যাচ্ছে না, এবং ধূমপান শুরু করার পর থেকে মনে হচ্ছে যেন ধূমপান বন্ধ হয়ে গেছে। তাছাড়া, কিছু টাকা পেলেই আমার আর টাকা থাকে"&amp;" না কারণ সবকিছুই চলতে থাকে এবং আমি এই চক্রে ক্লান্ত। আমি আবার ইনপেশেন্ট ডিটক্সে ফিরে যাওয়ার কথা ভাবছি কারণ আমি আগেও একবার এটি করেছি, এবং মুক্ত থাকাটা খুব ভালো লেগেছে। আমি সহাবস্থানকারী মানসিক অসুস্থতার কারণে গিয়েছিলাম তাই তত্ত্বাবধানে ডিটক্স করা আমার জন"&amp;"্য নিরাপদ/সহজ। গত সপ্তাহে আমাদের সাথে এটি নিয়ে কথা বলার পর থেকে আমার আসক্তি কর্মী আমার জন্য এটি খতিয়ে দেখছেন। গাঁজার উপর এত নির্ভরশীলতা থাকাটা খুবই পাগলের মতো লাগছে এবং আমি এমন এক পর্যায়ে পৌঁছেছি যেখানে আমি বিদায় জানাতে প্রস্তুত। আমি আশা করি এটি দেরি "&amp;"না করে তাড়াতাড়ি আসবে।")</f>
        <v>আমি নিজেকে বলি যে এটা এমন নয় যে আমি সত্যিই ক্ষতিকর কিছুতে আসক্ত, তাহলে কেন আমাকে ছেড়ে দিতে হবে? আমাকে ছেড়ে দিতে হবে কারণ আমার জীবন কোথাও যাচ্ছে না, এবং ধূমপান শুরু করার পর থেকে মনে হচ্ছে যেন ধূমপান বন্ধ হয়ে গেছে। তাছাড়া, কিছু টাকা পেলেই আমার আর টাকা থাকে না কারণ সবকিছুই চলতে থাকে এবং আমি এই চক্রে ক্লান্ত। আমি আবার ইনপেশেন্ট ডিটক্সে ফিরে যাওয়ার কথা ভাবছি কারণ আমি আগেও একবার এটি করেছি, এবং মুক্ত থাকাটা খুব ভালো লেগেছে। আমি সহাবস্থানকারী মানসিক অসুস্থতার কারণে গিয়েছিলাম তাই তত্ত্বাবধানে ডিটক্স করা আমার জন্য নিরাপদ/সহজ। গত সপ্তাহে আমাদের সাথে এটি নিয়ে কথা বলার পর থেকে আমার আসক্তি কর্মী আমার জন্য এটি খতিয়ে দেখছেন। গাঁজার উপর এত নির্ভরশীলতা থাকাটা খুবই পাগলের মতো লাগছে এবং আমি এমন এক পর্যায়ে পৌঁছেছি যেখানে আমি বিদায় জানাতে প্রস্তুত। আমি আশা করি এটি দেরি না করে তাড়াতাড়ি আসবে।</v>
      </c>
    </row>
    <row r="162" spans="1:3" ht="15" x14ac:dyDescent="0.25">
      <c r="A162" s="3" t="s">
        <v>164</v>
      </c>
      <c r="B162" s="3" t="s">
        <v>4</v>
      </c>
      <c r="C162" s="4" t="str">
        <f ca="1">IFERROR(__xludf.DUMMYFUNCTION("GOOGLETRANSLATE(A162, ""auto"", ""bn"")"),"বিছানার নিচে (সত্যিই পাওয়া গেছে) বাক্সটি খুঁজে পেলাম। ৮x পিভোটাল ২ মিলিগ্রাম, ২x জ্যানাক্স ২ মিলিগ্রাম, ৬x রামাল ২০০ মিলিগ্রাম, ২x অক্সিকোডোন। গতকাল আমি নতুন বিরেটা কিনেছি। হুম, এটা নিয়ে ভাবছি খুবই বিপজ্জনক মিশ্রণ। এটা কি কেবল কাকতালীয়, নাকি কোনও লক্ষণ"&amp;"?")</f>
        <v>বিছানার নিচে (সত্যিই পাওয়া গেছে) বাক্সটি খুঁজে পেলাম। ৮x পিভোটাল ২ মিলিগ্রাম, ২x জ্যানাক্স ২ মিলিগ্রাম, ৬x রামাল ২০০ মিলিগ্রাম, ২x অক্সিকোডোন। গতকাল আমি নতুন বিরেটা কিনেছি। হুম, এটা নিয়ে ভাবছি খুবই বিপজ্জনক মিশ্রণ। এটা কি কেবল কাকতালীয়, নাকি কোনও লক্ষণ?</v>
      </c>
    </row>
    <row r="163" spans="1:3" ht="15" x14ac:dyDescent="0.25">
      <c r="A163" s="3" t="s">
        <v>165</v>
      </c>
      <c r="B163" s="3" t="s">
        <v>4</v>
      </c>
      <c r="C163" s="4" t="str">
        <f ca="1">IFERROR(__xludf.DUMMYFUNCTION("GOOGLETRANSLATE(A163, ""auto"", ""bn"")"),"আমি খুব সুন্দরভাবে একটা AFER এর মতো ঘুরে বেড়াচ্ছি, মাঝে মাঝে আমার চোখ দুটো আমার মাথায় ঘুরছে, আগামীকালের জন্য প্রবন্ধটি লেখার জন্য উৎসাহিত করার জন্য। আমি এখন খুব ব্যস্ত এবং বিক্ষিপ্ত, তাই আমি কেবল বলতে চাই যে আমি এই সাব-এ কখনও এমন কাউকে দেখিনি যে কোনওভাব"&amp;"ে বিচারপ্রবণ বা বিরক্তিকর। সবাই এত দয়ালু এবং বোধগম্য, এটি সত্যিই একটি ঘনিষ্ঠ সম্প্রদায়ের মতো মনে হয় যেখানে সবাই একে অপরকে বোঝে এবং সাহায্য করবে।")</f>
        <v>আমি খুব সুন্দরভাবে একটা AFER এর মতো ঘুরে বেড়াচ্ছি, মাঝে মাঝে আমার চোখ দুটো আমার মাথায় ঘুরছে, আগামীকালের জন্য প্রবন্ধটি লেখার জন্য উৎসাহিত করার জন্য। আমি এখন খুব ব্যস্ত এবং বিক্ষিপ্ত, তাই আমি কেবল বলতে চাই যে আমি এই সাব-এ কখনও এমন কাউকে দেখিনি যে কোনওভাবে বিচারপ্রবণ বা বিরক্তিকর। সবাই এত দয়ালু এবং বোধগম্য, এটি সত্যিই একটি ঘনিষ্ঠ সম্প্রদায়ের মতো মনে হয় যেখানে সবাই একে অপরকে বোঝে এবং সাহায্য করবে।</v>
      </c>
    </row>
    <row r="164" spans="1:3" ht="15" x14ac:dyDescent="0.25">
      <c r="A164" s="3" t="s">
        <v>166</v>
      </c>
      <c r="B164" s="3" t="s">
        <v>4</v>
      </c>
      <c r="C164" s="4" t="str">
        <f ca="1">IFERROR(__xludf.DUMMYFUNCTION("GOOGLETRANSLATE(A164, ""auto"", ""bn"")"),"আমার জন্মদিন আমার খুব খারাপ লাগে। গত ২-৩ বছর ধরে আমার জন্মদিনে সত্যিই গুরুত্বপূর্ণ এবং ভয়াবহ কিছু ঘটেছে। অনেকদিনের মধ্যে এটাই আমার প্রথম জন্মদিন ছিল যা আমি পরিষ্কার করেছিলাম। শুক্রবার আমার জন্মদিন নিয়ে আমার মাথাব্যথা বেড়ে গিয়েছিল এবং আমি কিছু ব্যথানাশ"&amp;"ক ওষুধ খাওয়ার সিদ্ধান্ত নিয়েছিলাম। আমার ৭ মাস ছিল, যা আমার জন্য গুরুত্বপূর্ণ ছিল। তাছাড়া, অনেক বেশি খাওয়ার পর এবং মজার অনুভূতি শুরু করার পর আমি শনিবার কাজে যেতে বাধ্য হয়েছিলাম। তাছাড়া, আমি ২ ঘন্টার বিরতি (একবার কাজ করে) পেয়েছিলাম এবং বাড়ি গিয়ে আর"&amp;"ও কিছু খাওয়ার সিদ্ধান্ত নিয়েছিলাম। আমার শরীর সিদ্ধান্ত নিয়েছে যে এটা অনেক বেশি, এবং আমার মনে হয়েছিল যে আমি ওডি করতে যাচ্ছি। তাই আমি কর্মক্ষেত্রে আমার বন্ধুকে (যিনিও সুস্থ হয়ে উঠছেন) ফোন করে পরিস্থিতি সম্পর্কে বলি। সে আমাকে জরুরি বিভাগে নিয়ে যাওয়ার "&amp;"জন্য কাজ ছেড়ে চলে যায় এবং আমি স্পষ্টতই বাকি শিফটের জন্য যেতে পারিনি। এখন আজকের কথা, আমি এক ঘন্টার মধ্যে কাজ করি এবং আমি যেতে ভয় পাই। আমি খুবই উদ্বিগ্ন কারণ আমার বন্ধু ম্যানেজারদের ঘটনাটি বলেছে (তারা আমার আরোগ্যের কথা জানত) এবং যদি এই কথাটি অন্য কর্মীদে"&amp;"র কাছে পৌঁছায় অথবা আমার সাথে অন্যরকম আচরণ করা হয় তবে আমি কেবল ঘাবড়ে যাই।")</f>
        <v>আমার জন্মদিন আমার খুব খারাপ লাগে। গত ২-৩ বছর ধরে আমার জন্মদিনে সত্যিই গুরুত্বপূর্ণ এবং ভয়াবহ কিছু ঘটেছে। অনেকদিনের মধ্যে এটাই আমার প্রথম জন্মদিন ছিল যা আমি পরিষ্কার করেছিলাম। শুক্রবার আমার জন্মদিন নিয়ে আমার মাথাব্যথা বেড়ে গিয়েছিল এবং আমি কিছু ব্যথানাশক ওষুধ খাওয়ার সিদ্ধান্ত নিয়েছিলাম। আমার ৭ মাস ছিল, যা আমার জন্য গুরুত্বপূর্ণ ছিল। তাছাড়া, অনেক বেশি খাওয়ার পর এবং মজার অনুভূতি শুরু করার পর আমি শনিবার কাজে যেতে বাধ্য হয়েছিলাম। তাছাড়া, আমি ২ ঘন্টার বিরতি (একবার কাজ করে) পেয়েছিলাম এবং বাড়ি গিয়ে আরও কিছু খাওয়ার সিদ্ধান্ত নিয়েছিলাম। আমার শরীর সিদ্ধান্ত নিয়েছে যে এটা অনেক বেশি, এবং আমার মনে হয়েছিল যে আমি ওডি করতে যাচ্ছি। তাই আমি কর্মক্ষেত্রে আমার বন্ধুকে (যিনিও সুস্থ হয়ে উঠছেন) ফোন করে পরিস্থিতি সম্পর্কে বলি। সে আমাকে জরুরি বিভাগে নিয়ে যাওয়ার জন্য কাজ ছেড়ে চলে যায় এবং আমি স্পষ্টতই বাকি শিফটের জন্য যেতে পারিনি। এখন আজকের কথা, আমি এক ঘন্টার মধ্যে কাজ করি এবং আমি যেতে ভয় পাই। আমি খুবই উদ্বিগ্ন কারণ আমার বন্ধু ম্যানেজারদের ঘটনাটি বলেছে (তারা আমার আরোগ্যের কথা জানত) এবং যদি এই কথাটি অন্য কর্মীদের কাছে পৌঁছায় অথবা আমার সাথে অন্যরকম আচরণ করা হয় তবে আমি কেবল ঘাবড়ে যাই।</v>
      </c>
    </row>
    <row r="165" spans="1:3" ht="15" x14ac:dyDescent="0.25">
      <c r="A165" s="3" t="s">
        <v>167</v>
      </c>
      <c r="B165" s="3" t="s">
        <v>4</v>
      </c>
      <c r="C165" s="4" t="str">
        <f ca="1">IFERROR(__xludf.DUMMYFUNCTION("GOOGLETRANSLATE(A165, ""auto"", ""bn"")"),"আমার বয়স ১৭, আর আমার একটা অত্যন্ত দুর্ভাগ্যজনক অসুস্থতা আছে যা আমি ৪ বছর বয়সেই পেতাম। এর কারণ ছিল সেগা ড্রিমকাস্ট, দিনরাত পর্নোগ্রাফি দেখা, ইউটিউবে ভায়োলেন্ট মারিও অ্যানিমেশন, অনলাইনে হিংসাত্মক শুটিং গেম, ৪ চ্যান হেনটাই, ২০০৮-২০০৯ সালের উইন্ডোজ এক্সপি সিআ"&amp;"রটি মনিটর কম্পিউটারে। স্পষ্টতই, আমরা বহু বছর আগে এইসব ছবি মুছে ফেলেছি, কিন্তু তারপর থেকে সেই বিরক্তিকর ছবি এবং তাদের কণ্ঠস্বর এখনও আমার মন থেকে সরে যায়নি। এর ফলে আমি অত্যন্ত উত্তেজিত, হিংস্র হয়ে উঠি এবং মানুষ, প্রাণী, এমনকি মানুষের কথোপকথন, বই ইত্যাদির "&amp;"মতো জিনিসগুলি উল্লেখ করার সময় আমার মাথার ভিতরে জাপানি কন্টেন্ট দেখতে পাই। এটি বহু বছর ধরে আমার জীবনকে ধ্বংস করে দিচ্ছে, এবং এই অসুস্থতার কোনও প্রতিকার খুঁজে পাচ্ছি না, জীবনকে আসলে কী তা দেখতে পাচ্ছি না। কেউ কি এমন লোকদের সম্পর্কে জানেন যারা এই অসুস্থতায় "&amp;"ভুগছেন, যেমন ইউটিউবে রাগান্বিত জার্মান ছেলেটি, এবং জানেন যে তারা কীভাবে এই অসুস্থতা নিরাময় করেছে, অথবা এমন কোনও উপায় জানেন যা এটিকে সাহায্য করতে পারে? আপনি কি আমাকে বলতে পারেন এমন কোনও সাহায্য আমার কাছে সবচেয়ে বেশি অর্থবহ হবে!")</f>
        <v>আমার বয়স ১৭, আর আমার একটা অত্যন্ত দুর্ভাগ্যজনক অসুস্থতা আছে যা আমি ৪ বছর বয়সেই পেতাম। এর কারণ ছিল সেগা ড্রিমকাস্ট, দিনরাত পর্নোগ্রাফি দেখা, ইউটিউবে ভায়োলেন্ট মারিও অ্যানিমেশন, অনলাইনে হিংসাত্মক শুটিং গেম, ৪ চ্যান হেনটাই, ২০০৮-২০০৯ সালের উইন্ডোজ এক্সপি সিআরটি মনিটর কম্পিউটারে। স্পষ্টতই, আমরা বহু বছর আগে এইসব ছবি মুছে ফেলেছি, কিন্তু তারপর থেকে সেই বিরক্তিকর ছবি এবং তাদের কণ্ঠস্বর এখনও আমার মন থেকে সরে যায়নি। এর ফলে আমি অত্যন্ত উত্তেজিত, হিংস্র হয়ে উঠি এবং মানুষ, প্রাণী, এমনকি মানুষের কথোপকথন, বই ইত্যাদির মতো জিনিসগুলি উল্লেখ করার সময় আমার মাথার ভিতরে জাপানি কন্টেন্ট দেখতে পাই। এটি বহু বছর ধরে আমার জীবনকে ধ্বংস করে দিচ্ছে, এবং এই অসুস্থতার কোনও প্রতিকার খুঁজে পাচ্ছি না, জীবনকে আসলে কী তা দেখতে পাচ্ছি না। কেউ কি এমন লোকদের সম্পর্কে জানেন যারা এই অসুস্থতায় ভুগছেন, যেমন ইউটিউবে রাগান্বিত জার্মান ছেলেটি, এবং জানেন যে তারা কীভাবে এই অসুস্থতা নিরাময় করেছে, অথবা এমন কোনও উপায় জানেন যা এটিকে সাহায্য করতে পারে? আপনি কি আমাকে বলতে পারেন এমন কোনও সাহায্য আমার কাছে সবচেয়ে বেশি অর্থবহ হবে!</v>
      </c>
    </row>
    <row r="166" spans="1:3" ht="15" x14ac:dyDescent="0.25">
      <c r="A166" s="3" t="s">
        <v>168</v>
      </c>
      <c r="B166" s="3" t="s">
        <v>4</v>
      </c>
      <c r="C166" s="4" t="str">
        <f ca="1">IFERROR(__xludf.DUMMYFUNCTION("GOOGLETRANSLATE(A166, ""auto"", ""bn"")"),"আমি আড়াই বছর ধরে এই আসক্তি গোপনে ধরে রেখেছি। কেউ জানে না যে আমি এর সাথে লড়াই করছি। আমি অবশেষে থামাতে প্রস্তুত... আমি ২ মাস আগে আমার স্থানীয় সাবক্সোন প্রোগ্রাম ব্যবহার করে ডেন্টিনাল লেসড হেরোইন বন্ধ করে দিয়েছিলাম, এবং তারা জানত যে আমি আমার মেথ আসক্তিতে"&amp;" সক্রিয়, কিন্তু আমরা একটি চুক্তি করেছি যে হেরোইনের সাথে মোকাবিলা করার পরে তারা আমাকে মেথ থেকে মুক্তি পেতে সহায়তা করবে। এবং আজ থেকে আমার সংযমের শুরু। এখানে সকলকে তাদের গল্প ভাগ করে নেওয়ার জন্য ধন্যবাদ।")</f>
        <v>আমি আড়াই বছর ধরে এই আসক্তি গোপনে ধরে রেখেছি। কেউ জানে না যে আমি এর সাথে লড়াই করছি। আমি অবশেষে থামাতে প্রস্তুত... আমি ২ মাস আগে আমার স্থানীয় সাবক্সোন প্রোগ্রাম ব্যবহার করে ডেন্টিনাল লেসড হেরোইন বন্ধ করে দিয়েছিলাম, এবং তারা জানত যে আমি আমার মেথ আসক্তিতে সক্রিয়, কিন্তু আমরা একটি চুক্তি করেছি যে হেরোইনের সাথে মোকাবিলা করার পরে তারা আমাকে মেথ থেকে মুক্তি পেতে সহায়তা করবে। এবং আজ থেকে আমার সংযমের শুরু। এখানে সকলকে তাদের গল্প ভাগ করে নেওয়ার জন্য ধন্যবাদ।</v>
      </c>
    </row>
    <row r="167" spans="1:3" ht="15" x14ac:dyDescent="0.25">
      <c r="A167" s="3" t="s">
        <v>169</v>
      </c>
      <c r="B167" s="3" t="s">
        <v>4</v>
      </c>
      <c r="C167" s="4" t="str">
        <f ca="1">IFERROR(__xludf.DUMMYFUNCTION("GOOGLETRANSLATE(A167, ""auto"", ""bn"")"),"জানুয়ারির শুরুতে আমার আবারও রোগ শুরু হয়ে গেল; আমার ৮ মাস ধরে অস্থিরতা ছিল। আমি জানতাম আমার জীবন নষ্ট হবে, কিন্তু এই অস্থিরতা অকল্পনীয় ছিল। তাছাড়া, গত বছর ধূমপান ও মাদকাসক্তির কারণে আমার ফুসফুসের তীব্র সংক্রমণ হয়েছিল। তারা এটিকে অ্যাসপিরেশন নিউমোনিয়া হিসে"&amp;"বে নির্ণয় করেছিল, কিন্তু এটি একটি খুব স্পষ্ট রোগ নির্ণয় ছিল। এটি এতটাই বেদনাদায়ক ছিল, এবং আমার ভয় এবারও পুনরাবৃত্তি হচ্ছিল, এটি আবারও ঘটেছিল, ঠিক তাই। প্রায় দুই সপ্তাহ আগে আমি অ্যাসপিরেশনে আক্রান্ত হয়েছিলাম, এবং আমার ফুসফুসের সংক্রমণ, অথবা, যাই হোক ন"&amp;"া কেন, পুরো শক্তিতে ফিরে এসেছিল। আমি ইতিমধ্যেই তার কাছে ৩ বার গিয়েছি, এবং তারা এখনও জানে না আমার কী সমস্যা হয়েছে। আমার O2 লেভেল অত্যন্ত কম। মাঝরাতে ঘুম থেকে উঠে এবং শ্বাস নিতে কষ্ট না করে আমি ঘুমাতে পারি না। ক্রমাগত কাশি এবং শ্বাসকষ্ট। এটি একটি দুঃস্বপ্"&amp;"নের মতো। আমি আবারও এটিকে পুনরুজ্জীবিত করছি। আমি মাদক সেবন না করার চেষ্টা করছি, কিন্তু নাক ডাকলে আমার আসলে কিছুই হয় না, আর মনে হচ্ছে মাদকই একমাত্র জিনিস যা এই যন্ত্রণা কিছুটা কমিয়ে দেয়। তাছাড়া, আমি আবার মাদকাসক্ত হয়ে পড়েছি, আমার সহনশীলতা অনেক বেশি, এ"&amp;"বং আমি আমার সমস্ত টাকা এই জিনিসের পিছনে ব্যয় করছি; আমার ১,০০০ ডলার সঞ্চয় ছিল, যা আমার সারা জীবনে সবচেয়ে বেশি, এখন আমি নেগেটিভ অবস্থায় আছি। মাত্র ১ মাস ব্যবহারের পর। ১ মাস। ফুসফুসের সংক্রমণের কারণে এবং কর্মক্ষেত্রে মাদকাসক্ত হওয়ার ভয়ে আমি বেকার। আমি "&amp;"৬ মাস ধরে এই চাকরিতে আছি, এবং এটিই ছিল আমার স্থিতিশীলতার একমাত্র উৎস। এবং আমি চাকরিচ্যুত হওয়ার দ্বারপ্রান্তে। আমি আমার পরিবারের কাছে স্বীকার করেছি যে আমার পুনরায় মাদকাসক্ত হয়ে পড়েছিলাম, আমি কেবল সৎ থাকতে চেয়েছিলাম এবং নিজের সম্পর্কে বলতে চেয়েছিলাম, "&amp;"এটি একটি বিশাল ভুল ছিল। আমার পরিবার আমার উপর এত গর্বিত, অবশেষে তারা আমার উপর আস্থা রেখেছিল, তারা আমার জন্য খুশি হয়েছিল, বছরের পর বছর ধরে প্রথমবারের মতো আমার মনে হয়েছিল যে আমি আমার পরিবারকে ফিরে পেয়েছি। এখন তারা আমার এবং আমার সুস্থতার উপর সমস্ত আস্থা হা"&amp;"রিয়ে ফেলেছে। আমাদের মধ্যে কথা বলা খুব একটা কঠিন, এবং যখন আমরা থাকি, তখন এটি খুব অস্বস্তিকর, এবং আমি ক্রমাগত প্রশ্ন এবং অভিযোগের শিকার হই। আমাদের দুজনেরই মাদকাসক্তির কারণে আমার সঙ্গীর সাথে আমার সম্পর্ক ধীরে ধীরে ভেঙে যাচ্ছে, এবং ৮ মাস ধরে আমাদের সম্পর্ক এ"&amp;"ত শক্তিশালী, স্বাস্থ্যকর এবং যোগাযোগমূলক ছিল যে দুজনেই পরিষ্কার সময় কাটাচ্ছিল, এবং এখন আবার তা ভেঙে পড়ছে। আমার মানসিক এবং শারীরিক স্বাস্থ্য তলানিতে। পুনরায় মাদকাসক্তি এতটাই মূল্যবান ছিল যে ঈশ্বরের অভিশাপ ছিল যে এটির কোনও মূল্য ছিল না। এটা পাগলের মতো যে"&amp;" মাত্র এক মাস ব্যবহারের পরে আমার জীবন ৮ মাস আগের মতোই ফিরে যায়। এটা সত্য, যখন আপনি পুনরায় মাদকাসক্তির পুনরাবৃত্তি করেন তখন আপনি ঠিক যেখানে ছিলেন সেখানেই ফিরে যান, যদি আরও খারাপ না হন। এই জিনিসটি এত খারাপ। এই ড্রাগটি এত খারাপ। যারা আবারও মাদকাসক্তির কথা "&amp;"ভাবছেন, আমি সত্যিই আশা করি তুমি নিজের ভেতরে শক্তি খুঁজে পাবে যাতে তুমি এটা না করতে পারো, আজ, আজ রাতের জন্য, পরের ঘন্টার জন্য, পরের সেকেন্ডের জন্য শুধু পরিষ্কার এবং সংযত থাকতে পারো। তুমি এর চেয়ে অনেক বেশি মূল্যবান। যতই তীব্র আকাঙ্ক্ষা কাটিয়ে উঠো না কেন। "&amp;"এটা মূল্যহীন। আমি যদি পুনরায় মাদকাসক্তির আগে নিজেকে এই কথাটা বলতাম, আমি যদি ঐসব ফালতু টেপগুলো আবার দেখতাম। মনে রেখো তুমি সুস্থ হওয়ার আগে কেমন অনুভব করেছিলে এবং কেন তুমি সুস্থ হয়ে উঠেছিলে। কোন মাদক বা পানীয়ের জন্য এটা মূল্যহীন। তুমি ঠিক একই জায়গায় ফি"&amp;"রে যাবে, কোন নীচ নেই, এটা সবসময় খারাপ হতে পারে, এবং এটা সবসময়ই হবে। এটা সবসময়ই করে।")</f>
        <v>জানুয়ারির শুরুতে আমার আবারও রোগ শুরু হয়ে গেল; আমার ৮ মাস ধরে অস্থিরতা ছিল। আমি জানতাম আমার জীবন নষ্ট হবে, কিন্তু এই অস্থিরতা অকল্পনীয় ছিল। তাছাড়া, গত বছর ধূমপান ও মাদকাসক্তির কারণে আমার ফুসফুসের তীব্র সংক্রমণ হয়েছিল। তারা এটিকে অ্যাসপিরেশন নিউমোনিয়া হিসেবে নির্ণয় করেছিল, কিন্তু এটি একটি খুব স্পষ্ট রোগ নির্ণয় ছিল। এটি এতটাই বেদনাদায়ক ছিল, এবং আমার ভয় এবারও পুনরাবৃত্তি হচ্ছিল, এটি আবারও ঘটেছিল, ঠিক তাই। প্রায় দুই সপ্তাহ আগে আমি অ্যাসপিরেশনে আক্রান্ত হয়েছিলাম, এবং আমার ফুসফুসের সংক্রমণ, অথবা, যাই হোক না কেন, পুরো শক্তিতে ফিরে এসেছিল। আমি ইতিমধ্যেই তার কাছে ৩ বার গিয়েছি, এবং তারা এখনও জানে না আমার কী সমস্যা হয়েছে। আমার O2 লেভেল অত্যন্ত কম। মাঝরাতে ঘুম থেকে উঠে এবং শ্বাস নিতে কষ্ট না করে আমি ঘুমাতে পারি না। ক্রমাগত কাশি এবং শ্বাসকষ্ট। এটি একটি দুঃস্বপ্নের মতো। আমি আবারও এটিকে পুনরুজ্জীবিত করছি। আমি মাদক সেবন না করার চেষ্টা করছি, কিন্তু নাক ডাকলে আমার আসলে কিছুই হয় না, আর মনে হচ্ছে মাদকই একমাত্র জিনিস যা এই যন্ত্রণা কিছুটা কমিয়ে দেয়। তাছাড়া, আমি আবার মাদকাসক্ত হয়ে পড়েছি, আমার সহনশীলতা অনেক বেশি, এবং আমি আমার সমস্ত টাকা এই জিনিসের পিছনে ব্যয় করছি; আমার ১,০০০ ডলার সঞ্চয় ছিল, যা আমার সারা জীবনে সবচেয়ে বেশি, এখন আমি নেগেটিভ অবস্থায় আছি। মাত্র ১ মাস ব্যবহারের পর। ১ মাস। ফুসফুসের সংক্রমণের কারণে এবং কর্মক্ষেত্রে মাদকাসক্ত হওয়ার ভয়ে আমি বেকার। আমি ৬ মাস ধরে এই চাকরিতে আছি, এবং এটিই ছিল আমার স্থিতিশীলতার একমাত্র উৎস। এবং আমি চাকরিচ্যুত হওয়ার দ্বারপ্রান্তে। আমি আমার পরিবারের কাছে স্বীকার করেছি যে আমার পুনরায় মাদকাসক্ত হয়ে পড়েছিলাম, আমি কেবল সৎ থাকতে চেয়েছিলাম এবং নিজের সম্পর্কে বলতে চেয়েছিলাম, এটি একটি বিশাল ভুল ছিল। আমার পরিবার আমার উপর এত গর্বিত, অবশেষে তারা আমার উপর আস্থা রেখেছিল, তারা আমার জন্য খুশি হয়েছিল, বছরের পর বছর ধরে প্রথমবারের মতো আমার মনে হয়েছিল যে আমি আমার পরিবারকে ফিরে পেয়েছি। এখন তারা আমার এবং আমার সুস্থতার উপর সমস্ত আস্থা হারিয়ে ফেলেছে। আমাদের মধ্যে কথা বলা খুব একটা কঠিন, এবং যখন আমরা থাকি, তখন এটি খুব অস্বস্তিকর, এবং আমি ক্রমাগত প্রশ্ন এবং অভিযোগের শিকার হই। আমাদের দুজনেরই মাদকাসক্তির কারণে আমার সঙ্গীর সাথে আমার সম্পর্ক ধীরে ধীরে ভেঙে যাচ্ছে, এবং ৮ মাস ধরে আমাদের সম্পর্ক এত শক্তিশালী, স্বাস্থ্যকর এবং যোগাযোগমূলক ছিল যে দুজনেই পরিষ্কার সময় কাটাচ্ছিল, এবং এখন আবার তা ভেঙে পড়ছে। আমার মানসিক এবং শারীরিক স্বাস্থ্য তলানিতে। পুনরায় মাদকাসক্তি এতটাই মূল্যবান ছিল যে ঈশ্বরের অভিশাপ ছিল যে এটির কোনও মূল্য ছিল না। এটা পাগলের মতো যে মাত্র এক মাস ব্যবহারের পরে আমার জীবন ৮ মাস আগের মতোই ফিরে যায়। এটা সত্য, যখন আপনি পুনরায় মাদকাসক্তির পুনরাবৃত্তি করেন তখন আপনি ঠিক যেখানে ছিলেন সেখানেই ফিরে যান, যদি আরও খারাপ না হন। এই জিনিসটি এত খারাপ। এই ড্রাগটি এত খারাপ। যারা আবারও মাদকাসক্তির কথা ভাবছেন, আমি সত্যিই আশা করি তুমি নিজের ভেতরে শক্তি খুঁজে পাবে যাতে তুমি এটা না করতে পারো, আজ, আজ রাতের জন্য, পরের ঘন্টার জন্য, পরের সেকেন্ডের জন্য শুধু পরিষ্কার এবং সংযত থাকতে পারো। তুমি এর চেয়ে অনেক বেশি মূল্যবান। যতই তীব্র আকাঙ্ক্ষা কাটিয়ে উঠো না কেন। এটা মূল্যহীন। আমি যদি পুনরায় মাদকাসক্তির আগে নিজেকে এই কথাটা বলতাম, আমি যদি ঐসব ফালতু টেপগুলো আবার দেখতাম। মনে রেখো তুমি সুস্থ হওয়ার আগে কেমন অনুভব করেছিলে এবং কেন তুমি সুস্থ হয়ে উঠেছিলে। কোন মাদক বা পানীয়ের জন্য এটা মূল্যহীন। তুমি ঠিক একই জায়গায় ফিরে যাবে, কোন নীচ নেই, এটা সবসময় খারাপ হতে পারে, এবং এটা সবসময়ই হবে। এটা সবসময়ই করে।</v>
      </c>
    </row>
    <row r="168" spans="1:3" ht="15" x14ac:dyDescent="0.25">
      <c r="A168" s="3" t="s">
        <v>170</v>
      </c>
      <c r="B168" s="3" t="s">
        <v>4</v>
      </c>
      <c r="C168" s="4" t="str">
        <f ca="1">IFERROR(__xludf.DUMMYFUNCTION("GOOGLETRANSLATE(A168, ""auto"", ""bn"")"),"আমি আবারও এটা করেছি। আমি আবারও অসুস্থ হয়ে পড়েছি। তাছাড়া, সম্প্রতি আমি বুঝতে পেরেছি যে এটি আবারও অ্যাম্ফিটামিন ব্যবহারের মতো কাজ করছে না। তাছাড়া, আমাকে নিজের প্রতি এবং আমার বান্ধবীর প্রতি সৎ হতে হয়েছিল যার সাথে আমি থাকি, যা স্বীকার করা খুব কঠিন, আমি ম"&amp;"নে করি প্রতিটি আসক্তের জন্য। তাছাড়া, আমি যাদের ভালোবাসি এবং যত্ন করি তাদের আমি আঘাত করতে চাই না। এটি দ্বিতীয়বার আমাকে এখানে এটি করতে হচ্ছে। এবং এটি আমার হৃদয় ভেঙে দেয়। এই চক্রটি আমার x এর সাথেও পুনরাবৃত্তি হয়েছে। আমি এতে ক্লান্ত, এবং আমি নিজেকে নিয়ে"&amp;" ক্লান্ত। কিন্তু আমি নিজের উপর খুব বেশি কঠোর না হওয়ার চেষ্টা করছি; এটি বিপরীতমুখী।")</f>
        <v>আমি আবারও এটা করেছি। আমি আবারও অসুস্থ হয়ে পড়েছি। তাছাড়া, সম্প্রতি আমি বুঝতে পেরেছি যে এটি আবারও অ্যাম্ফিটামিন ব্যবহারের মতো কাজ করছে না। তাছাড়া, আমাকে নিজের প্রতি এবং আমার বান্ধবীর প্রতি সৎ হতে হয়েছিল যার সাথে আমি থাকি, যা স্বীকার করা খুব কঠিন, আমি মনে করি প্রতিটি আসক্তের জন্য। তাছাড়া, আমি যাদের ভালোবাসি এবং যত্ন করি তাদের আমি আঘাত করতে চাই না। এটি দ্বিতীয়বার আমাকে এখানে এটি করতে হচ্ছে। এবং এটি আমার হৃদয় ভেঙে দেয়। এই চক্রটি আমার x এর সাথেও পুনরাবৃত্তি হয়েছে। আমি এতে ক্লান্ত, এবং আমি নিজেকে নিয়ে ক্লান্ত। কিন্তু আমি নিজের উপর খুব বেশি কঠোর না হওয়ার চেষ্টা করছি; এটি বিপরীতমুখী।</v>
      </c>
    </row>
    <row r="169" spans="1:3" ht="15" x14ac:dyDescent="0.25">
      <c r="A169" s="3" t="s">
        <v>171</v>
      </c>
      <c r="B169" s="3" t="s">
        <v>4</v>
      </c>
      <c r="C169" s="4" t="str">
        <f ca="1">IFERROR(__xludf.DUMMYFUNCTION("GOOGLETRANSLATE(A169, ""auto"", ""bn"")"),"আমি বিশ্বাস করতে পারছি না যে আমি অবশেষে এটা লিখছি। অনেক দিন হয়ে গেল। অন্তত বলতে গেলে, অনেক দিন হয়ে গেল। তোমার সাথে গত ত্রিশ বছর কেটেছে এক বিরাট রোলার কোস্টার রাইড। আমরা জীবনের অনেক উত্থান-পতনের মধ্য দিয়ে গেছি। আমার এখনও স্পষ্ট মনে আছে যে আমাদের প্রথম দ"&amp;"েখা হয়েছিল। আমার বয়স ছিল ১৫ বছর এবং আমি হাই স্কুলে পড়ি। আমার বন্ধুরা এবং আমি কাউকে টাকা দিয়ে তোমাকে কিনে দিয়েছিলাম। আমরা সবাই সেদিন স্টকটনের প্যাসিফিক অ্যাভিনিউতে মদ্যপান করেছিলাম। তখন, এটা ছিল দারুন কাজ। আমি এমন একজন দারুন ছেলে হতে চেয়েছিলাম যার সা"&amp;"থে সবাই সময় কাটাতে চায়। তোমার সাথে সেই প্রথম অভিজ্ঞতাই অনেকের মধ্যে প্রথম হয়ে ওঠে। আমার সমস্ত মাইলফলকে তুমি সেখানে ছিলে? হাই স্কুল স্নাতক, প্রথম চাকরি, প্রথম বেতন, প্রথম ভর্তি, প্রথম গাড়ি, প্রথম বিয়ে, প্রথম সন্তান, প্রথম বাড়ি? আমার জীবনের এই সমস্ত প"&amp;"্রথম সময়ে তুমি সেখানে ছিলে এটা বেশ দারুন ছিল?। বাহ, তুমি সত্যিই একটা ছাপ রেখেছো! আমার ব্যর্থতার অনেক সময় তুমি পাশে ছিলে: আমার প্রথম বিবাহবিচ্ছেদ, আমার প্রথম সম্পত্তি বন্ধক, আমার প্রথম সাজসজ্জা? আমার প্রথম দুঃখ। যখন আমি আমার প্রথম প্রেম হারিয়েছিলাম তখন "&amp;"তুমি আমার পাশে ছিলে। আমার অস্তিত্বের সবচেয়ে সুন্দর অংশ: আমার মা। তিনি আমার সবকিছু ছিলেন। যখন আমি তাকে হারিয়েছিলাম, তখন আমি নিজের একটা বিশাল অংশও হারিয়ে ফেলেছিলাম। আমার জীবনের ভালোবাসা হারানোর যন্ত্রণা ছাড়াও, অন্য ধরণের যন্ত্রণা আছে। সেনাবাহিনীতে চাকরি"&amp;" করা সহজ ছিল না। আমাকে অনেক চাপ এবং ট্রমা মোকাবেলা করতে হয়েছিল। ২৪ বছর ধরে, আমি স্ব-ঔষধের মাধ্যমে শারীরিক ও মানসিক যন্ত্রণার সাথে মোকাবিলা করেছি। যদিও আমি ধীরে ধীরে ভেতরে ভেতরে মারা যাচ্ছিলাম, তবুও আমাকে দৃঢ় মুখ দেখাতে হয়েছিল। আমি হাল ছেড়ে দিতে চেয়েছ"&amp;"িলাম, কিন্তু এটি আমার পরিবারের জন্য হতাশার কারণ হতে পারে তা আমি সহ্য করতে পারিনি। তাই আমি আমার অনুভূতি, আমার আবেগকে জাল করতে শিখেছি। যখন আমি সত্যিই এত রাগান্বিত, হতাশ, একাকী মানুষ ছিলাম এবং প্রচুর বোঝা বহন করছিলাম, তখন আমি খুশি বলে ভান করা কঠিন ছিল। আমার "&amp;"সমস্ত উত্থান-পতনের মধ্যে, তুমিই আমার জীবনের একমাত্র ধ্রুবক ছিলে। তুমি কখনও আমার পাশে ছেড়ে যাওনি। তুমি সবসময় আমার হাত ধরে ছিলে। আর আমি ভুল বুঝেছিলাম আনুগত্যের জন্য, বিশ্বাসের জন্য, ভালোবাসার জন্য। যখন সবকিছু ছিল নিয়ন্ত্রণের জন্য। প্রতারণার জন্য। বিশ্বাসঘ"&amp;"াতকতা করার জন্য। বিদায়ের সাথে আমার খুব একটা মিল নেই। বিদায় সবসময় বেদনাদায়ক। কিন্তু আমাকে মেনে নিতে হবে যে কিছুই চিরকাল স্থায়ী হয় না। আমার পুরনো বন্ধু, এখন বিচ্ছেদের সময়। আমাদের সম্পর্কের এই চূড়ান্ত অধ্যায়টি শেষ করার আগে, আমি তোমাকে আমার প্রিয় বা"&amp;"ইবেলের একটি উক্তি দিয়ে যেতে চাই: সবকিছুরই একটি ঋতু আছে। আকাশের নীচে প্রতিটি কাজের জন্য একটি সময়। জন্ম নেওয়ার সময় এবং মৃত্যুর সময়। রোপণের সময় এবং ফসল কাটার সময়। উপদেশক 3:1-8।")</f>
        <v>আমি বিশ্বাস করতে পারছি না যে আমি অবশেষে এটা লিখছি। অনেক দিন হয়ে গেল। অন্তত বলতে গেলে, অনেক দিন হয়ে গেল। তোমার সাথে গত ত্রিশ বছর কেটেছে এক বিরাট রোলার কোস্টার রাইড। আমরা জীবনের অনেক উত্থান-পতনের মধ্য দিয়ে গেছি। আমার এখনও স্পষ্ট মনে আছে যে আমাদের প্রথম দেখা হয়েছিল। আমার বয়স ছিল ১৫ বছর এবং আমি হাই স্কুলে পড়ি। আমার বন্ধুরা এবং আমি কাউকে টাকা দিয়ে তোমাকে কিনে দিয়েছিলাম। আমরা সবাই সেদিন স্টকটনের প্যাসিফিক অ্যাভিনিউতে মদ্যপান করেছিলাম। তখন, এটা ছিল দারুন কাজ। আমি এমন একজন দারুন ছেলে হতে চেয়েছিলাম যার সাথে সবাই সময় কাটাতে চায়। তোমার সাথে সেই প্রথম অভিজ্ঞতাই অনেকের মধ্যে প্রথম হয়ে ওঠে। আমার সমস্ত মাইলফলকে তুমি সেখানে ছিলে? হাই স্কুল স্নাতক, প্রথম চাকরি, প্রথম বেতন, প্রথম ভর্তি, প্রথম গাড়ি, প্রথম বিয়ে, প্রথম সন্তান, প্রথম বাড়ি? আমার জীবনের এই সমস্ত প্রথম সময়ে তুমি সেখানে ছিলে এটা বেশ দারুন ছিল?। বাহ, তুমি সত্যিই একটা ছাপ রেখেছো! আমার ব্যর্থতার অনেক সময় তুমি পাশে ছিলে: আমার প্রথম বিবাহবিচ্ছেদ, আমার প্রথম সম্পত্তি বন্ধক, আমার প্রথম সাজসজ্জা? আমার প্রথম দুঃখ। যখন আমি আমার প্রথম প্রেম হারিয়েছিলাম তখন তুমি আমার পাশে ছিলে। আমার অস্তিত্বের সবচেয়ে সুন্দর অংশ: আমার মা। তিনি আমার সবকিছু ছিলেন। যখন আমি তাকে হারিয়েছিলাম, তখন আমি নিজের একটা বিশাল অংশও হারিয়ে ফেলেছিলাম। আমার জীবনের ভালোবাসা হারানোর যন্ত্রণা ছাড়াও, অন্য ধরণের যন্ত্রণা আছে। সেনাবাহিনীতে চাকরি করা সহজ ছিল না। আমাকে অনেক চাপ এবং ট্রমা মোকাবেলা করতে হয়েছিল। ২৪ বছর ধরে, আমি স্ব-ঔষধের মাধ্যমে শারীরিক ও মানসিক যন্ত্রণার সাথে মোকাবিলা করেছি। যদিও আমি ধীরে ধীরে ভেতরে ভেতরে মারা যাচ্ছিলাম, তবুও আমাকে দৃঢ় মুখ দেখাতে হয়েছিল। আমি হাল ছেড়ে দিতে চেয়েছিলাম, কিন্তু এটি আমার পরিবারের জন্য হতাশার কারণ হতে পারে তা আমি সহ্য করতে পারিনি। তাই আমি আমার অনুভূতি, আমার আবেগকে জাল করতে শিখেছি। যখন আমি সত্যিই এত রাগান্বিত, হতাশ, একাকী মানুষ ছিলাম এবং প্রচুর বোঝা বহন করছিলাম, তখন আমি খুশি বলে ভান করা কঠিন ছিল। আমার সমস্ত উত্থান-পতনের মধ্যে, তুমিই আমার জীবনের একমাত্র ধ্রুবক ছিলে। তুমি কখনও আমার পাশে ছেড়ে যাওনি। তুমি সবসময় আমার হাত ধরে ছিলে। আর আমি ভুল বুঝেছিলাম আনুগত্যের জন্য, বিশ্বাসের জন্য, ভালোবাসার জন্য। যখন সবকিছু ছিল নিয়ন্ত্রণের জন্য। প্রতারণার জন্য। বিশ্বাসঘাতকতা করার জন্য। বিদায়ের সাথে আমার খুব একটা মিল নেই। বিদায় সবসময় বেদনাদায়ক। কিন্তু আমাকে মেনে নিতে হবে যে কিছুই চিরকাল স্থায়ী হয় না। আমার পুরনো বন্ধু, এখন বিচ্ছেদের সময়। আমাদের সম্পর্কের এই চূড়ান্ত অধ্যায়টি শেষ করার আগে, আমি তোমাকে আমার প্রিয় বাইবেলের একটি উক্তি দিয়ে যেতে চাই: সবকিছুরই একটি ঋতু আছে। আকাশের নীচে প্রতিটি কাজের জন্য একটি সময়। জন্ম নেওয়ার সময় এবং মৃত্যুর সময়। রোপণের সময় এবং ফসল কাটার সময়। উপদেশক 3:1-8।</v>
      </c>
    </row>
    <row r="170" spans="1:3" ht="15" x14ac:dyDescent="0.25">
      <c r="A170" s="3" t="s">
        <v>172</v>
      </c>
      <c r="B170" s="3" t="s">
        <v>4</v>
      </c>
      <c r="C170" s="4" t="str">
        <f ca="1">IFERROR(__xludf.DUMMYFUNCTION("GOOGLETRANSLATE(A170, ""auto"", ""bn"")"),"আমি এই বিষয়ে নিবেদিত Subreddit-এ পোস্ট করতে পারছি না, এবং ১৩৬ দিন ধরে কেউ পোস্ট করেনি। আমার ক্লেপ্টোম্যানিয়া আছে। কখনও রোগ নির্ণয় হয়নি, কিন্তু আমার মনে হয় আমি চুরি করার প্রতি আসক্ত। আমি কখনও আমার পরিচিত কারো কাছ থেকে চুরি করিনি, কখনও ছোট ব্যবসা থেকে,"&amp;" কখনও এমন কারো কাছ থেকে যারা এতে ভুগবে। এটা কেবল তখনই হয় যখন আমি বিশাল বহু-বিলিয়ন ডলারের কর্পোরেশনে যাই। কিন্তু এটা আমার জন্য বিপজ্জনক। আমি বছরের পর বছর ধরে এটা করে আসছি এবং আমি জানি না কিভাবে আমি কখনও ধরা পড়িনি। আমাকে থামাতে হবে। তাছাড়া, আমার একটি ক্"&amp;"যারিয়ার আছে। তাছাড়া, আমার একটি সন্তান আছে। তাছাড়া, আমার একজন সঙ্গী আছে। এবং কেউ জানে না। বিনামূল্যে কিছু পাওয়া ভালো লাগে, এটা এমন মনে হয় যখন আপনি একটি নিখুঁত বিক্রয়ে কিছু পেয়েছেন। কখনও কখনও এটি বডি ওয়াশ বা আইলাইনারের মতো ব্যক্তিগত জিনিসপত্র। কখনও "&amp;"কখনও এটি খাবার হতে পারে। অনেক সময়, আমি কেবল তখনই এটি করি যখন আমার মনে হয় এটি কেনার ন্যায্যতা প্রমাণ করার জন্য খুব ব্যয়বহুল, কিন্তু আমি সত্যিই চাই বা অনুভব করি যে আমার এটির প্রয়োজন। উদাহরণস্বরূপ, আমি ""ভুলে যেতে পারি?"" মুরগির বুকের মাংসের একটা প্যাকেট"&amp;" স্ক্যান করার জন্য, কারণ ওদের কাছে শুধু জৈব ধরণের মুরগিই ছিল এবং আমি এর দাম বহন করতে পারছি না। এটা এখন আমার কাছে এতটাই স্বাভাবিক হয়ে গেছে যে, যদি আমি একটা বড় শপিং ট্রিপে যাই এবং এই সবের জন্য টাকা খরচ করি, তাহলে আমার সাথে প্রতারণা করা হয়েছে বলে মনে হয়।"&amp;" আমাকে থামাতে হবে। আমি জানি অবশেষে আমার ভাগ্য ফুরিয়ে যাবে এবং আমি ধরা পড়ে যাব। তাছাড়া, আমি এটা চালিয়ে যেতে পারব না। আমি এতে আসক্ত। তাছাড়া, অনেক দেরি হওয়ার আগেই আমাকে থামাতে হবে।")</f>
        <v>আমি এই বিষয়ে নিবেদিত Subreddit-এ পোস্ট করতে পারছি না, এবং ১৩৬ দিন ধরে কেউ পোস্ট করেনি। আমার ক্লেপ্টোম্যানিয়া আছে। কখনও রোগ নির্ণয় হয়নি, কিন্তু আমার মনে হয় আমি চুরি করার প্রতি আসক্ত। আমি কখনও আমার পরিচিত কারো কাছ থেকে চুরি করিনি, কখনও ছোট ব্যবসা থেকে, কখনও এমন কারো কাছ থেকে যারা এতে ভুগবে। এটা কেবল তখনই হয় যখন আমি বিশাল বহু-বিলিয়ন ডলারের কর্পোরেশনে যাই। কিন্তু এটা আমার জন্য বিপজ্জনক। আমি বছরের পর বছর ধরে এটা করে আসছি এবং আমি জানি না কিভাবে আমি কখনও ধরা পড়িনি। আমাকে থামাতে হবে। তাছাড়া, আমার একটি ক্যারিয়ার আছে। তাছাড়া, আমার একটি সন্তান আছে। তাছাড়া, আমার একজন সঙ্গী আছে। এবং কেউ জানে না। বিনামূল্যে কিছু পাওয়া ভালো লাগে, এটা এমন মনে হয় যখন আপনি একটি নিখুঁত বিক্রয়ে কিছু পেয়েছেন। কখনও কখনও এটি বডি ওয়াশ বা আইলাইনারের মতো ব্যক্তিগত জিনিসপত্র। কখনও কখনও এটি খাবার হতে পারে। অনেক সময়, আমি কেবল তখনই এটি করি যখন আমার মনে হয় এটি কেনার ন্যায্যতা প্রমাণ করার জন্য খুব ব্যয়বহুল, কিন্তু আমি সত্যিই চাই বা অনুভব করি যে আমার এটির প্রয়োজন। উদাহরণস্বরূপ, আমি "ভুলে যেতে পারি?" মুরগির বুকের মাংসের একটা প্যাকেট স্ক্যান করার জন্য, কারণ ওদের কাছে শুধু জৈব ধরণের মুরগিই ছিল এবং আমি এর দাম বহন করতে পারছি না। এটা এখন আমার কাছে এতটাই স্বাভাবিক হয়ে গেছে যে, যদি আমি একটা বড় শপিং ট্রিপে যাই এবং এই সবের জন্য টাকা খরচ করি, তাহলে আমার সাথে প্রতারণা করা হয়েছে বলে মনে হয়। আমাকে থামাতে হবে। আমি জানি অবশেষে আমার ভাগ্য ফুরিয়ে যাবে এবং আমি ধরা পড়ে যাব। তাছাড়া, আমি এটা চালিয়ে যেতে পারব না। আমি এতে আসক্ত। তাছাড়া, অনেক দেরি হওয়ার আগেই আমাকে থামাতে হবে।</v>
      </c>
    </row>
    <row r="171" spans="1:3" ht="15" x14ac:dyDescent="0.25">
      <c r="A171" s="3" t="s">
        <v>173</v>
      </c>
      <c r="B171" s="3" t="s">
        <v>4</v>
      </c>
      <c r="C171" s="4" t="str">
        <f ca="1">IFERROR(__xludf.DUMMYFUNCTION("GOOGLETRANSLATE(A171, ""auto"", ""bn"")"),"মাঝে মাঝে নিজেকে আয়নায় দেখে মনে হয় হ্যাঁ, তুমি এটা বুঝতে পেরেছো। আর মাঝে মাঝে মনে হয় আমি মারা যাচ্ছি। আমি জানি না কেন আমি এই অ্যাপটি ডাউনলোড করেছি, কিন্তু আমি একটা জিনিস জানি। অবশেষে আমি আমার অনুভূতি প্রকাশ করতে নিরাপদ বোধ করেছি। বিশেষ করে এই পৃথিবীতে"&amp;" অভিজ্ঞতা সম্পন্ন সকল একই রকমের মানুষদের দেখে... আমি আমার বন্ধুদের আমার মতো জীবনযাপন করতে দেখি এবং আমি চিন্তিত যে আমিই পরবর্তী জীবন... আমি বেশিরভাগ সময় মদ্যপান এবং মাদকাসক্তদের সাথে লড়াই করি। আমি এই জিনিস থেকে বেরিয়ে আসার চেষ্টা করছি এবং সত্যিই সেই ব্য"&amp;"ক্তিকে মিস করছি যাকে আমি আগে ছিলাম। তাছাড়া, আমি জানি যে সেই ব্যক্তি এখনও আছে এবং হারিয়ে যায়নি। কিন্তু এখনও এত কিছুর অভাব অনুভব করার প্রেরণা।")</f>
        <v>মাঝে মাঝে নিজেকে আয়নায় দেখে মনে হয় হ্যাঁ, তুমি এটা বুঝতে পেরেছো। আর মাঝে মাঝে মনে হয় আমি মারা যাচ্ছি। আমি জানি না কেন আমি এই অ্যাপটি ডাউনলোড করেছি, কিন্তু আমি একটা জিনিস জানি। অবশেষে আমি আমার অনুভূতি প্রকাশ করতে নিরাপদ বোধ করেছি। বিশেষ করে এই পৃথিবীতে অভিজ্ঞতা সম্পন্ন সকল একই রকমের মানুষদের দেখে... আমি আমার বন্ধুদের আমার মতো জীবনযাপন করতে দেখি এবং আমি চিন্তিত যে আমিই পরবর্তী জীবন... আমি বেশিরভাগ সময় মদ্যপান এবং মাদকাসক্তদের সাথে লড়াই করি। আমি এই জিনিস থেকে বেরিয়ে আসার চেষ্টা করছি এবং সত্যিই সেই ব্যক্তিকে মিস করছি যাকে আমি আগে ছিলাম। তাছাড়া, আমি জানি যে সেই ব্যক্তি এখনও আছে এবং হারিয়ে যায়নি। কিন্তু এখনও এত কিছুর অভাব অনুভব করার প্রেরণা।</v>
      </c>
    </row>
    <row r="172" spans="1:3" ht="15" x14ac:dyDescent="0.25">
      <c r="A172" s="3" t="s">
        <v>174</v>
      </c>
      <c r="B172" s="3" t="s">
        <v>4</v>
      </c>
      <c r="C172" s="4" t="str">
        <f ca="1">IFERROR(__xludf.DUMMYFUNCTION("GOOGLETRANSLATE(A172, ""auto"", ""bn"")"),"যখন আমি প্রথম দিকে সুস্থ হতে শুরু করি, তখন প্রতি ৪-৫ দিন অন্তর আমার আবারও রোগ শুরু হয়। প্রথমবার যখন আমি আবার রোগটি শুরু করি এবং এক সপ্তাহের মধ্যে আর ফিরে আসিনি! ৫ বছরের অভিজ্ঞতা নষ্ট করার জন্য নিজেকে খুব ঘৃণা করি, কিন্তু আমি গর্ব করার মতো জিনিস খুঁজে বের"&amp;" করার চেষ্টা করছি।")</f>
        <v>যখন আমি প্রথম দিকে সুস্থ হতে শুরু করি, তখন প্রতি ৪-৫ দিন অন্তর আমার আবারও রোগ শুরু হয়। প্রথমবার যখন আমি আবার রোগটি শুরু করি এবং এক সপ্তাহের মধ্যে আর ফিরে আসিনি! ৫ বছরের অভিজ্ঞতা নষ্ট করার জন্য নিজেকে খুব ঘৃণা করি, কিন্তু আমি গর্ব করার মতো জিনিস খুঁজে বের করার চেষ্টা করছি।</v>
      </c>
    </row>
    <row r="173" spans="1:3" ht="15" x14ac:dyDescent="0.25">
      <c r="A173" s="3" t="s">
        <v>175</v>
      </c>
      <c r="B173" s="3" t="s">
        <v>4</v>
      </c>
      <c r="C173" s="4" t="str">
        <f ca="1">IFERROR(__xludf.DUMMYFUNCTION("GOOGLETRANSLATE(A173, ""auto"", ""bn"")"),"প্রথমে আমি এখানে অনেক লোককে দেখতে পাচ্ছি যারা এমন অনেক ভারী এবং ত্যাগ করা কঠিন মাদকের কথা বলছে.... আমি বিরক্ত হতে চাই না বা ট্রোল হতে চাই না.... ধুর! এই মুহূর্তে আমি যা অনুভব করি এবং ভাবি.... ১৫ বছর থেকে ৩৪ বছর বয়সী আমি ভারী ধূমপায়ী... একবার আমি ২ বছর ধ"&amp;"রে ধূমপান ছেড়ে দিয়েছিলাম, এবং এটি কোনও সমস্যা ছিল না.... এখন... সম্পূর্ণ ভিন্ন গল্প.... আমি ৩ দিন আগে ধূমপান ছাড়ার সিদ্ধান্ত নিয়েছিলাম এবং.... (আসলে বৃহস্পতিবার রাতে আমি শেষবার ধূমপান করেছিলাম... এবং আজ রবিবার... তাই ৩ দিনের বেশি নয়, তাই না) আমি জানি"&amp;" না আমার যুক্তি এবং চিন্তাভাবনা এখন খুব খারাপ..... আমি দাঁত ঝাড়াচ্ছি। যেন আমি গতি বা অন্য কিছু ব্যবহার করছিলাম... এটা পছন্দ হচ্ছে না। আমার সমন্বয় বিকৃত হয়ে গেছে, ঝাঁকুনি দিচ্ছে, কাঁপছে (এছাড়াও আমার মনে হচ্ছে যে আমি যে আগাছা ধূমপান করেছি তা স্বাভাবিক আ"&amp;"গাছা নয়... অন্তত আগের মতো নয়) 2. খুব সহজেই উত্তেজিত হয়ে পড়ি... 0 থেকে 100 কণ্ঠস্বর উঁচু করা এবং আক্রমণাত্মকতা... WTF আমি এটা ঘৃণা করি কিন্তু আমার নিয়ন্ত্রণের বাইরে বলে মনে হচ্ছে.... ধৈর্য নেই.... তুমি যে খারাপ রোড রেজ ভিডিও দেখছো তা সত্যিই পছন্দ, আমি"&amp;" এখন সেই লোকদের মতোই অনুভব করছি 3. জেকিল এবং হাইডের মতো মেজাজ পরিবর্তন হচ্ছে.... সকালে আমি ঘামে শরীরচর্চা করি। আমি ভালো বোধ করছি, পৃথিবীর উপরে... ঘন্টার পর ঘন্টা। আমি একজন দুর্বল অস্থির মনোরোগীর মতো অনুভব করছি। ৪ ঘামছি, হে ভগবান, ঘামছি.... গোসলের পর, নিজে"&amp;"কে শুকিয়ে নিচ্ছি... ৫ মিনিট... আমি আবার ভিজে গেছি (হাতের তালু, বগল, পিঠের নিচের অংশ, মুখ.... আর থামছে না। এছাড়াও শরীরের তাপমাত্রা... পরের বার গরম, ঠান্ডা এবং বিপরীত ৫ এবং এটাই আমাকে আবার নেশার দিকে ঠেলে দিতে পারে.... কিন্তু আমি ঘুমাতে পারছি না... ঘুম আস"&amp;"ছে না... আমি বিছানায় শুয়ে থাকি এবং ঘড়িটা প্রতি রাতে ৫টা বেজে যায়... আমি প্রতি ২০ মিনিটে অল্প অল্প করে ঘুমিয়ে পড়ি, যতক্ষণ না আমি সকাল ৯টা, ১০টায় বিছানা থেকে নামি। মরার মতো লাগছে... আসলে না... পুঁজ হচ্ছে না। এটা একটু অদ্ভুত হয়ে উঠছে.... ৬. অতিরিক্ত চ"&amp;"িন্তাভাবনা, চিন্তাভাবনা ইত্যাদি... হ্যামস্টার চাকায় চড়ে আছে আর সে ক্লান্ত নয়। বিভিন্ন আকারে প্রচুর রাগ... রাগ, বিরক্তি, হতাশা, জ্বালা... শান্তির মুহূর্ত এবং ""গ্রহণযোগ্যতা"" .... আধ ঘন্টা পরে চিন্তার নেতিবাচক ধরণ, আত্মসমালোচনা ইত্যাদি..... আমি এত ভয় পা"&amp;"চ্ছি যে এই আমিই আসল আমি.... একজন পাগলাটে মানুষ যে উদ্বেগ, চাপ এবং আগ্রাসনে চালিত.... যারা আমাকে চেনে তারা সবসময় আমাকে একজন সরল মনের মানুষ, বুদ্ধিমান এবং শ্রদ্ধাশীল বলে মনে করে.... আমার কাছে অনেকেই বলে যে আমি একজন ভালো মানুষ এবং অন্যদের চেয়ে শক্তিশালী। শ"&amp;"্রদ্ধাশীল, সচেতন..... এখনই WTF... আমার মনে হচ্ছে আমি আমার মাথা ছিঁড়ে ফেলতে পারি... আমার মনে হচ্ছে আমি দুষ্ট... একটা দানব..... এটা আমাকে আবার ধূমপান করতে বাধ্য করে... উঁচুদের জন্য নয়... উঁচুদের জন্য চোদো... শুধু আমার ভেতরের দানবকে সামলাতে... কারণ আমার মন"&amp;"ে হচ্ছে সে আমার চেয়ে বড় হচ্ছে..... ফুঁপিয়ে এই.... এটাই আমার সবচেয়ে বেশি ভয় করে... এর সাথে আগাছার কোন সম্পর্ক নেই..... এটা শুধু আমার আসল সত্ত্বাকে ঢেকে রাখছিল.... আর গত ৫ বছরে আমার সাথে ঘটে যাওয়া সকল ভয়াবহ ঘটনা সম্পর্কে আমি আসলে কেমন অনুভব করছি.... এটা "&amp;"কি সত্য এবং বাস্তবতার প্রতি জাগ্রত হচ্ছে?... এটা সত্যিকারের আসক্তির কথা.... কিন্তু আমার মন বারবার বলে যাচ্ছে যে শান্ত থাকা... এটা মূল্যহীন যখন... তুমি ঘুমাতে পারো না/কাজ করতে পারো না এবং একজন ভালো মানুষ হিসেবে বোধ করতে পারো না যার মধ্যে বোধশক্তি, সহানুভূত"&amp;"ি, সহানুভূতি... ধৈর্য্য আছে..... যদি আমি মজাদার এবং ইতিবাচক না হই.... কিন্তু পশুর মতো অনুভব করি.... মানুষের চেয়েও বেশি পশু..... কেউ কি আমার সাথে সম্পর্ক স্থাপন করতে পারে বা শ্রদ্ধার সাথে আমার সত্য দেখাতে পারে... IDK এখনই দেয়ালে হাঁটছে..... এটাই কি আমার স"&amp;"ব দুর্বলতা নিজেকে উপস্থাপন করছে.... আমার কি আরও দাঁত চেপে ধরে অপেক্ষা করা উচিত.... আমি এত অনিরাপদ/অসহায় হতে ঘৃণা করি.....")</f>
        <v>প্রথমে আমি এখানে অনেক লোককে দেখতে পাচ্ছি যারা এমন অনেক ভারী এবং ত্যাগ করা কঠিন মাদকের কথা বলছে.... আমি বিরক্ত হতে চাই না বা ট্রোল হতে চাই না.... ধুর! এই মুহূর্তে আমি যা অনুভব করি এবং ভাবি.... ১৫ বছর থেকে ৩৪ বছর বয়সী আমি ভারী ধূমপায়ী... একবার আমি ২ বছর ধরে ধূমপান ছেড়ে দিয়েছিলাম, এবং এটি কোনও সমস্যা ছিল না.... এখন... সম্পূর্ণ ভিন্ন গল্প.... আমি ৩ দিন আগে ধূমপান ছাড়ার সিদ্ধান্ত নিয়েছিলাম এবং.... (আসলে বৃহস্পতিবার রাতে আমি শেষবার ধূমপান করেছিলাম... এবং আজ রবিবার... তাই ৩ দিনের বেশি নয়, তাই না) আমি জানি না আমার যুক্তি এবং চিন্তাভাবনা এখন খুব খারাপ..... আমি দাঁত ঝাড়াচ্ছি। যেন আমি গতি বা অন্য কিছু ব্যবহার করছিলাম... এটা পছন্দ হচ্ছে না। আমার সমন্বয় বিকৃত হয়ে গেছে, ঝাঁকুনি দিচ্ছে, কাঁপছে (এছাড়াও আমার মনে হচ্ছে যে আমি যে আগাছা ধূমপান করেছি তা স্বাভাবিক আগাছা নয়... অন্তত আগের মতো নয়) 2. খুব সহজেই উত্তেজিত হয়ে পড়ি... 0 থেকে 100 কণ্ঠস্বর উঁচু করা এবং আক্রমণাত্মকতা... WTF আমি এটা ঘৃণা করি কিন্তু আমার নিয়ন্ত্রণের বাইরে বলে মনে হচ্ছে.... ধৈর্য নেই.... তুমি যে খারাপ রোড রেজ ভিডিও দেখছো তা সত্যিই পছন্দ, আমি এখন সেই লোকদের মতোই অনুভব করছি 3. জেকিল এবং হাইডের মতো মেজাজ পরিবর্তন হচ্ছে.... সকালে আমি ঘামে শরীরচর্চা করি। আমি ভালো বোধ করছি, পৃথিবীর উপরে... ঘন্টার পর ঘন্টা। আমি একজন দুর্বল অস্থির মনোরোগীর মতো অনুভব করছি। ৪ ঘামছি, হে ভগবান, ঘামছি.... গোসলের পর, নিজেকে শুকিয়ে নিচ্ছি... ৫ মিনিট... আমি আবার ভিজে গেছি (হাতের তালু, বগল, পিঠের নিচের অংশ, মুখ.... আর থামছে না। এছাড়াও শরীরের তাপমাত্রা... পরের বার গরম, ঠান্ডা এবং বিপরীত ৫ এবং এটাই আমাকে আবার নেশার দিকে ঠেলে দিতে পারে.... কিন্তু আমি ঘুমাতে পারছি না... ঘুম আসছে না... আমি বিছানায় শুয়ে থাকি এবং ঘড়িটা প্রতি রাতে ৫টা বেজে যায়... আমি প্রতি ২০ মিনিটে অল্প অল্প করে ঘুমিয়ে পড়ি, যতক্ষণ না আমি সকাল ৯টা, ১০টায় বিছানা থেকে নামি। মরার মতো লাগছে... আসলে না... পুঁজ হচ্ছে না। এটা একটু অদ্ভুত হয়ে উঠছে.... ৬. অতিরিক্ত চিন্তাভাবনা, চিন্তাভাবনা ইত্যাদি... হ্যামস্টার চাকায় চড়ে আছে আর সে ক্লান্ত নয়। বিভিন্ন আকারে প্রচুর রাগ... রাগ, বিরক্তি, হতাশা, জ্বালা... শান্তির মুহূর্ত এবং "গ্রহণযোগ্যতা" .... আধ ঘন্টা পরে চিন্তার নেতিবাচক ধরণ, আত্মসমালোচনা ইত্যাদি..... আমি এত ভয় পাচ্ছি যে এই আমিই আসল আমি.... একজন পাগলাটে মানুষ যে উদ্বেগ, চাপ এবং আগ্রাসনে চালিত.... যারা আমাকে চেনে তারা সবসময় আমাকে একজন সরল মনের মানুষ, বুদ্ধিমান এবং শ্রদ্ধাশীল বলে মনে করে.... আমার কাছে অনেকেই বলে যে আমি একজন ভালো মানুষ এবং অন্যদের চেয়ে শক্তিশালী। শ্রদ্ধাশীল, সচেতন..... এখনই WTF... আমার মনে হচ্ছে আমি আমার মাথা ছিঁড়ে ফেলতে পারি... আমার মনে হচ্ছে আমি দুষ্ট... একটা দানব..... এটা আমাকে আবার ধূমপান করতে বাধ্য করে... উঁচুদের জন্য নয়... উঁচুদের জন্য চোদো... শুধু আমার ভেতরের দানবকে সামলাতে... কারণ আমার মনে হচ্ছে সে আমার চেয়ে বড় হচ্ছে..... ফুঁপিয়ে এই.... এটাই আমার সবচেয়ে বেশি ভয় করে... এর সাথে আগাছার কোন সম্পর্ক নেই..... এটা শুধু আমার আসল সত্ত্বাকে ঢেকে রাখছিল.... আর গত ৫ বছরে আমার সাথে ঘটে যাওয়া সকল ভয়াবহ ঘটনা সম্পর্কে আমি আসলে কেমন অনুভব করছি.... এটা কি সত্য এবং বাস্তবতার প্রতি জাগ্রত হচ্ছে?... এটা সত্যিকারের আসক্তির কথা.... কিন্তু আমার মন বারবার বলে যাচ্ছে যে শান্ত থাকা... এটা মূল্যহীন যখন... তুমি ঘুমাতে পারো না/কাজ করতে পারো না এবং একজন ভালো মানুষ হিসেবে বোধ করতে পারো না যার মধ্যে বোধশক্তি, সহানুভূতি, সহানুভূতি... ধৈর্য্য আছে..... যদি আমি মজাদার এবং ইতিবাচক না হই.... কিন্তু পশুর মতো অনুভব করি.... মানুষের চেয়েও বেশি পশু..... কেউ কি আমার সাথে সম্পর্ক স্থাপন করতে পারে বা শ্রদ্ধার সাথে আমার সত্য দেখাতে পারে... IDK এখনই দেয়ালে হাঁটছে..... এটাই কি আমার সব দুর্বলতা নিজেকে উপস্থাপন করছে.... আমার কি আরও দাঁত চেপে ধরে অপেক্ষা করা উচিত.... আমি এত অনিরাপদ/অসহায় হতে ঘৃণা করি.....</v>
      </c>
    </row>
    <row r="174" spans="1:3" ht="15" x14ac:dyDescent="0.25">
      <c r="A174" s="3" t="s">
        <v>176</v>
      </c>
      <c r="B174" s="3" t="s">
        <v>4</v>
      </c>
      <c r="C174" s="4" t="str">
        <f ca="1">IFERROR(__xludf.DUMMYFUNCTION("GOOGLETRANSLATE(A174, ""auto"", ""bn"")"),"আমি সম্প্রতি বুঝতে পেরেছি যে আমি সত্যিই কোকে আসক্ত এবং কয়েক মাস ধরে, এবং এখন আমি বুঝতে পারছি যে কেউ আমার আসক্তি সম্পর্কে জানে না। আমার বয়স ২০, ফরাসি। আমার বেশিরভাগ বন্ধু মাদক সেবন করে না এবং মনে করে আমি মাঝে মাঝে পার্টিতে কোকেন খাই। আমি আসলে একা, পড়াশো"&amp;"নার জন্য এটি শুরু করেছিলাম, এবং এখন আমি বেশিরভাগ সময় কোনও কারণ ছাড়াই এটি একা করি। আমার প্রেমিক প্রায়শই আমার সাথে এটি করে এবং সে আসক্ত নয়, তবে সে জানে না যে এটি আমার জন্য গুরুতর হয়ে উঠছে। অবশ্যই আমার পরিবারের কোনও ধারণা নেই এবং তারা বুঝতে সক্ষম হবে না"&amp;"। আমার পরিবারে মাদক খুবই নিষিদ্ধ, তারা এমনকি সিগারেটও খায় না। সবাই আমাকে একজন স্কুলের ছাত্রী, খুব শান্ত এবং ""নির্দোষ"" মহিলা হিসেবে দেখে যা লুকানো সহজ করে তোলে, তবে এটি সম্পর্কে কারও কাছে খোলামেলাভাবে কথা বলা আরও কঠিন করে তোলে কারণ এতে হতবাক হতে পারে, হ"&amp;"য়তো বিচার হবে, এবং আমি এর মুখোমুখি হতে প্রস্তুত নই। আমি জানি না আমার কী করা উচিত, তাই আমাকে মুখ খুলতে হয়েছিল।")</f>
        <v>আমি সম্প্রতি বুঝতে পেরেছি যে আমি সত্যিই কোকে আসক্ত এবং কয়েক মাস ধরে, এবং এখন আমি বুঝতে পারছি যে কেউ আমার আসক্তি সম্পর্কে জানে না। আমার বয়স ২০, ফরাসি। আমার বেশিরভাগ বন্ধু মাদক সেবন করে না এবং মনে করে আমি মাঝে মাঝে পার্টিতে কোকেন খাই। আমি আসলে একা, পড়াশোনার জন্য এটি শুরু করেছিলাম, এবং এখন আমি বেশিরভাগ সময় কোনও কারণ ছাড়াই এটি একা করি। আমার প্রেমিক প্রায়শই আমার সাথে এটি করে এবং সে আসক্ত নয়, তবে সে জানে না যে এটি আমার জন্য গুরুতর হয়ে উঠছে। অবশ্যই আমার পরিবারের কোনও ধারণা নেই এবং তারা বুঝতে সক্ষম হবে না। আমার পরিবারে মাদক খুবই নিষিদ্ধ, তারা এমনকি সিগারেটও খায় না। সবাই আমাকে একজন স্কুলের ছাত্রী, খুব শান্ত এবং "নির্দোষ" মহিলা হিসেবে দেখে যা লুকানো সহজ করে তোলে, তবে এটি সম্পর্কে কারও কাছে খোলামেলাভাবে কথা বলা আরও কঠিন করে তোলে কারণ এতে হতবাক হতে পারে, হয়তো বিচার হবে, এবং আমি এর মুখোমুখি হতে প্রস্তুত নই। আমি জানি না আমার কী করা উচিত, তাই আমাকে মুখ খুলতে হয়েছিল।</v>
      </c>
    </row>
    <row r="175" spans="1:3" ht="15" x14ac:dyDescent="0.25">
      <c r="A175" s="3" t="s">
        <v>177</v>
      </c>
      <c r="B175" s="3" t="s">
        <v>4</v>
      </c>
      <c r="C175" s="4" t="str">
        <f ca="1">IFERROR(__xludf.DUMMYFUNCTION("GOOGLETRANSLATE(A175, ""auto"", ""bn"")"),"আমি নিজেকে কাউকে এটা বলার সাহস করতে পারছি না, এমনকি আমার কাছেও, এমনকি আমার কাছেও, এমনকি আমার কাছেও এটা স্বীকার করা আমার জন্য খুবই কষ্টকর। কিন্তু আমি এখন একটা ভাঙনের পর্যায়ে আছি, আর ধরে রাখতে পারছি না। আমার স্বামী ৯ মাস ধরে ফেন্টানিলের প্রতি আসক্ত, যা আমি"&amp;" জানি। আমার মেয়ের জন্মের দুই মাস আগে থেকেই সে এই নেশা শুরু করেছিল এবং আমি প্রসবের মাত্র কয়েক সপ্তাহ পরে জানতে পারি। ছোট ছোট পুতুলগুলো দেখে আমার সন্দেহ হয়েছিল এবং সবসময় ক্লান্ত হয়ে পড়েছিলাম। তারপর হঠাৎ করেই আমাদের কাছে আর কোনও টাকা ছিল না, এবং সে সার"&amp;"াদিন বাড়ি ছেড়ে চলে যেত। আমি টিনফয়েলের সূঁচ এবং তুলার সোয়াবের একটি স্তুপ দেখতে পেলাম, এবং অবশেষে সে স্বীকার করল যে কয়েক সপ্তাহ ধরে আমাকে জ্বালানোর পর আমি পাগল হয়ে গেলাম। যে চাপ, বিষণ্ণতা এবং চরম হৃদয়বিদারকতা আমাকে গ্রাস করেছে তা আমার অভিজ্ঞতার চেয়ে"&amp;"ও শক্তিশালী। আমি কখনও কল্পনাও করিনি যে এটি কখনও ঘটতে পারে। তিনি ছিলেন সেরা সঙ্গী এবং ব্যক্তি যাকে আমি ভালোবাসার এবং জীবন গড়ার সুযোগ পেয়েছি। আমি ভেঙে পড়েছি এবং একেবারে বিধ্বস্ত, এবং আমি এখন ৭ মাস ধরে চিনি। আমি ভালোবাসা এবং সমর্থনের সাথে পরিস্থিতির মুখোম"&amp;"ুখি হয়েছি, দুইবার তাকে প্রত্যাহারের মাধ্যমে যত্ন নিয়েছি, প্রথমবার আমার নবজাতক শিশুর যত্ন নেওয়ার সময়। সে এখন দুবারই আবার অসুস্থ হয়ে পড়েছে এবং আমি যতই ভালোবাসা এবং বোধগম্য হওয়ার চেষ্টা করি না কেন, সরাসরি আমাকে মিথ্যা বলে চলেছে। আমাদের লন্ড্রিতে এখনও "&amp;"আমি টিনফয়েল এবং ব্যাগ খুঁজে পাই। আমি তার নিজের আত্ম-ধ্বংস দেখে ভেঙে পড়ছি। আমি যখন প্রথম গর্ভবতী হয়েছিলাম তখন সে আসলে অতিরিক্ত মাত্রায় নেশা করেছিল। আমার গাড়ি চালাচ্ছিল এবং গাড়ি চালানোর সময় অজ্ঞান হয়ে পড়েছিল। তাকে গ্রেপ্তার করা হয়েছিল এবং সেই ঘটনা"&amp;"র পর থেকে এখনও পরীক্ষাধীন রয়েছে। সে আমাকে বলেছিল যে সে গাঁজা মিশ্রিত করে ধূমপান করেছিল, এবং আমি তাকে অন্ধভাবে বিশ্বাস করেছিলাম। এই মুহুর্তে আমি তার উপর বিশ্বাস হারিয়ে ফেলছি এবং আমি মনে করি না যে আমি আর কখনও তাকে বিশ্বাস করতে পারব, আমি ভয় পাই যে আমাদের "&amp;"সম্পর্ক মেরামতের অযোগ্য। আমি ভেঙে পড়েছি এবং পাগল বোধ করছি। আমি তাকে খুব ভালোবাসি এবং কেবল এই দুঃস্বপ্নের অবসান চাই। তদুপরি, আমি তাকে খুব মিস করি, সে আগের সেই মানুষটির ভূত। তদুপরি, আমি জানি গভীরভাবে সে সুস্থ হতে চায়। কিন্তু আসক্তির রোগ তার শরীর মন এবং আত"&amp;"্মাকে আঁকড়ে ধরে আছে। আমি খুব দুর্বল এবং শক্তিহীন বোধ করছি। তার মৃত্যুর উদ্বেগ এবং ভয় আমাকে প্রতিদিন তাড়া করে বেড়ায়। যখন সে ঘুমিয়ে থাকে তখন আমি নিজেকে পরীক্ষা করে দেখি যে সে এখনও শ্বাস নিচ্ছে কিনা। আমাদের জন্য প্রার্থনা করুন। আমি তাকে ছেড়ে যেতে চাই "&amp;"না এবং আমার মেয়েকে আমার মতো ভাঙা পরিবারে বেড়ে উঠতে দিতে চাই না। কিন্তু আমি এমন এক পর্যায়ে এসে দাঁড়িয়েছি যেখানে আমি ভাবছি যে আমি চলে গেলে জীবন কেমন হতে পারে। এবং আমি চাই না যে সে তার আসক্তির শিকার হোক। থাকা এবং সাক্ষী থাকা খুব বেদনাদায়ক। দয়া করে আমা"&amp;"দের জন্য প্রার্থনা করুন।")</f>
        <v>আমি নিজেকে কাউকে এটা বলার সাহস করতে পারছি না, এমনকি আমার কাছেও, এমনকি আমার কাছেও, এমনকি আমার কাছেও এটা স্বীকার করা আমার জন্য খুবই কষ্টকর। কিন্তু আমি এখন একটা ভাঙনের পর্যায়ে আছি, আর ধরে রাখতে পারছি না। আমার স্বামী ৯ মাস ধরে ফেন্টানিলের প্রতি আসক্ত, যা আমি জানি। আমার মেয়ের জন্মের দুই মাস আগে থেকেই সে এই নেশা শুরু করেছিল এবং আমি প্রসবের মাত্র কয়েক সপ্তাহ পরে জানতে পারি। ছোট ছোট পুতুলগুলো দেখে আমার সন্দেহ হয়েছিল এবং সবসময় ক্লান্ত হয়ে পড়েছিলাম। তারপর হঠাৎ করেই আমাদের কাছে আর কোনও টাকা ছিল না, এবং সে সারাদিন বাড়ি ছেড়ে চলে যেত। আমি টিনফয়েলের সূঁচ এবং তুলার সোয়াবের একটি স্তুপ দেখতে পেলাম, এবং অবশেষে সে স্বীকার করল যে কয়েক সপ্তাহ ধরে আমাকে জ্বালানোর পর আমি পাগল হয়ে গেলাম। যে চাপ, বিষণ্ণতা এবং চরম হৃদয়বিদারকতা আমাকে গ্রাস করেছে তা আমার অভিজ্ঞতার চেয়েও শক্তিশালী। আমি কখনও কল্পনাও করিনি যে এটি কখনও ঘটতে পারে। তিনি ছিলেন সেরা সঙ্গী এবং ব্যক্তি যাকে আমি ভালোবাসার এবং জীবন গড়ার সুযোগ পেয়েছি। আমি ভেঙে পড়েছি এবং একেবারে বিধ্বস্ত, এবং আমি এখন ৭ মাস ধরে চিনি। আমি ভালোবাসা এবং সমর্থনের সাথে পরিস্থিতির মুখোমুখি হয়েছি, দুইবার তাকে প্রত্যাহারের মাধ্যমে যত্ন নিয়েছি, প্রথমবার আমার নবজাতক শিশুর যত্ন নেওয়ার সময়। সে এখন দুবারই আবার অসুস্থ হয়ে পড়েছে এবং আমি যতই ভালোবাসা এবং বোধগম্য হওয়ার চেষ্টা করি না কেন, সরাসরি আমাকে মিথ্যা বলে চলেছে। আমাদের লন্ড্রিতে এখনও আমি টিনফয়েল এবং ব্যাগ খুঁজে পাই। আমি তার নিজের আত্ম-ধ্বংস দেখে ভেঙে পড়ছি। আমি যখন প্রথম গর্ভবতী হয়েছিলাম তখন সে আসলে অতিরিক্ত মাত্রায় নেশা করেছিল। আমার গাড়ি চালাচ্ছিল এবং গাড়ি চালানোর সময় অজ্ঞান হয়ে পড়েছিল। তাকে গ্রেপ্তার করা হয়েছিল এবং সেই ঘটনার পর থেকে এখনও পরীক্ষাধীন রয়েছে। সে আমাকে বলেছিল যে সে গাঁজা মিশ্রিত করে ধূমপান করেছিল, এবং আমি তাকে অন্ধভাবে বিশ্বাস করেছিলাম। এই মুহুর্তে আমি তার উপর বিশ্বাস হারিয়ে ফেলছি এবং আমি মনে করি না যে আমি আর কখনও তাকে বিশ্বাস করতে পারব, আমি ভয় পাই যে আমাদের সম্পর্ক মেরামতের অযোগ্য। আমি ভেঙে পড়েছি এবং পাগল বোধ করছি। আমি তাকে খুব ভালোবাসি এবং কেবল এই দুঃস্বপ্নের অবসান চাই। তদুপরি, আমি তাকে খুব মিস করি, সে আগের সেই মানুষটির ভূত। তদুপরি, আমি জানি গভীরভাবে সে সুস্থ হতে চায়। কিন্তু আসক্তির রোগ তার শরীর মন এবং আত্মাকে আঁকড়ে ধরে আছে। আমি খুব দুর্বল এবং শক্তিহীন বোধ করছি। তার মৃত্যুর উদ্বেগ এবং ভয় আমাকে প্রতিদিন তাড়া করে বেড়ায়। যখন সে ঘুমিয়ে থাকে তখন আমি নিজেকে পরীক্ষা করে দেখি যে সে এখনও শ্বাস নিচ্ছে কিনা। আমাদের জন্য প্রার্থনা করুন। আমি তাকে ছেড়ে যেতে চাই না এবং আমার মেয়েকে আমার মতো ভাঙা পরিবারে বেড়ে উঠতে দিতে চাই না। কিন্তু আমি এমন এক পর্যায়ে এসে দাঁড়িয়েছি যেখানে আমি ভাবছি যে আমি চলে গেলে জীবন কেমন হতে পারে। এবং আমি চাই না যে সে তার আসক্তির শিকার হোক। থাকা এবং সাক্ষী থাকা খুব বেদনাদায়ক। দয়া করে আমাদের জন্য প্রার্থনা করুন।</v>
      </c>
    </row>
    <row r="176" spans="1:3" ht="15" x14ac:dyDescent="0.25">
      <c r="A176" s="3" t="s">
        <v>178</v>
      </c>
      <c r="B176" s="3" t="s">
        <v>4</v>
      </c>
      <c r="C176" s="4" t="str">
        <f ca="1">IFERROR(__xludf.DUMMYFUNCTION("GOOGLETRANSLATE(A176, ""auto"", ""bn"")"),"সে ৩ বছর ধরে সমস্ত IV ব্যবহার থেকে মুক্ত, দেড় বছর ধরে আফিম থেকে মুক্ত, এবং তিন মাস ধরে ফাটল থেকে মুক্ত!! এর আগেও সে মাসে মাত্র একবার বা দুবার পুনরায় আক্রান্ত হচ্ছিল, যা ২০২০ সালের তুলনায় একটি বিশাল পরিবর্তন ছিল যখন সে প্রতিদিন ২০০ ডলার বা তার বেশি মূল্"&amp;"যের মাদক গ্রহণ করত। আমার ক্ষেত্রে, আমি ২০২২ সালের পুরো সময় ধরে এখনও পর্যন্ত একটি পানীয় পান করিনি বা কোনও হার্ড ড্রাগ গ্রহণ করিনি। মাদকাসক্তির সাথে আমার সমস্যা অবশ্যই তার চেয়ে কম? আমার তুলনায় তার ১৪ বছরের অভ্যাস/জীবনধারা, কেবল গুরুতর আঘাত থেকে মুক্তি প"&amp;"াওয়ার জন্য (TM) বিশাল পরিমাণে এটি করছি এবং ভাগ্যক্রমে দৈনন্দিন ব্যবহারের সাথে জড়িত নই। কিন্তু তবুও আমি জানি এটি আমার জন্য একটি অস্বাস্থ্যকর ধরণ এবং আমি পরিবর্তন করতে চেয়েছিলাম যাতে সে এবং আমি একসাথে সুখী এবং সুস্থ থাকতে পারি। :) আমি তোমাদের ভালোবাসি! প"&amp;"রিবর্তন সম্ভব, আপনার সংযমের দিকে যাত্রা অগোছালো এবং অসম্পূর্ণ হতে পারে এবং পুনরায় আক্রান্ত হওয়ার লক্ষণ হতে পারে তবে অনেক লোকের জন্য এটি ঠিক এভাবেই করতে হবে। হঠাৎ করে জীবন বদলে ফেলা আপনার মস্তিষ্কের জন্য ভয়ঙ্কর এবং অনেকের কাছেই সময়ের সাথে সাথে ছোট ছোট "&amp;"পরিবর্তনগুলি আরও ভালো কাজ করে। যদি আপনি আজ ১০০% ত্যাগ করতে না পারেন, তাহলে আমার প্রেমিক যা করেছে তা করুন এবং প্রথমে IV ত্যাগ করুন। তারপর অন্য কোনও অভ্যাস নিয়ে চিন্তা না করে আপনার সবচেয়ে বিপজ্জনক অভ্যাসটি ত্যাগ করার চেষ্টা করুন। একবারে এটি করুন এবং সততা "&amp;"এবং দয়ার সাথে নিজেকে ব্যবহার করুন। আপনি এটি পেয়েছেন!")</f>
        <v>সে ৩ বছর ধরে সমস্ত IV ব্যবহার থেকে মুক্ত, দেড় বছর ধরে আফিম থেকে মুক্ত, এবং তিন মাস ধরে ফাটল থেকে মুক্ত!! এর আগেও সে মাসে মাত্র একবার বা দুবার পুনরায় আক্রান্ত হচ্ছিল, যা ২০২০ সালের তুলনায় একটি বিশাল পরিবর্তন ছিল যখন সে প্রতিদিন ২০০ ডলার বা তার বেশি মূল্যের মাদক গ্রহণ করত। আমার ক্ষেত্রে, আমি ২০২২ সালের পুরো সময় ধরে এখনও পর্যন্ত একটি পানীয় পান করিনি বা কোনও হার্ড ড্রাগ গ্রহণ করিনি। মাদকাসক্তির সাথে আমার সমস্যা অবশ্যই তার চেয়ে কম? আমার তুলনায় তার ১৪ বছরের অভ্যাস/জীবনধারা, কেবল গুরুতর আঘাত থেকে মুক্তি পাওয়ার জন্য (TM) বিশাল পরিমাণে এটি করছি এবং ভাগ্যক্রমে দৈনন্দিন ব্যবহারের সাথে জড়িত নই। কিন্তু তবুও আমি জানি এটি আমার জন্য একটি অস্বাস্থ্যকর ধরণ এবং আমি পরিবর্তন করতে চেয়েছিলাম যাতে সে এবং আমি একসাথে সুখী এবং সুস্থ থাকতে পারি। :) আমি তোমাদের ভালোবাসি! পরিবর্তন সম্ভব, আপনার সংযমের দিকে যাত্রা অগোছালো এবং অসম্পূর্ণ হতে পারে এবং পুনরায় আক্রান্ত হওয়ার লক্ষণ হতে পারে তবে অনেক লোকের জন্য এটি ঠিক এভাবেই করতে হবে। হঠাৎ করে জীবন বদলে ফেলা আপনার মস্তিষ্কের জন্য ভয়ঙ্কর এবং অনেকের কাছেই সময়ের সাথে সাথে ছোট ছোট পরিবর্তনগুলি আরও ভালো কাজ করে। যদি আপনি আজ ১০০% ত্যাগ করতে না পারেন, তাহলে আমার প্রেমিক যা করেছে তা করুন এবং প্রথমে IV ত্যাগ করুন। তারপর অন্য কোনও অভ্যাস নিয়ে চিন্তা না করে আপনার সবচেয়ে বিপজ্জনক অভ্যাসটি ত্যাগ করার চেষ্টা করুন। একবারে এটি করুন এবং সততা এবং দয়ার সাথে নিজেকে ব্যবহার করুন। আপনি এটি পেয়েছেন!</v>
      </c>
    </row>
    <row r="177" spans="1:3" ht="15" x14ac:dyDescent="0.25">
      <c r="A177" s="3" t="s">
        <v>179</v>
      </c>
      <c r="B177" s="3" t="s">
        <v>4</v>
      </c>
      <c r="C177" s="4" t="str">
        <f ca="1">IFERROR(__xludf.DUMMYFUNCTION("GOOGLETRANSLATE(A177, ""auto"", ""bn"")"),"২৩শে জানুয়ারী আমি হেরোইন অতিরিক্ত মাত্রায় নিয়েছিলাম, সম্ভবত ফেন্টানিল। কতক্ষণ ধরে শুয়ে ছিলাম, চিকিৎসার পর বুঝতে পারছি না। আমি জানি আমার শ্বাস বন্ধ ছিল, ঠান্ডা লাগছিল, মুখে ফেনা বের হচ্ছিল ইত্যাদি। মার্কানের প্রথম ও দ্বিতীয় ডোজের পর শ্বাস বন্ধ হয়ে গিয়েছিল।"&amp;" তৃতীয় ডোজটি কাজটি করেছিল কিন্তু পরে আমার এতটাই অদ্ভুত অনুভূতি হয়েছিল যে আমি হাঁটতেও পারছি না। যেন আমার শরীর আমার মস্তিষ্কের সাথে সাড়া দিচ্ছিল না। অবশেষে এটি ক্লান্ত হয়ে গেল, কিন্তু আমার এখনও হুইলচেয়ার এবং অ্যাম্বুলেন্সে চড়ার প্রয়োজন ছিল। এখন আমি বুঝতে পা"&amp;"রছি যে আমি আগের থেকে আলাদা বোধ করছি। অন্য কারো মতো। আমি ভুলে গেছি যে শব্দগুলি কীভাবে বানান করতে হয় যে আমার কাছে স্বাভাবিকভাবেই আসত। এখন আমার বাক্য গঠনে সমস্যা হচ্ছে। তাছাড়া, আমি দ্বিধাগ্রস্ত থাকি এবং তারপর বাক্যটিকে খারাপ বলে মেনে নিই এবং এগিয়ে যাই। এটা"&amp;" ব্যাখ্যা করা কঠিন, কিন্তু আমি পুরোপুরি প্রতিবন্ধী বোধ করি না বা অন্য কিছু। তারপর আজ আমি আমার ফোনের দিকে তাকালাম এবং চিনতে পারিনি। আমি দুবার তাকালাম এবং এখনও চিনতে পারিনি, কয়েক মিনিট ধরে আমার স্ক্রিনের দিকে খালি চোখে তাকিয়ে ছিলাম বুঝতে পারলাম যে এটি আসল"&amp;"ে আমার ফোন। আমি একটা মেসেজ খুলে রিপ্লাই দিতে গেলাম, মনে রাখবেন আমি ৫-১০ মিনিট আগে এই ফোনটা ব্যবহার করেছিলাম - কিন্তু টেক্সট স্টাইল বা অন্য কিছু চিনতে পারিনি। এখন আমার মাথাব্যথা করছে। এটা নিশ্চয়ই খারাপ, তাই না? আমার কী সমস্যা হতে পারে, অথবা আমার কীসের দিক"&amp;"ে নজর রাখা উচিত? গুরুত্বপূর্ণ কিছু হলে কী সমস্যা তা নিশ্চিতভাবে বের করার কোন উপায় আছে?")</f>
        <v>২৩শে জানুয়ারী আমি হেরোইন অতিরিক্ত মাত্রায় নিয়েছিলাম, সম্ভবত ফেন্টানিল। কতক্ষণ ধরে শুয়ে ছিলাম, চিকিৎসার পর বুঝতে পারছি না। আমি জানি আমার শ্বাস বন্ধ ছিল, ঠান্ডা লাগছিল, মুখে ফেনা বের হচ্ছিল ইত্যাদি। মার্কানের প্রথম ও দ্বিতীয় ডোজের পর শ্বাস বন্ধ হয়ে গিয়েছিল। তৃতীয় ডোজটি কাজটি করেছিল কিন্তু পরে আমার এতটাই অদ্ভুত অনুভূতি হয়েছিল যে আমি হাঁটতেও পারছি না। যেন আমার শরীর আমার মস্তিষ্কের সাথে সাড়া দিচ্ছিল না। অবশেষে এটি ক্লান্ত হয়ে গেল, কিন্তু আমার এখনও হুইলচেয়ার এবং অ্যাম্বুলেন্সে চড়ার প্রয়োজন ছিল। এখন আমি বুঝতে পারছি যে আমি আগের থেকে আলাদা বোধ করছি। অন্য কারো মতো। আমি ভুলে গেছি যে শব্দগুলি কীভাবে বানান করতে হয় যে আমার কাছে স্বাভাবিকভাবেই আসত। এখন আমার বাক্য গঠনে সমস্যা হচ্ছে। তাছাড়া, আমি দ্বিধাগ্রস্ত থাকি এবং তারপর বাক্যটিকে খারাপ বলে মেনে নিই এবং এগিয়ে যাই। এটা ব্যাখ্যা করা কঠিন, কিন্তু আমি পুরোপুরি প্রতিবন্ধী বোধ করি না বা অন্য কিছু। তারপর আজ আমি আমার ফোনের দিকে তাকালাম এবং চিনতে পারিনি। আমি দুবার তাকালাম এবং এখনও চিনতে পারিনি, কয়েক মিনিট ধরে আমার স্ক্রিনের দিকে খালি চোখে তাকিয়ে ছিলাম বুঝতে পারলাম যে এটি আসলে আমার ফোন। আমি একটা মেসেজ খুলে রিপ্লাই দিতে গেলাম, মনে রাখবেন আমি ৫-১০ মিনিট আগে এই ফোনটা ব্যবহার করেছিলাম - কিন্তু টেক্সট স্টাইল বা অন্য কিছু চিনতে পারিনি। এখন আমার মাথাব্যথা করছে। এটা নিশ্চয়ই খারাপ, তাই না? আমার কী সমস্যা হতে পারে, অথবা আমার কীসের দিকে নজর রাখা উচিত? গুরুত্বপূর্ণ কিছু হলে কী সমস্যা তা নিশ্চিতভাবে বের করার কোন উপায় আছে?</v>
      </c>
    </row>
    <row r="178" spans="1:3" ht="15" x14ac:dyDescent="0.25">
      <c r="A178" s="3" t="s">
        <v>180</v>
      </c>
      <c r="B178" s="3" t="s">
        <v>4</v>
      </c>
      <c r="C178" s="4" t="str">
        <f ca="1">IFERROR(__xludf.DUMMYFUNCTION("GOOGLETRANSLATE(A178, ""auto"", ""bn"")"),"হ্যালো, আমি আগেও পোস্ট করেছি অতিরিক্ত মদ্যপান থেকে বিরত থাকার চেষ্টা করার বিষয়ে, এবং তারপরে আরও গুরুতরভাবে সেই পানীয়ের সাথে কোকেন পান করার বিষয়ে। আমি দেখেছি যখনই আমি এই বিষয়ে সহায়তা গোষ্ঠীর সাথে কথা বলি, তারা বলে ""আপনি যে থামাতে চান তা দুর্দান্ত! মা"&amp;"নে আপনি প্রায় সেখানে পৌঁছে গেছেন? এই সত্যটিকে অস্বীকার করা যে উদ্দেশ্যটি কর্ম থেকে অনেক দূরে। আমি কীভাবে আমার শান্ত উদ্দেশ্যকে বাস্তবায়ন করতে পারি? যখন চুলকানি আসে তখন আপনি কীভাবে প্রতিরোধ করবেন? আমার জীবন আমার অ্যালকোহল এবং কোকেনের দ্বারা নিয়ন্ত্রিত, "&amp;"কিন্তু এটি পরিবর্তন করতে পারছি না বলে মনে হচ্ছে।")</f>
        <v>হ্যালো, আমি আগেও পোস্ট করেছি অতিরিক্ত মদ্যপান থেকে বিরত থাকার চেষ্টা করার বিষয়ে, এবং তারপরে আরও গুরুতরভাবে সেই পানীয়ের সাথে কোকেন পান করার বিষয়ে। আমি দেখেছি যখনই আমি এই বিষয়ে সহায়তা গোষ্ঠীর সাথে কথা বলি, তারা বলে "আপনি যে থামাতে চান তা দুর্দান্ত! মানে আপনি প্রায় সেখানে পৌঁছে গেছেন? এই সত্যটিকে অস্বীকার করা যে উদ্দেশ্যটি কর্ম থেকে অনেক দূরে। আমি কীভাবে আমার শান্ত উদ্দেশ্যকে বাস্তবায়ন করতে পারি? যখন চুলকানি আসে তখন আপনি কীভাবে প্রতিরোধ করবেন? আমার জীবন আমার অ্যালকোহল এবং কোকেনের দ্বারা নিয়ন্ত্রিত, কিন্তু এটি পরিবর্তন করতে পারছি না বলে মনে হচ্ছে।</v>
      </c>
    </row>
    <row r="179" spans="1:3" ht="15" x14ac:dyDescent="0.25">
      <c r="A179" s="3" t="s">
        <v>181</v>
      </c>
      <c r="B179" s="3" t="s">
        <v>4</v>
      </c>
      <c r="C179" s="4" t="str">
        <f ca="1">IFERROR(__xludf.DUMMYFUNCTION("GOOGLETRANSLATE(A179, ""auto"", ""bn"")"),"১৮ বছর বয়স থেকেই আমি ক্র্যাক আসক্তির সাথে লড়াই করছি এবং আমার এই আসক্তির পুরোটা সময় ধরেই আমি প্রতি দুই সপ্তাহে ৩ হাজার টাকা বেশি বেতনের চাকরি করে আসছি কিন্তু কখনোই একটা ডলারও ধরে রাখতে পারছি না এবং আমার কঠোর পরিশ্রমের জন্য কিছুই দেখানোর নেই কারণ এর পুরোট"&amp;"াই মাদক। গত বছর আমি ওপিওয়েড সেবন করতে পেরেছি এবং ক্রমাগত অতিরিক্ত মাত্রায় সেবন করেছি। এমনকি একদিনে দুবার অতিরিক্ত মাত্রায় সেবন করার পরও, কোনওভাবে অলৌকিকভাবে কেউ আমাকে খুঁজে পায় অথবা ঠিক সময়মতো আমাকে বাঁচায়। এই শেষ ওভারডোজটি অন্য সকলের থেকে আলাদা ছিল কারণ"&amp;" আমি জরুরি কক্ষে না আসা পর্যন্ত ঘুম থেকে উঠিনি এবং আমি ব্যথায় চিৎকার করে জেগে উঠেছিলাম এবং শ্বাস নিতে অক্ষম ছিলাম। ক্রমাগত পুনরুজ্জীবিত হওয়ার সাথে সাথে আমি জানি এখানে আমার একটি বিশেষ উদ্দেশ্য আছে, কিন্তু কেন আমি আমার মূল কারণ খুঁজে পাচ্ছি না? আমি জেল খেটে"&amp;"ছি, আমি একজন অপরাধী। আমি আমার পেশা ছাড়া সবকিছু হারিয়ে ফেলেছি কিন্তু যাই হোক না কেন আমি নিজেকে একটি ইনপেশেন্ট পুনর্বাসনে জমা দিতে পারি না কারণ আমি জানি যে আমি আমার বয়সের জন্য ভালো অর্থ উপার্জন করতে পারব। বাইরের দৃষ্টিকোণ থেকে এই বিশৃঙ্খলা দেখাটা খুবই অদ"&amp;"্ভুত, কিন্তু ভেতরে ভেতরে মনে হচ্ছে আমি এতে মোটেও পরোয়া করি না। কিছুই আমাকে ভয় দেখায় না। আমি একবার তিন দিনের জন্য ডিটক্সে গিয়েছিলাম এবং সারাদিন বিছানায় সিলিংয়ের দিকে তাকিয়ে থাকতে না পেরে চলে এসেছিলাম। বেশিরভাগ লোকের মতো আমি কি একদিন ঘুম থেকে উঠব? এট"&amp;"া কি সংযমের পর্যায়ে আসবে? NA এবং পুনর্বাসন কি সংযমের একমাত্র উপায়?")</f>
        <v>১৮ বছর বয়স থেকেই আমি ক্র্যাক আসক্তির সাথে লড়াই করছি এবং আমার এই আসক্তির পুরোটা সময় ধরেই আমি প্রতি দুই সপ্তাহে ৩ হাজার টাকা বেশি বেতনের চাকরি করে আসছি কিন্তু কখনোই একটা ডলারও ধরে রাখতে পারছি না এবং আমার কঠোর পরিশ্রমের জন্য কিছুই দেখানোর নেই কারণ এর পুরোটাই মাদক। গত বছর আমি ওপিওয়েড সেবন করতে পেরেছি এবং ক্রমাগত অতিরিক্ত মাত্রায় সেবন করেছি। এমনকি একদিনে দুবার অতিরিক্ত মাত্রায় সেবন করার পরও, কোনওভাবে অলৌকিকভাবে কেউ আমাকে খুঁজে পায় অথবা ঠিক সময়মতো আমাকে বাঁচায়। এই শেষ ওভারডোজটি অন্য সকলের থেকে আলাদা ছিল কারণ আমি জরুরি কক্ষে না আসা পর্যন্ত ঘুম থেকে উঠিনি এবং আমি ব্যথায় চিৎকার করে জেগে উঠেছিলাম এবং শ্বাস নিতে অক্ষম ছিলাম। ক্রমাগত পুনরুজ্জীবিত হওয়ার সাথে সাথে আমি জানি এখানে আমার একটি বিশেষ উদ্দেশ্য আছে, কিন্তু কেন আমি আমার মূল কারণ খুঁজে পাচ্ছি না? আমি জেল খেটেছি, আমি একজন অপরাধী। আমি আমার পেশা ছাড়া সবকিছু হারিয়ে ফেলেছি কিন্তু যাই হোক না কেন আমি নিজেকে একটি ইনপেশেন্ট পুনর্বাসনে জমা দিতে পারি না কারণ আমি জানি যে আমি আমার বয়সের জন্য ভালো অর্থ উপার্জন করতে পারব। বাইরের দৃষ্টিকোণ থেকে এই বিশৃঙ্খলা দেখাটা খুবই অদ্ভুত, কিন্তু ভেতরে ভেতরে মনে হচ্ছে আমি এতে মোটেও পরোয়া করি না। কিছুই আমাকে ভয় দেখায় না। আমি একবার তিন দিনের জন্য ডিটক্সে গিয়েছিলাম এবং সারাদিন বিছানায় সিলিংয়ের দিকে তাকিয়ে থাকতে না পেরে চলে এসেছিলাম। বেশিরভাগ লোকের মতো আমি কি একদিন ঘুম থেকে উঠব? এটা কি সংযমের পর্যায়ে আসবে? NA এবং পুনর্বাসন কি সংযমের একমাত্র উপায়?</v>
      </c>
    </row>
    <row r="180" spans="1:3" ht="15" x14ac:dyDescent="0.25">
      <c r="A180" s="3" t="s">
        <v>182</v>
      </c>
      <c r="B180" s="3" t="s">
        <v>4</v>
      </c>
      <c r="C180" s="4" t="str">
        <f ca="1">IFERROR(__xludf.DUMMYFUNCTION("GOOGLETRANSLATE(A180, ""auto"", ""bn"")"),"আমার বয়স ১৬ এবং আমি গাঁজার নেশার মুখোমুখি। আমি স্কুলে থাকাকালীন এবং আমার বান্ধবীকে খুশি রাখার জন্য যথাসাধ্য চেষ্টা করি কিন্তু সম্পর্কের সমস্যা, খারাপ নম্বর এবং বাবা-মায়ের ক্রমাগত চাপের কারণে, যারা প্রায়শই আমাকে ভালো দৃষ্টিকোণ থেকে দেখেন না, আমি মাঝে মাঝে"&amp;" সারাদিন ধরে ধূমপান করা বা ধূমপান করা ছাড়া আর কোথাও ফিরে যেতে পারি না। তাছাড়া, আমি বর্তমানে ধূমপানের শিকার হয়েছি এবং আমার সমস্ত জিনিসপত্র কেড়ে নেওয়া হয়েছে, আমার পোশাক ছাড়াও আমার আর অ্যাক্সেস নেই। আমার ল্যাপটপ, যা আমি বর্তমানে এটি পোস্ট করার জন্য ব্"&amp;"যবহার করছি, শুধুমাত্র স্কুলের কাজ থাকাকালীন ব্যবহার করা যেতে পারে। তাই কেবল আমার কাজ করার পরিবর্তে, আমি কেবল নিজেকে সাহায্য করতে চাই কারণ আমি বুঝতে পারি যে আমি যে কাজগুলি করি তাতে আমি একজন বড় ব্যর্থ হয়ে উঠছি। আমি আগাছা প্রত্যাহারের ফলে উদ্ভূত মস্তিষ্কের"&amp;" কুয়াশা এবং অন্যান্য লক্ষণগুলি সহ্য করতে পারছি না এবং আমার জীবনকে ট্র্যাক রাখার জন্য কেবল কিছু সাহায্য বা পরামর্শের সন্ধান করছি।")</f>
        <v>আমার বয়স ১৬ এবং আমি গাঁজার নেশার মুখোমুখি। আমি স্কুলে থাকাকালীন এবং আমার বান্ধবীকে খুশি রাখার জন্য যথাসাধ্য চেষ্টা করি কিন্তু সম্পর্কের সমস্যা, খারাপ নম্বর এবং বাবা-মায়ের ক্রমাগত চাপের কারণে, যারা প্রায়শই আমাকে ভালো দৃষ্টিকোণ থেকে দেখেন না, আমি মাঝে মাঝে সারাদিন ধরে ধূমপান করা বা ধূমপান করা ছাড়া আর কোথাও ফিরে যেতে পারি না। তাছাড়া, আমি বর্তমানে ধূমপানের শিকার হয়েছি এবং আমার সমস্ত জিনিসপত্র কেড়ে নেওয়া হয়েছে, আমার পোশাক ছাড়াও আমার আর অ্যাক্সেস নেই। আমার ল্যাপটপ, যা আমি বর্তমানে এটি পোস্ট করার জন্য ব্যবহার করছি, শুধুমাত্র স্কুলের কাজ থাকাকালীন ব্যবহার করা যেতে পারে। তাই কেবল আমার কাজ করার পরিবর্তে, আমি কেবল নিজেকে সাহায্য করতে চাই কারণ আমি বুঝতে পারি যে আমি যে কাজগুলি করি তাতে আমি একজন বড় ব্যর্থ হয়ে উঠছি। আমি আগাছা প্রত্যাহারের ফলে উদ্ভূত মস্তিষ্কের কুয়াশা এবং অন্যান্য লক্ষণগুলি সহ্য করতে পারছি না এবং আমার জীবনকে ট্র্যাক রাখার জন্য কেবল কিছু সাহায্য বা পরামর্শের সন্ধান করছি।</v>
      </c>
    </row>
    <row r="181" spans="1:3" ht="15" x14ac:dyDescent="0.25">
      <c r="A181" s="3" t="s">
        <v>183</v>
      </c>
      <c r="B181" s="3" t="s">
        <v>4</v>
      </c>
      <c r="C181" s="4" t="str">
        <f ca="1">IFERROR(__xludf.DUMMYFUNCTION("GOOGLETRANSLATE(A181, ""auto"", ""bn"")"),"১৬ বছর বয়স থেকেই আমার (২৪ বছর বয়সী) ঘুমাতে এবং ২-৩ ঘন্টার বেশি ঘুমাতে সমস্যা হচ্ছে। কিছু দিন/সপ্তাহ ভালো থাকে, এবং আমি ভালো ঘুমাই, এবং তারপর আবার এই অবস্থায় ফিরে আসি। ১৬ বছর বয়সে, আমি ঘুমাতে সাহায্য করার জন্য স্ব-ঔষধ খাওয়া শুরু করি, এবং আক্ষরিক অর্থে"&amp;"ই এমন যেকোনো ওষুধ গ্রহণ করি যাতে সিডেটিভ থাকে: অ্যান্টি-অ্যালার্জি, ব্যথানাশক, কাশির সিরাপ। আমি কখনই নির্ধারিত পরিমাণের বেশি গ্রহণ করতাম না, তবুও আমি নিয়মিত সেবন করতাম। আমি কী করছি তা নিয়ে আতঙ্কিত হলে আমি মাঝখানে থামতাম এবং তারপর আবার তা গ্রহণ করতাম। যখ"&amp;"ন আমি বিশ্ববিদ্যালয়ে যেতাম, আমি প্রায় নিয়মিত ক্লোনাজেপাম খাওয়া শুরু করতাম এবং যদি আমি তা বুঝতে না পারতাম তবে আমি আবেগপ্রবণ হয়ে পড়তাম। এটি সত্যিই আমাকে হতাশ করেছিল, এবং এক পর্যায়ে আমি ভেঙে পড়েছিলাম যেখানে আমি বন্ধুদের কাছে স্বীকার করেছিলাম যে আমি এ"&amp;"কজন আসক্তের মতো অনুভব করছি, এবং আমি প্রেসক্রিপশনের বড়িগুলি অপব্যবহার করেছি। আমি এটা বন্ধ করার জন্য সত্যিই কঠোর পরিশ্রম করেছি এবং বেশিরভাগ সময়ই আমি হাল ছাড়িনি, শুধুমাত্র অল্প সময়ের জন্য অথবা আমার মানসিক অবস্থা এমন জায়গায় ছিল যেখানে আমার ঘুমের জন্য কি"&amp;"ছু প্রয়োজন ছিল। মাঝে মাঝে, আমি জানি না যে ওষুধটি আমাকে ঘুমাতে সাহায্য করবে কিনা, আমি কেবল এটি খেতে চাই এবং আশা করি এটি হবে। যাইহোক, কখনও কখনও আমি এই ওষুধগুলি দেখতে পাই অথবা কোনও সমস্যা না থাকা সত্ত্বেও এগুলি খাওয়ার জন্য এলোমেলোভাবে আকাঙ্ক্ষা তৈরি করি। আ"&amp;"মি সম্প্রতি আবার লেভোসালপিরাইড খাওয়া শুরু করেছি যা একজন ডাক্তার আমাকে কিছুদিন আগে সুপারিশ করেছিলেন, কিন্তু প্রেসক্রিপশনটি শেষ হয়ে গিয়েছিল। আমার এটি শুরু করার কোনও কারণ নেই, তবে হারিয়ে যাওয়া ঘুমের জন্য পর্যাপ্ত সময় থাকা সত্ত্বেও আমার কয়েকটি খারাপ রা"&amp;"ত কেটেছে, কিন্তু আমি প্যাকটি দেখেছিলাম এবং আমি এটিকে থামাতে পারিনি এবং আমি লক্ষ্য করেছি যে আজ সারা দিন আমি কেবল একবার ফুরিয়ে গেলে কীভাবে আরও বেশি পান করব তা পরিকল্পনা করার কথা ভাবছিলাম। আমার মনে হয় না এটি আর ঘুমানোর বিষয়েও। এটি কি কোনও আসক্তি?")</f>
        <v>১৬ বছর বয়স থেকেই আমার (২৪ বছর বয়সী) ঘুমাতে এবং ২-৩ ঘন্টার বেশি ঘুমাতে সমস্যা হচ্ছে। কিছু দিন/সপ্তাহ ভালো থাকে, এবং আমি ভালো ঘুমাই, এবং তারপর আবার এই অবস্থায় ফিরে আসি। ১৬ বছর বয়সে, আমি ঘুমাতে সাহায্য করার জন্য স্ব-ঔষধ খাওয়া শুরু করি, এবং আক্ষরিক অর্থেই এমন যেকোনো ওষুধ গ্রহণ করি যাতে সিডেটিভ থাকে: অ্যান্টি-অ্যালার্জি, ব্যথানাশক, কাশির সিরাপ। আমি কখনই নির্ধারিত পরিমাণের বেশি গ্রহণ করতাম না, তবুও আমি নিয়মিত সেবন করতাম। আমি কী করছি তা নিয়ে আতঙ্কিত হলে আমি মাঝখানে থামতাম এবং তারপর আবার তা গ্রহণ করতাম। যখন আমি বিশ্ববিদ্যালয়ে যেতাম, আমি প্রায় নিয়মিত ক্লোনাজেপাম খাওয়া শুরু করতাম এবং যদি আমি তা বুঝতে না পারতাম তবে আমি আবেগপ্রবণ হয়ে পড়তাম। এটি সত্যিই আমাকে হতাশ করেছিল, এবং এক পর্যায়ে আমি ভেঙে পড়েছিলাম যেখানে আমি বন্ধুদের কাছে স্বীকার করেছিলাম যে আমি একজন আসক্তের মতো অনুভব করছি, এবং আমি প্রেসক্রিপশনের বড়িগুলি অপব্যবহার করেছি। আমি এটা বন্ধ করার জন্য সত্যিই কঠোর পরিশ্রম করেছি এবং বেশিরভাগ সময়ই আমি হাল ছাড়িনি, শুধুমাত্র অল্প সময়ের জন্য অথবা আমার মানসিক অবস্থা এমন জায়গায় ছিল যেখানে আমার ঘুমের জন্য কিছু প্রয়োজন ছিল। মাঝে মাঝে, আমি জানি না যে ওষুধটি আমাকে ঘুমাতে সাহায্য করবে কিনা, আমি কেবল এটি খেতে চাই এবং আশা করি এটি হবে। যাইহোক, কখনও কখনও আমি এই ওষুধগুলি দেখতে পাই অথবা কোনও সমস্যা না থাকা সত্ত্বেও এগুলি খাওয়ার জন্য এলোমেলোভাবে আকাঙ্ক্ষা তৈরি করি। আমি সম্প্রতি আবার লেভোসালপিরাইড খাওয়া শুরু করেছি যা একজন ডাক্তার আমাকে কিছুদিন আগে সুপারিশ করেছিলেন, কিন্তু প্রেসক্রিপশনটি শেষ হয়ে গিয়েছিল। আমার এটি শুরু করার কোনও কারণ নেই, তবে হারিয়ে যাওয়া ঘুমের জন্য পর্যাপ্ত সময় থাকা সত্ত্বেও আমার কয়েকটি খারাপ রাত কেটেছে, কিন্তু আমি প্যাকটি দেখেছিলাম এবং আমি এটিকে থামাতে পারিনি এবং আমি লক্ষ্য করেছি যে আজ সারা দিন আমি কেবল একবার ফুরিয়ে গেলে কীভাবে আরও বেশি পান করব তা পরিকল্পনা করার কথা ভাবছিলাম। আমার মনে হয় না এটি আর ঘুমানোর বিষয়েও। এটি কি কোনও আসক্তি?</v>
      </c>
    </row>
    <row r="182" spans="1:3" ht="15" x14ac:dyDescent="0.25">
      <c r="A182" s="3" t="s">
        <v>184</v>
      </c>
      <c r="B182" s="3" t="s">
        <v>4</v>
      </c>
      <c r="C182" s="4" t="str">
        <f ca="1">IFERROR(__xludf.DUMMYFUNCTION("GOOGLETRANSLATE(A182, ""auto"", ""bn"")"),"জানুয়ারিতে আমার অসাধারণ প্রেমিককে হারিয়েছি। ফেন্টানাইল নেওয়ার কারণে সে ৭ মাস ধরে সুস্থ ছিল, সে নিয়মিত জীবনযাপন করত, প্রতি সপ্তাহে বেশ কয়েকটি মিটিংয়ে যেত, ভিজিটরদের কাছে যেত, SSRI করত এবং প্রতি সপ্তাহে একজন থেরাপিস্টের কাছে যেত। আমার দৃষ্টিকোণ থেকে, সে খু"&amp;"ব ভালোই করছিল। সে আমাকে বলেছিল যে তার আর কোনও লোভ নেই, সে নিখুঁত এবং সুখী বোধ করছে। সে অন্য রাজ্যের কোনও পরিবারের সাথে দেখা করতে গিয়েছিল, এবং স্পষ্টতই সে খুব কষ্ট পাচ্ছিল। আমি স্পষ্টতই বলছি কারণ সে আমাকে কিছু বলেনি, তার পরিবার পরে আমাকে বলেছিল। সে আবার ও"&amp;"ষুধ সেবন শুরু করে এবং অতিরিক্ত মাত্রায় নেওয়া শুরু করে এবং ২ দিন পরে মারা যায়। সেদিন, তার খিঁচুনি হয় এবং তাকে হাসপাতালে ভর্তি করা হয়, তারপর বাড়িতে নিয়ে যাওয়া হয় যেখানে সে সম্ভবত আবার ওষুধ সেবন করে মারা যায়। আমার বুঝতে খুব কষ্ট হচ্ছে কেন সে ভিজিটর থাকা সত্"&amp;"ত্বেও নেশাগ্রস্ত হওয়ার চেষ্টা করে চলেছে। হয়তো আমি এটা কীভাবে কাজ করে সে সম্পর্কে কিছু মিস করছি? হয়তো এর অর্থ বোঝার মতো কিছুই নেই। আমি কেবল একজন অসাধারণ মানুষটির জন্য শোক করছি এবং তাকে এবং তার রোগকে বোঝার জন্য যথাসাধ্য চেষ্টা করছি।")</f>
        <v>জানুয়ারিতে আমার অসাধারণ প্রেমিককে হারিয়েছি। ফেন্টানাইল নেওয়ার কারণে সে ৭ মাস ধরে সুস্থ ছিল, সে নিয়মিত জীবনযাপন করত, প্রতি সপ্তাহে বেশ কয়েকটি মিটিংয়ে যেত, ভিজিটরদের কাছে যেত, SSRI করত এবং প্রতি সপ্তাহে একজন থেরাপিস্টের কাছে যেত। আমার দৃষ্টিকোণ থেকে, সে খুব ভালোই করছিল। সে আমাকে বলেছিল যে তার আর কোনও লোভ নেই, সে নিখুঁত এবং সুখী বোধ করছে। সে অন্য রাজ্যের কোনও পরিবারের সাথে দেখা করতে গিয়েছিল, এবং স্পষ্টতই সে খুব কষ্ট পাচ্ছিল। আমি স্পষ্টতই বলছি কারণ সে আমাকে কিছু বলেনি, তার পরিবার পরে আমাকে বলেছিল। সে আবার ওষুধ সেবন শুরু করে এবং অতিরিক্ত মাত্রায় নেওয়া শুরু করে এবং ২ দিন পরে মারা যায়। সেদিন, তার খিঁচুনি হয় এবং তাকে হাসপাতালে ভর্তি করা হয়, তারপর বাড়িতে নিয়ে যাওয়া হয় যেখানে সে সম্ভবত আবার ওষুধ সেবন করে মারা যায়। আমার বুঝতে খুব কষ্ট হচ্ছে কেন সে ভিজিটর থাকা সত্ত্বেও নেশাগ্রস্ত হওয়ার চেষ্টা করে চলেছে। হয়তো আমি এটা কীভাবে কাজ করে সে সম্পর্কে কিছু মিস করছি? হয়তো এর অর্থ বোঝার মতো কিছুই নেই। আমি কেবল একজন অসাধারণ মানুষটির জন্য শোক করছি এবং তাকে এবং তার রোগকে বোঝার জন্য যথাসাধ্য চেষ্টা করছি।</v>
      </c>
    </row>
    <row r="183" spans="1:3" ht="15" x14ac:dyDescent="0.25">
      <c r="A183" s="3" t="s">
        <v>185</v>
      </c>
      <c r="B183" s="3" t="s">
        <v>4</v>
      </c>
      <c r="C183" s="4" t="str">
        <f ca="1">IFERROR(__xludf.DUMMYFUNCTION("GOOGLETRANSLATE(A183, ""auto"", ""bn"")"),"এটা আমার প্রত্যাশার চেয়েও বেশি সময় ধরে, আর আমি আসলে জীবনকে একসাথে গড়ে তোলার চেষ্টা করছি। কিন্তু আমি এটা নিয়ে ভাবতে থামাতে পারছি না - নিজের প্রতি কোনও শ্রদ্ধা না রেখে সম্পূর্ণ নিয়ন্ত্রণের বাইরে চলে যাওয়ার অনুভূতি। আমি জানি এটা শুনতে খারাপ শোনাচ্ছে কি"&amp;"ন্তু এটা একটা খারাপ সম্পর্কের মতো। একবার এটি শেষ হয়ে গেলে, আপনি কেবল ভালোটাই মনে করতে শুরু করেন। আমার সেই সমস্ত সকালগুলো মনে রাখা দরকার যা আমি ক্লান্ত এবং বিষণ্ণভাবে কাটিয়েছি।")</f>
        <v>এটা আমার প্রত্যাশার চেয়েও বেশি সময় ধরে, আর আমি আসলে জীবনকে একসাথে গড়ে তোলার চেষ্টা করছি। কিন্তু আমি এটা নিয়ে ভাবতে থামাতে পারছি না - নিজের প্রতি কোনও শ্রদ্ধা না রেখে সম্পূর্ণ নিয়ন্ত্রণের বাইরে চলে যাওয়ার অনুভূতি। আমি জানি এটা শুনতে খারাপ শোনাচ্ছে কিন্তু এটা একটা খারাপ সম্পর্কের মতো। একবার এটি শেষ হয়ে গেলে, আপনি কেবল ভালোটাই মনে করতে শুরু করেন। আমার সেই সমস্ত সকালগুলো মনে রাখা দরকার যা আমি ক্লান্ত এবং বিষণ্ণভাবে কাটিয়েছি।</v>
      </c>
    </row>
    <row r="184" spans="1:3" ht="15" x14ac:dyDescent="0.25">
      <c r="A184" s="3" t="s">
        <v>186</v>
      </c>
      <c r="B184" s="3" t="s">
        <v>4</v>
      </c>
      <c r="C184" s="4" t="str">
        <f ca="1">IFERROR(__xludf.DUMMYFUNCTION("GOOGLETRANSLATE(A184, ""auto"", ""bn"")"),"আমি কোনও নির্দিষ্ট পদার্থের প্রতি আসক্ত নই, তবে আমার যা কিছু নেওয়া উচিত তা আমি নেব। বেনজ, ওপিওয়েড, অ্যালকোহল, আগাছা। আমি আগেও অনেকবার যেকোনো পদার্থ গ্রহণ করতে পারি এবং বন্ধও করেছি, কিন্তু সেই রসের প্রতি আমার আকাঙ্ক্ষা কখনোই কমবে না।")</f>
        <v>আমি কোনও নির্দিষ্ট পদার্থের প্রতি আসক্ত নই, তবে আমার যা কিছু নেওয়া উচিত তা আমি নেব। বেনজ, ওপিওয়েড, অ্যালকোহল, আগাছা। আমি আগেও অনেকবার যেকোনো পদার্থ গ্রহণ করতে পারি এবং বন্ধও করেছি, কিন্তু সেই রসের প্রতি আমার আকাঙ্ক্ষা কখনোই কমবে না।</v>
      </c>
    </row>
    <row r="185" spans="1:3" ht="15" x14ac:dyDescent="0.25">
      <c r="A185" s="3" t="s">
        <v>187</v>
      </c>
      <c r="B185" s="3" t="s">
        <v>4</v>
      </c>
      <c r="C185" s="4" t="str">
        <f ca="1">IFERROR(__xludf.DUMMYFUNCTION("GOOGLETRANSLATE(A185, ""auto"", ""bn"")"),"কিছুদিন আগে আমি আমার পুরো ব্যাপারটা নিয়ে পোস্ট করেছিলাম, কিন্তু আজ আমার দিদিমা আর মাসির সাথে থাকার সুযোগ হয়েছে। আমার মা আমাকে প্রথমে কেন বলেন বলুন, ""আমি ভেবেছিলাম আমি তোমাকে বলেছিলাম ওগুলো পিল ছেড়ে দাও রে"" এবং যখনই তিনি বললেন যে আমি জানি আমার মা তাদে"&amp;"র বলেছে যে আমি খারাপ হয়ে গেছি এবং আমি যা করতে চাইছিলাম তা হল একটা বলের মতো হয়ে পৃথিবী ভুলে যাওয়া। এটা আমার আরও বেশি ইচ্ছা জাগিয়ে তোলে যে আমি আমার অতিরিক্ত মাত্রার কারণে জেগে না উঠি। কারণ তোমার মাকে জানাতে হবে যে তুমি পিল খেয়ে পাগল হয়ে গেছো, কিন্তু আ"&amp;"মার দিদিমা আর মাসির জানাতে হবে... আমি জানি না। আমি বেঁচে থাকতে চাইনি কারণ এটা লজ্জাজনক। তাছাড়া, আমি চাইছিলাম এটা আমার নিজের চিন্তার বিষয় হোক। আমার পুরো পরিবার জানুক না। আমি ভালো করেই জানি আমার মদ্যপ ভাই সম্ভবত এখনই আমার বোনদের বলে দিয়েছে এবং যদি তারা জ"&amp;"ানে তাহলে আমি আত্মহত্যা করতে পারতাম। আমি আমার জীবনকে ঘৃণা করি। তাছাড়া, আমি যদি মরে যেতাম।")</f>
        <v>কিছুদিন আগে আমি আমার পুরো ব্যাপারটা নিয়ে পোস্ট করেছিলাম, কিন্তু আজ আমার দিদিমা আর মাসির সাথে থাকার সুযোগ হয়েছে। আমার মা আমাকে প্রথমে কেন বলেন বলুন, "আমি ভেবেছিলাম আমি তোমাকে বলেছিলাম ওগুলো পিল ছেড়ে দাও রে" এবং যখনই তিনি বললেন যে আমি জানি আমার মা তাদের বলেছে যে আমি খারাপ হয়ে গেছি এবং আমি যা করতে চাইছিলাম তা হল একটা বলের মতো হয়ে পৃথিবী ভুলে যাওয়া। এটা আমার আরও বেশি ইচ্ছা জাগিয়ে তোলে যে আমি আমার অতিরিক্ত মাত্রার কারণে জেগে না উঠি। কারণ তোমার মাকে জানাতে হবে যে তুমি পিল খেয়ে পাগল হয়ে গেছো, কিন্তু আমার দিদিমা আর মাসির জানাতে হবে... আমি জানি না। আমি বেঁচে থাকতে চাইনি কারণ এটা লজ্জাজনক। তাছাড়া, আমি চাইছিলাম এটা আমার নিজের চিন্তার বিষয় হোক। আমার পুরো পরিবার জানুক না। আমি ভালো করেই জানি আমার মদ্যপ ভাই সম্ভবত এখনই আমার বোনদের বলে দিয়েছে এবং যদি তারা জানে তাহলে আমি আত্মহত্যা করতে পারতাম। আমি আমার জীবনকে ঘৃণা করি। তাছাড়া, আমি যদি মরে যেতাম।</v>
      </c>
    </row>
    <row r="186" spans="1:3" ht="15" x14ac:dyDescent="0.25">
      <c r="A186" s="3" t="s">
        <v>188</v>
      </c>
      <c r="B186" s="3" t="s">
        <v>4</v>
      </c>
      <c r="C186" s="4" t="str">
        <f ca="1">IFERROR(__xludf.DUMMYFUNCTION("GOOGLETRANSLATE(A186, ""auto"", ""bn"")"),"আমি বেশ কার্যকরী মাদকাসক্ত কিন্তু তবুও একজন ভারী ব্যবহারকারী: যাই হোক না কেন, হেরোইন, সিন্থেটিক ওপিওয়েড, ক্যাথোড, মেথ, এমডিএমএ, এলএসডি, আগাছা, সিন্থেটিক শূন্যতা, বেজোস, কোক, সালভিয়া, এলএসএ, কেআর অ্যাটম, আপনিই বলুন... এমন কোন দিন নেই যখন আমি কিছু না খাই "&amp;"এবং এটি সম্ভবত ১৫ বছর ধরে চলছে, তুলনামূলকভাবে খুব কম (তবুও নাটকীয়) ঘটনা ঘটেছে। কিন্তু এটা দ্রুত বদলে যাচ্ছে, আমি সম্প্রতি দেখা হওয়া একটি মেয়ের প্রেমে পড়ছি, এবং যদিও তার সাথে সবকিছু অনিশ্চিত ছিল, আমার মানসিক চাপের কারণে আমার মাদকের ব্যবহার আকাশচুম্বী হয়ে "&amp;"গিয়েছিল, এখন আমরা কিছু পদক্ষেপ নিয়েছি যা আমাকে ভাবতে বাধ্য করেছে (কাঠে ঠেলে দেওয়া) এই সম্পর্কটি আসলে এমন জায়গায় বিকশিত হতে পারে যেখানে আমি খুব বেশি চাই, অর্থাৎ, সে আমাকে আবার ভালোবাসে, আমি হঠাৎ করেই আমার উন্নতির আকাঙ্ক্ষা হারিয়ে ফেলেছি কারণ পৃথিবীতে আর"&amp;" কিছুই আমার চাওয়া নেই, তার সাথে থাকতে, সুস্থ ও পরিষ্কার থাকতে, তাকে আমার সমস্ত ভালো জিনিস দিতে, আমার সমস্ত ভেজালমুক্ত হৃদয় এবং চিন্তাভাবনা দিয়ে তাকে লালন করতে এবং ঈশ্বরের অনুমতি থাকলে শেষ পর্যন্ত তার সাথে এই জীবনযাপন করতে। আমি এই লাইনগুলি লেখার সময় নদী"&amp;"র মতো কাঁদছি এবং না, আমি তার প্রথম প্রেমের অভিজ্ঞতা অর্জনকারী কিশোর হতে অনেক দূরে। আমি যত দ্রুত সম্ভব আমার আচরণ পরিষ্কার করছি। এমন নয় যে আমি তার সাথে সৎ হতে পারিনি, আমি তাকে এ ব্যাপারে কিছুই বলিনি, কিন্তু সে এতটাই মুক্ত মনের অধিকারী যে আমার জীবনের গল্প তা"&amp;"কে বিস্তারিতভাবে বলতে আমার কোনও লজ্জা লাগে না। শুধু এই যে আমি তার সাথে সেই ব্যক্তি হতে চাই না। আমি মনে করি অবশেষে বুঝতে পেরেছি যে আমার হৃদয়ের যে ফাঁক আমি মাদক দিয়ে পূর্ণ করছিলাম তা হল আমার জীবনে অন্য কোনও ব্যক্তির অনুপস্থিতি। শারীরিকভাবে আসক্তিহীন ওষুধ "&amp;"ইতিমধ্যেই বন্ধ হয়ে গেছে। আমার মনে হয় বেজোস এবং আফিম থেকে মুক্তি পেতে আমার এখনও কয়েকদিন, এক সপ্তাহ সময় প্রয়োজন কারণ আপনি জানেন, মৃত্যু এড়ানো সবচেয়ে ভালো হবে, কিন্তু আমার জীবনে কখনও আমি ধূমপান ত্যাগ করার জন্য অনুপ্রাণিত হইনি। আমি ধূমপান ত্যাগ করার জন"&amp;"্য আমার জন্য যা কিছু আছে তা সহ্য করতে প্রস্তুত। যখন আমি মনে করি যে ধূমপান ত্যাগ করার জন্য এটি স্বাধীনভাবে তার সাথে জীবন উপভোগ করার উপায়, তখন এই যন্ত্রণা আমার কাছে কোনও অর্থ রাখে না। আমি সবকিছু করতে চাই। ধূমপান ত্যাগ করুন, আমার উপর চাপ দিন, আমি এখানে আছি "&amp;"এবং আমি এখানেই দাঁড়িয়ে থাকব, গর্বের সাথে এবং নিরলসভাবে আঘাতের পর আঘাত হানবো যতক্ষণ না আমার পদক্ষেপ দৃঢ় হয় এবং আমার হাত স্থিতিশীল হয়। কিন্তু এটাও আমাকে মৃত্যুর দিকে ঠেলে দেয়। যদি পরিস্থিতি আমার আশা অনুযায়ী না হয় তাহলে কী হবে? ব্রেক-আপের পর অতীতে আমার "&amp;"এমন কিছু হতাশা ছিল যা আমাকে আত্মহত্যার চেষ্টা করতে বাধ্য করেছিল যা প্রায় সফল হয়েছিল। এছাড়াও, আমি ভাবছি যে মাদকের চেয়ে একজন ব্যক্তির প্রতি এতটা আসক্ত হওয়া কি ভালো? আমার অভিজ্ঞতায়, মানুষের চেয়ে মাদক বেশি নির্ভরযোগ্য। আমি কীভাবে মোকাবেলা করব? ""সংশোধন"" (ত"&amp;"াকে দেখা, তাকে টেক্সট করা, তাকে ফোন করা...) এর মধ্যে আমি কীভাবে বেঁচে থাকব। আর আমরা সকলেই জানি যে সম্পর্ক একভাবে বা অন্যভাবে শেষ হয়, বিচ্ছেদ বা মৃত্যুর মাধ্যমে। তাহলে আসলে কতটা ভালো যদি সে আমাকে ছেড়ে চলে যায় এবং আমি আত্মহত্যা করি? অবশ্যই আমি তাকে মাদকের"&amp;" দিকে ঝুঁকে ফেলছি না, সে একজন অসাধারণ নারী, উপমাটি আমার অসুস্থ মস্তিষ্ক তৈরি করেছে, কিন্তু আমি মানসিকভাবে এভাবেই কাজ করি বলে মনে হয়।")</f>
        <v>আমি বেশ কার্যকরী মাদকাসক্ত কিন্তু তবুও একজন ভারী ব্যবহারকারী: যাই হোক না কেন, হেরোইন, সিন্থেটিক ওপিওয়েড, ক্যাথোড, মেথ, এমডিএমএ, এলএসডি, আগাছা, সিন্থেটিক শূন্যতা, বেজোস, কোক, সালভিয়া, এলএসএ, কেআর অ্যাটম, আপনিই বলুন... এমন কোন দিন নেই যখন আমি কিছু না খাই এবং এটি সম্ভবত ১৫ বছর ধরে চলছে, তুলনামূলকভাবে খুব কম (তবুও নাটকীয়) ঘটনা ঘটেছে। কিন্তু এটা দ্রুত বদলে যাচ্ছে, আমি সম্প্রতি দেখা হওয়া একটি মেয়ের প্রেমে পড়ছি, এবং যদিও তার সাথে সবকিছু অনিশ্চিত ছিল, আমার মানসিক চাপের কারণে আমার মাদকের ব্যবহার আকাশচুম্বী হয়ে গিয়েছিল, এখন আমরা কিছু পদক্ষেপ নিয়েছি যা আমাকে ভাবতে বাধ্য করেছে (কাঠে ঠেলে দেওয়া) এই সম্পর্কটি আসলে এমন জায়গায় বিকশিত হতে পারে যেখানে আমি খুব বেশি চাই, অর্থাৎ, সে আমাকে আবার ভালোবাসে, আমি হঠাৎ করেই আমার উন্নতির আকাঙ্ক্ষা হারিয়ে ফেলেছি কারণ পৃথিবীতে আর কিছুই আমার চাওয়া নেই, তার সাথে থাকতে, সুস্থ ও পরিষ্কার থাকতে, তাকে আমার সমস্ত ভালো জিনিস দিতে, আমার সমস্ত ভেজালমুক্ত হৃদয় এবং চিন্তাভাবনা দিয়ে তাকে লালন করতে এবং ঈশ্বরের অনুমতি থাকলে শেষ পর্যন্ত তার সাথে এই জীবনযাপন করতে। আমি এই লাইনগুলি লেখার সময় নদীর মতো কাঁদছি এবং না, আমি তার প্রথম প্রেমের অভিজ্ঞতা অর্জনকারী কিশোর হতে অনেক দূরে। আমি যত দ্রুত সম্ভব আমার আচরণ পরিষ্কার করছি। এমন নয় যে আমি তার সাথে সৎ হতে পারিনি, আমি তাকে এ ব্যাপারে কিছুই বলিনি, কিন্তু সে এতটাই মুক্ত মনের অধিকারী যে আমার জীবনের গল্প তাকে বিস্তারিতভাবে বলতে আমার কোনও লজ্জা লাগে না। শুধু এই যে আমি তার সাথে সেই ব্যক্তি হতে চাই না। আমি মনে করি অবশেষে বুঝতে পেরেছি যে আমার হৃদয়ের যে ফাঁক আমি মাদক দিয়ে পূর্ণ করছিলাম তা হল আমার জীবনে অন্য কোনও ব্যক্তির অনুপস্থিতি। শারীরিকভাবে আসক্তিহীন ওষুধ ইতিমধ্যেই বন্ধ হয়ে গেছে। আমার মনে হয় বেজোস এবং আফিম থেকে মুক্তি পেতে আমার এখনও কয়েকদিন, এক সপ্তাহ সময় প্রয়োজন কারণ আপনি জানেন, মৃত্যু এড়ানো সবচেয়ে ভালো হবে, কিন্তু আমার জীবনে কখনও আমি ধূমপান ত্যাগ করার জন্য অনুপ্রাণিত হইনি। আমি ধূমপান ত্যাগ করার জন্য আমার জন্য যা কিছু আছে তা সহ্য করতে প্রস্তুত। যখন আমি মনে করি যে ধূমপান ত্যাগ করার জন্য এটি স্বাধীনভাবে তার সাথে জীবন উপভোগ করার উপায়, তখন এই যন্ত্রণা আমার কাছে কোনও অর্থ রাখে না। আমি সবকিছু করতে চাই। ধূমপান ত্যাগ করুন, আমার উপর চাপ দিন, আমি এখানে আছি এবং আমি এখানেই দাঁড়িয়ে থাকব, গর্বের সাথে এবং নিরলসভাবে আঘাতের পর আঘাত হানবো যতক্ষণ না আমার পদক্ষেপ দৃঢ় হয় এবং আমার হাত স্থিতিশীল হয়। কিন্তু এটাও আমাকে মৃত্যুর দিকে ঠেলে দেয়। যদি পরিস্থিতি আমার আশা অনুযায়ী না হয় তাহলে কী হবে? ব্রেক-আপের পর অতীতে আমার এমন কিছু হতাশা ছিল যা আমাকে আত্মহত্যার চেষ্টা করতে বাধ্য করেছিল যা প্রায় সফল হয়েছিল। এছাড়াও, আমি ভাবছি যে মাদকের চেয়ে একজন ব্যক্তির প্রতি এতটা আসক্ত হওয়া কি ভালো? আমার অভিজ্ঞতায়, মানুষের চেয়ে মাদক বেশি নির্ভরযোগ্য। আমি কীভাবে মোকাবেলা করব? "সংশোধন" (তাকে দেখা, তাকে টেক্সট করা, তাকে ফোন করা...) এর মধ্যে আমি কীভাবে বেঁচে থাকব। আর আমরা সকলেই জানি যে সম্পর্ক একভাবে বা অন্যভাবে শেষ হয়, বিচ্ছেদ বা মৃত্যুর মাধ্যমে। তাহলে আসলে কতটা ভালো যদি সে আমাকে ছেড়ে চলে যায় এবং আমি আত্মহত্যা করি? অবশ্যই আমি তাকে মাদকের দিকে ঝুঁকে ফেলছি না, সে একজন অসাধারণ নারী, উপমাটি আমার অসুস্থ মস্তিষ্ক তৈরি করেছে, কিন্তু আমি মানসিকভাবে এভাবেই কাজ করি বলে মনে হয়।</v>
      </c>
    </row>
    <row r="187" spans="1:3" ht="15" x14ac:dyDescent="0.25">
      <c r="A187" s="3" t="s">
        <v>189</v>
      </c>
      <c r="B187" s="3" t="s">
        <v>4</v>
      </c>
      <c r="C187" s="4" t="str">
        <f ca="1">IFERROR(__xludf.DUMMYFUNCTION("GOOGLETRANSLATE(A187, ""auto"", ""bn"")"),"৭৮ দিন অ্যালকোহল থেকে মুক্ত, ৮১ দিন বড়ি থেকে মুক্ত। আমার বেশিরভাগই ক্ষুধা নিবারণ করা হয়েছে, তবে এলোমেলোভাবে যেগুলো আমাকে বিরক্ত করার জন্য তৈরি হয়। আমার সাম্প্রতিক ল্যাবের ফলাফলে দেখা গেছে যে আমার লিভার বেশ খারাপভাবে ক্ষতিগ্রস্ত হয়েছে। ক্ষতি কতদূর যায়"&amp;" এবং এটি সম্পর্কে আমাদের কী করতে হবে তা দেখার জন্য আগামী কয়েক সপ্তাহ ধরে আমাকে আরও পরীক্ষা করতে হবে। এটা একটা অদ্ভুত অনুভূতি, কারণ আমি জানি যে আমার সমস্ত ওষুধ বন্ধ করার পরেই আমার শরীর অবশেষে ব্যর্থ হতে শুরু করে। এবং আরও অদ্ভুত যে এই যন্ত্রণার প্রতি আমার "&amp;"প্রতিক্রিয়া হল আবার ব্যবহার/পান করতে ইচ্ছা করা। আমি জানি এটি কেবল পরিস্থিতি আরও খারাপ করবে, এবং এটি আমার জীবনে সম্প্রতি যা ভালো জিনিস চলছে তা নষ্ট করবে। কিন্তু বছরের পর বছর ধরে, যন্ত্রণার প্রতি আমার প্রতিক্রিয়া পাওয়া নষ্ট হয়ে গেছে। আমার থেরাপিস্ট আমাক"&amp;"ে নতুন মোকাবেলা করার দক্ষতা শিখতে সাহায্য করছেন। তারা সাহায্য করে। কিন্তু এত দূরে চলে যাওয়ার মধ্যে একটি নির্দিষ্ট আনন্দ আছে যে কিছুই গুরুত্বপূর্ণ নয়। দুর্ঘটনার আগ পর্যন্ত, আমি মনে করি। আমি ফিরে যাচ্ছি না। আমি এতদূর পৌঁছেছি, আমি সবকিছু ফেলে দেব না। তাছাড"&amp;"়া, আমি সবটা কোথাও বলতে চেয়েছিলাম। তাছাড়া, আমি এখনও আমার লিভার সম্পর্কে কাউকে বলিনি। তাছাড়া, আমার বন্ধুদের এবং প্রেমিককে বলার আগে আমি আরও উত্তরের জন্য অপেক্ষা করছি। তাছাড়া, আমি তাদের যতটা প্রয়োজন তার চেয়ে বেশি চিন্তা করতে চাই না। হয়তো চিকিৎসা সম্পূ"&amp;"র্ণ শান্ত হতে পারে, এমনকি। দেখা যাক।")</f>
        <v>৭৮ দিন অ্যালকোহল থেকে মুক্ত, ৮১ দিন বড়ি থেকে মুক্ত। আমার বেশিরভাগই ক্ষুধা নিবারণ করা হয়েছে, তবে এলোমেলোভাবে যেগুলো আমাকে বিরক্ত করার জন্য তৈরি হয়। আমার সাম্প্রতিক ল্যাবের ফলাফলে দেখা গেছে যে আমার লিভার বেশ খারাপভাবে ক্ষতিগ্রস্ত হয়েছে। ক্ষতি কতদূর যায় এবং এটি সম্পর্কে আমাদের কী করতে হবে তা দেখার জন্য আগামী কয়েক সপ্তাহ ধরে আমাকে আরও পরীক্ষা করতে হবে। এটা একটা অদ্ভুত অনুভূতি, কারণ আমি জানি যে আমার সমস্ত ওষুধ বন্ধ করার পরেই আমার শরীর অবশেষে ব্যর্থ হতে শুরু করে। এবং আরও অদ্ভুত যে এই যন্ত্রণার প্রতি আমার প্রতিক্রিয়া হল আবার ব্যবহার/পান করতে ইচ্ছা করা। আমি জানি এটি কেবল পরিস্থিতি আরও খারাপ করবে, এবং এটি আমার জীবনে সম্প্রতি যা ভালো জিনিস চলছে তা নষ্ট করবে। কিন্তু বছরের পর বছর ধরে, যন্ত্রণার প্রতি আমার প্রতিক্রিয়া পাওয়া নষ্ট হয়ে গেছে। আমার থেরাপিস্ট আমাকে নতুন মোকাবেলা করার দক্ষতা শিখতে সাহায্য করছেন। তারা সাহায্য করে। কিন্তু এত দূরে চলে যাওয়ার মধ্যে একটি নির্দিষ্ট আনন্দ আছে যে কিছুই গুরুত্বপূর্ণ নয়। দুর্ঘটনার আগ পর্যন্ত, আমি মনে করি। আমি ফিরে যাচ্ছি না। আমি এতদূর পৌঁছেছি, আমি সবকিছু ফেলে দেব না। তাছাড়া, আমি সবটা কোথাও বলতে চেয়েছিলাম। তাছাড়া, আমি এখনও আমার লিভার সম্পর্কে কাউকে বলিনি। তাছাড়া, আমার বন্ধুদের এবং প্রেমিককে বলার আগে আমি আরও উত্তরের জন্য অপেক্ষা করছি। তাছাড়া, আমি তাদের যতটা প্রয়োজন তার চেয়ে বেশি চিন্তা করতে চাই না। হয়তো চিকিৎসা সম্পূর্ণ শান্ত হতে পারে, এমনকি। দেখা যাক।</v>
      </c>
    </row>
    <row r="188" spans="1:3" ht="15" x14ac:dyDescent="0.25">
      <c r="A188" s="3" t="s">
        <v>190</v>
      </c>
      <c r="B188" s="3" t="s">
        <v>4</v>
      </c>
      <c r="C188" s="4" t="str">
        <f ca="1">IFERROR(__xludf.DUMMYFUNCTION("GOOGLETRANSLATE(A188, ""auto"", ""bn"")"),"আমার বয়স ১৮ বছর এবং আমি এটা থেকে মুক্তি পেতে চাইছিলাম। আমি একজন প্রচণ্ড ধূমপায়ী এবং প্রায় ১৭ মাস ধরে ধূমপান করছি। আমার ধূমপানের অভ্যাস এখন এমন পর্যায়ে পৌঁছেছে যে আমি প্রতিদিন কুঁড়ি/মোম ধূমপান করি। আমি ধূমপান ছাড়া একদিনও যেতে পারি না। যদি আমি কাজের ছুটিত"&amp;"ে থাকি বা স্কুলে না থাকি, তাহলে সাধারণত আমি যখন বিরক্ত হই তখন প্রায় প্রতি ঘন্টা ধূমপান করি। ধূমপান আমাকে আর কোনও অনুভূতি দেয় না বরং কেবল তাদের উপশম করে। আমি প্রতি ৫ দিন অন্তর এক টুকরো গাছের টুকরো কিনে আনি যাতে তোমাকে ধারণা দেওয়া যায় যে আমি কতটা ধূমপান ক"&amp;"রি এবং তা সংযতভাবে করা যায় কারণ এই শখটি কতটা ব্যয়বহুল। আমি সবসময় জেগে থাকি, আমি একটি আসক্তিকর ব্যক্তিত্বে ভুগছি। আমি দত্তক নেওয়া একজন পুরুষ, তাই পরিবারের আমার জৈবিক দিকটি সবাই আসক্ত ছিল এবং সত্যি বলতে, বেশ খারাপ অবস্থায় ছিলাম। আমি নিজের সাথে সৎ ছিলাম য"&amp;"ে আমার কিছুদিন ধরে গাঁজার সমস্যা ছিল এবং আমি তা কমানোর চেষ্টা করছি। কিন্তু আমি না? আমি আমার মনোযোগ অ্যালকোহলের দিকে সরিয়ে নিয়েছি। আমি যখন পাথরের মতো হয়ে উঠছিলাম, তখন আমি আসলে খুব বেশি মদ্যপান করতাম না। ১৬ বছর বয়সে প্রথমে মদ্যপান করেছিলাম, তারপর এক বছর"&amp;" ধরে আর পান করিনি। কিন্তু গত কয়েক মাস ধরে আমি আরও বেশি করে ALC কিনছি এবং আমি নিজেকে গাঁজার চেয়েও বেশি উপভোগ করতে শুরু করেছি। সত্যি বলতে, ধূমপান এখন কিছুটা পুরনো হয়ে যাচ্ছে, এর সমস্ত স্বাদ এবং অর্থ হারিয়ে ফেলেছে। আমার মস্তিষ্কের ভেতরে আমি উদ্বিগ্ন যে আ"&amp;"মি মদ্যপ হয়ে যাচ্ছি। আমার মদ্যপানের অভ্যাস এবং অতিরিক্ত পরিমাণে এটি করার জন্য আমি সত্যিই লজ্জিত। এখন সকাল ৭টা বাজে আরএন এবং আমি মদ্যপান করছি। আমি সাধারণত সারা দিন মদ্যপান করি এবং যদি আমার যথেষ্ট পরিমাণে থাকে তবে প্রতি সপ্তাহে পরপর কয়েক দিন এটি পান করি। "&amp;"আমি এটিকে একটি বিশাল দুর্বলতাপূর্ণ সমস্যা হিসাবে দেখি না কারণ আমি সৎভাবে কাজ করি। আমার অনেক মানসিক স্বাস্থ্য সমস্যা এবং কিছু আসক্তির সমস্যা আছে কিন্তু বাইরে থেকে। আপনি সম্ভবত বলতে পারবেন না। এছাড়াও আমি মনে করি কেন আসক্তরা এত ভুল বোঝাবুঝি হয়। কিন্তু আমি "&amp;"সত্যিই একজন রাগী মদ্যপ হতে চাই না এবং যখন আমি বড় হয়ে একা থাকি তখন এটি একটি সমস্যা হয়ে দাঁড়ায়। আমি স্কুলে যাই এবং চাকরি করি তাই আমি পাগলাটে বা অন্য কিছু নই, তবুও আমার মনে হয় এত সহজে এবং যতটা সম্ভব মদ্যপান করা আমার পক্ষে স্বাভাবিক নয়। অ্যালকোহল সত্যি"&amp;"ই আমার মানসিক স্বাস্থ্যের জন্য সাহায্য করে। এটি আমার মনকে শান্ত করে এবং সবকিছুকে আরও মজাদার করে তোলে। আগাছার ক্ষেত্রেও একই কথা। আমার মন অবশেষে বিশ্রামে আছে।")</f>
        <v>আমার বয়স ১৮ বছর এবং আমি এটা থেকে মুক্তি পেতে চাইছিলাম। আমি একজন প্রচণ্ড ধূমপায়ী এবং প্রায় ১৭ মাস ধরে ধূমপান করছি। আমার ধূমপানের অভ্যাস এখন এমন পর্যায়ে পৌঁছেছে যে আমি প্রতিদিন কুঁড়ি/মোম ধূমপান করি। আমি ধূমপান ছাড়া একদিনও যেতে পারি না। যদি আমি কাজের ছুটিতে থাকি বা স্কুলে না থাকি, তাহলে সাধারণত আমি যখন বিরক্ত হই তখন প্রায় প্রতি ঘন্টা ধূমপান করি। ধূমপান আমাকে আর কোনও অনুভূতি দেয় না বরং কেবল তাদের উপশম করে। আমি প্রতি ৫ দিন অন্তর এক টুকরো গাছের টুকরো কিনে আনি যাতে তোমাকে ধারণা দেওয়া যায় যে আমি কতটা ধূমপান করি এবং তা সংযতভাবে করা যায় কারণ এই শখটি কতটা ব্যয়বহুল। আমি সবসময় জেগে থাকি, আমি একটি আসক্তিকর ব্যক্তিত্বে ভুগছি। আমি দত্তক নেওয়া একজন পুরুষ, তাই পরিবারের আমার জৈবিক দিকটি সবাই আসক্ত ছিল এবং সত্যি বলতে, বেশ খারাপ অবস্থায় ছিলাম। আমি নিজের সাথে সৎ ছিলাম যে আমার কিছুদিন ধরে গাঁজার সমস্যা ছিল এবং আমি তা কমানোর চেষ্টা করছি। কিন্তু আমি না? আমি আমার মনোযোগ অ্যালকোহলের দিকে সরিয়ে নিয়েছি। আমি যখন পাথরের মতো হয়ে উঠছিলাম, তখন আমি আসলে খুব বেশি মদ্যপান করতাম না। ১৬ বছর বয়সে প্রথমে মদ্যপান করেছিলাম, তারপর এক বছর ধরে আর পান করিনি। কিন্তু গত কয়েক মাস ধরে আমি আরও বেশি করে ALC কিনছি এবং আমি নিজেকে গাঁজার চেয়েও বেশি উপভোগ করতে শুরু করেছি। সত্যি বলতে, ধূমপান এখন কিছুটা পুরনো হয়ে যাচ্ছে, এর সমস্ত স্বাদ এবং অর্থ হারিয়ে ফেলেছে। আমার মস্তিষ্কের ভেতরে আমি উদ্বিগ্ন যে আমি মদ্যপ হয়ে যাচ্ছি। আমার মদ্যপানের অভ্যাস এবং অতিরিক্ত পরিমাণে এটি করার জন্য আমি সত্যিই লজ্জিত। এখন সকাল ৭টা বাজে আরএন এবং আমি মদ্যপান করছি। আমি সাধারণত সারা দিন মদ্যপান করি এবং যদি আমার যথেষ্ট পরিমাণে থাকে তবে প্রতি সপ্তাহে পরপর কয়েক দিন এটি পান করি। আমি এটিকে একটি বিশাল দুর্বলতাপূর্ণ সমস্যা হিসাবে দেখি না কারণ আমি সৎভাবে কাজ করি। আমার অনেক মানসিক স্বাস্থ্য সমস্যা এবং কিছু আসক্তির সমস্যা আছে কিন্তু বাইরে থেকে। আপনি সম্ভবত বলতে পারবেন না। এছাড়াও আমি মনে করি কেন আসক্তরা এত ভুল বোঝাবুঝি হয়। কিন্তু আমি সত্যিই একজন রাগী মদ্যপ হতে চাই না এবং যখন আমি বড় হয়ে একা থাকি তখন এটি একটি সমস্যা হয়ে দাঁড়ায়। আমি স্কুলে যাই এবং চাকরি করি তাই আমি পাগলাটে বা অন্য কিছু নই, তবুও আমার মনে হয় এত সহজে এবং যতটা সম্ভব মদ্যপান করা আমার পক্ষে স্বাভাবিক নয়। অ্যালকোহল সত্যিই আমার মানসিক স্বাস্থ্যের জন্য সাহায্য করে। এটি আমার মনকে শান্ত করে এবং সবকিছুকে আরও মজাদার করে তোলে। আগাছার ক্ষেত্রেও একই কথা। আমার মন অবশেষে বিশ্রামে আছে।</v>
      </c>
    </row>
    <row r="189" spans="1:3" ht="15" x14ac:dyDescent="0.25">
      <c r="A189" s="3" t="s">
        <v>191</v>
      </c>
      <c r="B189" s="3" t="s">
        <v>4</v>
      </c>
      <c r="C189" s="4" t="str">
        <f ca="1">IFERROR(__xludf.DUMMYFUNCTION("GOOGLETRANSLATE(A189, ""auto"", ""bn"")"),"আমার বোন ক্রিসমাসের জন্য আমাকে হুইপড ক্রিম ক্যানিস্টার কিনে দিয়েছে। আমি সাধারণত হুইপড ক্রিমের জন্য এটি ব্যবহার করি, হুইপেট নয়। এই সপ্তাহে একবার ছাড়া। আমি দ্রুত উচ্চতর করার চেষ্টা করে এটি শ্বাস নেওয়ার চেষ্টা করেছি। কিন্তু আমি অনুভব করিনি যে এটি উচ্চতর "&amp;"হয়ে উঠছে। ক্যানিস্টারে পর্যাপ্ত নাইট্রোজেন বা এটি যা-ই হোক না কেন, ছিল না। এবং আমি আবার চেষ্টা করার জন্য এটি পুনরায় লোড করিনি। তাই পুনরায় চেষ্টা করার এবং উচ্চতর করার চেষ্টা করেছি, কিন্তু তা করতে ব্যর্থ হয়েছি। তাই আমি এখনও শান্ত আছি। অথবা আপনার মতে, আম"&amp;"ি আবার শুরু করছি। প্রথম দিন। আমি আমার ক্যালেন্ডারে দিনটিকে একটি প্রচেষ্টা হিসাবে চিহ্নিত করতে পারি কিন্তু একটি নতুন শুরুর তারিখ হিসাবে নয়। আপনি কী মনে করেন?")</f>
        <v>আমার বোন ক্রিসমাসের জন্য আমাকে হুইপড ক্রিম ক্যানিস্টার কিনে দিয়েছে। আমি সাধারণত হুইপড ক্রিমের জন্য এটি ব্যবহার করি, হুইপেট নয়। এই সপ্তাহে একবার ছাড়া। আমি দ্রুত উচ্চতর করার চেষ্টা করে এটি শ্বাস নেওয়ার চেষ্টা করেছি। কিন্তু আমি অনুভব করিনি যে এটি উচ্চতর হয়ে উঠছে। ক্যানিস্টারে পর্যাপ্ত নাইট্রোজেন বা এটি যা-ই হোক না কেন, ছিল না। এবং আমি আবার চেষ্টা করার জন্য এটি পুনরায় লোড করিনি। তাই পুনরায় চেষ্টা করার এবং উচ্চতর করার চেষ্টা করেছি, কিন্তু তা করতে ব্যর্থ হয়েছি। তাই আমি এখনও শান্ত আছি। অথবা আপনার মতে, আমি আবার শুরু করছি। প্রথম দিন। আমি আমার ক্যালেন্ডারে দিনটিকে একটি প্রচেষ্টা হিসাবে চিহ্নিত করতে পারি কিন্তু একটি নতুন শুরুর তারিখ হিসাবে নয়। আপনি কী মনে করেন?</v>
      </c>
    </row>
    <row r="190" spans="1:3" ht="15" x14ac:dyDescent="0.25">
      <c r="A190" s="3" t="s">
        <v>192</v>
      </c>
      <c r="B190" s="3" t="s">
        <v>4</v>
      </c>
      <c r="C190" s="4" t="str">
        <f ca="1">IFERROR(__xludf.DUMMYFUNCTION("GOOGLETRANSLATE(A190, ""auto"", ""bn"")"),"তাই আমি এমন এক পর্যায়ে এসে পৌঁছেছি যেখানে আমি শুধু চাই যেন আমি সংযত না থাকি। জীবন এখন আমার কাছে মোটেও বিরক্তিকর নয়, কিন্তু এর একঘেয়েমি আমাকে মেরে ফেলছে। নিকোটিন ছাড়া আমার ৫ দিন কেটে গেছে এবং এটি আমাকে আবার ALC এবং আগাছার দিকে ফিরে যেতে বাধ্য করছে কিন্"&amp;"তু একটি সমস্যাকে অন্য সমস্যায় ফেলতে আমি ক্লান্ত। ধূমপান ত্যাগের সময় আমি যে যুক্তিগুলি ব্যবহার করি তা সত্যিই আমাকে বিরক্ত করে। আমি নিজেকে বলি যে তুমি ধূমপান করো না বলে অথবা তুমি যেহেতু মদ্যপান করো না তাই তোমার ধূমপান করা উচিত। আমি জানি না এটি সম্ভবত একটি"&amp;" খারাপ দিন কিন্তু আমার প্রচুর উদ্বেগ রয়েছে। আমি সংযত থাকতে চাই এবং চাই না।")</f>
        <v>তাই আমি এমন এক পর্যায়ে এসে পৌঁছেছি যেখানে আমি শুধু চাই যেন আমি সংযত না থাকি। জীবন এখন আমার কাছে মোটেও বিরক্তিকর নয়, কিন্তু এর একঘেয়েমি আমাকে মেরে ফেলছে। নিকোটিন ছাড়া আমার ৫ দিন কেটে গেছে এবং এটি আমাকে আবার ALC এবং আগাছার দিকে ফিরে যেতে বাধ্য করছে কিন্তু একটি সমস্যাকে অন্য সমস্যায় ফেলতে আমি ক্লান্ত। ধূমপান ত্যাগের সময় আমি যে যুক্তিগুলি ব্যবহার করি তা সত্যিই আমাকে বিরক্ত করে। আমি নিজেকে বলি যে তুমি ধূমপান করো না বলে অথবা তুমি যেহেতু মদ্যপান করো না তাই তোমার ধূমপান করা উচিত। আমি জানি না এটি সম্ভবত একটি খারাপ দিন কিন্তু আমার প্রচুর উদ্বেগ রয়েছে। আমি সংযত থাকতে চাই এবং চাই না।</v>
      </c>
    </row>
    <row r="191" spans="1:3" ht="15" x14ac:dyDescent="0.25">
      <c r="A191" s="3" t="s">
        <v>193</v>
      </c>
      <c r="B191" s="3" t="s">
        <v>4</v>
      </c>
      <c r="C191" s="4" t="str">
        <f ca="1">IFERROR(__xludf.DUMMYFUNCTION("GOOGLETRANSLATE(A191, ""auto"", ""bn"")"),"হয়তো সত্যিটা হলো আমি আমাদের নৌকাটিকে উজানে সারিবদ্ধ করার চেষ্টা করছি। আমাদের জাহাজে আছড়ে পড়া বিশাল, ভারী পাথর থেকে আমাদের দূরে সরিয়ে দেওয়ার চেষ্টা করছি। ভারী পাথরটি আমার পক্ষে নিজে থেকে সরানো অনেক বড়। সর্বোপরি? আমাকে নৌকা চালাতে হচ্ছে। আমার শক্তি কমে"&amp;" গেছে; নৌকা চালানো তুচ্ছ হয়ে গেছে - ছোট ছোট নড়াচড়া যা আমাদেরকে স্থিতিশীল ভূমির কাছাকাছিও পৌঁছাতে পারে না। পাথরের ওজন আমার পক্ষে একা সামলানো খুব ভারী? আর তোমার ইচ্ছা না থাকলে, আমাদের নৌকার পক্ষে এটি বহন করা খুব বেশি। আমাদের মধ্যে কেবল একজন নৌকা চালাচ্ছে"&amp;", আমাদের মধ্যে কেবল একজন আমাদের একটি লাইফবোট দিতে চাইছে, বাস্তবতা ডুবে গেছে: মনে হচ্ছে আমরা জাহাজের সাথে ডুবে যাচ্ছি। এই পাথরটি আপনাকে ডুবিয়ে দিয়েছে, এবং ফলস্বরূপ, আমাকে এবং আমাদের ছোট্ট বাড়িতে, চার বছরেরও বেশি সময় ধরে একসাথে তৈরি করা জাহাজটিকে ডুবিয়"&amp;"ে দিয়েছে।")</f>
        <v>হয়তো সত্যিটা হলো আমি আমাদের নৌকাটিকে উজানে সারিবদ্ধ করার চেষ্টা করছি। আমাদের জাহাজে আছড়ে পড়া বিশাল, ভারী পাথর থেকে আমাদের দূরে সরিয়ে দেওয়ার চেষ্টা করছি। ভারী পাথরটি আমার পক্ষে নিজে থেকে সরানো অনেক বড়। সর্বোপরি? আমাকে নৌকা চালাতে হচ্ছে। আমার শক্তি কমে গেছে; নৌকা চালানো তুচ্ছ হয়ে গেছে - ছোট ছোট নড়াচড়া যা আমাদেরকে স্থিতিশীল ভূমির কাছাকাছিও পৌঁছাতে পারে না। পাথরের ওজন আমার পক্ষে একা সামলানো খুব ভারী? আর তোমার ইচ্ছা না থাকলে, আমাদের নৌকার পক্ষে এটি বহন করা খুব বেশি। আমাদের মধ্যে কেবল একজন নৌকা চালাচ্ছে, আমাদের মধ্যে কেবল একজন আমাদের একটি লাইফবোট দিতে চাইছে, বাস্তবতা ডুবে গেছে: মনে হচ্ছে আমরা জাহাজের সাথে ডুবে যাচ্ছি। এই পাথরটি আপনাকে ডুবিয়ে দিয়েছে, এবং ফলস্বরূপ, আমাকে এবং আমাদের ছোট্ট বাড়িতে, চার বছরেরও বেশি সময় ধরে একসাথে তৈরি করা জাহাজটিকে ডুবিয়ে দিয়েছে।</v>
      </c>
    </row>
    <row r="192" spans="1:3" ht="15" x14ac:dyDescent="0.25">
      <c r="A192" s="3" t="s">
        <v>194</v>
      </c>
      <c r="B192" s="3" t="s">
        <v>4</v>
      </c>
      <c r="C192" s="4" t="str">
        <f ca="1">IFERROR(__xludf.DUMMYFUNCTION("GOOGLETRANSLATE(A192, ""auto"", ""bn"")"),"আমার মতো মাদকাসক্তদের উদ্দেশ্যে বলছি, তুমি কি চিন্তা করো যে তোমার পরিবার আমার সম্পর্কে কী ভাবছে তুমি আমার মতো?? যেমন আমি বড়ি এবং অ্যালকোহলে আসক্ত। আমার মনে হয় আমি এখন বড়ি খাওয়া ছেড়ে দিয়েছি... একই সাথে আমার পরিবার কী ভাবছে তাও আমি চিন্তা করি। আমার মন"&amp;"ে হয় মদ্যপান আমার সবচেয়ে বড় ক্ষতি কারণ আমি এমন কথা বলেছিলাম যা আমার পকেটের বাইরে ছিল। তাছাড়া, আমি এটা ফিরিয়ে নিতে পারি না, কিন্তু এটি আমার জন্য অনেক সম্পর্ক নষ্ট করে দিয়েছে। তাছাড়া, আমি জানি আমি একজন মদ্যপ, এবং একজন নেশাগ্রস্ত। ভাবো। দোস্ত! ছোটবেলায়"&amp;" আমার পরিবারের কেউ কেন আমার সম্পর্কে জিজ্ঞাসা করেনি? আমার পরিবার কেন আমার সম্পর্কে চিন্তা করেনি? হয়তো তখন আমি এমন হতাম না। নাকি এটা স্বার্থপর চিন্তা?? আমি শুধু চাইতাম যে আমি ১৭ বছর বয়সে আমার একজন সেরা বন্ধুকে না হারাই। হয়তো আমি আরও ভালো মানুষ হতাম। হয়"&amp;"তো আমি এতটা খারাপ এবং নিজের জন্য দুঃখিত হতাম না। সত্যি বলতে, আমার সেরা বন্ধু মারা যাওয়ার পাঁচ বছর হয়ে গেছে, আমি কি এখনও আমার সমস্যার উপর এতটা খারাপ মানুষ থাকতে পারি??? দয়া করে আমাকে তোমার সৎ মতামত দাও। কারণ আমি আর জানি না :/ আমার কাঁদতে কাঁদতে লাগছে")</f>
        <v>আমার মতো মাদকাসক্তদের উদ্দেশ্যে বলছি, তুমি কি চিন্তা করো যে তোমার পরিবার আমার সম্পর্কে কী ভাবছে তুমি আমার মতো?? যেমন আমি বড়ি এবং অ্যালকোহলে আসক্ত। আমার মনে হয় আমি এখন বড়ি খাওয়া ছেড়ে দিয়েছি... একই সাথে আমার পরিবার কী ভাবছে তাও আমি চিন্তা করি। আমার মনে হয় মদ্যপান আমার সবচেয়ে বড় ক্ষতি কারণ আমি এমন কথা বলেছিলাম যা আমার পকেটের বাইরে ছিল। তাছাড়া, আমি এটা ফিরিয়ে নিতে পারি না, কিন্তু এটি আমার জন্য অনেক সম্পর্ক নষ্ট করে দিয়েছে। তাছাড়া, আমি জানি আমি একজন মদ্যপ, এবং একজন নেশাগ্রস্ত। ভাবো। দোস্ত! ছোটবেলায় আমার পরিবারের কেউ কেন আমার সম্পর্কে জিজ্ঞাসা করেনি? আমার পরিবার কেন আমার সম্পর্কে চিন্তা করেনি? হয়তো তখন আমি এমন হতাম না। নাকি এটা স্বার্থপর চিন্তা?? আমি শুধু চাইতাম যে আমি ১৭ বছর বয়সে আমার একজন সেরা বন্ধুকে না হারাই। হয়তো আমি আরও ভালো মানুষ হতাম। হয়তো আমি এতটা খারাপ এবং নিজের জন্য দুঃখিত হতাম না। সত্যি বলতে, আমার সেরা বন্ধু মারা যাওয়ার পাঁচ বছর হয়ে গেছে, আমি কি এখনও আমার সমস্যার উপর এতটা খারাপ মানুষ থাকতে পারি??? দয়া করে আমাকে তোমার সৎ মতামত দাও। কারণ আমি আর জানি না :/ আমার কাঁদতে কাঁদতে লাগছে</v>
      </c>
    </row>
    <row r="193" spans="1:3" ht="15" x14ac:dyDescent="0.25">
      <c r="A193" s="3" t="s">
        <v>195</v>
      </c>
      <c r="B193" s="3" t="s">
        <v>4</v>
      </c>
      <c r="C193" s="4" t="str">
        <f ca="1">IFERROR(__xludf.DUMMYFUNCTION("GOOGLETRANSLATE(A193, ""auto"", ""bn"")"),"আমি বর্তমানে আসক্তির মধ্য দিয়ে যাচ্ছি, ২ সপ্তাহ পার হয়ে গেছে, এবং আমি সংগ্রাম করছি। আমি ভেঙে পড়েছি, সবাই কি কোনও কারণে আসক্তিতে আক্রান্ত হয়? তাছাড়া, আমাকে কেবল কারও সাথে কথা বলতে হবে। তাছাড়া, আমি যুদ্ধে হেরে যাচ্ছি। তাছাড়া, আমি ভেঙে পড়ছি, আমার কেব"&amp;"ল এমন কাউকে দরকার যে খুশি করার জন্য কথা বলবে।")</f>
        <v>আমি বর্তমানে আসক্তির মধ্য দিয়ে যাচ্ছি, ২ সপ্তাহ পার হয়ে গেছে, এবং আমি সংগ্রাম করছি। আমি ভেঙে পড়েছি, সবাই কি কোনও কারণে আসক্তিতে আক্রান্ত হয়? তাছাড়া, আমাকে কেবল কারও সাথে কথা বলতে হবে। তাছাড়া, আমি যুদ্ধে হেরে যাচ্ছি। তাছাড়া, আমি ভেঙে পড়ছি, আমার কেবল এমন কাউকে দরকার যে খুশি করার জন্য কথা বলবে।</v>
      </c>
    </row>
    <row r="194" spans="1:3" ht="15" x14ac:dyDescent="0.25">
      <c r="A194" s="3" t="s">
        <v>196</v>
      </c>
      <c r="B194" s="3" t="s">
        <v>4</v>
      </c>
      <c r="C194" s="4" t="str">
        <f ca="1">IFERROR(__xludf.DUMMYFUNCTION("GOOGLETRANSLATE(A194, ""auto"", ""bn"")"),"সম্প্রতি (এই সপ্তাহে) আমার বাগদত্তা বিশ্বাসের অভাবের কারণে আমাকে ছেড়ে চলে গেছে। আমি তখন ব্যবহার করছিলাম না কিন্তু প্রায় তিন মাস আগে আমি কীভাবে ব্যবহার করেছি সে সম্পর্কে আমি তার সাথে সৎ ছিলাম না। এক সপ্তাহ আগে বৃহস্পতিবার আমার খিঁচুনি হয়েছিল এবং তার বাথ"&amp;"রুমে ঘুম থেকে উঠে তাকে বলেছিলাম যে আমি অজ্ঞান হয়ে পড়েছি এবং তার সাহায্যের জন্য চিৎকার করছি। আমি তাকে বলেছিলাম যে আমি মাদকাসক্ত। আমি জানি না কেন আমি তাকে বলেছিলাম যে আমি হাসপাতালে যাওয়ার পথেই তা করেছি। আমার মনে নেই সারা দিনটি কারণ আমার খিঁচুনি হয়েছিল এ"&amp;"বং আমি ভুলে গিয়েছিলাম। সিটি স্ক্যান এবং সবকিছুর সময় সে আমার সাথে ছিল। পরের দিন সকালে যখন আমরা বাড়ি ফিরে আসি। রাত ১০ টায় খিঁচুনি হয়। জরুরি চিকিৎসা কেন্দ্রে গিয়েছিলাম এবং সকাল ৬ টা পর্যন্ত জরুরি চিকিৎসা কেন্দ্রে ছিল। আমি বুঝতে পারি যে সে আমার জন্য কাজ"&amp;" শেষ করেছে। আমার জীবনের সবচেয়ে বেশি ব্যথা আমি অনুভব করেছি। আমি এই মহিলাকে ভালোবাসি। সে কিছুক্ষণ ধরে আমাকে স্বাভাবিক বোধ করিয়েছে। আমি খুব লজ্জিত ছিলাম কারণ আমার মনে হয়েছিল যে আমি অতিরিক্ত মাত্রায় ওষুধ খেয়ে ফেলেছি। দেখা যাচ্ছে যে আফিম আমার শরীরে ছিল না"&amp;"। অথবা হেরোইন। ইত্যাদি। আমি এতটাই অভ্যস্ত ছিলাম যে, এটা বলাটা স্বাভাবিক বলেই মনে করতাম। এটা নিশ্চয়ই মাদক। ৬ বছর আগে আমার জীবনে মাত্র একবার খিঁচুনি হয়েছিল এবং তখনও আমি সুস্থ ছিলাম। কিন্তু দশ বছর ধরে মাদক সেবনের পর আমার মনে হল আমি অজ্ঞান হয়ে গেছি। প্রস্র"&amp;"াবের প্যানেল পরিষ্কার হয়ে গেল এবং আমি আরও গভীর প্রশ্ন করতে শুরু করলাম। আমি কেন লাফিয়ে বললাম যে আমি এমন ওষুধ খেয়েছি যার কারণে আমি অজ্ঞান হয়ে গেছি? যদি আমি কয়েক মাস ধরে ওষুধ ব্যবহার না করতাম তাহলে কেন আমি ওষুধ সম্পর্কে কিছু বলতাম। সাধারণত আমার কাছে যাও"&amp;"য়ার সুবিধা/রক্সি। প্রায় ৩-৪ বার একবারে। আচ্ছা, আমি সম্প্রতি এগুলো করিনি। পরিষ্কার প্রস্রাব পরীক্ষার কথা জানার পর সে আমাকে বলেছিল যে আমি যদি চুলের পরীক্ষা করি তাহলে সে আমাকে বিশ্বাস করতে শুরু করবে। তখনই আমি অত্যন্ত সৎ ছিলাম এবং ভালো বলেছিলাম ৩-৪ মাস আগে "&amp;"আমি আমার বাবার বাড়িতে বড়ি খেয়েছিলাম। আমার বাবা একজন আসক্ত/মদ্যপ এবং আমার ১৬ বছর বয়স থেকেই তিনি। (তালাকের পর তিনি মাদক সেবনে পরিণত হন) আমি সেই আচরণ স্বাভাবিক করতে শিখেছি। প্রথম যখন আমি কাউকে লাইন করতে দেখলাম, তখন সে ছিল। আমার বয়স ছিল ১৬ বছর এবং সেই সপ্"&amp;"তাহে থ্যাঙ্কসগিভিং-এর জন্য বাড়ি ফিরে এসেছিলাম। সে নাক ডাকত এবং কিছুটা স্বাভাবিক আচরণ করত (অন্তত তার জন্য) তখন আমার মনে হয়েছিল ঠিক আছে। আচ্ছা, যদি পপস এটা করে এবং ঠিক থাকে, তাহলে আমি ঠিক হয়ে যাব। আচ্ছা, এটা আরও দ্রুত রূপান্তরিত হয়ে গেল। আমি এমএস থেকে ভিএত"&amp;"ে ফিরে যাই এবং স্কুলে মশলা বিক্রি শুরু করি। (যখন এটি প্রকাশিত হয়) সেই ফেব্রুয়ারীতে আমাকে বহিষ্কার করা হয় এবং জিইডি করার জন্য আমার বাবার সাথে সাথে এমএস-এ ফিরে যাই। আমি সেই গ্রীষ্ম পর্যন্ত আমার প্রথম বড়িটি গ্রহণ করিনি, এবং এতে মানসিক এবং শারীরিকভাবে সমস্"&amp;"ত ব্যথা চলে যায়। আমি সেই জিনিসটি পছন্দ করি। শত শত বড়ি এবং দশ বছর পরে এবং দ্রুত আমার বাগদত্তার বাড়ি থেকে বের করে দেওয়া হয়। আমি যখন ক্লিন টেস্ট করি তখন সে হতবাক হয়ে যায় এবং আমাকে বলে যে আমি যদি চুলের পরীক্ষা করি তবে সে আবার আমার বিশ্বাস অর্জন করতে শুরু"&amp;" করবে, এবং আমি এটির ধারণায় ঝাঁপিয়ে পড়ি, কিন্তু তারপর আমি তাকে ফোন করে বলি যে আমি ভয় পাচ্ছি কারণ কয়েক মাস আগের বড়িগুলি দেখা দিতে পারে। সে প্রকাশ করে যে এটা আসলে মাদক নয় বরং মিথ্যা এবং বিশ্বাস। আমি তার সিদ্ধান্তকে সম্মান করি এবং এখন সে আমার দেবদূত ছিল,"&amp;" কিন্তু আমাকে তাকে সুস্থ হতে দিতে হবে। আমার জীবনে ওপিয়েটস এত বড় ভূমিকা পালন করেছে যে, এটা বলা স্বাভাবিক যে আমি যখন মাদকাসক্ত ছিলাম তখনও আমি অতিরিক্ত মাত্রায় সেবন করেছি। যদি তুমি এটা আবার পড়ো, তাহলে ব্যথাকে তোমাকে নিয়ন্ত্রণ করতে দিও না। খারাপ, ভালো মা"&amp;"নুষের সাথেও কিছু ঘটে কিন্তু এটাকে তোমার জীবন চালাতে দিও না, এটা আমার জীবন চালায়। বড়ি এই ব্যথা দূর করতে পারে না কিন্তু আমি খুশি যে আমি এই মুহূর্তে আছি। আমি শান্ত এবং শান্ত আছি। এটা শুধু মিটিংয়ে যাওয়া নয়, এটা চলছে এবং চলতেই থাকবে। আমি তোমাদের সবাইকে ভা"&amp;"লোবাসি, এবং আমি তোমাদের সবাইকে জানি না কিন্তু ব্যথাকে চলতে দিও না, এটা তোমার পথ ধরে চলতে দিও না, কিভাবে সুস্থভাবে এটি থেকে মুক্তি পাওয়া যায়। আমি ১৭ বছর বয়স থেকে ব্যবহার করছি এবং এখন আমি স্বীকার করার মতো যথেষ্ট শক্তিশালী যে আমার একটি ভূত আছে এবং আমি তাকে "&amp;"পরাজিত করব।")</f>
        <v>সম্প্রতি (এই সপ্তাহে) আমার বাগদত্তা বিশ্বাসের অভাবের কারণে আমাকে ছেড়ে চলে গেছে। আমি তখন ব্যবহার করছিলাম না কিন্তু প্রায় তিন মাস আগে আমি কীভাবে ব্যবহার করেছি সে সম্পর্কে আমি তার সাথে সৎ ছিলাম না। এক সপ্তাহ আগে বৃহস্পতিবার আমার খিঁচুনি হয়েছিল এবং তার বাথরুমে ঘুম থেকে উঠে তাকে বলেছিলাম যে আমি অজ্ঞান হয়ে পড়েছি এবং তার সাহায্যের জন্য চিৎকার করছি। আমি তাকে বলেছিলাম যে আমি মাদকাসক্ত। আমি জানি না কেন আমি তাকে বলেছিলাম যে আমি হাসপাতালে যাওয়ার পথেই তা করেছি। আমার মনে নেই সারা দিনটি কারণ আমার খিঁচুনি হয়েছিল এবং আমি ভুলে গিয়েছিলাম। সিটি স্ক্যান এবং সবকিছুর সময় সে আমার সাথে ছিল। পরের দিন সকালে যখন আমরা বাড়ি ফিরে আসি। রাত ১০ টায় খিঁচুনি হয়। জরুরি চিকিৎসা কেন্দ্রে গিয়েছিলাম এবং সকাল ৬ টা পর্যন্ত জরুরি চিকিৎসা কেন্দ্রে ছিল। আমি বুঝতে পারি যে সে আমার জন্য কাজ শেষ করেছে। আমার জীবনের সবচেয়ে বেশি ব্যথা আমি অনুভব করেছি। আমি এই মহিলাকে ভালোবাসি। সে কিছুক্ষণ ধরে আমাকে স্বাভাবিক বোধ করিয়েছে। আমি খুব লজ্জিত ছিলাম কারণ আমার মনে হয়েছিল যে আমি অতিরিক্ত মাত্রায় ওষুধ খেয়ে ফেলেছি। দেখা যাচ্ছে যে আফিম আমার শরীরে ছিল না। অথবা হেরোইন। ইত্যাদি। আমি এতটাই অভ্যস্ত ছিলাম যে, এটা বলাটা স্বাভাবিক বলেই মনে করতাম। এটা নিশ্চয়ই মাদক। ৬ বছর আগে আমার জীবনে মাত্র একবার খিঁচুনি হয়েছিল এবং তখনও আমি সুস্থ ছিলাম। কিন্তু দশ বছর ধরে মাদক সেবনের পর আমার মনে হল আমি অজ্ঞান হয়ে গেছি। প্রস্রাবের প্যানেল পরিষ্কার হয়ে গেল এবং আমি আরও গভীর প্রশ্ন করতে শুরু করলাম। আমি কেন লাফিয়ে বললাম যে আমি এমন ওষুধ খেয়েছি যার কারণে আমি অজ্ঞান হয়ে গেছি? যদি আমি কয়েক মাস ধরে ওষুধ ব্যবহার না করতাম তাহলে কেন আমি ওষুধ সম্পর্কে কিছু বলতাম। সাধারণত আমার কাছে যাওয়ার সুবিধা/রক্সি। প্রায় ৩-৪ বার একবারে। আচ্ছা, আমি সম্প্রতি এগুলো করিনি। পরিষ্কার প্রস্রাব পরীক্ষার কথা জানার পর সে আমাকে বলেছিল যে আমি যদি চুলের পরীক্ষা করি তাহলে সে আমাকে বিশ্বাস করতে শুরু করবে। তখনই আমি অত্যন্ত সৎ ছিলাম এবং ভালো বলেছিলাম ৩-৪ মাস আগে আমি আমার বাবার বাড়িতে বড়ি খেয়েছিলাম। আমার বাবা একজন আসক্ত/মদ্যপ এবং আমার ১৬ বছর বয়স থেকেই তিনি। (তালাকের পর তিনি মাদক সেবনে পরিণত হন) আমি সেই আচরণ স্বাভাবিক করতে শিখেছি। প্রথম যখন আমি কাউকে লাইন করতে দেখলাম, তখন সে ছিল। আমার বয়স ছিল ১৬ বছর এবং সেই সপ্তাহে থ্যাঙ্কসগিভিং-এর জন্য বাড়ি ফিরে এসেছিলাম। সে নাক ডাকত এবং কিছুটা স্বাভাবিক আচরণ করত (অন্তত তার জন্য) তখন আমার মনে হয়েছিল ঠিক আছে। আচ্ছা, যদি পপস এটা করে এবং ঠিক থাকে, তাহলে আমি ঠিক হয়ে যাব। আচ্ছা, এটা আরও দ্রুত রূপান্তরিত হয়ে গেল। আমি এমএস থেকে ভিএতে ফিরে যাই এবং স্কুলে মশলা বিক্রি শুরু করি। (যখন এটি প্রকাশিত হয়) সেই ফেব্রুয়ারীতে আমাকে বহিষ্কার করা হয় এবং জিইডি করার জন্য আমার বাবার সাথে সাথে এমএস-এ ফিরে যাই। আমি সেই গ্রীষ্ম পর্যন্ত আমার প্রথম বড়িটি গ্রহণ করিনি, এবং এতে মানসিক এবং শারীরিকভাবে সমস্ত ব্যথা চলে যায়। আমি সেই জিনিসটি পছন্দ করি। শত শত বড়ি এবং দশ বছর পরে এবং দ্রুত আমার বাগদত্তার বাড়ি থেকে বের করে দেওয়া হয়। আমি যখন ক্লিন টেস্ট করি তখন সে হতবাক হয়ে যায় এবং আমাকে বলে যে আমি যদি চুলের পরীক্ষা করি তবে সে আবার আমার বিশ্বাস অর্জন করতে শুরু করবে, এবং আমি এটির ধারণায় ঝাঁপিয়ে পড়ি, কিন্তু তারপর আমি তাকে ফোন করে বলি যে আমি ভয় পাচ্ছি কারণ কয়েক মাস আগের বড়িগুলি দেখা দিতে পারে। সে প্রকাশ করে যে এটা আসলে মাদক নয় বরং মিথ্যা এবং বিশ্বাস। আমি তার সিদ্ধান্তকে সম্মান করি এবং এখন সে আমার দেবদূত ছিল, কিন্তু আমাকে তাকে সুস্থ হতে দিতে হবে। আমার জীবনে ওপিয়েটস এত বড় ভূমিকা পালন করেছে যে, এটা বলা স্বাভাবিক যে আমি যখন মাদকাসক্ত ছিলাম তখনও আমি অতিরিক্ত মাত্রায় সেবন করেছি। যদি তুমি এটা আবার পড়ো, তাহলে ব্যথাকে তোমাকে নিয়ন্ত্রণ করতে দিও না। খারাপ, ভালো মানুষের সাথেও কিছু ঘটে কিন্তু এটাকে তোমার জীবন চালাতে দিও না, এটা আমার জীবন চালায়। বড়ি এই ব্যথা দূর করতে পারে না কিন্তু আমি খুশি যে আমি এই মুহূর্তে আছি। আমি শান্ত এবং শান্ত আছি। এটা শুধু মিটিংয়ে যাওয়া নয়, এটা চলছে এবং চলতেই থাকবে। আমি তোমাদের সবাইকে ভালোবাসি, এবং আমি তোমাদের সবাইকে জানি না কিন্তু ব্যথাকে চলতে দিও না, এটা তোমার পথ ধরে চলতে দিও না, কিভাবে সুস্থভাবে এটি থেকে মুক্তি পাওয়া যায়। আমি ১৭ বছর বয়স থেকে ব্যবহার করছি এবং এখন আমি স্বীকার করার মতো যথেষ্ট শক্তিশালী যে আমার একটি ভূত আছে এবং আমি তাকে পরাজিত করব।</v>
      </c>
    </row>
    <row r="195" spans="1:3" ht="15" x14ac:dyDescent="0.25">
      <c r="A195" s="3" t="s">
        <v>197</v>
      </c>
      <c r="B195" s="3" t="s">
        <v>4</v>
      </c>
      <c r="C195" s="4" t="str">
        <f ca="1">IFERROR(__xludf.DUMMYFUNCTION("GOOGLETRANSLATE(A195, ""auto"", ""bn"")"),"আমার ১৮ বছর বয়সী ছেলে আজ প্রথমবারের মতো আমাকে বলল যে সে আমাকে ভালোবাসে না। সে খুব মিষ্টি একটা ছেলে, এবং আমাদের অনেক মিল ছিল এবং এই বছর আমরা যখনই একসাথে কোথাও যাই তখনই ঝগড়া শুরু হয়। কয়েক বছর আগে কর্মক্ষেত্রে দুর্ঘটনার পর থেকে আমার ডাক্তার আমাকে যে ওষুধ"&amp;"গুলি লিখে দেন, সেগুলি সেবন করে আমি মাদকাসক্ত হয়ে পড়েছি। আমি এই ওষুধগুলি ব্যবহার করছি এবং তন্দ্রাচ্ছন্ন হয়ে পড়ছি, এবং এর কারণে আমি বিবাহবিচ্ছেদের দ্বারপ্রান্তে, কিন্তু আমি এটিকে আটকাতে পারছি না। তাছাড়া, কর্মক্ষেত্রে দুর্ঘটনার কারণে আমার কোনও চাকরি নেই"&amp;" এবং যদি আমার বিবাহবিচ্ছেদ হয় তবে আমি ১০০% গৃহহীন হয়ে যাব। তাছাড়া, আমি থামতে বলার পর আজ আমি কিছু বড়ি খেয়েছি, কিন্তু আমি নিজেকে নিয়ন্ত্রণ করতে পারছি না এবং এখন আমার ছেলে প্রথমবারের মতো বলেছে যে সে আমাকে ভালোবাসে না, এবং এটি আমাকে কষ্ট দেয়। তাছাড়া, "&amp;"আমি আমার আসক্তি থামাতে চাই, কিন্তু আমি পারছি না, এবং আমি আমার চারপাশের সবকিছু নষ্ট করে ফেলছি। তাছাড়া, আমি সবকিছু ঠিক করতে চাই এবং আমি সবসময় তার পাশে থাকার পরও কি আমার ছেলে আমাকে বলেছিল যে সে আমাকে ভালোবাসে না, সে কি ভুল করেছে?")</f>
        <v>আমার ১৮ বছর বয়সী ছেলে আজ প্রথমবারের মতো আমাকে বলল যে সে আমাকে ভালোবাসে না। সে খুব মিষ্টি একটা ছেলে, এবং আমাদের অনেক মিল ছিল এবং এই বছর আমরা যখনই একসাথে কোথাও যাই তখনই ঝগড়া শুরু হয়। কয়েক বছর আগে কর্মক্ষেত্রে দুর্ঘটনার পর থেকে আমার ডাক্তার আমাকে যে ওষুধগুলি লিখে দেন, সেগুলি সেবন করে আমি মাদকাসক্ত হয়ে পড়েছি। আমি এই ওষুধগুলি ব্যবহার করছি এবং তন্দ্রাচ্ছন্ন হয়ে পড়ছি, এবং এর কারণে আমি বিবাহবিচ্ছেদের দ্বারপ্রান্তে, কিন্তু আমি এটিকে আটকাতে পারছি না। তাছাড়া, কর্মক্ষেত্রে দুর্ঘটনার কারণে আমার কোনও চাকরি নেই এবং যদি আমার বিবাহবিচ্ছেদ হয় তবে আমি ১০০% গৃহহীন হয়ে যাব। তাছাড়া, আমি থামতে বলার পর আজ আমি কিছু বড়ি খেয়েছি, কিন্তু আমি নিজেকে নিয়ন্ত্রণ করতে পারছি না এবং এখন আমার ছেলে প্রথমবারের মতো বলেছে যে সে আমাকে ভালোবাসে না, এবং এটি আমাকে কষ্ট দেয়। তাছাড়া, আমি আমার আসক্তি থামাতে চাই, কিন্তু আমি পারছি না, এবং আমি আমার চারপাশের সবকিছু নষ্ট করে ফেলছি। তাছাড়া, আমি সবকিছু ঠিক করতে চাই এবং আমি সবসময় তার পাশে থাকার পরও কি আমার ছেলে আমাকে বলেছিল যে সে আমাকে ভালোবাসে না, সে কি ভুল করেছে?</v>
      </c>
    </row>
    <row r="196" spans="1:3" ht="15" x14ac:dyDescent="0.25">
      <c r="A196" s="3" t="s">
        <v>198</v>
      </c>
      <c r="B196" s="3" t="s">
        <v>4</v>
      </c>
      <c r="C196" s="4" t="str">
        <f ca="1">IFERROR(__xludf.DUMMYFUNCTION("GOOGLETRANSLATE(A196, ""auto"", ""bn"")"),"তাই আমি Kr atom এর সাথে লড়াই করছিলাম। যাইহোক, ডিসেম্বরের এক পর্যায়ে আমি মোড় ঘুরিয়ে নিলাম এবং সিদ্ধান্ত নিলাম যে আমি আমার নিজের বাজে কথা (""প্রকৃত পরিবর্তন তখনই আসে যখন তুমি"" নিজের বাজে কথা দিয়ে কাজ শেষ করো?) করব না। তাই আমি একটি স্কুলে ফোন করে এমন ক"&amp;"িছু করলাম যা আমি সবসময় করতে চাইতাম (সফ্টওয়্যার ডেভেলপমেন্ট) এবং বলটি ঘুরতে শুরু করলাম, আমি ক্লাস নেওয়ার সাথে সাথে আমার কাজের সময়সূচী পরিবর্তন করে পড়াশোনা শুরু করলাম। সিগারেট খাওয়া বন্ধ করে দিলাম এবং সিদ্ধান্ত নিলাম যে আমি যদি গাঁজা ধূমপান করি তবে আম"&amp;"ি স্কুলের জন্য পড়াশোনা করতে পারব না, পাথর ছুঁড়ে পড়া পড়া কঠিন। তাই আমি গাঁজা বন্ধ করে দিলাম যাতে আমি সবসময় পড়াশোনা করতে এবং আমার ব্যবসা পরিচালনা করতে প্রস্তুত থাকতে পারি। এর কিছুক্ষণ পরেই আমি সিদ্ধান্ত নিলাম যে আমি স্বাভাবিক বোধ করতে চাই। একজন মানুষে"&amp;"র মতো, তাই আমি বর্তমানে কফি ছেড়ে দিচ্ছি। আমি বুঝতে পেরেছিলাম যে কফি খাওয়ার পরে নিজেকে ভারসাম্য বজায় রাখার জন্য আমাকে পরমাণুর দিকে হাত দিতে হয়? তাই আমি কফির সাথে বলটি ঘুরিয়ে দেব তারপর নিজেকে ভারসাম্য বজায় রাখার জন্য আমাকে এই অন্যান্য পদার্থের দিকে হা"&amp;"ত দিতে হবে? তাহলে কেন ""উৎস"" বন্ধ করব না? আমি এখন অনেক ভালো বোধ করছি এবং যেমনটা আগেই বলেছি: আমি পরমাণু (যার উপর আমার নির্ভরতা আছে) থেকে মুক্ত হয়ে যাচ্ছি। সকালে যখন আমার খারাপ লাগত, তখন আমি স্বয়ংক্রিয়ভাবে এটির জন্য চেষ্টা করতাম। যাইহোক, কয়েকদিন আগে আম"&amp;"ি কিছুক্ষণ অনুভূতি নিয়ে বসে ছিলাম, এবং এটি প্রায় ২০ মিনিট (নরকের মতো) সময় নিয়েছিল কিন্তু আমি এক কোণে ঘুরে দাঁড়ালাম এবং ""যন্ত্রণা?"" আমার মনে প্রশান্তির অনুভূতি হল। আমি জানতাম না যে এটি ঘটবে। অনেক বছর হয়ে গেছে যে আমি নিজেকে এটি ছাড়া সময় দিতে পারিন"&amp;"ি। বর্তমানে, আমি ক্লান্ত হয়ে পড়ছি, এবং আমি আশা করি যে আমি সবকিছু থেকে ১০০% মুক্তি পাব যাতে আমি ""মানুষ"" হওয়ার অনুভূতি অনুভব করতে পারি। আমি তোমার শুভকামনা জানাই, তুমি তোমার জানার চেয়েও বেশি আশ্চর্যজনক। পুনশ্চ: আমি কয়েক বছর আগে আমার পাস ট্রমাগুলি প্রক"&amp;"্রিয়া করতে শুরু করেছিলাম এবং এটি আমার জীবনকে পরিষ্কার করার পদক্ষেপ নেওয়ার একটি বিশাল অংশ ছিল।")</f>
        <v>তাই আমি Kr atom এর সাথে লড়াই করছিলাম। যাইহোক, ডিসেম্বরের এক পর্যায়ে আমি মোড় ঘুরিয়ে নিলাম এবং সিদ্ধান্ত নিলাম যে আমি আমার নিজের বাজে কথা ("প্রকৃত পরিবর্তন তখনই আসে যখন তুমি" নিজের বাজে কথা দিয়ে কাজ শেষ করো?) করব না। তাই আমি একটি স্কুলে ফোন করে এমন কিছু করলাম যা আমি সবসময় করতে চাইতাম (সফ্টওয়্যার ডেভেলপমেন্ট) এবং বলটি ঘুরতে শুরু করলাম, আমি ক্লাস নেওয়ার সাথে সাথে আমার কাজের সময়সূচী পরিবর্তন করে পড়াশোনা শুরু করলাম। সিগারেট খাওয়া বন্ধ করে দিলাম এবং সিদ্ধান্ত নিলাম যে আমি যদি গাঁজা ধূমপান করি তবে আমি স্কুলের জন্য পড়াশোনা করতে পারব না, পাথর ছুঁড়ে পড়া পড়া কঠিন। তাই আমি গাঁজা বন্ধ করে দিলাম যাতে আমি সবসময় পড়াশোনা করতে এবং আমার ব্যবসা পরিচালনা করতে প্রস্তুত থাকতে পারি। এর কিছুক্ষণ পরেই আমি সিদ্ধান্ত নিলাম যে আমি স্বাভাবিক বোধ করতে চাই। একজন মানুষের মতো, তাই আমি বর্তমানে কফি ছেড়ে দিচ্ছি। আমি বুঝতে পেরেছিলাম যে কফি খাওয়ার পরে নিজেকে ভারসাম্য বজায় রাখার জন্য আমাকে পরমাণুর দিকে হাত দিতে হয়? তাই আমি কফির সাথে বলটি ঘুরিয়ে দেব তারপর নিজেকে ভারসাম্য বজায় রাখার জন্য আমাকে এই অন্যান্য পদার্থের দিকে হাত দিতে হবে? তাহলে কেন "উৎস" বন্ধ করব না? আমি এখন অনেক ভালো বোধ করছি এবং যেমনটা আগেই বলেছি: আমি পরমাণু (যার উপর আমার নির্ভরতা আছে) থেকে মুক্ত হয়ে যাচ্ছি। সকালে যখন আমার খারাপ লাগত, তখন আমি স্বয়ংক্রিয়ভাবে এটির জন্য চেষ্টা করতাম। যাইহোক, কয়েকদিন আগে আমি কিছুক্ষণ অনুভূতি নিয়ে বসে ছিলাম, এবং এটি প্রায় ২০ মিনিট (নরকের মতো) সময় নিয়েছিল কিন্তু আমি এক কোণে ঘুরে দাঁড়ালাম এবং "যন্ত্রণা?" আমার মনে প্রশান্তির অনুভূতি হল। আমি জানতাম না যে এটি ঘটবে। অনেক বছর হয়ে গেছে যে আমি নিজেকে এটি ছাড়া সময় দিতে পারিনি। বর্তমানে, আমি ক্লান্ত হয়ে পড়ছি, এবং আমি আশা করি যে আমি সবকিছু থেকে ১০০% মুক্তি পাব যাতে আমি "মানুষ" হওয়ার অনুভূতি অনুভব করতে পারি। আমি তোমার শুভকামনা জানাই, তুমি তোমার জানার চেয়েও বেশি আশ্চর্যজনক। পুনশ্চ: আমি কয়েক বছর আগে আমার পাস ট্রমাগুলি প্রক্রিয়া করতে শুরু করেছিলাম এবং এটি আমার জীবনকে পরিষ্কার করার পদক্ষেপ নেওয়ার একটি বিশাল অংশ ছিল।</v>
      </c>
    </row>
    <row r="197" spans="1:3" ht="15" x14ac:dyDescent="0.25">
      <c r="A197" s="3" t="s">
        <v>199</v>
      </c>
      <c r="B197" s="3" t="s">
        <v>4</v>
      </c>
      <c r="C197" s="4" t="str">
        <f ca="1">IFERROR(__xludf.DUMMYFUNCTION("GOOGLETRANSLATE(A197, ""auto"", ""bn"")"),"কয়েক বছর ধরে মাঝে মাঝে আফিম সেবন করছি, আর এখন আমি ১ মাস ধরে সুস্থ। আমার খুব ভালো লাগছে এবং এখনই নেশায় আসক্ত হওয়ার কোনও প্রয়োজন নেই; যদিও আমি জানি আমি নেশায় আসক্ত হব। সুস্থ এবং সুস্থ বোধ করাটা ভালো, কিন্তু প্রথমেই এই ওষুধগুলো নেশায় পরিণত হওয়ার একটা কারণ আ"&amp;"ছে। আমি জানি ""সঠিক পথ"" হলো থেরাপি/চিকিৎসা/খাদ্য গ্রহণ... ইত্যাদি। কিন্তু আমি স্বাভাবিক বোধ করতে চাই না, আমি নেশায় আচ্ছন্ন থাকতে চাই। যতক্ষণ প্রয়োজন মনে হয়, আমি সম্ভবত এই অভ্যাস থেকে বেরিয়ে আসব, কিন্তু আমি আবার ১০০% নেশায় আচ্ছন্ন হয়ে পড়ছি এবং যখন আমার স"&amp;"্বাস্থ্য এবং অর্থের অভাব বোধ হচ্ছে, তখন সম্ভবত আমি মানসিকভাবে অসুস্থ বোধ করছি। আমি এর পরিণতি জানি, কিন্তু ছোটবেলা থেকেই সুস্থ জীবনযাপন খারাপ হয়ে গেছে, হা হা, যদি ওষুধ না হয়, আমি পাগলের মতো জাঙ্ক ফুড খাচ্ছি অথবা অন্য কোনও ধরণের ডোপামিন গ্রহণ করছি। আমার কি "&amp;"এই ব্যাপারে খারাপ লাগা উচিত এবং এটি ঠিক করার চেষ্টা করা উচিত, নাকি এই পৃথিবীতে আমার অভিজ্ঞতাকে আমার উত্থান-পতনের সাথে মেনে নেওয়া উচিত?")</f>
        <v>কয়েক বছর ধরে মাঝে মাঝে আফিম সেবন করছি, আর এখন আমি ১ মাস ধরে সুস্থ। আমার খুব ভালো লাগছে এবং এখনই নেশায় আসক্ত হওয়ার কোনও প্রয়োজন নেই; যদিও আমি জানি আমি নেশায় আসক্ত হব। সুস্থ এবং সুস্থ বোধ করাটা ভালো, কিন্তু প্রথমেই এই ওষুধগুলো নেশায় পরিণত হওয়ার একটা কারণ আছে। আমি জানি "সঠিক পথ" হলো থেরাপি/চিকিৎসা/খাদ্য গ্রহণ... ইত্যাদি। কিন্তু আমি স্বাভাবিক বোধ করতে চাই না, আমি নেশায় আচ্ছন্ন থাকতে চাই। যতক্ষণ প্রয়োজন মনে হয়, আমি সম্ভবত এই অভ্যাস থেকে বেরিয়ে আসব, কিন্তু আমি আবার ১০০% নেশায় আচ্ছন্ন হয়ে পড়ছি এবং যখন আমার স্বাস্থ্য এবং অর্থের অভাব বোধ হচ্ছে, তখন সম্ভবত আমি মানসিকভাবে অসুস্থ বোধ করছি। আমি এর পরিণতি জানি, কিন্তু ছোটবেলা থেকেই সুস্থ জীবনযাপন খারাপ হয়ে গেছে, হা হা, যদি ওষুধ না হয়, আমি পাগলের মতো জাঙ্ক ফুড খাচ্ছি অথবা অন্য কোনও ধরণের ডোপামিন গ্রহণ করছি। আমার কি এই ব্যাপারে খারাপ লাগা উচিত এবং এটি ঠিক করার চেষ্টা করা উচিত, নাকি এই পৃথিবীতে আমার অভিজ্ঞতাকে আমার উত্থান-পতনের সাথে মেনে নেওয়া উচিত?</v>
      </c>
    </row>
    <row r="198" spans="1:3" ht="15" x14ac:dyDescent="0.25">
      <c r="A198" s="3" t="s">
        <v>200</v>
      </c>
      <c r="B198" s="3" t="s">
        <v>4</v>
      </c>
      <c r="C198" s="4" t="str">
        <f ca="1">IFERROR(__xludf.DUMMYFUNCTION("GOOGLETRANSLATE(A198, ""auto"", ""bn"")"),"প্রথমেই যারা এই পোস্টটি পড়ছেন, তারা একজন অসাধারণ মানুষ। আপনার প্রতি অনেক কৃতজ্ঞতা। আমার অনুভূতির সাথে সৎভাবে কথা বলা কঠিন। এইমাত্র আমি আমার প্রিয়জনকে কিছুক্ষণ আমার সাথে থাকতে বলেছি। আমি আমার নিরাপত্তাহীনতার কথা খুলে বলেছি। কিন্তু আমি স্বস্তি বোধ করছি না"&amp;"। বলার পরপরই মনে হচ্ছিল আমার এটা বলা উচিত হয়নি। আমার মনে হচ্ছে আমি একটি নরম, দুর্বল শিশু যে তার দুই পায়ে দাঁড়াতে পারে না।")</f>
        <v>প্রথমেই যারা এই পোস্টটি পড়ছেন, তারা একজন অসাধারণ মানুষ। আপনার প্রতি অনেক কৃতজ্ঞতা। আমার অনুভূতির সাথে সৎভাবে কথা বলা কঠিন। এইমাত্র আমি আমার প্রিয়জনকে কিছুক্ষণ আমার সাথে থাকতে বলেছি। আমি আমার নিরাপত্তাহীনতার কথা খুলে বলেছি। কিন্তু আমি স্বস্তি বোধ করছি না। বলার পরপরই মনে হচ্ছিল আমার এটা বলা উচিত হয়নি। আমার মনে হচ্ছে আমি একটি নরম, দুর্বল শিশু যে তার দুই পায়ে দাঁড়াতে পারে না।</v>
      </c>
    </row>
    <row r="199" spans="1:3" ht="15" x14ac:dyDescent="0.25">
      <c r="A199" s="3" t="s">
        <v>201</v>
      </c>
      <c r="B199" s="3" t="s">
        <v>4</v>
      </c>
      <c r="C199" s="4" t="str">
        <f ca="1">IFERROR(__xludf.DUMMYFUNCTION("GOOGLETRANSLATE(A199, ""auto"", ""bn"")"),"আমি খুব বেশি বিস্তারিত আলোচনা করতে চাই না, কিন্তু সে আর নিজে থাকে না, তার বড়ির বোতল লুকিয়ে রাখে, এবং ডাক্তারের সাথে তার অ্যাপয়েন্টমেন্টের সময়কালও লুকিয়ে রাখে... কিন্তু তার মুখোমুখি হওয়ার আগে আমি সামগ্রিকভাবে পরিস্থিতি, চিকিৎসার বিকল্পগুলি এবং আসলে ক"&amp;"ীভাবে এটি একসাথে মোকাবেলা করা যায় তা বুঝতে চাই। আমার মা একগুঁয়ে, এবং সম্প্রতি আরও অস্থির হয়ে উঠেছেন। যদি আমি স্থানীয় পুনর্বাসন কেন্দ্রে যাই তবে কি সেখানে এমন কেউ থাকবে যে আমাকে জ্ঞান বা তথ্য দিতে পারে? যদি না হয় তবে আমি কোথায় যেতে পারি?")</f>
        <v>আমি খুব বেশি বিস্তারিত আলোচনা করতে চাই না, কিন্তু সে আর নিজে থাকে না, তার বড়ির বোতল লুকিয়ে রাখে, এবং ডাক্তারের সাথে তার অ্যাপয়েন্টমেন্টের সময়কালও লুকিয়ে রাখে... কিন্তু তার মুখোমুখি হওয়ার আগে আমি সামগ্রিকভাবে পরিস্থিতি, চিকিৎসার বিকল্পগুলি এবং আসলে কীভাবে এটি একসাথে মোকাবেলা করা যায় তা বুঝতে চাই। আমার মা একগুঁয়ে, এবং সম্প্রতি আরও অস্থির হয়ে উঠেছেন। যদি আমি স্থানীয় পুনর্বাসন কেন্দ্রে যাই তবে কি সেখানে এমন কেউ থাকবে যে আমাকে জ্ঞান বা তথ্য দিতে পারে? যদি না হয় তবে আমি কোথায় যেতে পারি?</v>
      </c>
    </row>
    <row r="200" spans="1:3" ht="15" x14ac:dyDescent="0.25">
      <c r="A200" s="3" t="s">
        <v>202</v>
      </c>
      <c r="B200" s="3" t="s">
        <v>4</v>
      </c>
      <c r="C200" s="4" t="str">
        <f ca="1">IFERROR(__xludf.DUMMYFUNCTION("GOOGLETRANSLATE(A200, ""auto"", ""bn"")"),"আমার লাভার নেশা আছে। আমি আগে মদ্যপ ছিলাম, কিন্তু নালট্রেক্সোন একেবারেই সেটা সামলে নিত। তাছাড়া, আমি একদিনে ৯০টি লাভা বড়ি খাই এবং এখনও তা দিয়ে কাজ করি। কেউ এটা কী তা জানে না এবং আমাকে নিয়ে হাসে। আমি জানি না কী করব।")</f>
        <v>আমার লাভার নেশা আছে। আমি আগে মদ্যপ ছিলাম, কিন্তু নালট্রেক্সোন একেবারেই সেটা সামলে নিত। তাছাড়া, আমি একদিনে ৯০টি লাভা বড়ি খাই এবং এখনও তা দিয়ে কাজ করি। কেউ এটা কী তা জানে না এবং আমাকে নিয়ে হাসে। আমি জানি না কী করব।</v>
      </c>
    </row>
    <row r="201" spans="1:3" ht="15" x14ac:dyDescent="0.25">
      <c r="A201" s="3" t="s">
        <v>203</v>
      </c>
      <c r="B201" s="3" t="s">
        <v>4</v>
      </c>
      <c r="C201" s="4" t="str">
        <f ca="1">IFERROR(__xludf.DUMMYFUNCTION("GOOGLETRANSLATE(A201, ""auto"", ""bn"")"),"৩০ দিনের পুনর্বাসনে কীভাবে যেতে হবে তা আমার জানা নেই, থাকার কোনও জায়গা নেই, কোনও টিপস ইত্যাদি থাকলে সাহায্য হবে, ধন্যবাদ ২০ বছর বয়সী পুরুষ।")</f>
        <v>৩০ দিনের পুনর্বাসনে কীভাবে যেতে হবে তা আমার জানা নেই, থাকার কোনও জায়গা নেই, কোনও টিপস ইত্যাদি থাকলে সাহায্য হবে, ধন্যবাদ ২০ বছর বয়সী পুরুষ।</v>
      </c>
    </row>
    <row r="202" spans="1:3" ht="15" x14ac:dyDescent="0.25">
      <c r="A202" s="3" t="s">
        <v>204</v>
      </c>
      <c r="B202" s="3" t="s">
        <v>4</v>
      </c>
      <c r="C202" s="4" t="str">
        <f ca="1">IFERROR(__xludf.DUMMYFUNCTION("GOOGLETRANSLATE(A202, ""auto"", ""bn"")"),"তাই আমি (২৪/ফ) গত ১১ বছর ধরে নিজের ক্ষতি/আসক্তির সাথে লড়াই করছি, যার মধ্যে রয়েছে কাটা, পলি-সাবস্ট্যান্স অপব্যবহার এবং খাওয়ার ব্যাধি। আমি সিগারেট, গাঁজা, কোকেন, অ্যাম্ফিটামিন, আফিমেট/ওপিওয়েড, বেনজোডিয়াজেপাইন এবং অ্যালকোহলে আসক্ত। আমার মনে হয় আমি মাদক"&amp;" ব্যবহার করি এবং ED-কে আত্ম-ক্ষতির আরেকটি রূপ হিসেবে ব্যবহার করি, এবং পঙ্গু উদ্বেগ এবং তীব্র বিষণ্ণতা থেকে মুক্তি পাওয়ার উপায় হিসেবেও। আমার বাবা (যার সাথে আমি আর দেখা করি না বা কথা বলি না) একজন মানসিক এবং শারীরিকভাবে নির্যাতনকারী আসক্ত। আমার রাগের সমস্য"&amp;"াও আছে, যার জন্য আমি বিশেষভাবে তাকে দায়ী করি। খাদ্যাভ্যাসের ব্যাধিগুলি পদার্থের অপব্যবহারের সাথে সম্পর্কিত; আমি কম ওজন বজায় রাখার জন্য উত্তেজক ব্যবহার করতাম এবং মাতাল হওয়াই ছিল একমাত্র উপায়। তারপর আমি এত বেশি মদ্যপান শুরু করি যে আমি আবার সুস্থ ওজনে ফি"&amp;"রে আসি। আমি এখনও স্বাভাবিক BMI সীমার মধ্যে আছি, কিন্তু অতিরিক্ত ওজন হওয়া থেকে খুব বেশি দূরে নই। এখন আমি কতটা ওজন বেড়েছে তা ভুলে যাওয়ার জন্য পান করি। আমি আত্মহত্যার চেষ্টা করেছি, অসংখ্যবার অতিরিক্ত মাত্রায় নেশা করেছি, ভয়াবহ প্রত্যাহার করেছি, এবং একাধিকব"&amp;"ার মৃত্যুর মুখোমুখি হয়েছি। ২০ বছর বয়সে আমার হার্ট অ্যাটাকও হয়েছিল। তবুও আমার বুক ধড়ফড় করে, বিশেষ করে যখন আমি পিঠের উপর ভর করে শুয়ে থাকি তখন শ্বাস নিতে কষ্ট হয়। আমি এই বিষয়ে ডাক্তারদের কাছে গিয়েছি, কিন্তু তারা বলেছে যে আমার গুরুত্বপূর্ণ লক্ষণ, এক্স-রে এবং "&amp;"ইসিজি সবই ঠিক হয়ে গেছে। আমি বর্তমানে যে পদার্থগুলি ব্যবহার করছি তার মধ্যে রয়েছে অক্সিকোডোন এবং মরফিন (সপ্তাহের কয়েকদিন ৫-১০ এমজিএস), মাঝে মাঝে সিগারেট, মাঝে মাঝে গাঁজার বাটি, অ্যাডেরাল (প্রতিদিন ২০ মিলিগ্রাম) এবং আমি প্রতিদিন অ্যালকোহল পান করি, যার উপর আ"&amp;"মি শারীরিকভাবে নির্ভরশীল (৬ প্যাকেট এবং বোতল ওয়াইনের মতো)। কিছু দিন আমি একটু কম, কিছু দিন বেশি পান করব। কিন্তু প্রত্যাহার এড়াতে আমাকে সারা দিন নিয়মিত পান করতে হবে। এটা অবিশ্বাস্যভাবে বেদনাদায়ক। আমি সম্প্রতি সিআইএসের জন্য কলেজে ফিরে যাওয়ার সিদ্ধান্ত নি"&amp;"য়েছি। যদিও আমি আবার স্কুলে যেতে পেরে খুশি, আমি গণিত (মৌলিক বীজগণিত) নিয়ে লড়াই করছি এবং আমার প্রথম পরীক্ষা মঙ্গলবার আসছে। গত সপ্তাহান্তে আমি পড়াশোনা ছেড়ে দিয়েছিলাম, আর এখন আমি খুব অপ্রস্তুত। আমি একদিন গণিত এবং দুই দিন শিল্পকলার ক্লাস বাদ দিয়েছি - আম"&amp;"ার মাত্র দুটি ক্লাস। তাছাড়া, মাদক সেবনের কারণে আমি শারীরিকভাবে অসুস্থ বোধ করি এবং আমার উদ্বেগ এতটাই তীব্র যে আমি প্রতিদিন উদ্বেগের আক্রমণে ভুগছি। এখন আমার পড়াশোনা করা উচিত, কিন্তু আমি এতটাই উদ্বিগ্ন এবং হতাশাগ্রস্ত যে আমি আমার অ্যাপার্টমেন্টের মেঝেতে শা"&amp;"রীরিকভাবে পক্ষাঘাতগ্রস্ত। আমি প্রতিদিন আমার মাকে মিস করি, কিন্তু আমরা সবসময় একসাথে থাকি না, এবং সে অন্য শহরে থাকে। আমার গাড়ি নেই, তাই আমি তাকে দেখতে গাড়ি চালাতে পারি না। তাছাড়া, অন্য দিন আমার এক সেরা বন্ধুর সাথে আমার ঝগড়া হয়েছিল - সে ক্ষমা চেয়েছিল,"&amp;" কিন্তু আমি এখনও এটি নিয়ে হতাশাগ্রস্ত বোধ করি। তাছাড়া, আমি আমার বোনের সাথে থাকি, এবং সে আমাকে সমর্থন করে - সম্প্রতি আমাদেরও কয়েকটি ঝগড়া হয়েছিল, কিন্তু আলোচনা করেছিলাম এবং এখন ঠিক আছে। এখন আমার প্রেমিক আমার সাথে ঝগড়া শুরু করেছে কারণ আমি জানতাম না যে "&amp;"আমি আজ এই ব্লকচেইন ইভেন্টে যেতে চাই কিনা, এবং সে জানে যে আমি আমার গণিত পরীক্ষা নিয়ে অত্যন্ত উদ্বিগ্ন। সে আমার স্কুলের খরচ বহন করে বললো, যদি আমি এই সেমিস্টারে ফেল করি তাহলে পরের সেমিস্টারে আবার চেষ্টা করতে পারবো। সে সাধারণত খুব সাহায্যকারী, কিন্তু আজ সে ব"&amp;"িরক্ত হয়ে বললো, সে বুঝতে পারছে না কেন আমি এই অনুষ্ঠানে যেতে পারছি না। আমি এমন একজনের সাথে দেখা করলাম যে বললো সে আগামীকাল আমাকে গণিতে সাহায্য করবে, এবং এখন এটাই আমার একমাত্র আশা। আমি অনেক কারণেই আসক্তি থেকে মুক্ত হতে চাই। তাছাড়া, আমি নিজের ত্বকে আরামদায়"&amp;"ক থাকতে চাই। সুখী এবং সফল হতে, আমার মাকে আমার উপর গর্বিত করতে। আমি এখন খুব হতাশ বোধ করছি। আমি কয়েকবার পুনর্বাসনে গিয়েছি, এক সপ্তাহের বেশি নয়। শেষটি ভালো ছিল, কিন্তু তারা ভেবেছিল আমি আত্মহত্যা করছি (যা আমি ছিলাম না - আমি কেবল স্বীকার করেছি যে আমি আগে আত"&amp;"্মহত্যার চেষ্টা করেছি) এবং তারা আমাকে বের করে দিয়েছে। কেউ দয়া করে আমাকে সাহায্য করুন, আমার মনে হচ্ছে আমি 25 বছর বয়স হওয়ার আগেই মারা যাব। আমি দুঃখিত এটা এত দীর্ঘ হয়ে গেছে btw):")</f>
        <v>তাই আমি (২৪/ফ) গত ১১ বছর ধরে নিজের ক্ষতি/আসক্তির সাথে লড়াই করছি, যার মধ্যে রয়েছে কাটা, পলি-সাবস্ট্যান্স অপব্যবহার এবং খাওয়ার ব্যাধি। আমি সিগারেট, গাঁজা, কোকেন, অ্যাম্ফিটামিন, আফিমেট/ওপিওয়েড, বেনজোডিয়াজেপাইন এবং অ্যালকোহলে আসক্ত। আমার মনে হয় আমি মাদক ব্যবহার করি এবং ED-কে আত্ম-ক্ষতির আরেকটি রূপ হিসেবে ব্যবহার করি, এবং পঙ্গু উদ্বেগ এবং তীব্র বিষণ্ণতা থেকে মুক্তি পাওয়ার উপায় হিসেবেও। আমার বাবা (যার সাথে আমি আর দেখা করি না বা কথা বলি না) একজন মানসিক এবং শারীরিকভাবে নির্যাতনকারী আসক্ত। আমার রাগের সমস্যাও আছে, যার জন্য আমি বিশেষভাবে তাকে দায়ী করি। খাদ্যাভ্যাসের ব্যাধিগুলি পদার্থের অপব্যবহারের সাথে সম্পর্কিত; আমি কম ওজন বজায় রাখার জন্য উত্তেজক ব্যবহার করতাম এবং মাতাল হওয়াই ছিল একমাত্র উপায়। তারপর আমি এত বেশি মদ্যপান শুরু করি যে আমি আবার সুস্থ ওজনে ফিরে আসি। আমি এখনও স্বাভাবিক BMI সীমার মধ্যে আছি, কিন্তু অতিরিক্ত ওজন হওয়া থেকে খুব বেশি দূরে নই। এখন আমি কতটা ওজন বেড়েছে তা ভুলে যাওয়ার জন্য পান করি। আমি আত্মহত্যার চেষ্টা করেছি, অসংখ্যবার অতিরিক্ত মাত্রায় নেশা করেছি, ভয়াবহ প্রত্যাহার করেছি, এবং একাধিকবার মৃত্যুর মুখোমুখি হয়েছি। ২০ বছর বয়সে আমার হার্ট অ্যাটাকও হয়েছিল। তবুও আমার বুক ধড়ফড় করে, বিশেষ করে যখন আমি পিঠের উপর ভর করে শুয়ে থাকি তখন শ্বাস নিতে কষ্ট হয়। আমি এই বিষয়ে ডাক্তারদের কাছে গিয়েছি, কিন্তু তারা বলেছে যে আমার গুরুত্বপূর্ণ লক্ষণ, এক্স-রে এবং ইসিজি সবই ঠিক হয়ে গেছে। আমি বর্তমানে যে পদার্থগুলি ব্যবহার করছি তার মধ্যে রয়েছে অক্সিকোডোন এবং মরফিন (সপ্তাহের কয়েকদিন ৫-১০ এমজিএস), মাঝে মাঝে সিগারেট, মাঝে মাঝে গাঁজার বাটি, অ্যাডেরাল (প্রতিদিন ২০ মিলিগ্রাম) এবং আমি প্রতিদিন অ্যালকোহল পান করি, যার উপর আমি শারীরিকভাবে নির্ভরশীল (৬ প্যাকেট এবং বোতল ওয়াইনের মতো)। কিছু দিন আমি একটু কম, কিছু দিন বেশি পান করব। কিন্তু প্রত্যাহার এড়াতে আমাকে সারা দিন নিয়মিত পান করতে হবে। এটা অবিশ্বাস্যভাবে বেদনাদায়ক। আমি সম্প্রতি সিআইএসের জন্য কলেজে ফিরে যাওয়ার সিদ্ধান্ত নিয়েছি। যদিও আমি আবার স্কুলে যেতে পেরে খুশি, আমি গণিত (মৌলিক বীজগণিত) নিয়ে লড়াই করছি এবং আমার প্রথম পরীক্ষা মঙ্গলবার আসছে। গত সপ্তাহান্তে আমি পড়াশোনা ছেড়ে দিয়েছিলাম, আর এখন আমি খুব অপ্রস্তুত। আমি একদিন গণিত এবং দুই দিন শিল্পকলার ক্লাস বাদ দিয়েছি - আমার মাত্র দুটি ক্লাস। তাছাড়া, মাদক সেবনের কারণে আমি শারীরিকভাবে অসুস্থ বোধ করি এবং আমার উদ্বেগ এতটাই তীব্র যে আমি প্রতিদিন উদ্বেগের আক্রমণে ভুগছি। এখন আমার পড়াশোনা করা উচিত, কিন্তু আমি এতটাই উদ্বিগ্ন এবং হতাশাগ্রস্ত যে আমি আমার অ্যাপার্টমেন্টের মেঝেতে শারীরিকভাবে পক্ষাঘাতগ্রস্ত। আমি প্রতিদিন আমার মাকে মিস করি, কিন্তু আমরা সবসময় একসাথে থাকি না, এবং সে অন্য শহরে থাকে। আমার গাড়ি নেই, তাই আমি তাকে দেখতে গাড়ি চালাতে পারি না। তাছাড়া, অন্য দিন আমার এক সেরা বন্ধুর সাথে আমার ঝগড়া হয়েছিল - সে ক্ষমা চেয়েছিল, কিন্তু আমি এখনও এটি নিয়ে হতাশাগ্রস্ত বোধ করি। তাছাড়া, আমি আমার বোনের সাথে থাকি, এবং সে আমাকে সমর্থন করে - সম্প্রতি আমাদেরও কয়েকটি ঝগড়া হয়েছিল, কিন্তু আলোচনা করেছিলাম এবং এখন ঠিক আছে। এখন আমার প্রেমিক আমার সাথে ঝগড়া শুরু করেছে কারণ আমি জানতাম না যে আমি আজ এই ব্লকচেইন ইভেন্টে যেতে চাই কিনা, এবং সে জানে যে আমি আমার গণিত পরীক্ষা নিয়ে অত্যন্ত উদ্বিগ্ন। সে আমার স্কুলের খরচ বহন করে বললো, যদি আমি এই সেমিস্টারে ফেল করি তাহলে পরের সেমিস্টারে আবার চেষ্টা করতে পারবো। সে সাধারণত খুব সাহায্যকারী, কিন্তু আজ সে বিরক্ত হয়ে বললো, সে বুঝতে পারছে না কেন আমি এই অনুষ্ঠানে যেতে পারছি না। আমি এমন একজনের সাথে দেখা করলাম যে বললো সে আগামীকাল আমাকে গণিতে সাহায্য করবে, এবং এখন এটাই আমার একমাত্র আশা। আমি অনেক কারণেই আসক্তি থেকে মুক্ত হতে চাই। তাছাড়া, আমি নিজের ত্বকে আরামদায়ক থাকতে চাই। সুখী এবং সফল হতে, আমার মাকে আমার উপর গর্বিত করতে। আমি এখন খুব হতাশ বোধ করছি। আমি কয়েকবার পুনর্বাসনে গিয়েছি, এক সপ্তাহের বেশি নয়। শেষটি ভালো ছিল, কিন্তু তারা ভেবেছিল আমি আত্মহত্যা করছি (যা আমি ছিলাম না - আমি কেবল স্বীকার করেছি যে আমি আগে আত্মহত্যার চেষ্টা করেছি) এবং তারা আমাকে বের করে দিয়েছে। কেউ দয়া করে আমাকে সাহায্য করুন, আমার মনে হচ্ছে আমি 25 বছর বয়স হওয়ার আগেই মারা যাব। আমি দুঃখিত এটা এত দীর্ঘ হয়ে গেছে btw):</v>
      </c>
    </row>
    <row r="203" spans="1:3" ht="15" x14ac:dyDescent="0.25">
      <c r="A203" s="3" t="s">
        <v>205</v>
      </c>
      <c r="B203" s="3" t="s">
        <v>4</v>
      </c>
      <c r="C203" s="4" t="str">
        <f ca="1">IFERROR(__xludf.DUMMYFUNCTION("GOOGLETRANSLATE(A203, ""auto"", ""bn"")"),"সে আমার নেশার একেবারে নীচের দিকে অনেকবার দেখেছে। হেরোইন/আফিমে আসক্ত ১২ বছরের মধ্যে আমরা ৭ বছর একসাথে ছিলাম। আর ঘন ঘন মদ্যপানও করেছি। গত মাসে সে আমাকে ফিরিয়ে আনার জন্য ৩ বার আমাকে মারকান করতে হয়েছিল। সে ভেবেছিল আমি ইতিমধ্যেই চলে গেছি, তারা জানে না আমি কত"&amp;"দিন বাইরে ছিলাম। আমি একই ডিটক্স সুবিধায় দুবার গিয়েছি এবং আবাসিক চিকিৎসা কেন্দ্রে দুটি ভিন্নভাবে থাকার কথা ছিল। প্রতিটি কেন্দ্র এক মাস ধরে থাকার কথা ছিল। আমি দুই সপ্তাহের মধ্যে প্রথম কেন্দ্র ছেড়ে চলে এসেছি, আমার মনে ছিল আমি নিজে এটা করতে পারব এবং আর কখন"&amp;"ও ব্যবহার করব না। সেই মাসেই আমি মারা গেলাম। তাছাড়া, আমি অন্য জায়গায় ফিরে গিয়েছিলাম, এবং এক সপ্তাহও যেতে পারিনি, অন্য ক্লায়েন্টের সাথে মৌখিক বিবাদের কারণে আমাকে বের করে দেওয়া হয়েছিল। আমি এখন বাড়ি ফিরে এসেছি, এবং অতিরিক্ত মাত্রা গ্রহণের মাত্র দুই সপ"&amp;"্তাহ হয়েছে। সে ভয় পাচ্ছে। কিন্তু তার মাথায়ও কোনও কারণে এই ধারণা আছে যে সে আমার আসক্তির মূল কারণ। যদিও এটি সম্পূর্ণ বিপরীত। আমার সব কিছু বন্ধ করার একমাত্র চালিকাশক্তি হলো সে। দুবার মিথ্যা বলার পর সে তার সাবক্সোন নাক ডাকতে নাড়াতে ধরা পড়ে। আমি ১০ দিনের ম"&amp;"ধ্যে নালট্রেক্সোন বড়ি খাওয়া শুরু করব এবং আশা করি সবকিছু ঠিকঠাক থাকলে শীঘ্রই ভিজিটর ইনজেকশন নেব। আমার কী সমস্যা তা আমি নিশ্চিত নই। তাছাড়া, আমার মনে হচ্ছে আমি পাগল হয়ে যাচ্ছি। এটা শুধু উদ্বেগ এবং বিষণ্ণতা নয়। এটা শুধু আত্মহত্যার চিন্তা এবং আত্ম-ধ্বংসাত"&amp;"্মক আচরণ নয়। এটা শুধু ৩ সন্তানের বৈবাহিক সমস্যা এবং চাপ নয়। এটা শুধু আসক্তিও নয়। আমি এমনকি মনে করি না যে এটি একটি মিশ্রণ - আমি কেবল শান্ত থাকতে চাই না। পিরিয়ড। আমি এটা পরোয়া করি না, আমি কেবল মানসিক এবং শারীরিকভাবে এই ব্যথা অনুভব করা বন্ধ করতে চাই। অব"&amp;"শ্যই, আমি আফিম পছন্দ করি। আমি মিথ্যা বলার এবং এটি লুকিয়ে রাখার চেষ্টা করি কিন্তু শেষ পর্যন্ত আমি এটি থেকে মুক্তি পাই বা না পাই তা নির্বিশেষে আমি এটি করব। আমি থামতে পারছি না এমন নয়, আমি কেবল থামতে চাই না। আমি থামবো না। আমার জীবনকে বিপর্যস্ত না করে আমি হয"&amp;"়তো কিছুক্ষণ অপেক্ষা করতে পারি, কিন্তু এটাই আসল কথা। আমি সবসময় অপেক্ষা করবো। আমি কোনও করুণা অনুষ্ঠান খুঁজছি না, আমি জানি আমার কাজের পরিণতি হবে। তাছাড়া, আমার কেবল বকাঝকা করা দরকার ছিল, এখানে অবশ্যই কেউ না কেউ কখনও একই রকম অনুভব করেছে। সময় নিয়ে পড়ার জন"&amp;"্য ধন্যবাদ, হা হা।")</f>
        <v>সে আমার নেশার একেবারে নীচের দিকে অনেকবার দেখেছে। হেরোইন/আফিমে আসক্ত ১২ বছরের মধ্যে আমরা ৭ বছর একসাথে ছিলাম। আর ঘন ঘন মদ্যপানও করেছি। গত মাসে সে আমাকে ফিরিয়ে আনার জন্য ৩ বার আমাকে মারকান করতে হয়েছিল। সে ভেবেছিল আমি ইতিমধ্যেই চলে গেছি, তারা জানে না আমি কতদিন বাইরে ছিলাম। আমি একই ডিটক্স সুবিধায় দুবার গিয়েছি এবং আবাসিক চিকিৎসা কেন্দ্রে দুটি ভিন্নভাবে থাকার কথা ছিল। প্রতিটি কেন্দ্র এক মাস ধরে থাকার কথা ছিল। আমি দুই সপ্তাহের মধ্যে প্রথম কেন্দ্র ছেড়ে চলে এসেছি, আমার মনে ছিল আমি নিজে এটা করতে পারব এবং আর কখনও ব্যবহার করব না। সেই মাসেই আমি মারা গেলাম। তাছাড়া, আমি অন্য জায়গায় ফিরে গিয়েছিলাম, এবং এক সপ্তাহও যেতে পারিনি, অন্য ক্লায়েন্টের সাথে মৌখিক বিবাদের কারণে আমাকে বের করে দেওয়া হয়েছিল। আমি এখন বাড়ি ফিরে এসেছি, এবং অতিরিক্ত মাত্রা গ্রহণের মাত্র দুই সপ্তাহ হয়েছে। সে ভয় পাচ্ছে। কিন্তু তার মাথায়ও কোনও কারণে এই ধারণা আছে যে সে আমার আসক্তির মূল কারণ। যদিও এটি সম্পূর্ণ বিপরীত। আমার সব কিছু বন্ধ করার একমাত্র চালিকাশক্তি হলো সে। দুবার মিথ্যা বলার পর সে তার সাবক্সোন নাক ডাকতে নাড়াতে ধরা পড়ে। আমি ১০ দিনের মধ্যে নালট্রেক্সোন বড়ি খাওয়া শুরু করব এবং আশা করি সবকিছু ঠিকঠাক থাকলে শীঘ্রই ভিজিটর ইনজেকশন নেব। আমার কী সমস্যা তা আমি নিশ্চিত নই। তাছাড়া, আমার মনে হচ্ছে আমি পাগল হয়ে যাচ্ছি। এটা শুধু উদ্বেগ এবং বিষণ্ণতা নয়। এটা শুধু আত্মহত্যার চিন্তা এবং আত্ম-ধ্বংসাত্মক আচরণ নয়। এটা শুধু ৩ সন্তানের বৈবাহিক সমস্যা এবং চাপ নয়। এটা শুধু আসক্তিও নয়। আমি এমনকি মনে করি না যে এটি একটি মিশ্রণ - আমি কেবল শান্ত থাকতে চাই না। পিরিয়ড। আমি এটা পরোয়া করি না, আমি কেবল মানসিক এবং শারীরিকভাবে এই ব্যথা অনুভব করা বন্ধ করতে চাই। অবশ্যই, আমি আফিম পছন্দ করি। আমি মিথ্যা বলার এবং এটি লুকিয়ে রাখার চেষ্টা করি কিন্তু শেষ পর্যন্ত আমি এটি থেকে মুক্তি পাই বা না পাই তা নির্বিশেষে আমি এটি করব। আমি থামতে পারছি না এমন নয়, আমি কেবল থামতে চাই না। আমি থামবো না। আমার জীবনকে বিপর্যস্ত না করে আমি হয়তো কিছুক্ষণ অপেক্ষা করতে পারি, কিন্তু এটাই আসল কথা। আমি সবসময় অপেক্ষা করবো। আমি কোনও করুণা অনুষ্ঠান খুঁজছি না, আমি জানি আমার কাজের পরিণতি হবে। তাছাড়া, আমার কেবল বকাঝকা করা দরকার ছিল, এখানে অবশ্যই কেউ না কেউ কখনও একই রকম অনুভব করেছে। সময় নিয়ে পড়ার জন্য ধন্যবাদ, হা হা।</v>
      </c>
    </row>
    <row r="204" spans="1:3" ht="15" x14ac:dyDescent="0.25">
      <c r="A204" s="3" t="s">
        <v>206</v>
      </c>
      <c r="B204" s="3" t="s">
        <v>4</v>
      </c>
      <c r="C204" s="4" t="str">
        <f ca="1">IFERROR(__xludf.DUMMYFUNCTION("GOOGLETRANSLATE(A204, ""auto"", ""bn"")"),"গত রাতে আমি ৮ বার বাথরুমে ঢুকে পড়ি, ভোর ৩টায় বাথরুম থেকে বেরিয়ে আসি এবং আমার সৎ মা এবং ভাইকে জাগিয়ে তুলি। সে ভেবেছিল আমি আত্মহত্যা করার চেষ্টা করছি। আমার বয়স ১৭, আমি আমার জীবনযাপন করতে চাই, কলেজে যেতে চাই, তুমি জানো, যতটা স্বাভাবিক হতে পারে ততটাই হতে"&amp;" চাই। এটা ভয়ঙ্কর কিন্তু এই অন্যান্য মহিলাদের কথা শুনে যারা আমাকে সমর্থন করে, আমি আরও ভালো করতে চাই। এটা ভীতিকর কিন্তু এখন প্রয়োজনীয়। আমি কখনও ভাবিনি যে এটা এত খারাপ হবে। আমি আমার জীবনকে আর নষ্ট করতে চাই না।")</f>
        <v>গত রাতে আমি ৮ বার বাথরুমে ঢুকে পড়ি, ভোর ৩টায় বাথরুম থেকে বেরিয়ে আসি এবং আমার সৎ মা এবং ভাইকে জাগিয়ে তুলি। সে ভেবেছিল আমি আত্মহত্যা করার চেষ্টা করছি। আমার বয়স ১৭, আমি আমার জীবনযাপন করতে চাই, কলেজে যেতে চাই, তুমি জানো, যতটা স্বাভাবিক হতে পারে ততটাই হতে চাই। এটা ভয়ঙ্কর কিন্তু এই অন্যান্য মহিলাদের কথা শুনে যারা আমাকে সমর্থন করে, আমি আরও ভালো করতে চাই। এটা ভীতিকর কিন্তু এখন প্রয়োজনীয়। আমি কখনও ভাবিনি যে এটা এত খারাপ হবে। আমি আমার জীবনকে আর নষ্ট করতে চাই না।</v>
      </c>
    </row>
    <row r="205" spans="1:3" ht="15" x14ac:dyDescent="0.25">
      <c r="A205" s="3" t="s">
        <v>207</v>
      </c>
      <c r="B205" s="3" t="s">
        <v>4</v>
      </c>
      <c r="C205" s="4" t="str">
        <f ca="1">IFERROR(__xludf.DUMMYFUNCTION("GOOGLETRANSLATE(A205, ""auto"", ""bn"")"),"সম্প্রতি আমি আমার ভাইকে তার আসক্তির কারণে একটি হস্তক্ষেপ পত্র লিখেছি। সে বছরের পর বছর ধরে মেথ ব্যবহার করে আসছে এবং এখন ফেন্টানাইল ব্যবহার করছে। চিকিৎসা নেওয়ার ধারণাটি তার কাছে খুবই গুরুত্বপূর্ণ ছিল এবং মাদকদ্রব্যের তার জীবনের উপর প্রভাব সম্পর্কে ""এতে অস"&amp;"ুস্থ"" বলেও তিনি মন্তব্য করেছিলেন। ওহাইওতে কোন ভালো পুনর্বাসন/চিকিৎসা সুবিধা সম্পর্কে কারো কোন পরামর্শ আছে বা জানেন? মাদক ছাড়াই আবার সুখী হওয়ার জন্য সে যেকোনো এবং সকল বিকল্পের জন্য উন্মুক্ত ছিল, কিন্তু অবশেষে কীভাবে সুস্থ হবে তা নিয়ে সে হতাশ এবং অনিশ্চ"&amp;"িত বোধ করছিল। অতীতে সে নিজে নিজে সুস্থ হওয়ার চেষ্টা করেছে, ব্যর্থ হয়েছে।")</f>
        <v>সম্প্রতি আমি আমার ভাইকে তার আসক্তির কারণে একটি হস্তক্ষেপ পত্র লিখেছি। সে বছরের পর বছর ধরে মেথ ব্যবহার করে আসছে এবং এখন ফেন্টানাইল ব্যবহার করছে। চিকিৎসা নেওয়ার ধারণাটি তার কাছে খুবই গুরুত্বপূর্ণ ছিল এবং মাদকদ্রব্যের তার জীবনের উপর প্রভাব সম্পর্কে "এতে অসুস্থ" বলেও তিনি মন্তব্য করেছিলেন। ওহাইওতে কোন ভালো পুনর্বাসন/চিকিৎসা সুবিধা সম্পর্কে কারো কোন পরামর্শ আছে বা জানেন? মাদক ছাড়াই আবার সুখী হওয়ার জন্য সে যেকোনো এবং সকল বিকল্পের জন্য উন্মুক্ত ছিল, কিন্তু অবশেষে কীভাবে সুস্থ হবে তা নিয়ে সে হতাশ এবং অনিশ্চিত বোধ করছিল। অতীতে সে নিজে নিজে সুস্থ হওয়ার চেষ্টা করেছে, ব্যর্থ হয়েছে।</v>
      </c>
    </row>
    <row r="206" spans="1:3" ht="15" x14ac:dyDescent="0.25">
      <c r="A206" s="3" t="s">
        <v>208</v>
      </c>
      <c r="B206" s="3" t="s">
        <v>4</v>
      </c>
      <c r="C206" s="4" t="str">
        <f ca="1">IFERROR(__xludf.DUMMYFUNCTION("GOOGLETRANSLATE(A206, ""auto"", ""bn"")"),"আমি বেশ কিছুদিন ধরেই এক ধরণের পর্ন আসক্তির সাথে লড়াই করছি, এবং এই আসক্তির কারণগুলির জন্য আমি কি একজন ফরেনসিক মনোরোগ বিশেষজ্ঞের সাথে দেখা করছি? সময়ের সাথে সাথে আমি আরও বেশি মরিয়া হয়ে উঠছি এবং আমি তাকে ছেড়ে দেওয়ার জন্য কিছু অনুরোধ করছি কারণ আমার ইচ্ছা"&amp;"শক্তি যথেষ্ট নয়। তিনি নালট্রেক্সোনের কথা বলেছিলেন, কিন্তু আমি তাৎক্ষণিকভাবে চেষ্টা করার সিদ্ধান্ত নিতে পারিনি, তাই আমরা একমত হয়েছিলাম যে আমি এটি সম্পর্কে চিন্তা করব এবং আমাদের পরবর্তী অ্যাপয়েন্টমেন্টে তাকে জানাব যে আমি এটি চেষ্টা করতে চাই কিনা। আমি এটি"&amp;" চেষ্টা করার সিদ্ধান্ত নিয়েছিলাম, কিন্তু তিনি আর এটি প্রেসক্রিপশন দিতে রাজি ছিলেন না, বলেছিলেন যে এই জাতীয় আসক্তির জন্য এটি কার্যকর হওয়ার পর্যাপ্ত প্রমাণ নেই। আমি তাকে বলেছিলাম যে আমি পরীক্ষা-নিরীক্ষার সাথে সম্পূর্ণরূপে ঠিক থাকতে যথেষ্ট মরিয়া, যেন আমা"&amp;"র হারানোর কিছু নেই কারণ আমার পরবর্তী বিকল্প আত্মহত্যা, কিন্তু তিনি এখনও তা প্রত্যাখ্যান করেছিলেন। তাই এখন আমি নালট্রেক্সোনকে সমর্থন করে এমন প্রতিটি ছোট ছোট প্রমাণ সংগ্রহ করার চেষ্টা করছি এবং তাকে এটি চেষ্টা করতে রাজি করানোর চেষ্টা করছি। কেউ কি কোনও গবেষণা"&amp;" নিবন্ধ বা তার চেয়েও ভাল ব্যক্তিগত অভিজ্ঞতা জানেন?")</f>
        <v>আমি বেশ কিছুদিন ধরেই এক ধরণের পর্ন আসক্তির সাথে লড়াই করছি, এবং এই আসক্তির কারণগুলির জন্য আমি কি একজন ফরেনসিক মনোরোগ বিশেষজ্ঞের সাথে দেখা করছি? সময়ের সাথে সাথে আমি আরও বেশি মরিয়া হয়ে উঠছি এবং আমি তাকে ছেড়ে দেওয়ার জন্য কিছু অনুরোধ করছি কারণ আমার ইচ্ছাশক্তি যথেষ্ট নয়। তিনি নালট্রেক্সোনের কথা বলেছিলেন, কিন্তু আমি তাৎক্ষণিকভাবে চেষ্টা করার সিদ্ধান্ত নিতে পারিনি, তাই আমরা একমত হয়েছিলাম যে আমি এটি সম্পর্কে চিন্তা করব এবং আমাদের পরবর্তী অ্যাপয়েন্টমেন্টে তাকে জানাব যে আমি এটি চেষ্টা করতে চাই কিনা। আমি এটি চেষ্টা করার সিদ্ধান্ত নিয়েছিলাম, কিন্তু তিনি আর এটি প্রেসক্রিপশন দিতে রাজি ছিলেন না, বলেছিলেন যে এই জাতীয় আসক্তির জন্য এটি কার্যকর হওয়ার পর্যাপ্ত প্রমাণ নেই। আমি তাকে বলেছিলাম যে আমি পরীক্ষা-নিরীক্ষার সাথে সম্পূর্ণরূপে ঠিক থাকতে যথেষ্ট মরিয়া, যেন আমার হারানোর কিছু নেই কারণ আমার পরবর্তী বিকল্প আত্মহত্যা, কিন্তু তিনি এখনও তা প্রত্যাখ্যান করেছিলেন। তাই এখন আমি নালট্রেক্সোনকে সমর্থন করে এমন প্রতিটি ছোট ছোট প্রমাণ সংগ্রহ করার চেষ্টা করছি এবং তাকে এটি চেষ্টা করতে রাজি করানোর চেষ্টা করছি। কেউ কি কোনও গবেষণা নিবন্ধ বা তার চেয়েও ভাল ব্যক্তিগত অভিজ্ঞতা জানেন?</v>
      </c>
    </row>
    <row r="207" spans="1:3" ht="15" x14ac:dyDescent="0.25">
      <c r="A207" s="3" t="s">
        <v>209</v>
      </c>
      <c r="B207" s="3" t="s">
        <v>4</v>
      </c>
      <c r="C207" s="4" t="str">
        <f ca="1">IFERROR(__xludf.DUMMYFUNCTION("GOOGLETRANSLATE(A207, ""auto"", ""bn"")"),"শুরুটা যখন খুব খারাপ লাগত, কিন্তু ছোটবেলা থেকেই চুরি করতে ভালোবাসতাম। শুরুটা ছোট ছোট জিনিস যেমন চ্যাপস্টিক আর জিনিসপত্র দিয়ে শুরু হয়েছিল, কিন্তু এখন টিভি, ল্যাপটপ আর জিনিসপত্রের মতো বড় জিনিসে পরিণত হয়েছে। এর থেকে আমি যে অ্যাড্রেনালিন পাই আর এর জন্য প্ল্যা"&amp;"নিং করি, তা নেশার মতো। আমি বলব গত বছরই আমি প্রায় ২০০টি জিনিস চুরি করেছি, সম্ভবত তারও বেশি। আমি আগে থামার চেষ্টা করেছি কিন্তু দোকানে যে অনুভূতি পাই তা খুবই অপ্রতিরোধ্য। আমি কখনও চুরি করতে ধরা পড়িনি, এবং আমার মনে হয় সেই কারণেই ছোটবেলায় চুরি করা বন্ধ করিনি। "&amp;"যদি কারোর এই জিনিসপত্র কীভাবে আমি চুরি করেছি বা সাধারণভাবে এটা সম্পর্কে কোন প্রশ্ন থাকে, তাহলে মন্তব্যে জিজ্ঞাসা করতে দ্বিধা করবেন না।")</f>
        <v>শুরুটা যখন খুব খারাপ লাগত, কিন্তু ছোটবেলা থেকেই চুরি করতে ভালোবাসতাম। শুরুটা ছোট ছোট জিনিস যেমন চ্যাপস্টিক আর জিনিসপত্র দিয়ে শুরু হয়েছিল, কিন্তু এখন টিভি, ল্যাপটপ আর জিনিসপত্রের মতো বড় জিনিসে পরিণত হয়েছে। এর থেকে আমি যে অ্যাড্রেনালিন পাই আর এর জন্য প্ল্যানিং করি, তা নেশার মতো। আমি বলব গত বছরই আমি প্রায় ২০০টি জিনিস চুরি করেছি, সম্ভবত তারও বেশি। আমি আগে থামার চেষ্টা করেছি কিন্তু দোকানে যে অনুভূতি পাই তা খুবই অপ্রতিরোধ্য। আমি কখনও চুরি করতে ধরা পড়িনি, এবং আমার মনে হয় সেই কারণেই ছোটবেলায় চুরি করা বন্ধ করিনি। যদি কারোর এই জিনিসপত্র কীভাবে আমি চুরি করেছি বা সাধারণভাবে এটা সম্পর্কে কোন প্রশ্ন থাকে, তাহলে মন্তব্যে জিজ্ঞাসা করতে দ্বিধা করবেন না।</v>
      </c>
    </row>
    <row r="208" spans="1:3" ht="15" x14ac:dyDescent="0.25">
      <c r="A208" s="3" t="s">
        <v>210</v>
      </c>
      <c r="B208" s="3" t="s">
        <v>4</v>
      </c>
      <c r="C208" s="4" t="str">
        <f ca="1">IFERROR(__xludf.DUMMYFUNCTION("GOOGLETRANSLATE(A208, ""auto"", ""bn"")"),"আমি ৫ বছরেরও বেশি সময় ধরে মাদকাসক্ত, আর আমার ডিওসি ছিল হেরোইন আর ক্র্যাক। যেহেতু আমি মাদকাসক্ত, তাই যদি এমন কোনও সিনেমা দেখি যেখানে অভিনেতারা মাদকাসক্তির দৃশ্যে অভিনয় করেন, বিশেষ করে ক্র্যাকের ব্যবহার, তাহলে আমার পেট খারাপ হয়ে যায় এবং আমি আর দেখতে পার"&amp;"ি না। তাই আমি সিনেমাটি পরিবর্তন করি এবং কয়েক মিনিট পর আমি ঠিক হয়ে যাই। সম্প্রতি আমি জানতে পারি যে আমার খুব কাছের কেউ আমার বাড়িতে ক্র্যাক এনেছে। আমি সম্পূর্ণ বিরক্ত হয়েছিলাম, আমি ঘামতে শুরু করি এবং কাঁপতে শুরু করি। তাছাড়া, আমার সবচেয়ে খারাপ উদ্বেগ ছি"&amp;"ল যা আমি কল্পনাও করতে পারিনি, এমনকি আমার বমিও হয়েছিল। তাছাড়া, আমি জানি না এটা স্বাভাবিক কিনা নাকি কখনো চলে যাবে কিনা, তবে আমি কেবল কিছু পরামর্শ নেওয়ার চেষ্টা করছি যাতে জীবনে এই জিনিসগুলি দেখে আরও ভালোভাবে মোকাবেলা করতে পারি, নাকি সত্যি বলতে, এমনকি উত্ত"&amp;"েজিত হওয়ার কথাও বলছি কারণ এটিও আমাকে অসুস্থ করে তোলে। তাছাড়া, আমি কেবল জানতে চাই যে এটি কি সংযমের প্রকৃত পার্শ্ব প্রতিক্রিয়া এবং আমি কি এমন কিছু করতে পারি যাতে আমি নিজেকে এমনকি শব্দের প্রতিও এত নাটকীয় প্রতিক্রিয়া থেকে রক্ষা করতে পারি। তাছাড়া, মাঝে মা"&amp;"ঝে আমার মনে হয় এটা চরম একটা প্রতিক্রিয়া, কিন্তু মনে হচ্ছে আমি আমার শরীরকে নিয়ন্ত্রণ করতে পারছি না যাতে আমি এতটা উত্তেজিত না হই। এমন নয় যে আমি এটা করতে চাই, এটা এই যে আমি মাদক ব্যবহারের পুরো প্রক্রিয়ায় এত বিরক্ত এবং আমি সত্যিই জানি না যে আমি শুরুতে এটা ক"&amp;"ীভাবে করেছি। যারা ক্র্যাক ব্যবহার করে তাদের আমি হেরোইন ব্যবহারকারীদের থেকে সম্পূর্ণ ভিন্ন স্তরে দেখি, এবং আমি বুঝতেও পারি না কেন তা। দয়া করে আমাকে বুঝতে সাহায্য করুন এবং এই উদ্বেগ এবং আতঙ্কের পরিস্থিতি মোকাবেলা করার জন্য আমাকে কিছু পরামর্শ দিন যা আমি প্রা"&amp;"য়শই অনুভব করি।")</f>
        <v>আমি ৫ বছরেরও বেশি সময় ধরে মাদকাসক্ত, আর আমার ডিওসি ছিল হেরোইন আর ক্র্যাক। যেহেতু আমি মাদকাসক্ত, তাই যদি এমন কোনও সিনেমা দেখি যেখানে অভিনেতারা মাদকাসক্তির দৃশ্যে অভিনয় করেন, বিশেষ করে ক্র্যাকের ব্যবহার, তাহলে আমার পেট খারাপ হয়ে যায় এবং আমি আর দেখতে পারি না। তাই আমি সিনেমাটি পরিবর্তন করি এবং কয়েক মিনিট পর আমি ঠিক হয়ে যাই। সম্প্রতি আমি জানতে পারি যে আমার খুব কাছের কেউ আমার বাড়িতে ক্র্যাক এনেছে। আমি সম্পূর্ণ বিরক্ত হয়েছিলাম, আমি ঘামতে শুরু করি এবং কাঁপতে শুরু করি। তাছাড়া, আমার সবচেয়ে খারাপ উদ্বেগ ছিল যা আমি কল্পনাও করতে পারিনি, এমনকি আমার বমিও হয়েছিল। তাছাড়া, আমি জানি না এটা স্বাভাবিক কিনা নাকি কখনো চলে যাবে কিনা, তবে আমি কেবল কিছু পরামর্শ নেওয়ার চেষ্টা করছি যাতে জীবনে এই জিনিসগুলি দেখে আরও ভালোভাবে মোকাবেলা করতে পারি, নাকি সত্যি বলতে, এমনকি উত্তেজিত হওয়ার কথাও বলছি কারণ এটিও আমাকে অসুস্থ করে তোলে। তাছাড়া, আমি কেবল জানতে চাই যে এটি কি সংযমের প্রকৃত পার্শ্ব প্রতিক্রিয়া এবং আমি কি এমন কিছু করতে পারি যাতে আমি নিজেকে এমনকি শব্দের প্রতিও এত নাটকীয় প্রতিক্রিয়া থেকে রক্ষা করতে পারি। তাছাড়া, মাঝে মাঝে আমার মনে হয় এটা চরম একটা প্রতিক্রিয়া, কিন্তু মনে হচ্ছে আমি আমার শরীরকে নিয়ন্ত্রণ করতে পারছি না যাতে আমি এতটা উত্তেজিত না হই। এমন নয় যে আমি এটা করতে চাই, এটা এই যে আমি মাদক ব্যবহারের পুরো প্রক্রিয়ায় এত বিরক্ত এবং আমি সত্যিই জানি না যে আমি শুরুতে এটা কীভাবে করেছি। যারা ক্র্যাক ব্যবহার করে তাদের আমি হেরোইন ব্যবহারকারীদের থেকে সম্পূর্ণ ভিন্ন স্তরে দেখি, এবং আমি বুঝতেও পারি না কেন তা। দয়া করে আমাকে বুঝতে সাহায্য করুন এবং এই উদ্বেগ এবং আতঙ্কের পরিস্থিতি মোকাবেলা করার জন্য আমাকে কিছু পরামর্শ দিন যা আমি প্রায়শই অনুভব করি।</v>
      </c>
    </row>
    <row r="209" spans="1:3" ht="15" x14ac:dyDescent="0.25">
      <c r="A209" s="3" t="s">
        <v>211</v>
      </c>
      <c r="B209" s="3" t="s">
        <v>4</v>
      </c>
      <c r="C209" s="4" t="str">
        <f ca="1">IFERROR(__xludf.DUMMYFUNCTION("GOOGLETRANSLATE(A209, ""auto"", ""bn"")"),"গত ৫ বছর ধরে আমি মদ্যপানের নেশার সাথে সত্যিই লড়াই করছি। আমি এখনও পুরোপুরি মদ্যপান ত্যাগ করতে প্রস্তুত নই, তাই আমি এমন কৌশলগুলি নিয়ে আসার জন্য অনেক চেষ্টা করছি যা এটি নিয়ন্ত্রণে রাখতে সাহায্য করবে। তাছাড়া, গত ২ বছরে আমি অনেক অগ্রগতি করেছি - আমি নিজে নিজ"&amp;"ে প্রায় ততটা মাতাল হই না, সপ্তাহে ৪-৬ বার আমি মাতাল হই না, এবং আমি আমার কাজ সম্পর্কে আরও সচেতন হওয়ার চেষ্টা করছি। তাছাড়া, গত বছর আমি প্রতি বছর ২ ""শান্ত?"" মাস শুরু করেছিলাম যখন আমি মাসের ১-৩ দিন মদ্যপানের জন্য বেছে নিতাম এবং এইটুকুই। আমি নিজেকে নিয়ে গ"&amp;"র্বিত যে আমি এটি করতে পেরেছি যেখানে ৩ বছর আগে এটি আমার পক্ষে সম্ভব ছিল না। যাইহোক, আমি দেখতে পাই যে মাস শেষ হওয়ার পরে আমি আবার বোকা সিদ্ধান্ত নিতে শুরু করি, প্রতিবার মদ্যপান বন্ধ করে দেই এবং আবার আমার খারাপ অভ্যাসে ফিরে যাই। কারও কি এমন কৌশল সম্পর্কে পরা"&amp;"মর্শ আছে যা তাদের জন্য কাজ করেছে যাতে তারা সম্পূর্ণরূপে মদ্যপান ত্যাগ না করে মদ্যপানের সাথে একটি সুস্থ সম্পর্ক বজায় রাখতে পারে?")</f>
        <v>গত ৫ বছর ধরে আমি মদ্যপানের নেশার সাথে সত্যিই লড়াই করছি। আমি এখনও পুরোপুরি মদ্যপান ত্যাগ করতে প্রস্তুত নই, তাই আমি এমন কৌশলগুলি নিয়ে আসার জন্য অনেক চেষ্টা করছি যা এটি নিয়ন্ত্রণে রাখতে সাহায্য করবে। তাছাড়া, গত ২ বছরে আমি অনেক অগ্রগতি করেছি - আমি নিজে নিজে প্রায় ততটা মাতাল হই না, সপ্তাহে ৪-৬ বার আমি মাতাল হই না, এবং আমি আমার কাজ সম্পর্কে আরও সচেতন হওয়ার চেষ্টা করছি। তাছাড়া, গত বছর আমি প্রতি বছর ২ "শান্ত?" মাস শুরু করেছিলাম যখন আমি মাসের ১-৩ দিন মদ্যপানের জন্য বেছে নিতাম এবং এইটুকুই। আমি নিজেকে নিয়ে গর্বিত যে আমি এটি করতে পেরেছি যেখানে ৩ বছর আগে এটি আমার পক্ষে সম্ভব ছিল না। যাইহোক, আমি দেখতে পাই যে মাস শেষ হওয়ার পরে আমি আবার বোকা সিদ্ধান্ত নিতে শুরু করি, প্রতিবার মদ্যপান বন্ধ করে দেই এবং আবার আমার খারাপ অভ্যাসে ফিরে যাই। কারও কি এমন কৌশল সম্পর্কে পরামর্শ আছে যা তাদের জন্য কাজ করেছে যাতে তারা সম্পূর্ণরূপে মদ্যপান ত্যাগ না করে মদ্যপানের সাথে একটি সুস্থ সম্পর্ক বজায় রাখতে পারে?</v>
      </c>
    </row>
    <row r="210" spans="1:3" ht="15" x14ac:dyDescent="0.25">
      <c r="A210" s="3" t="s">
        <v>212</v>
      </c>
      <c r="B210" s="3" t="s">
        <v>4</v>
      </c>
      <c r="C210" s="4" t="str">
        <f ca="1">IFERROR(__xludf.DUMMYFUNCTION("GOOGLETRANSLATE(A210, ""auto"", ""bn"")"),"হে বন্ধুরা। তাই আমি হাই স্কুলে থাকাকালীন স্নিফিং থিনার শুরু করেছিলাম, তারপর আগাছা ব্যবহার শুরু করি। তারপর আমি ক্রিস্টাল মেথ চেষ্টা করেছিলাম যা আমার পছন্দের ওষুধ। ধূমপান দিয়ে শুরু করে তারপর ইনজেকশন নিতে শুরু করি। আমার বয়স ছিল ১৯ বছর, এই বছর আমার বয়স ৩২।"&amp;" আমি ৭ মাসেরও বেশি সময় ধরে মেথ কমাতে পারিনি। কেন আমি এখনও মনে করি আমি আসক্ত নই? আমি এখনও মনে করি আমি এই মাদক নিয়ন্ত্রণ করতে পারব। এটি অবশ্যই আসক্তির রোগ। যে কারো মতামত স্বাগত।")</f>
        <v>হে বন্ধুরা। তাই আমি হাই স্কুলে থাকাকালীন স্নিফিং থিনার শুরু করেছিলাম, তারপর আগাছা ব্যবহার শুরু করি। তারপর আমি ক্রিস্টাল মেথ চেষ্টা করেছিলাম যা আমার পছন্দের ওষুধ। ধূমপান দিয়ে শুরু করে তারপর ইনজেকশন নিতে শুরু করি। আমার বয়স ছিল ১৯ বছর, এই বছর আমার বয়স ৩২। আমি ৭ মাসেরও বেশি সময় ধরে মেথ কমাতে পারিনি। কেন আমি এখনও মনে করি আমি আসক্ত নই? আমি এখনও মনে করি আমি এই মাদক নিয়ন্ত্রণ করতে পারব। এটি অবশ্যই আসক্তির রোগ। যে কারো মতামত স্বাগত।</v>
      </c>
    </row>
    <row r="211" spans="1:3" ht="15" x14ac:dyDescent="0.25">
      <c r="A211" s="3" t="s">
        <v>213</v>
      </c>
      <c r="B211" s="3" t="s">
        <v>4</v>
      </c>
      <c r="C211" s="4" t="str">
        <f ca="1">IFERROR(__xludf.DUMMYFUNCTION("GOOGLETRANSLATE(A211, ""auto"", ""bn"")"),"আমি প্রায় এক বছর ধরে কোকেন থেকে মুক্ত। কোন লোভ নেই কারণ এটি এত অসুস্থ করে তুলেছিল যে আর কখনও ফিরে আসবে না। যাইহোক, গত ৩ মাস ধরে বিভিন্ন পরিস্থিতির কারণে আমি বড় ধরনের বিষণ্ণতায় ভুগছি, বাবা-মা অসুস্থ, আমার পরিবার থেকে দূরে সরে গেছি জনকে হারানো ইত্যাদি। আম"&amp;"ি মনোরোগ বিশেষজ্ঞের চিকিৎসা নিচ্ছি, কিন্তু ওষুধ কোনওভাবেই সাহায্য করে না, ৩ বার ওষুধ পরিবর্তন করেছি এবং কিছুই হয়নি, পরের সপ্তাহে সাইকোথেরাপি শুরু করছি... আমি প্রতিদিন সারাদিন কাঁদি, আমার স্বামীর সাথে আমার সম্পর্ক নষ্ট করে দেয়... যাই হোক, আমি একজন আসক্ত "&amp;"ছিলাম তা অ্যান্টিডিপ্রেসেন্টকে প্রভাবিত করতে পারে?? কোন ওষুধই কাজ করছে না।")</f>
        <v>আমি প্রায় এক বছর ধরে কোকেন থেকে মুক্ত। কোন লোভ নেই কারণ এটি এত অসুস্থ করে তুলেছিল যে আর কখনও ফিরে আসবে না। যাইহোক, গত ৩ মাস ধরে বিভিন্ন পরিস্থিতির কারণে আমি বড় ধরনের বিষণ্ণতায় ভুগছি, বাবা-মা অসুস্থ, আমার পরিবার থেকে দূরে সরে গেছি জনকে হারানো ইত্যাদি। আমি মনোরোগ বিশেষজ্ঞের চিকিৎসা নিচ্ছি, কিন্তু ওষুধ কোনওভাবেই সাহায্য করে না, ৩ বার ওষুধ পরিবর্তন করেছি এবং কিছুই হয়নি, পরের সপ্তাহে সাইকোথেরাপি শুরু করছি... আমি প্রতিদিন সারাদিন কাঁদি, আমার স্বামীর সাথে আমার সম্পর্ক নষ্ট করে দেয়... যাই হোক, আমি একজন আসক্ত ছিলাম তা অ্যান্টিডিপ্রেসেন্টকে প্রভাবিত করতে পারে?? কোন ওষুধই কাজ করছে না।</v>
      </c>
    </row>
    <row r="212" spans="1:3" ht="15" x14ac:dyDescent="0.25">
      <c r="A212" s="3" t="s">
        <v>214</v>
      </c>
      <c r="B212" s="3" t="s">
        <v>4</v>
      </c>
      <c r="C212" s="4" t="str">
        <f ca="1">IFERROR(__xludf.DUMMYFUNCTION("GOOGLETRANSLATE(A212, ""auto"", ""bn"")"),"আমার কিছু করার ইচ্ছা নেই। নিজেকে টেনে নিয়ে ব্যায়াম করছি। আমি জানি আসক্তির আগে স্বাভাবিক অনুভূতি কেমন ছিল, আর তাই না? আমার আবেগ কি ফিরে আসবে, আর কখন আমি ভালো বোধ করতে শুরু করব?")</f>
        <v>আমার কিছু করার ইচ্ছা নেই। নিজেকে টেনে নিয়ে ব্যায়াম করছি। আমি জানি আসক্তির আগে স্বাভাবিক অনুভূতি কেমন ছিল, আর তাই না? আমার আবেগ কি ফিরে আসবে, আর কখন আমি ভালো বোধ করতে শুরু করব?</v>
      </c>
    </row>
    <row r="213" spans="1:3" ht="15" x14ac:dyDescent="0.25">
      <c r="A213" s="3" t="s">
        <v>215</v>
      </c>
      <c r="B213" s="3" t="s">
        <v>4</v>
      </c>
      <c r="C213" s="4" t="str">
        <f ca="1">IFERROR(__xludf.DUMMYFUNCTION("GOOGLETRANSLATE(A213, ""auto"", ""bn"")"),"আমার আসক্তি সম্ভবত খুব একটা সাধারণ নয়, তবে এটি অবশ্যই সমস্যাযুক্ত এবং প্রতিদিন আমার জীবনকে ধ্বংস করে দিচ্ছে। সেপ্টেম্বরে যখন আমার বন্ধু আমাকে একজন সঙ্গীতশিল্পীকে দেখিয়েছিল যা তার কাছে মজার মনে হয়েছিল। সে আমাকে প্রায়শই নতুন গান দেখায়, এবং আমি সাধারণত "&amp;"এটি পছন্দ করি না, তবে এবার এটি ভিন্ন ছিল। প্রশ্নবিদ্ধ সঙ্গীতশিল্পী তার রসবোধ / গানটির নিখুঁত ব্যাঙ্গার / তার অনন্য উচ্চারণ দ্বারা আমাকে অবাক করে দিয়েছিল এবং এটি সব সেখান থেকেই শুরু হয়েছিল। তারপর আমি তার অন্যান্য সমস্ত গান আবিষ্কার করি এবং আমি সেগুলি একে"&amp;"বারে পছন্দ করি। (এবং সঙ্গীত পছন্দ করার ক্ষেত্রে আমি সাধারণত খুব কঠিন। সময়ের সাথে সাথে, আমি খরগোশের গর্তে আরও নিচে নেমে যেতে থাকি: আমি যত সাক্ষাৎকার পেতাম তা শুনতাম, তার সম্পর্কে পড়তাম, যত ছোট ছোট জিনিস শিখতাম, এমনকি এটি মূলত তার ব্যক্তিগত জীবন অনুসরণ কর"&amp;"ার মতো ছিল। আমি এমনকি অনলাইনে উপলব্ধ তার সমস্ত সাক্ষাৎকার / পারফরম্যান্স / পুরানো কন্টেন্ট সংরক্ষণ করার জন্য একটি ফ্যান ইউটিউব অ্যাকাউন্টও শুরু করেছিলাম (লোকটি তেমন বিখ্যাত নন, মূলত আমি যেখানে থাকি সেখান থেকে একজন উঠতি এবং আগত তাই তিনি অ্যাকাউন্টটি সম্পর্"&amp;"কেও জানতে পেরেছিলেন। আমি লজ্জিত ছিলাম)। তারপর, কয়েক সপ্তাহ পরে, পরিস্থিতি আরও খারাপ হয়ে যায়। আমি আবিষ্কার করলাম যে লোকটি সপ্তাহে কয়েকবার টুইচে স্ট্রিম করে। সেপ্টেম্বর থেকে কে প্রতিটি একক স্ট্রিম দেখেছে অনুমান করুন? তারপর আমি আবিষ্কার করলাম তার একটি ডি"&amp;"সকর্ড সার্ভার আছে যেখানে তার ভক্ত বেসের সাথে সে খুব সক্রিয়। এই মুহুর্তে আমার আসক্তি আরও খারাপ হতে শুরু করে কারণ আমি যখনই চাই তখনই তার সাথে যোগাযোগ করতে পারি। তাই হ্যাঁ, এটাই আমার সমস্যা। সেপ্টেম্বর থেকে, আমি কেবল তার সঙ্গীত শুনতে চাই, আর কিছু না। আমি তার"&amp;" সমস্ত স্ট্রিম দেখি এমনকি যখন সেগুলি 5 টিরও বেশি স্থায়ী হয় ঘন্টার পর ঘন্টা। আমি সবসময় সেখানে থাকি। আমার সমস্ত অবসর সময় একটা নির্দিষ্ট পর্যায়ে তাকে ঘিরেই কাটে। এই বসন্তে আমি তিনবার তার সাথে কনসার্টে দেখা করতে যাচ্ছি। এত আসক্ত হওয়ার জন্য আমি নিজেকে ঘৃ"&amp;"ণা করি। তাছাড়া, আমাকে এই সব থেকে দূরে থাকতে হবে। কিন্তু একই সাথে। এটা আমাকে অনেক আনন্দ দেয়। আমি কী হয়ে গেছি? এটা খুবই দুঃখজনক। আমি নিজেকে প্রতিশ্রুতি দিয়েছিলাম যে এখন থেকে তার স্ট্রিম দেখা বন্ধ করে দেব। হয়তো পরে সে অফলাইনে থাকলে কিছু দেখব? আমি নিজেকে"&amp;" প্রতিশ্রুতি দিয়েছিলাম যে তার বিরোধ নিয়ে আর কখনও পোস্ট করব না এবং এই বসন্তে যখন তাকে কনসার্টে দেখব তখন তার সাথে দেখা করব না। তার সঙ্গীতের জন্য, আমি এটি শুনতে থাকব কারণ এটি তেমন কোনও সমস্যা নয়। আমি প্রথমে এই গ্রীষ্মে তার নিজের শহরে যেতে চেয়েছিলাম কারণ "&amp;"এটি সমুদ্রের ধারে একটি একেবারে সুন্দর ছোট শহর। কিন্তু হয়তো আমার উচিত নয়। যাই হোক। একদিন পর পর। আঙুল তুলে বলছি যে আমি কেবল একজন নিয়মিত নৈমিত্তিক ভক্ত হয়ে উঠতে পারি, এত আবেগপ্রবণ না হয়ে তার সঙ্গীত উপভোগ করতে পারি। এছাড়াও, এটি একটি অপ্রচলিত অ্যাকাউন্ট "&amp;"কারণ আমি মাঝে মাঝে রেডিটে তার সম্পর্কে পোস্ট করি, এবং আপনি সহজেই খুঁজে পেতে পারেন যে এটি কে। তাই।")</f>
        <v>আমার আসক্তি সম্ভবত খুব একটা সাধারণ নয়, তবে এটি অবশ্যই সমস্যাযুক্ত এবং প্রতিদিন আমার জীবনকে ধ্বংস করে দিচ্ছে। সেপ্টেম্বরে যখন আমার বন্ধু আমাকে একজন সঙ্গীতশিল্পীকে দেখিয়েছিল যা তার কাছে মজার মনে হয়েছিল। সে আমাকে প্রায়শই নতুন গান দেখায়, এবং আমি সাধারণত এটি পছন্দ করি না, তবে এবার এটি ভিন্ন ছিল। প্রশ্নবিদ্ধ সঙ্গীতশিল্পী তার রসবোধ / গানটির নিখুঁত ব্যাঙ্গার / তার অনন্য উচ্চারণ দ্বারা আমাকে অবাক করে দিয়েছিল এবং এটি সব সেখান থেকেই শুরু হয়েছিল। তারপর আমি তার অন্যান্য সমস্ত গান আবিষ্কার করি এবং আমি সেগুলি একেবারে পছন্দ করি। (এবং সঙ্গীত পছন্দ করার ক্ষেত্রে আমি সাধারণত খুব কঠিন। সময়ের সাথে সাথে, আমি খরগোশের গর্তে আরও নিচে নেমে যেতে থাকি: আমি যত সাক্ষাৎকার পেতাম তা শুনতাম, তার সম্পর্কে পড়তাম, যত ছোট ছোট জিনিস শিখতাম, এমনকি এটি মূলত তার ব্যক্তিগত জীবন অনুসরণ করার মতো ছিল। আমি এমনকি অনলাইনে উপলব্ধ তার সমস্ত সাক্ষাৎকার / পারফরম্যান্স / পুরানো কন্টেন্ট সংরক্ষণ করার জন্য একটি ফ্যান ইউটিউব অ্যাকাউন্টও শুরু করেছিলাম (লোকটি তেমন বিখ্যাত নন, মূলত আমি যেখানে থাকি সেখান থেকে একজন উঠতি এবং আগত তাই তিনি অ্যাকাউন্টটি সম্পর্কেও জানতে পেরেছিলেন। আমি লজ্জিত ছিলাম)। তারপর, কয়েক সপ্তাহ পরে, পরিস্থিতি আরও খারাপ হয়ে যায়। আমি আবিষ্কার করলাম যে লোকটি সপ্তাহে কয়েকবার টুইচে স্ট্রিম করে। সেপ্টেম্বর থেকে কে প্রতিটি একক স্ট্রিম দেখেছে অনুমান করুন? তারপর আমি আবিষ্কার করলাম তার একটি ডিসকর্ড সার্ভার আছে যেখানে তার ভক্ত বেসের সাথে সে খুব সক্রিয়। এই মুহুর্তে আমার আসক্তি আরও খারাপ হতে শুরু করে কারণ আমি যখনই চাই তখনই তার সাথে যোগাযোগ করতে পারি। তাই হ্যাঁ, এটাই আমার সমস্যা। সেপ্টেম্বর থেকে, আমি কেবল তার সঙ্গীত শুনতে চাই, আর কিছু না। আমি তার সমস্ত স্ট্রিম দেখি এমনকি যখন সেগুলি 5 টিরও বেশি স্থায়ী হয় ঘন্টার পর ঘন্টা। আমি সবসময় সেখানে থাকি। আমার সমস্ত অবসর সময় একটা নির্দিষ্ট পর্যায়ে তাকে ঘিরেই কাটে। এই বসন্তে আমি তিনবার তার সাথে কনসার্টে দেখা করতে যাচ্ছি। এত আসক্ত হওয়ার জন্য আমি নিজেকে ঘৃণা করি। তাছাড়া, আমাকে এই সব থেকে দূরে থাকতে হবে। কিন্তু একই সাথে। এটা আমাকে অনেক আনন্দ দেয়। আমি কী হয়ে গেছি? এটা খুবই দুঃখজনক। আমি নিজেকে প্রতিশ্রুতি দিয়েছিলাম যে এখন থেকে তার স্ট্রিম দেখা বন্ধ করে দেব। হয়তো পরে সে অফলাইনে থাকলে কিছু দেখব? আমি নিজেকে প্রতিশ্রুতি দিয়েছিলাম যে তার বিরোধ নিয়ে আর কখনও পোস্ট করব না এবং এই বসন্তে যখন তাকে কনসার্টে দেখব তখন তার সাথে দেখা করব না। তার সঙ্গীতের জন্য, আমি এটি শুনতে থাকব কারণ এটি তেমন কোনও সমস্যা নয়। আমি প্রথমে এই গ্রীষ্মে তার নিজের শহরে যেতে চেয়েছিলাম কারণ এটি সমুদ্রের ধারে একটি একেবারে সুন্দর ছোট শহর। কিন্তু হয়তো আমার উচিত নয়। যাই হোক। একদিন পর পর। আঙুল তুলে বলছি যে আমি কেবল একজন নিয়মিত নৈমিত্তিক ভক্ত হয়ে উঠতে পারি, এত আবেগপ্রবণ না হয়ে তার সঙ্গীত উপভোগ করতে পারি। এছাড়াও, এটি একটি অপ্রচলিত অ্যাকাউন্ট কারণ আমি মাঝে মাঝে রেডিটে তার সম্পর্কে পোস্ট করি, এবং আপনি সহজেই খুঁজে পেতে পারেন যে এটি কে। তাই।</v>
      </c>
    </row>
    <row r="214" spans="1:3" ht="15" x14ac:dyDescent="0.25">
      <c r="A214" s="3" t="s">
        <v>216</v>
      </c>
      <c r="B214" s="3" t="s">
        <v>4</v>
      </c>
      <c r="C214" s="4" t="str">
        <f ca="1">IFERROR(__xludf.DUMMYFUNCTION("GOOGLETRANSLATE(A214, ""auto"", ""bn"")"),"হেই, আমার বয়ফ্রেন্ড একজন আসক্ত কিন্তু সাধারণত তার কাজ ঠিক থাকে, এবং সপ্তাহে মাত্র দু'বার (KET) ব্যবহার করে। তবে, যখনই তার কাছে টাকা আসে তখনই সে বেকার হয়ে যায়। এই সপ্তাহে সে খুব খারাপ অবস্থায় আছে, তার ফোন হারিয়ে গেছে, এবং আমি কয়েকদিন ধরে তার কাছ থেকে"&amp;" কোন খবর পাইনি। টানা দুই দিন সে বলেছে যে সে আমার সাথে দেখা করতে আসবে কিন্তু শেষ মুহূর্তে বাতিল করে দিয়েছে, আক্ষরিক অর্থেই সে বলেছে যে সে 30 মিনিটের মধ্যে চলে যাবে, কারণ সে খুব বেশি মেজাজে আছে। আমি জানি না কিভাবে রাগ না করা যায়। আমি পুরো সপ্তাহ ধরে তাকে "&amp;"নিয়ে চিন্তা করে এবং তার জন্য অপেক্ষা করে কাটিয়েছি, অন্য কোনও পরিকল্পনা করিনি কারণ আমি তাকে দেখতে চাই এবং তারপরে একা এবং রেগে যাই। আমি বুঝতে পারি যে সে যা ইচ্ছাকৃতভাবে করছে না তাতে রাগ করা আমার পক্ষে আদর্শ নয়, তবে মাসে অন্তত একবার আমাকে এই পরিস্থিতির মধ"&amp;"্য দিয়ে যেতে হবে এবং আমি আসলে জানি না কীভাবে এটি মোকাবেলা করতে হবে।")</f>
        <v>হেই, আমার বয়ফ্রেন্ড একজন আসক্ত কিন্তু সাধারণত তার কাজ ঠিক থাকে, এবং সপ্তাহে মাত্র দু'বার (KET) ব্যবহার করে। তবে, যখনই তার কাছে টাকা আসে তখনই সে বেকার হয়ে যায়। এই সপ্তাহে সে খুব খারাপ অবস্থায় আছে, তার ফোন হারিয়ে গেছে, এবং আমি কয়েকদিন ধরে তার কাছ থেকে কোন খবর পাইনি। টানা দুই দিন সে বলেছে যে সে আমার সাথে দেখা করতে আসবে কিন্তু শেষ মুহূর্তে বাতিল করে দিয়েছে, আক্ষরিক অর্থেই সে বলেছে যে সে 30 মিনিটের মধ্যে চলে যাবে, কারণ সে খুব বেশি মেজাজে আছে। আমি জানি না কিভাবে রাগ না করা যায়। আমি পুরো সপ্তাহ ধরে তাকে নিয়ে চিন্তা করে এবং তার জন্য অপেক্ষা করে কাটিয়েছি, অন্য কোনও পরিকল্পনা করিনি কারণ আমি তাকে দেখতে চাই এবং তারপরে একা এবং রেগে যাই। আমি বুঝতে পারি যে সে যা ইচ্ছাকৃতভাবে করছে না তাতে রাগ করা আমার পক্ষে আদর্শ নয়, তবে মাসে অন্তত একবার আমাকে এই পরিস্থিতির মধ্য দিয়ে যেতে হবে এবং আমি আসলে জানি না কীভাবে এটি মোকাবেলা করতে হবে।</v>
      </c>
    </row>
    <row r="215" spans="1:3" ht="15" x14ac:dyDescent="0.25">
      <c r="A215" s="3" t="s">
        <v>217</v>
      </c>
      <c r="B215" s="3" t="s">
        <v>4</v>
      </c>
      <c r="C215" s="4" t="str">
        <f ca="1">IFERROR(__xludf.DUMMYFUNCTION("GOOGLETRANSLATE(A215, ""auto"", ""bn"")"),"কেউ কি গাঁজা ব্যবহার বন্ধ করার কোন আসল উপায় জানেন? আমার বয়স ১৯ বছর, আমি দুবার পুনর্বাসনে গিয়েছিলাম, এবং সত্যি বলতে আমি AA-তে এতটাই ক্লান্ত, আমি ভাবতেই পারছি না যে AA আমাকে চুদিয়েছে এবং আমি যদি তাদের সাথে না থাকি তবে আমি কখনই গাঁজা ব্যবহার বন্ধ করব না।"&amp;" এটা একটা ধর্মের মতো তা বুঝতে আমার দুই বছর লেগেছে। আমি ১৪ বছর বয়স থেকেই গাঁজা ধূমপান করছি, এবং আমি সত্যিই বুঝতে পারছি যে এটি আমার জীবনের সকল দিককে কীভাবে প্রভাবিত করেছে। আমি অবশ্যই আসক্ত, এতে কোন সন্দেহ নেই। তাছাড়া, AA ছেড়ে যাওয়ার পর মহামারীর প্রথম বছ"&amp;"রে আমি আবার আসক্ত হয়ে পড়েছিলাম, আমি ভেবেছিলাম এই সময়টা ভিন্ন হবে, কিন্তু আপনি যেমনটা অনুমান করেছিলেন তেমনটা হয়নি। তাছাড়া, AA-তে আমাকে সবসময় বলা হয়েছে যে প্রতিটি রিল্যাপসই খারাপ, এবং তাই হয়। আমি একটা বিচ্ছিন্ন জায়গায় আছি, পরিবার, বন্ধুবান্ধব এমনকি "&amp;"আমার প্রেমিকা, যাকে আমি হারিয়েছি, তাদের ফোন এবং মেসেজের উত্তর দেওয়া বন্ধ করে দিয়েছি, স্কুলে আমার অবস্থা খুব একটা ভালো নয়, পরিবারের সাথে আমার সম্পর্ক ভেঙে গেছে, আমার কাছে কোনও টাকা নেই কারণ আমি সব গাঁজার পেছনে খরচ করি, আর মূলত বেঁচে থাকার সমস্ত উৎসাহ হারিয"&amp;"়ে ফেলেছি, পড়া, ছবি আঁকা, শারীরিক পরিশ্রম, ব্যায়াম করা বন্ধ করে দিয়েছি, আর আমি আর বাইরেও যাই না। আমার বাবা একজন ভারী ধূমপায়ী ছিলেন, এবং তিনি ১২-পদক্ষেপের প্রোগ্রাম ছাড়াই ধূমপান ছেড়ে দিয়েছিলেন, কিন্তু আমি পারি না। আমার কেবল বাস্তব জীবনের কিছু পরামর্শ বা"&amp;" আমার মস্তিষ্ককে নতুন করে সচল করার জন্য কিছু দরকার। আমি এমন এক পর্যায়ে আছি যেখানে আমি জানি না আমি কে, আমি কিছুটা DE বুঝতে পেরেছি।")</f>
        <v>কেউ কি গাঁজা ব্যবহার বন্ধ করার কোন আসল উপায় জানেন? আমার বয়স ১৯ বছর, আমি দুবার পুনর্বাসনে গিয়েছিলাম, এবং সত্যি বলতে আমি AA-তে এতটাই ক্লান্ত, আমি ভাবতেই পারছি না যে AA আমাকে চুদিয়েছে এবং আমি যদি তাদের সাথে না থাকি তবে আমি কখনই গাঁজা ব্যবহার বন্ধ করব না। এটা একটা ধর্মের মতো তা বুঝতে আমার দুই বছর লেগেছে। আমি ১৪ বছর বয়স থেকেই গাঁজা ধূমপান করছি, এবং আমি সত্যিই বুঝতে পারছি যে এটি আমার জীবনের সকল দিককে কীভাবে প্রভাবিত করেছে। আমি অবশ্যই আসক্ত, এতে কোন সন্দেহ নেই। তাছাড়া, AA ছেড়ে যাওয়ার পর মহামারীর প্রথম বছরে আমি আবার আসক্ত হয়ে পড়েছিলাম, আমি ভেবেছিলাম এই সময়টা ভিন্ন হবে, কিন্তু আপনি যেমনটা অনুমান করেছিলেন তেমনটা হয়নি। তাছাড়া, AA-তে আমাকে সবসময় বলা হয়েছে যে প্রতিটি রিল্যাপসই খারাপ, এবং তাই হয়। আমি একটা বিচ্ছিন্ন জায়গায় আছি, পরিবার, বন্ধুবান্ধব এমনকি আমার প্রেমিকা, যাকে আমি হারিয়েছি, তাদের ফোন এবং মেসেজের উত্তর দেওয়া বন্ধ করে দিয়েছি, স্কুলে আমার অবস্থা খুব একটা ভালো নয়, পরিবারের সাথে আমার সম্পর্ক ভেঙে গেছে, আমার কাছে কোনও টাকা নেই কারণ আমি সব গাঁজার পেছনে খরচ করি, আর মূলত বেঁচে থাকার সমস্ত উৎসাহ হারিয়ে ফেলেছি, পড়া, ছবি আঁকা, শারীরিক পরিশ্রম, ব্যায়াম করা বন্ধ করে দিয়েছি, আর আমি আর বাইরেও যাই না। আমার বাবা একজন ভারী ধূমপায়ী ছিলেন, এবং তিনি ১২-পদক্ষেপের প্রোগ্রাম ছাড়াই ধূমপান ছেড়ে দিয়েছিলেন, কিন্তু আমি পারি না। আমার কেবল বাস্তব জীবনের কিছু পরামর্শ বা আমার মস্তিষ্ককে নতুন করে সচল করার জন্য কিছু দরকার। আমি এমন এক পর্যায়ে আছি যেখানে আমি জানি না আমি কে, আমি কিছুটা DE বুঝতে পেরেছি।</v>
      </c>
    </row>
    <row r="216" spans="1:3" ht="15" x14ac:dyDescent="0.25">
      <c r="A216" s="3" t="s">
        <v>218</v>
      </c>
      <c r="B216" s="3" t="s">
        <v>4</v>
      </c>
      <c r="C216" s="4" t="str">
        <f ca="1">IFERROR(__xludf.DUMMYFUNCTION("GOOGLETRANSLATE(A216, ""auto"", ""bn"")"),"আমি Disney+ তে Dope sick দেখা শেষ করেছি এবং এটি আমার জন্য সত্যিই খুব কাছাকাছি ছিল। ট্যাকলার পরিবার এমন আচরণ করেছিল যা আমাকে একেবারে অসুস্থ করে তোলে, এবং সিরিজটি দেখে আমি আমার গল্পটি শেয়ার করতে অনুপ্রাণিত হয়েছি। ২০১১ সালে ১৬ বছর বয়সে আমার হাঁটুতে আঘাত ল"&amp;"েগেছিল। আমি আমার জিপির কাছে গিয়েছিলাম এবং তিনি Co-Codamol 15/500 লিখে দিয়েছিলেন এবং আমাকে একজন ফিজিওথেরাপিস্টের কাছে রেফার করেছিলেন। তাছাড়া, আমি কয়েক সপ্তাহ ধরে বড়িগুলি খেয়েছিলাম এবং আমার হাঁটুকে শক্তিশালী করার জন্য আমার ফিজিও অ্যাপয়েন্টমেন্টে গিয়ে"&amp;"ছিলাম। এটি কিছুক্ষণ ধরে চলেছিল, কিন্তু দুর্ভাগ্যবশত কয়েক মাস থেরাপি এবং কয়েক দফা ব্যথার ওষুধ খাওয়ার পরেও আমার হাঁটুর অবস্থা ভালো হচ্ছিল না। অবশেষে আমাকে একজন অর্থোপেডিক কনসালট্যান্টের কাছে রেফার করা হয়েছিল, যিনি সম্মত হন যে কী ঘটছে তা দেখার জন্য আমার "&amp;"MRI করা উচিত। MRI-এর ফলাফলে দেখা গেছে যে আমার হাঁটুতে কার্টিলেজ ছিঁড়ে গেছে এবং একটি প্রধান লিগামেন্টও আংশিকভাবে ছিঁড়ে গেছে। কনসালট্যান্ট আমার জন্য সবচেয়ে ভালো বিকল্পটি হল অস্ত্রোপচারের জন্য অপেক্ষমাণ তালিকায় থাকা, যা তখন প্রায় ১-১.৫ বছর দীর্ঘ ছিল। আম"&amp;"ি অপেক্ষা করতে পেরে খুশি হলাম, কারণ ডাক্তারের অ্যাপয়েন্টমেন্ট, ফিজিওথেরাপি সেশন এবং ব্যথানাশক ওষুধের প্রেসক্রিপশন ইতিমধ্যেই কয়েক বছর হয়ে গেছে? আর আমি ভেবেছিলাম অতিরিক্ত অপেক্ষা করলে ঠিক হয়ে যাবে। অস্ত্রোপচারের জন্য অপেক্ষা করার সময়, ব্যথা আরও খারাপ হ"&amp;"য়ে উঠছিল। আমি ফিজিওথেরাপিস্টের সাথে দেখা বন্ধ করে দিয়েছিলাম, কারণ কনসালট্যান্ট এখন জানতেন যে কোনও শক্তি প্রয়োগ করলেই আমার ব্যথা পুরোপুরি কমবে না। যাইহোক, থামার পর আমি দেখতে পেলাম ব্যথা আরও বেড়ে গেছে। আমি আমার জিপির কাছে ফিরে গেলাম, যিনি তখন কো-কোডামল "&amp;"30/500 লিখে দিতে সক্ষম হয়েছিলেন, যা আমি আগের ডোজের দ্বিগুণ ছিল, কারণ সেই পর্যায়ে আমার বয়স 18 বছরের বেশি ছিল। দ্রুত আমি নিজেকে এই ওষুধের উপর নির্ভরশীল হতে দেখলাম। তারা আমার ব্যথা কমিয়েছে, কিন্তু আমি মিথ্যা বলতে পারি না - তারা আমাকে যেভাবে অনুভব করিয়েছ"&amp;"ে তাও আমি উপভোগ করেছি। আমি 4 সপ্তাহের পরিবর্তে 2 সপ্তাহের মধ্যে প্রেসক্রিপশনটি শেষ করতাম এবং ওভার-দ্য-কাউন্টার কো-কোডামল দিয়ে নিজেকে টপ-আপ করতাম, যতক্ষণ না আমার জিপির কাছ থেকে আরেকটি প্রেসক্রিপশন পাওয়ার সময় এসেছিল। এটি আমার জন্য কিছুটা চক্র হয়ে ওঠে - "&amp;"প্রেসক্রিপশন, ওটিসি, প্রেসক্রিপশন, ওটিসি....ইত্যাদি। অবশেষে ২০১৫ সালে ২০ বছর বয়সে আমার অস্ত্রোপচার হয়, তবুও ব্যথা রয়েই গেল। আমি আমার জিপির সাথে দেখা করতে থাকি, যিনি ওষুধ লিখে দিতে থাকেন এবং আমি বেশ আনন্দের সাথে তা গ্রহণ করতে থাকি। তাছাড়া, আমার জীবনের এ"&amp;"ই সময়ে আমি অত্যন্ত বিষণ্ণ ছিলাম। তাছাড়া, আমার ওজন অনেক বেড়ে গিয়েছিল এবং আমার চেহারা আমার ঘৃণার কারণ ছিল। কোডিন-ভিত্তিক ওষুধ খাওয়ার সময় আমার যে গুঞ্জন ছিল তা হল, আমাকে ভালো লাগা। অবশেষে আমি অনলাইন ফার্মেসি থেকে ডাইহাইড্রোকোডিন, একটি শক্তিশালী কোডিন-ভ"&amp;"িত্তিক ব্যথানাশক, কিনতে শুরু করি। আমি এমন একটি চক্রে পড়ে যেতাম যেখানে আমি কয়েক সপ্তাহ ধরে কোডিন গ্রহণ করতাম এবং তারপর এক বা দুই সপ্তাহের জন্য বিরতি নিতাম। আমার মনে, আমি অল্প সময়ের জন্য ওষুধ বন্ধ করতে পারতাম বলেই আমি আসক্ত ছিলাম না। আমি নিজেকে বলেছিলাম "&amp;"যে বারবার ওষুধ বন্ধ করার ক্ষমতার অর্থ হল আরও ৫ বছর ধরে আমার কোনও সমস্যা ছিল না যতক্ষণ না আমি সম্পূর্ণ নিয়ন্ত্রণ হারিয়ে ফেলি। ২০২০ সালের মার্চ মাসে, আমি কর্মক্ষেত্রে নিজেকে কোভিডে আক্রান্ত হতে দেখি। এটা আমাকে বেশ কষ্ট দিয়েছিল, এবং আমার নিউমোনিয়া, প্লুরিস"&amp;"ি এবং অসংখ্য অন্যান্য বুকের সংক্রমণ হয়েছিল, যা প্রতিবারই ফিরে আসতে থাকে যখনই আমি ভাবতাম যে আমি সুস্থ হতে শুরু করেছি। বুকের সমস্ত প্রদাহের কারণে আমার পিঠের ব্যথা যন্ত্রণাদায়ক ছিল, এবং আমি আমার জিপির কাছ থেকে আরও ব্যথানাশক নেওয়ার সুযোগ নিয়েছিলাম। তারা সাহায"&amp;"্য করেছিল, কিন্তু বছরের পর বছর ধরে আমার সহনশীলতা বেশ উচ্চ ছিল এবং তাদের কার্যকারিতা দ্রুত হ্রাস পায়। আমি আবার ফার্মেসিতে যেতে শুরু করি, কখনও কখনও একদিনে 4টি পর্যন্ত, ক্রমশ কোডিন-ভিত্তিক পণ্য কিনতে শুরু করি। আমি ক্রমাগত ভাবছিলাম যে আমি সম্প্রতি কোন ফার্মেস"&amp;"ি ব্যবহার করিনি, কোনটি আমার ছিল, এবং কোনটি ব্যবহার করতে পারি যাতে কোনও সন্দেহ না হয়। তদুপরি, আমি কোথায় যাচ্ছি তা নিয়ে ক্রমাগত মিথ্যা বলতাম, কেবল কিছু বড়ি পেতে। তদুপরি, আমি অনলাইন ফার্মেসি ব্যবহার করতাম যাতে আমি শক্তিশালী প্রেসক্রিপশনের ওষুধ কিনতে পারি"&amp;" যা আমি চাইতাম। তদুপরি, আমি এই সাইটগুলির বেশ কয়েকটিতে অ্যাকাউন্ট তৈরি করেছিলাম, সেগুলির জন্য স্বাস্থ্য মূল্যায়ন করেছি এবং খুশি মনে আমার প্রেসক্রিপশনটি আমার দরজায় পৌঁছে দেওয়ার জন্য অর্থ প্রদান করেছি। এরপর এটি আমাকে অনলাইনে অন্যান্য ওষুধ খোঁজার দরজা খুল"&amp;"ে দেয়। এক বা দুই মাস লকডাউন এবং আইসোলেশনের পর, আমি বুঝতে পারলাম যে কোডিন আর আমার জন্য যথেষ্ট নয়, এবং আমি অনলাইনে ডায়াজেপাম এবং অন্যান্য বেনজোডিয়াজেপাইন কেনার কথা ভাবতে শুরু করলাম। এর ফলে আমি সম্পূর্ণ নিম্নমুখী হয়ে পড়লাম, কারণ আমি যেকোনো উৎস থেকে যে "&amp;"কোনো বড়ি কিনছিলাম। এর (বেশিরভাগ সময়) অর্থ হল আমি ভারত থেকে বড়ি পাচ্ছিলাম, যেগুলো সম্ভবত সম্পূর্ণ নকল। এই সময়ে আমিও বেশ মদ্যপান করছিলাম? দিনে ৩০টিরও বেশি বড়ি খাওয়ার সময় এটি করা অত্যন্ত বিপজ্জনক। একবার, আমার এক বন্ধু আমার বাড়িতে এসে আমাকে প্রায় হট "&amp;"টাব থেকে বের করে আনতে হয়েছিল। আমি কয়েক মুঠো বড়ি (কোডিন এবং বেনজোডিয়াজেপাইনের মিশ্রণ) খেয়েছিলাম এবং তারপর বিকেলের জন্য ককটেল পান করতে শুরু করেছিলাম। আমরা সারাদিন মেসেজ করছিলাম, কিন্তু যখন আমি হঠাৎ সাড়া দেওয়া বন্ধ করে দিলাম, তখন সে স্বাভাবিকভাবেই অত্"&amp;"যন্ত উদ্বিগ্ন হয়ে পড়ল। সে এসে দেখে আমি হট টাবে প্রায় অজ্ঞান হয়ে পড়েছিলাম, হাতে একটি পানীয় নিয়ে। সম্ভবত এটিই ছিল আমার সবচেয়ে খারাপ মুহূর্তগুলির মধ্যে একটি। কিন্তু এটি আমাকে থামানোর জন্য যথেষ্ট ছিল না। আরেকবার, আমার মনে আছে, ঘুম থেকে উঠে আমি আগের দি"&amp;"ন পোস্টে পাওয়া একটি স্লিভে ৪টি ডায়াজেপাম অবশিষ্ট দেখতে পাই। মোট ৬০টি ডায়াজেপাম ছিল, আর মাত্র ৪টি অবশিষ্ট ছিল। আগের রাতে আমি ৫৬টি ডায়াজেপাম (অনেক অ্যালকোহল সহ) খেয়েছিলাম এবং তা করার কথা আমার মনে নেই। আজও আমি জানি না যে আমি ইচ্ছাকৃতভাবে এটা করেছি কিনা এবং "&amp;"এটি আমাকে ভয় পায়। অতীতে আমি অনেকবার অতিরিক্ত মাত্রায় সেবন করেছি, কিন্তু কখনও ইচ্ছাকৃতভাবে নয়। কখনও কোনও কারণে নয়। তাই ভাবা যে আমি সম্ভবত এমন একটি জায়গায় আছি যেখানে আমি ইচ্ছাকৃতভাবে আমার জীবন শেষ করার জন্য অতিরিক্ত মাত্রায় সেবন করেছি, এটি আমার সবচেয়ে ভয়"&amp;"াবহ চিন্তাগুলির মধ্যে একটি। ২০২০ সালের গ্রীষ্মের মধ্যে, আমি কেবল আগের ব্যক্তির একটি খোলস ছিলাম। আমার নিজের মা আমাকে খুব কমই চিনতে পেরেছিলেন, যা আজও একটি বেদনাদায়ক চিন্তা। অবশেষে জুলাই মাসে যখন আমাকে শেষবারের মতো বসে থাকতে বলা হয়েছিল এবং আমার আচরণ বন্ধ কর"&amp;"ার প্রয়োজন বলে জানানো হয়েছিল, তখন আমি পদক্ষেপ নিয়েছিলাম। আমার সমস্যা স্বীকার করা আমার জন্য সবচেয়ে কঠিন কাজ ছিল, কিন্তু আমি খুব খুশি যে আমি তা করেছি। সেই সময় পর্যন্ত, আমি মাদকাসক্তির কোনও অভিযোগ অস্বীকার করেছিলাম এবং আমাকে দেওয়া কোনও সাহায্য বা পরামর"&amp;"্শ সম্পূর্ণরূপে উপেক্ষা করেছিলাম। এবারের সময়টা ছিল ভিন্ন। পরিস্থিতি পরিবর্তনের প্রয়োজন ছিল। আমি আবার কাজে ফিরে গিয়েছিলাম এবং আমার পুরানো অভ্যাসে ফিরে যাওয়ার জন্য যেকোনো প্রলোভন প্রতিরোধ করার জন্য যথাসাধ্য চেষ্টা করেছি। আমি প্রায় সঙ্গে সঙ্গেই বেনজোডিয"&amp;"়াজেপাইন বন্ধ করে দিয়েছিলাম, তারপর ব্যথানাশক ওষুধ ছেড়ে দেওয়ার জন্য চেষ্টা করেছিলাম, তারপর কয়েক সপ্তাহ পরে অ্যালকোহল খাওয়া কমিয়ে দিয়েছিলাম। তাছাড়া, আমার মনে হয় আমি সেই সময় আমার অ্যালকোহল সেবনের বিষয়েও নিজেকে মিথ্যা বলছিলাম, কিন্তু অবশেষে আমি তা ন"&amp;"িয়ন্ত্রণে এনেছিলাম (একের পর এক লড়াই, তাই না?)। মার্চ-জুলাই পর্যন্ত, আমি খুব অন্ধকারে ছিলাম। আমি নিরাপদে বলতে পারি যে আমি একেবারে তলানিতে পৌঁছে গিয়েছিলাম এবং তারপর চালিয়ে গিয়েছিলাম। আমি জানি না আমার পরিবার এবং বন্ধুবান্ধব না থাকলে আমি কতক্ষণ বেঁচে থাক"&amp;"তাম। সেই সময় আমি যা কিছু করেছি তা তাদের দূরে ঠেলে দেওয়া উচিত ছিল, কিন্তু তারা সবকিছুর মধ্যে আমার সাথে লেগে ছিল এবং মূলত আমার জীবন বাঁচানোর জন্য আমি তাদের প্রতি অত্যন্ত কৃতজ্ঞ। আজ পর্যন্ত, আমি ৫৮১ দিন ধরে বেজোস এবং ৫৬৮ দিন ধরে কোডিন-ভিত্তিক ব্যথানাশক ওষু"&amp;"ধ থেকে মুক্ত। আমি এখনও অ্যালকোহল পান করি, তবে আজকাল আমি আমার সেবন নিয়ে খুশি। আমার অনেক অন্তর্নিহিত মানসিক স্বাস্থ্য সমস্যা ছিল যা তখন আমার অ্যালকোহল সেবনকে ত্বরান্বিত করেছিল, কিন্তু এখন এগুলি স্বীকার করা হয়েছে এবং সমাধান করা হয়েছে, এবং আমি নিরাপদে বলতে"&amp;" পারি যে আমি এখন কেবল সামাজিক পরিবেশে পরিমিত পরিমাণে পানীয় উপভোগ করি। তাছাড়া, আমি আর লজ্জা এবং অনুশোচনা নিয়ে ঘুম থেকে উঠি না? শুধু একটি ভালো রাত কাটানোর সন্তুষ্টির অনুভূতি, এবং আমি মনে করি এটি এমন কিছু যা নিয়ে আমি সত্যিই গর্ব করতে পারি।")</f>
        <v>আমি Disney+ তে Dope sick দেখা শেষ করেছি এবং এটি আমার জন্য সত্যিই খুব কাছাকাছি ছিল। ট্যাকলার পরিবার এমন আচরণ করেছিল যা আমাকে একেবারে অসুস্থ করে তোলে, এবং সিরিজটি দেখে আমি আমার গল্পটি শেয়ার করতে অনুপ্রাণিত হয়েছি। ২০১১ সালে ১৬ বছর বয়সে আমার হাঁটুতে আঘাত লেগেছিল। আমি আমার জিপির কাছে গিয়েছিলাম এবং তিনি Co-Codamol 15/500 লিখে দিয়েছিলেন এবং আমাকে একজন ফিজিওথেরাপিস্টের কাছে রেফার করেছিলেন। তাছাড়া, আমি কয়েক সপ্তাহ ধরে বড়িগুলি খেয়েছিলাম এবং আমার হাঁটুকে শক্তিশালী করার জন্য আমার ফিজিও অ্যাপয়েন্টমেন্টে গিয়েছিলাম। এটি কিছুক্ষণ ধরে চলেছিল, কিন্তু দুর্ভাগ্যবশত কয়েক মাস থেরাপি এবং কয়েক দফা ব্যথার ওষুধ খাওয়ার পরেও আমার হাঁটুর অবস্থা ভালো হচ্ছিল না। অবশেষে আমাকে একজন অর্থোপেডিক কনসালট্যান্টের কাছে রেফার করা হয়েছিল, যিনি সম্মত হন যে কী ঘটছে তা দেখার জন্য আমার MRI করা উচিত। MRI-এর ফলাফলে দেখা গেছে যে আমার হাঁটুতে কার্টিলেজ ছিঁড়ে গেছে এবং একটি প্রধান লিগামেন্টও আংশিকভাবে ছিঁড়ে গেছে। কনসালট্যান্ট আমার জন্য সবচেয়ে ভালো বিকল্পটি হল অস্ত্রোপচারের জন্য অপেক্ষমাণ তালিকায় থাকা, যা তখন প্রায় ১-১.৫ বছর দীর্ঘ ছিল। আমি অপেক্ষা করতে পেরে খুশি হলাম, কারণ ডাক্তারের অ্যাপয়েন্টমেন্ট, ফিজিওথেরাপি সেশন এবং ব্যথানাশক ওষুধের প্রেসক্রিপশন ইতিমধ্যেই কয়েক বছর হয়ে গেছে? আর আমি ভেবেছিলাম অতিরিক্ত অপেক্ষা করলে ঠিক হয়ে যাবে। অস্ত্রোপচারের জন্য অপেক্ষা করার সময়, ব্যথা আরও খারাপ হয়ে উঠছিল। আমি ফিজিওথেরাপিস্টের সাথে দেখা বন্ধ করে দিয়েছিলাম, কারণ কনসালট্যান্ট এখন জানতেন যে কোনও শক্তি প্রয়োগ করলেই আমার ব্যথা পুরোপুরি কমবে না। যাইহোক, থামার পর আমি দেখতে পেলাম ব্যথা আরও বেড়ে গেছে। আমি আমার জিপির কাছে ফিরে গেলাম, যিনি তখন কো-কোডামল 30/500 লিখে দিতে সক্ষম হয়েছিলেন, যা আমি আগের ডোজের দ্বিগুণ ছিল, কারণ সেই পর্যায়ে আমার বয়স 18 বছরের বেশি ছিল। দ্রুত আমি নিজেকে এই ওষুধের উপর নির্ভরশীল হতে দেখলাম। তারা আমার ব্যথা কমিয়েছে, কিন্তু আমি মিথ্যা বলতে পারি না - তারা আমাকে যেভাবে অনুভব করিয়েছে তাও আমি উপভোগ করেছি। আমি 4 সপ্তাহের পরিবর্তে 2 সপ্তাহের মধ্যে প্রেসক্রিপশনটি শেষ করতাম এবং ওভার-দ্য-কাউন্টার কো-কোডামল দিয়ে নিজেকে টপ-আপ করতাম, যতক্ষণ না আমার জিপির কাছ থেকে আরেকটি প্রেসক্রিপশন পাওয়ার সময় এসেছিল। এটি আমার জন্য কিছুটা চক্র হয়ে ওঠে - প্রেসক্রিপশন, ওটিসি, প্রেসক্রিপশন, ওটিসি....ইত্যাদি। অবশেষে ২০১৫ সালে ২০ বছর বয়সে আমার অস্ত্রোপচার হয়, তবুও ব্যথা রয়েই গেল। আমি আমার জিপির সাথে দেখা করতে থাকি, যিনি ওষুধ লিখে দিতে থাকেন এবং আমি বেশ আনন্দের সাথে তা গ্রহণ করতে থাকি। তাছাড়া, আমার জীবনের এই সময়ে আমি অত্যন্ত বিষণ্ণ ছিলাম। তাছাড়া, আমার ওজন অনেক বেড়ে গিয়েছিল এবং আমার চেহারা আমার ঘৃণার কারণ ছিল। কোডিন-ভিত্তিক ওষুধ খাওয়ার সময় আমার যে গুঞ্জন ছিল তা হল, আমাকে ভালো লাগা। অবশেষে আমি অনলাইন ফার্মেসি থেকে ডাইহাইড্রোকোডিন, একটি শক্তিশালী কোডিন-ভিত্তিক ব্যথানাশক, কিনতে শুরু করি। আমি এমন একটি চক্রে পড়ে যেতাম যেখানে আমি কয়েক সপ্তাহ ধরে কোডিন গ্রহণ করতাম এবং তারপর এক বা দুই সপ্তাহের জন্য বিরতি নিতাম। আমার মনে, আমি অল্প সময়ের জন্য ওষুধ বন্ধ করতে পারতাম বলেই আমি আসক্ত ছিলাম না। আমি নিজেকে বলেছিলাম যে বারবার ওষুধ বন্ধ করার ক্ষমতার অর্থ হল আরও ৫ বছর ধরে আমার কোনও সমস্যা ছিল না যতক্ষণ না আমি সম্পূর্ণ নিয়ন্ত্রণ হারিয়ে ফেলি। ২০২০ সালের মার্চ মাসে, আমি কর্মক্ষেত্রে নিজেকে কোভিডে আক্রান্ত হতে দেখি। এটা আমাকে বেশ কষ্ট দিয়েছিল, এবং আমার নিউমোনিয়া, প্লুরিসি এবং অসংখ্য অন্যান্য বুকের সংক্রমণ হয়েছিল, যা প্রতিবারই ফিরে আসতে থাকে যখনই আমি ভাবতাম যে আমি সুস্থ হতে শুরু করেছি। বুকের সমস্ত প্রদাহের কারণে আমার পিঠের ব্যথা যন্ত্রণাদায়ক ছিল, এবং আমি আমার জিপির কাছ থেকে আরও ব্যথানাশক নেওয়ার সুযোগ নিয়েছিলাম। তারা সাহায্য করেছিল, কিন্তু বছরের পর বছর ধরে আমার সহনশীলতা বেশ উচ্চ ছিল এবং তাদের কার্যকারিতা দ্রুত হ্রাস পায়। আমি আবার ফার্মেসিতে যেতে শুরু করি, কখনও কখনও একদিনে 4টি পর্যন্ত, ক্রমশ কোডিন-ভিত্তিক পণ্য কিনতে শুরু করি। আমি ক্রমাগত ভাবছিলাম যে আমি সম্প্রতি কোন ফার্মেসি ব্যবহার করিনি, কোনটি আমার ছিল, এবং কোনটি ব্যবহার করতে পারি যাতে কোনও সন্দেহ না হয়। তদুপরি, আমি কোথায় যাচ্ছি তা নিয়ে ক্রমাগত মিথ্যা বলতাম, কেবল কিছু বড়ি পেতে। তদুপরি, আমি অনলাইন ফার্মেসি ব্যবহার করতাম যাতে আমি শক্তিশালী প্রেসক্রিপশনের ওষুধ কিনতে পারি যা আমি চাইতাম। তদুপরি, আমি এই সাইটগুলির বেশ কয়েকটিতে অ্যাকাউন্ট তৈরি করেছিলাম, সেগুলির জন্য স্বাস্থ্য মূল্যায়ন করেছি এবং খুশি মনে আমার প্রেসক্রিপশনটি আমার দরজায় পৌঁছে দেওয়ার জন্য অর্থ প্রদান করেছি। এরপর এটি আমাকে অনলাইনে অন্যান্য ওষুধ খোঁজার দরজা খুলে দেয়। এক বা দুই মাস লকডাউন এবং আইসোলেশনের পর, আমি বুঝতে পারলাম যে কোডিন আর আমার জন্য যথেষ্ট নয়, এবং আমি অনলাইনে ডায়াজেপাম এবং অন্যান্য বেনজোডিয়াজেপাইন কেনার কথা ভাবতে শুরু করলাম। এর ফলে আমি সম্পূর্ণ নিম্নমুখী হয়ে পড়লাম, কারণ আমি যেকোনো উৎস থেকে যে কোনো বড়ি কিনছিলাম। এর (বেশিরভাগ সময়) অর্থ হল আমি ভারত থেকে বড়ি পাচ্ছিলাম, যেগুলো সম্ভবত সম্পূর্ণ নকল। এই সময়ে আমিও বেশ মদ্যপান করছিলাম? দিনে ৩০টিরও বেশি বড়ি খাওয়ার সময় এটি করা অত্যন্ত বিপজ্জনক। একবার, আমার এক বন্ধু আমার বাড়িতে এসে আমাকে প্রায় হট টাব থেকে বের করে আনতে হয়েছিল। আমি কয়েক মুঠো বড়ি (কোডিন এবং বেনজোডিয়াজেপাইনের মিশ্রণ) খেয়েছিলাম এবং তারপর বিকেলের জন্য ককটেল পান করতে শুরু করেছিলাম। আমরা সারাদিন মেসেজ করছিলাম, কিন্তু যখন আমি হঠাৎ সাড়া দেওয়া বন্ধ করে দিলাম, তখন সে স্বাভাবিকভাবেই অত্যন্ত উদ্বিগ্ন হয়ে পড়ল। সে এসে দেখে আমি হট টাবে প্রায় অজ্ঞান হয়ে পড়েছিলাম, হাতে একটি পানীয় নিয়ে। সম্ভবত এটিই ছিল আমার সবচেয়ে খারাপ মুহূর্তগুলির মধ্যে একটি। কিন্তু এটি আমাকে থামানোর জন্য যথেষ্ট ছিল না। আরেকবার, আমার মনে আছে, ঘুম থেকে উঠে আমি আগের দিন পোস্টে পাওয়া একটি স্লিভে ৪টি ডায়াজেপাম অবশিষ্ট দেখতে পাই। মোট ৬০টি ডায়াজেপাম ছিল, আর মাত্র ৪টি অবশিষ্ট ছিল। আগের রাতে আমি ৫৬টি ডায়াজেপাম (অনেক অ্যালকোহল সহ) খেয়েছিলাম এবং তা করার কথা আমার মনে নেই। আজও আমি জানি না যে আমি ইচ্ছাকৃতভাবে এটা করেছি কিনা এবং এটি আমাকে ভয় পায়। অতীতে আমি অনেকবার অতিরিক্ত মাত্রায় সেবন করেছি, কিন্তু কখনও ইচ্ছাকৃতভাবে নয়। কখনও কোনও কারণে নয়। তাই ভাবা যে আমি সম্ভবত এমন একটি জায়গায় আছি যেখানে আমি ইচ্ছাকৃতভাবে আমার জীবন শেষ করার জন্য অতিরিক্ত মাত্রায় সেবন করেছি, এটি আমার সবচেয়ে ভয়াবহ চিন্তাগুলির মধ্যে একটি। ২০২০ সালের গ্রীষ্মের মধ্যে, আমি কেবল আগের ব্যক্তির একটি খোলস ছিলাম। আমার নিজের মা আমাকে খুব কমই চিনতে পেরেছিলেন, যা আজও একটি বেদনাদায়ক চিন্তা। অবশেষে জুলাই মাসে যখন আমাকে শেষবারের মতো বসে থাকতে বলা হয়েছিল এবং আমার আচরণ বন্ধ করার প্রয়োজন বলে জানানো হয়েছিল, তখন আমি পদক্ষেপ নিয়েছিলাম। আমার সমস্যা স্বীকার করা আমার জন্য সবচেয়ে কঠিন কাজ ছিল, কিন্তু আমি খুব খুশি যে আমি তা করেছি। সেই সময় পর্যন্ত, আমি মাদকাসক্তির কোনও অভিযোগ অস্বীকার করেছিলাম এবং আমাকে দেওয়া কোনও সাহায্য বা পরামর্শ সম্পূর্ণরূপে উপেক্ষা করেছিলাম। এবারের সময়টা ছিল ভিন্ন। পরিস্থিতি পরিবর্তনের প্রয়োজন ছিল। আমি আবার কাজে ফিরে গিয়েছিলাম এবং আমার পুরানো অভ্যাসে ফিরে যাওয়ার জন্য যেকোনো প্রলোভন প্রতিরোধ করার জন্য যথাসাধ্য চেষ্টা করেছি। আমি প্রায় সঙ্গে সঙ্গেই বেনজোডিয়াজেপাইন বন্ধ করে দিয়েছিলাম, তারপর ব্যথানাশক ওষুধ ছেড়ে দেওয়ার জন্য চেষ্টা করেছিলাম, তারপর কয়েক সপ্তাহ পরে অ্যালকোহল খাওয়া কমিয়ে দিয়েছিলাম। তাছাড়া, আমার মনে হয় আমি সেই সময় আমার অ্যালকোহল সেবনের বিষয়েও নিজেকে মিথ্যা বলছিলাম, কিন্তু অবশেষে আমি তা নিয়ন্ত্রণে এনেছিলাম (একের পর এক লড়াই, তাই না?)। মার্চ-জুলাই পর্যন্ত, আমি খুব অন্ধকারে ছিলাম। আমি নিরাপদে বলতে পারি যে আমি একেবারে তলানিতে পৌঁছে গিয়েছিলাম এবং তারপর চালিয়ে গিয়েছিলাম। আমি জানি না আমার পরিবার এবং বন্ধুবান্ধব না থাকলে আমি কতক্ষণ বেঁচে থাকতাম। সেই সময় আমি যা কিছু করেছি তা তাদের দূরে ঠেলে দেওয়া উচিত ছিল, কিন্তু তারা সবকিছুর মধ্যে আমার সাথে লেগে ছিল এবং মূলত আমার জীবন বাঁচানোর জন্য আমি তাদের প্রতি অত্যন্ত কৃতজ্ঞ। আজ পর্যন্ত, আমি ৫৮১ দিন ধরে বেজোস এবং ৫৬৮ দিন ধরে কোডিন-ভিত্তিক ব্যথানাশক ওষুধ থেকে মুক্ত। আমি এখনও অ্যালকোহল পান করি, তবে আজকাল আমি আমার সেবন নিয়ে খুশি। আমার অনেক অন্তর্নিহিত মানসিক স্বাস্থ্য সমস্যা ছিল যা তখন আমার অ্যালকোহল সেবনকে ত্বরান্বিত করেছিল, কিন্তু এখন এগুলি স্বীকার করা হয়েছে এবং সমাধান করা হয়েছে, এবং আমি নিরাপদে বলতে পারি যে আমি এখন কেবল সামাজিক পরিবেশে পরিমিত পরিমাণে পানীয় উপভোগ করি। তাছাড়া, আমি আর লজ্জা এবং অনুশোচনা নিয়ে ঘুম থেকে উঠি না? শুধু একটি ভালো রাত কাটানোর সন্তুষ্টির অনুভূতি, এবং আমি মনে করি এটি এমন কিছু যা নিয়ে আমি সত্যিই গর্ব করতে পারি।</v>
      </c>
    </row>
    <row r="217" spans="1:3" ht="15" x14ac:dyDescent="0.25">
      <c r="A217" s="3" t="s">
        <v>219</v>
      </c>
      <c r="B217" s="3" t="s">
        <v>4</v>
      </c>
      <c r="C217" s="4" t="str">
        <f ca="1">IFERROR(__xludf.DUMMYFUNCTION("GOOGLETRANSLATE(A217, ""auto"", ""bn"")"),"আমার বয়স ১৬ বছর এবং আমি ধূমপান শুরু করতে চাই, কিন্তু একই সাথে করি না। আমি জানি অনেকেই বলবে এটা অস্বাস্থ্যকর, আসক্তিকর, আর এটা না করা উচিত। তবে, আমি এটা আমার মন থেকে মুছে ফেলতে পারছি না। যখনই, আমি আমার মায়ের সাথে দোকানে একটি প্যাকেটের মধ্যে একটি সিগারেটের"&amp;" দিকে তাকাই, তখনই আমি নিজেকে ধূমপান করার কল্পনা করি। সিগারেটের চিন্তা আমার মাথায় আটকে যায় এবং আমাকে আকৃষ্ট করে, যদিও আমি জানি যদি আমি কখনও এটি করি তবে আমি তাড়াতাড়ি মারা যাব। আমার কী করা উচিত? আমি জানি এটা অদ্ভুত শোনাচ্ছে।")</f>
        <v>আমার বয়স ১৬ বছর এবং আমি ধূমপান শুরু করতে চাই, কিন্তু একই সাথে করি না। আমি জানি অনেকেই বলবে এটা অস্বাস্থ্যকর, আসক্তিকর, আর এটা না করা উচিত। তবে, আমি এটা আমার মন থেকে মুছে ফেলতে পারছি না। যখনই, আমি আমার মায়ের সাথে দোকানে একটি প্যাকেটের মধ্যে একটি সিগারেটের দিকে তাকাই, তখনই আমি নিজেকে ধূমপান করার কল্পনা করি। সিগারেটের চিন্তা আমার মাথায় আটকে যায় এবং আমাকে আকৃষ্ট করে, যদিও আমি জানি যদি আমি কখনও এটি করি তবে আমি তাড়াতাড়ি মারা যাব। আমার কী করা উচিত? আমি জানি এটা অদ্ভুত শোনাচ্ছে।</v>
      </c>
    </row>
    <row r="218" spans="1:3" ht="15" x14ac:dyDescent="0.25">
      <c r="A218" s="3" t="s">
        <v>220</v>
      </c>
      <c r="B218" s="3" t="s">
        <v>4</v>
      </c>
      <c r="C218" s="4" t="str">
        <f ca="1">IFERROR(__xludf.DUMMYFUNCTION("GOOGLETRANSLATE(A218, ""auto"", ""bn"")"),"ছোটবেলায় আমি যে জিনিসটা কাটিয়ে উঠতে পারতাম না তা হলো, আমি নিজেকে সীমাবদ্ধ করে ফেলছিলাম, এই একটা ক্ষেত্রে নিজেকে বেছে নেওয়ার স্বাধীনতা থেকে বঞ্চিত করছিলাম। মাঝে মাঝে ব্যবহারের স্বাধীনতা। ২৫ বছরের নির্যাতন, অবহেলা, আমার সমস্ত স্বপ্ন, প্রচেষ্টা, সম্পর্ক এ"&amp;"বং খ্যাতি সবকিছুই এড়িয়ে চললাম। আর এই সীমাবদ্ধতা মেনে নেওয়া আমাকে আমার জীবন পুনর্নির্মাণের সম্পূর্ণ স্বাধীনতা দিয়েছে। এটি আমার বেশিরভাগ স্বাস্থ্য, চিন্তাভাবনা এবং যুক্তি করার ক্ষমতা পুনরুদ্ধার করেছে এবং আমার প্রিয় মানুষদের ফিরিয়ে এনেছে। আমি কর্পোরেট "&amp;"আমেরিকায় চাকরি ফিরে পাওয়ার এবং আমার ডিগ্রি কাজে লাগানোর দ্বারপ্রান্তে পৌঁছেছি। বেছে নেওয়ার হারানো ক্ষমতা আমার গ্রহণযোগ্যতা ছিল অযৌক্তিক। যারা এই পথে এসেছেন তাদের কথা শুনে আপনি সত্যিই নিজেকে কিছুটা কষ্ট থেকে বাঁচাতে পারেন। নিজেকে সুযোগ দিন, আশা করুন, বন"&amp;"্ধুত্ব এবং ভালোবাসা আপনার জীবনে ফিরে আসুন। এই দানবদের ছেড়ে দিন।")</f>
        <v>ছোটবেলায় আমি যে জিনিসটা কাটিয়ে উঠতে পারতাম না তা হলো, আমি নিজেকে সীমাবদ্ধ করে ফেলছিলাম, এই একটা ক্ষেত্রে নিজেকে বেছে নেওয়ার স্বাধীনতা থেকে বঞ্চিত করছিলাম। মাঝে মাঝে ব্যবহারের স্বাধীনতা। ২৫ বছরের নির্যাতন, অবহেলা, আমার সমস্ত স্বপ্ন, প্রচেষ্টা, সম্পর্ক এবং খ্যাতি সবকিছুই এড়িয়ে চললাম। আর এই সীমাবদ্ধতা মেনে নেওয়া আমাকে আমার জীবন পুনর্নির্মাণের সম্পূর্ণ স্বাধীনতা দিয়েছে। এটি আমার বেশিরভাগ স্বাস্থ্য, চিন্তাভাবনা এবং যুক্তি করার ক্ষমতা পুনরুদ্ধার করেছে এবং আমার প্রিয় মানুষদের ফিরিয়ে এনেছে। আমি কর্পোরেট আমেরিকায় চাকরি ফিরে পাওয়ার এবং আমার ডিগ্রি কাজে লাগানোর দ্বারপ্রান্তে পৌঁছেছি। বেছে নেওয়ার হারানো ক্ষমতা আমার গ্রহণযোগ্যতা ছিল অযৌক্তিক। যারা এই পথে এসেছেন তাদের কথা শুনে আপনি সত্যিই নিজেকে কিছুটা কষ্ট থেকে বাঁচাতে পারেন। নিজেকে সুযোগ দিন, আশা করুন, বন্ধুত্ব এবং ভালোবাসা আপনার জীবনে ফিরে আসুন। এই দানবদের ছেড়ে দিন।</v>
      </c>
    </row>
    <row r="219" spans="1:3" ht="15" x14ac:dyDescent="0.25">
      <c r="A219" s="3" t="s">
        <v>221</v>
      </c>
      <c r="B219" s="3" t="s">
        <v>4</v>
      </c>
      <c r="C219" s="4" t="str">
        <f ca="1">IFERROR(__xludf.DUMMYFUNCTION("GOOGLETRANSLATE(A219, ""auto"", ""bn"")"),"আশা করি সবাই ভালো আছেন, আমি নিশ্চিত ছিলাম না কোথায় পোস্ট করবো, কিন্তু ভেবেছিলাম অন্যরা বুঝতে পারবে। এতদিন ধরে আমি পরিষ্কার ছিলাম কিন্তু অনেক কিছুর সাথে লড়াই করছি, একটা বড় ব্যাপার হল আমি প্রায়শই কাজ করার জন্য একটি জোনে (উচ্চ) থাকতে অভ্যস্ত ছিলাম। তা সত"&amp;"্ত্বেও, আমি মনে করি আমার প্রেরণা এবং শৃঙ্খলা অনেক কষ্ট পেয়েছে এবং অনেক পরিশ্রমের প্রয়োজন। যারা এই চ্যালেঞ্জগুলি কাটিয়ে উঠতে এবং আরও অনেক কিছু করার জন্য নিজেকে সময় দিয়েছেন তাদের জন্য আপনি কোন পদক্ষেপ বা সুপারিশ দেবেন? আমি প্রায়শই এটি অনুভব না করলে খু"&amp;"ব কমই নড়াচড়া করি, এবং এটি বিভিন্ন রূপে হতে পারে, তা ক্যাফিন হোক, ঘুম থেকে ওঠার ফলে জেগে ওঠা শক্তি। আমি কেবল ছড়িয়ে ছিটিয়ে আছি এবং সবকিছুতে খারাপভাবে ব্যর্থ, আমি এখনও ব্যবহার করতে চাই না কিন্তু প্রতিরোধ করেছি কারণ আমি জানি দুর্বল মানসিকতার বাইরে বেড়ে "&amp;"ওঠা সম্ভব। তদুপরি, আমি আশা করি আমি যুক্তিসঙ্গত।")</f>
        <v>আশা করি সবাই ভালো আছেন, আমি নিশ্চিত ছিলাম না কোথায় পোস্ট করবো, কিন্তু ভেবেছিলাম অন্যরা বুঝতে পারবে। এতদিন ধরে আমি পরিষ্কার ছিলাম কিন্তু অনেক কিছুর সাথে লড়াই করছি, একটা বড় ব্যাপার হল আমি প্রায়শই কাজ করার জন্য একটি জোনে (উচ্চ) থাকতে অভ্যস্ত ছিলাম। তা সত্ত্বেও, আমি মনে করি আমার প্রেরণা এবং শৃঙ্খলা অনেক কষ্ট পেয়েছে এবং অনেক পরিশ্রমের প্রয়োজন। যারা এই চ্যালেঞ্জগুলি কাটিয়ে উঠতে এবং আরও অনেক কিছু করার জন্য নিজেকে সময় দিয়েছেন তাদের জন্য আপনি কোন পদক্ষেপ বা সুপারিশ দেবেন? আমি প্রায়শই এটি অনুভব না করলে খুব কমই নড়াচড়া করি, এবং এটি বিভিন্ন রূপে হতে পারে, তা ক্যাফিন হোক, ঘুম থেকে ওঠার ফলে জেগে ওঠা শক্তি। আমি কেবল ছড়িয়ে ছিটিয়ে আছি এবং সবকিছুতে খারাপভাবে ব্যর্থ, আমি এখনও ব্যবহার করতে চাই না কিন্তু প্রতিরোধ করেছি কারণ আমি জানি দুর্বল মানসিকতার বাইরে বেড়ে ওঠা সম্ভব। তদুপরি, আমি আশা করি আমি যুক্তিসঙ্গত।</v>
      </c>
    </row>
    <row r="220" spans="1:3" ht="15" x14ac:dyDescent="0.25">
      <c r="A220" s="3" t="s">
        <v>222</v>
      </c>
      <c r="B220" s="3" t="s">
        <v>4</v>
      </c>
      <c r="C220" s="4" t="str">
        <f ca="1">IFERROR(__xludf.DUMMYFUNCTION("GOOGLETRANSLATE(A220, ""auto"", ""bn"")"),"ক্যাফিনের বাষ্পে চলমান নিকোটিন স্বপ্ন, মগের উপর থেকে মুক্তভাবে পানীয় বের করা, সিগারেটের ধোঁয়ায় ডুবে থাকা, আয়নাকে ঝাপসা করে দেওয়া... অভ্যাসগত নিজেকে অ্যাসিটাইলকোলিন-আইসি শকে প্ররোচিত করা, কারও প্যারাসিমপ্যাথেটিক দাগের সংক্রমণে বাধা দেওয়া... স্নায়ুতন"&amp;"্ত্র জুড়ে ছড়িয়ে থাকা, পেশী সংকুচিত করা, রক্তনালীগুলি প্রসারিত করা, ক্ষরণ বৃদ্ধি করা এবং হৃদয়ের জৈবিক ছন্দে ওঠানামা করা... প্রাকৃতিক পুরষ্কার ক্যাপ্টেনদের, কারও জাহাজের অপহরণ করা... ত্যাগ করার বৈধতা... একটি অবাস্তব প্রত্যাশার যন্ত্রণা কাটিয়ে ওঠা... নি"&amp;"য়ম প্রমাণ করার জন্য ব্যতিক্রম ধরে নেওয়া... প্রক্রিয়াটি স্বীকৃতি দেওয়া... এই সচেতনতা অনুশীলন করা... অসাবধানতাকে চ্যালেঞ্জ করা... মনের জটিল মিথস্ক্রিয়াগুলি সরলীকৃত হওয়ার জন্য ভিক্ষা করছে... X এর জন্য সমাধান করুন... নাকি এটি Y ছিল? পরিবেশগত বিপদ জিনতত্"&amp;"ত্বের সাথে মিশে আছে... পরিবর্তনশীল পরিবর্তন বিভিন্ন ফলাফল অর্জন করছে... আবেগ একজনের সম্পূর্ণ বিচারের উপর নিয়ন্ত্রণ করে... আমরা কী নই তা আবিষ্কার করে সম্পূর্ণরূপে পুনরুদ্ধার করা... শীর্ষে উঠতে এবং আমরা আসলে কে হতে পারি তা দেখতে উত্তেজিত... প্রাক-চিন্তা চি"&amp;"ন্তাভাবনার দিকে পরিচালিত করে... আর কোনও ক্ষতিপূরণের প্রয়োজন নেই... যা অসম্ভব বলে মনে হয় তার দ্বিধাগ্রস্ত অস্বীকার এমন একটি রাজ্যে প্রবেশ করে যা আমরা যখন আমাদের নিজস্ব ব্যক্তিগত সংগ্রামের নম্রতা স্বীকার করি তখন সম্ভাব্য... পদক্ষেপ নেওয়া জিনিসগুলিকে ঘটান"&amp;"ো। উচ্চাকাঙ্ক্ষার অনুভূতি প্রতিষ্ঠা করা... অর্জনের জন্য কিছু নিয়ে... ... বিশ্বাসের বাইরে... সহায়ক মানুষ, খোলা বাহুতে... ক্ষতি হ্রাস করুন, এবং অভ্যন্তরীণ উদ্বেগ দূর করুন... সীমানা নির্ধারণ করুন... ধাপগুলি অনুসরণ করুন... পাথর থেকে পাথরে... জেনে রাখা যে, এ"&amp;"মনকি যখন মনে হয় আপনি একা, তবুও, আপনি একা নন... উদ্বেগের মধ্য দিয়ে চলাচল করা... নিজের সমাজ পুনর্গঠন করা... উন্নত মানসিক স্বাস্থ্যের ব্যবস্থা সহ, বৃহত্তর মানসিক সম্পদের সিদ্ধান্ত প্রদান করা... গভীর নিঃশ্বাসের উন্নয়নে বিনিয়োগ করার সিদ্ধান্ত নেওয়া... কিন"&amp;"্তু, জ্ঞানীয় আচরণগত সত্য হল যে জিনিসগুলি আর কখনও একই রকম হবে না... এবং তাই আমাদের যা শিখছি তার বোঝা আমাদের আলিঙ্গন করতে হবে যাতে আমরা সেগুলিকে সোনায় পরিণত করতে পারি... আমাদের আত্মার উপাদান... দেখার মতো কিছু... ""একটি মননশীল থেরাপিউটিক সৌন্দর্য যা কেবল উ"&amp;"ন্মোচিত হওয়া উচিত""")</f>
        <v>ক্যাফিনের বাষ্পে চলমান নিকোটিন স্বপ্ন, মগের উপর থেকে মুক্তভাবে পানীয় বের করা, সিগারেটের ধোঁয়ায় ডুবে থাকা, আয়নাকে ঝাপসা করে দেওয়া... অভ্যাসগত নিজেকে অ্যাসিটাইলকোলিন-আইসি শকে প্ররোচিত করা, কারও প্যারাসিমপ্যাথেটিক দাগের সংক্রমণে বাধা দেওয়া... স্নায়ুতন্ত্র জুড়ে ছড়িয়ে থাকা, পেশী সংকুচিত করা, রক্তনালীগুলি প্রসারিত করা, ক্ষরণ বৃদ্ধি করা এবং হৃদয়ের জৈবিক ছন্দে ওঠানামা করা... প্রাকৃতিক পুরষ্কার ক্যাপ্টেনদের, কারও জাহাজের অপহরণ করা... ত্যাগ করার বৈধতা... একটি অবাস্তব প্রত্যাশার যন্ত্রণা কাটিয়ে ওঠা... নিয়ম প্রমাণ করার জন্য ব্যতিক্রম ধরে নেওয়া... প্রক্রিয়াটি স্বীকৃতি দেওয়া... এই সচেতনতা অনুশীলন করা... অসাবধানতাকে চ্যালেঞ্জ করা... মনের জটিল মিথস্ক্রিয়াগুলি সরলীকৃত হওয়ার জন্য ভিক্ষা করছে... X এর জন্য সমাধান করুন... নাকি এটি Y ছিল? পরিবেশগত বিপদ জিনতত্ত্বের সাথে মিশে আছে... পরিবর্তনশীল পরিবর্তন বিভিন্ন ফলাফল অর্জন করছে... আবেগ একজনের সম্পূর্ণ বিচারের উপর নিয়ন্ত্রণ করে... আমরা কী নই তা আবিষ্কার করে সম্পূর্ণরূপে পুনরুদ্ধার করা... শীর্ষে উঠতে এবং আমরা আসলে কে হতে পারি তা দেখতে উত্তেজিত... প্রাক-চিন্তা চিন্তাভাবনার দিকে পরিচালিত করে... আর কোনও ক্ষতিপূরণের প্রয়োজন নেই... যা অসম্ভব বলে মনে হয় তার দ্বিধাগ্রস্ত অস্বীকার এমন একটি রাজ্যে প্রবেশ করে যা আমরা যখন আমাদের নিজস্ব ব্যক্তিগত সংগ্রামের নম্রতা স্বীকার করি তখন সম্ভাব্য... পদক্ষেপ নেওয়া জিনিসগুলিকে ঘটানো। উচ্চাকাঙ্ক্ষার অনুভূতি প্রতিষ্ঠা করা... অর্জনের জন্য কিছু নিয়ে... ... বিশ্বাসের বাইরে... সহায়ক মানুষ, খোলা বাহুতে... ক্ষতি হ্রাস করুন, এবং অভ্যন্তরীণ উদ্বেগ দূর করুন... সীমানা নির্ধারণ করুন... ধাপগুলি অনুসরণ করুন... পাথর থেকে পাথরে... জেনে রাখা যে, এমনকি যখন মনে হয় আপনি একা, তবুও, আপনি একা নন... উদ্বেগের মধ্য দিয়ে চলাচল করা... নিজের সমাজ পুনর্গঠন করা... উন্নত মানসিক স্বাস্থ্যের ব্যবস্থা সহ, বৃহত্তর মানসিক সম্পদের সিদ্ধান্ত প্রদান করা... গভীর নিঃশ্বাসের উন্নয়নে বিনিয়োগ করার সিদ্ধান্ত নেওয়া... কিন্তু, জ্ঞানীয় আচরণগত সত্য হল যে জিনিসগুলি আর কখনও একই রকম হবে না... এবং তাই আমাদের যা শিখছি তার বোঝা আমাদের আলিঙ্গন করতে হবে যাতে আমরা সেগুলিকে সোনায় পরিণত করতে পারি... আমাদের আত্মার উপাদান... দেখার মতো কিছু... "একটি মননশীল থেরাপিউটিক সৌন্দর্য যা কেবল উন্মোচিত হওয়া উচিত"</v>
      </c>
    </row>
    <row r="221" spans="1:3" ht="15" x14ac:dyDescent="0.25">
      <c r="A221" s="3" t="s">
        <v>223</v>
      </c>
      <c r="B221" s="3" t="s">
        <v>4</v>
      </c>
      <c r="C221" s="4" t="str">
        <f ca="1">IFERROR(__xludf.DUMMYFUNCTION("GOOGLETRANSLATE(A221, ""auto"", ""bn"")"),"আমার চাচাতো ভাইয়ের ছেলে আমাকে পর্নের সাথে পরিচয় করিয়ে দেওয়ার আগে পর্যন্ত আমি খুব খুশি ছিলাম। গত ৮ বছর ধরে আমি নগ্ন মহিলাদের পিক্সেলেটেড সেক্স দেখার সময় অনেক সময় কাটিয়েছি। এবং আমি কম সামাজিক হয়ে উঠছি। এখন আমার স্বাস্থ্যের অবস্থা সবচেয়ে খারাপ, আমি "&amp;"চাই অনেক আগেই আমি এই ফাঁদে না পড়তাম।")</f>
        <v>আমার চাচাতো ভাইয়ের ছেলে আমাকে পর্নের সাথে পরিচয় করিয়ে দেওয়ার আগে পর্যন্ত আমি খুব খুশি ছিলাম। গত ৮ বছর ধরে আমি নগ্ন মহিলাদের পিক্সেলেটেড সেক্স দেখার সময় অনেক সময় কাটিয়েছি। এবং আমি কম সামাজিক হয়ে উঠছি। এখন আমার স্বাস্থ্যের অবস্থা সবচেয়ে খারাপ, আমি চাই অনেক আগেই আমি এই ফাঁদে না পড়তাম।</v>
      </c>
    </row>
    <row r="222" spans="1:3" ht="15" x14ac:dyDescent="0.25">
      <c r="A222" s="3" t="s">
        <v>224</v>
      </c>
      <c r="B222" s="3" t="s">
        <v>4</v>
      </c>
      <c r="C222" s="4" t="str">
        <f ca="1">IFERROR(__xludf.DUMMYFUNCTION("GOOGLETRANSLATE(A222, ""auto"", ""bn"")"),"আমি জিপারের হাতল কেটে ওষুধের ব্যাগে ঢুকেছিলাম (দুটি হাতল আছে এবং একটি তালা দিয়ে সেগুলো একসাথে আটকে আছে)। কেন আমি এটা করলাম তা বুঝতে পারছি না। আমি তাৎক্ষণিকভাবে আতঙ্কিত হয়ে পড়েছিলাম এবং অনুতপ্ত হয়ে ব্যাগটিও খুলিনি। আমি এটি আবার একসাথে আঠা দিয়ে লাগানোর"&amp;" চেষ্টা করেছি কিন্তু পারিনি, তাই এখন আমাকে অপেক্ষা করতে হবে যতক্ষণ না তারা লক্ষ্য করে এবং তারপর তারা ভয় পেয়ে আমার উপর চিৎকার করবে এবং আমাকে পুনর্বাসনে পাঠাবে যদিও আমার এটির প্রয়োজন নেই। তারা হয় এমন আচরণ করবে যেন আমার কোনও সমস্যা নেই, অথবা বলবে যে আমি "&amp;"যদি কোনও ওষুধ খাই তবে আমাকে অবিলম্বে পুনর্বাসনে যেতে হবে। আমি কিছুই খাইনি কিন্তু তারা আমাকে বিশ্বাস করবে না অথবা তারা কেবল পাত্তা দেবে না, তারা কেবল একটি বোকা ছেলে দেখতে পাবে যে সমস্যা তৈরি করছে।")</f>
        <v>আমি জিপারের হাতল কেটে ওষুধের ব্যাগে ঢুকেছিলাম (দুটি হাতল আছে এবং একটি তালা দিয়ে সেগুলো একসাথে আটকে আছে)। কেন আমি এটা করলাম তা বুঝতে পারছি না। আমি তাৎক্ষণিকভাবে আতঙ্কিত হয়ে পড়েছিলাম এবং অনুতপ্ত হয়ে ব্যাগটিও খুলিনি। আমি এটি আবার একসাথে আঠা দিয়ে লাগানোর চেষ্টা করেছি কিন্তু পারিনি, তাই এখন আমাকে অপেক্ষা করতে হবে যতক্ষণ না তারা লক্ষ্য করে এবং তারপর তারা ভয় পেয়ে আমার উপর চিৎকার করবে এবং আমাকে পুনর্বাসনে পাঠাবে যদিও আমার এটির প্রয়োজন নেই। তারা হয় এমন আচরণ করবে যেন আমার কোনও সমস্যা নেই, অথবা বলবে যে আমি যদি কোনও ওষুধ খাই তবে আমাকে অবিলম্বে পুনর্বাসনে যেতে হবে। আমি কিছুই খাইনি কিন্তু তারা আমাকে বিশ্বাস করবে না অথবা তারা কেবল পাত্তা দেবে না, তারা কেবল একটি বোকা ছেলে দেখতে পাবে যে সমস্যা তৈরি করছে।</v>
      </c>
    </row>
    <row r="223" spans="1:3" ht="15" x14ac:dyDescent="0.25">
      <c r="A223" s="3" t="s">
        <v>225</v>
      </c>
      <c r="B223" s="3" t="s">
        <v>4</v>
      </c>
      <c r="C223" s="4" t="str">
        <f ca="1">IFERROR(__xludf.DUMMYFUNCTION("GOOGLETRANSLATE(A223, ""auto"", ""bn"")"),"বাস্তবতার অস্থিরতা এবং সময়ের ক্ষণস্থায়ী প্রবাহ চিরকাল অস্পষ্ট বা পরম থেকে যায়। বস্তুগত জিনিসপত্র এবং অন্যান্য জিনিসের সন্ধানকারী জীবন কেন এর উত্তর হবে? এটা এত স্পষ্ট যে এটাই আসল সমস্যা। কেউ যা ভাবুক, অনুভব করুক বা বিশ্বাস করুক না কেন, পরিবর্তনশীল যেকোনো"&amp;" কিছু ধরে রাখার চেষ্টা করা। আমরা প্রতারক এবং আমি আর এই বুলশিট গেমটি খেলতে পারি না। আমি যে বুলশিট গেমটির কথা বলছি তা হল আমরা বাস করি এমন একটি পাগলাটে গল্প। পুঁজিবাদী লোভ যার মধ্যে অগ্রগতির তীর রয়েছে, যা দ্রুতগতিতে উপরে নির্দেশ করে। আমিও সবার মতো একজন আসক্"&amp;"ত। আমরা সবাই 'নিজেদের সাথে এতটাই আত্মকেন্দ্রিকভাবে জড়িত? বাস্তবতার সত্যে আমরা অন্ধ। আমি কীভাবে আমার উপর কিছুটা সন্তুষ্ট না হতে পারি? আমার সবকিছু আছে এবং আরও অনেক কিছু। সম্ভবত কিছু লোক যা স্বপ্ন দেখে, তবুও আমি নিজেকে ভালোবাসতে পারি না। বৈধভাবে নিজেকে ভালো"&amp;"বাসতে কী লাগে?")</f>
        <v>বাস্তবতার অস্থিরতা এবং সময়ের ক্ষণস্থায়ী প্রবাহ চিরকাল অস্পষ্ট বা পরম থেকে যায়। বস্তুগত জিনিসপত্র এবং অন্যান্য জিনিসের সন্ধানকারী জীবন কেন এর উত্তর হবে? এটা এত স্পষ্ট যে এটাই আসল সমস্যা। কেউ যা ভাবুক, অনুভব করুক বা বিশ্বাস করুক না কেন, পরিবর্তনশীল যেকোনো কিছু ধরে রাখার চেষ্টা করা। আমরা প্রতারক এবং আমি আর এই বুলশিট গেমটি খেলতে পারি না। আমি যে বুলশিট গেমটির কথা বলছি তা হল আমরা বাস করি এমন একটি পাগলাটে গল্প। পুঁজিবাদী লোভ যার মধ্যে অগ্রগতির তীর রয়েছে, যা দ্রুতগতিতে উপরে নির্দেশ করে। আমিও সবার মতো একজন আসক্ত। আমরা সবাই 'নিজেদের সাথে এতটাই আত্মকেন্দ্রিকভাবে জড়িত? বাস্তবতার সত্যে আমরা অন্ধ। আমি কীভাবে আমার উপর কিছুটা সন্তুষ্ট না হতে পারি? আমার সবকিছু আছে এবং আরও অনেক কিছু। সম্ভবত কিছু লোক যা স্বপ্ন দেখে, তবুও আমি নিজেকে ভালোবাসতে পারি না। বৈধভাবে নিজেকে ভালোবাসতে কী লাগে?</v>
      </c>
    </row>
    <row r="224" spans="1:3" ht="15" x14ac:dyDescent="0.25">
      <c r="A224" s="3" t="s">
        <v>226</v>
      </c>
      <c r="B224" s="3" t="s">
        <v>4</v>
      </c>
      <c r="C224" s="4" t="str">
        <f ca="1">IFERROR(__xludf.DUMMYFUNCTION("GOOGLETRANSLATE(A224, ""auto"", ""bn"")"),"আমার বয়স ১৮ বছর, আর আমার মনে হয় আমি ধীরে ধীরে কিন্তু নিশ্চিতভাবেই অনলাইন জুয়ার প্রতি আসক্ত হয়ে পড়ছি। শুরুটা হয়েছিল আমার বন্ধুরা লাইভ ব্ল্যাকজ্যাকে ৩০ ডলার জিতেছে বলে গর্ব করার সময় থেকে। আমি আগ্রহী ছিলাম এবং দেখতে চাইতাম আমিও জিততে পারি কিনা, তাই মাঝে মাঝে"&amp;" ১০ ডলার জমাতে শুরু করি। সমস্যা শুরু হয় যখন আমি আরও বেশি টাকা জিততে থাকতাম। আমি কখনোই একটাও সেশন ছেড়ে আমার টাকা ফেরত না পেয়ে যেতাম না। আমার সেশনগুলো মাঝে মাঝে ১০ ডলার থেকে প্রতি সপ্তাহান্তে ২০ ডলারে চলে যেত। তারপর প্রায় ৩ সপ্তাহ আগে আমি আমার জিনিসপত্র হার"&amp;"িয়ে ফেলি এবং এক রাতে লাইভ ক্যাসিনোতে ১৪০ ডলার জমানোর সিদ্ধান্ত নিই, একবার যখন আমি সেই পরিমাণ টাকা হারিয়ে ফেলি তখন আমি আরও ৮০ ডলার জমানোর সিদ্ধান্ত নিই কারণ আমি সবকিছু ফেরত পেতে চাই। তারপর অবাক হয়ে আমি ১৬০০ ডলার জিতে নিলাম এবং নিজেকে বললাম যে আমি আর কখনও জ"&amp;"ুয়া খেলব না, কারণ এত বড় জয় আর কখনও হবে না। অবশ্যই কয়েক সপ্তাহ পরে আমি আবার এতে ফিরে আসি, এবং আজ আমি আরও ১০০ ডলার জিতেছি। আমি জানি না এখন কী করব, আমি সত্যিই জুয়া খেলতে চাই কারণ আমি এখনও হারিনি। বিরক্ত হলে লাইভ ক্যাসিনোতে ঝাঁপিয়ে পড়া খুব সহজ। আমার মনে হয়"&amp;" এমন কোনও পথে যাওয়ার আগে আমাকে থামতে হবে যার জন্য আমি অনুতপ্ত হব। এই আসক্তি বন্ধ করার জন্য আমার কী করা উচিত?")</f>
        <v>আমার বয়স ১৮ বছর, আর আমার মনে হয় আমি ধীরে ধীরে কিন্তু নিশ্চিতভাবেই অনলাইন জুয়ার প্রতি আসক্ত হয়ে পড়ছি। শুরুটা হয়েছিল আমার বন্ধুরা লাইভ ব্ল্যাকজ্যাকে ৩০ ডলার জিতেছে বলে গর্ব করার সময় থেকে। আমি আগ্রহী ছিলাম এবং দেখতে চাইতাম আমিও জিততে পারি কিনা, তাই মাঝে মাঝে ১০ ডলার জমাতে শুরু করি। সমস্যা শুরু হয় যখন আমি আরও বেশি টাকা জিততে থাকতাম। আমি কখনোই একটাও সেশন ছেড়ে আমার টাকা ফেরত না পেয়ে যেতাম না। আমার সেশনগুলো মাঝে মাঝে ১০ ডলার থেকে প্রতি সপ্তাহান্তে ২০ ডলারে চলে যেত। তারপর প্রায় ৩ সপ্তাহ আগে আমি আমার জিনিসপত্র হারিয়ে ফেলি এবং এক রাতে লাইভ ক্যাসিনোতে ১৪০ ডলার জমানোর সিদ্ধান্ত নিই, একবার যখন আমি সেই পরিমাণ টাকা হারিয়ে ফেলি তখন আমি আরও ৮০ ডলার জমানোর সিদ্ধান্ত নিই কারণ আমি সবকিছু ফেরত পেতে চাই। তারপর অবাক হয়ে আমি ১৬০০ ডলার জিতে নিলাম এবং নিজেকে বললাম যে আমি আর কখনও জুয়া খেলব না, কারণ এত বড় জয় আর কখনও হবে না। অবশ্যই কয়েক সপ্তাহ পরে আমি আবার এতে ফিরে আসি, এবং আজ আমি আরও ১০০ ডলার জিতেছি। আমি জানি না এখন কী করব, আমি সত্যিই জুয়া খেলতে চাই কারণ আমি এখনও হারিনি। বিরক্ত হলে লাইভ ক্যাসিনোতে ঝাঁপিয়ে পড়া খুব সহজ। আমার মনে হয় এমন কোনও পথে যাওয়ার আগে আমাকে থামতে হবে যার জন্য আমি অনুতপ্ত হব। এই আসক্তি বন্ধ করার জন্য আমার কী করা উচিত?</v>
      </c>
    </row>
    <row r="225" spans="1:3" ht="15" x14ac:dyDescent="0.25">
      <c r="A225" s="3" t="s">
        <v>227</v>
      </c>
      <c r="B225" s="3" t="s">
        <v>4</v>
      </c>
      <c r="C225" s="4" t="str">
        <f ca="1">IFERROR(__xludf.DUMMYFUNCTION("GOOGLETRANSLATE(A225, ""auto"", ""bn"")"),"আমার PTSD সামাজিক উদ্বেগজনিত বিষণ্ণতা আছে এবং আমি ওষুধ খাই। কিন্তু আমার জন্য, এটি এখনও যথেষ্ট ছিল না। আমি এখনও আত্মহত্যা করতে চেয়েছিলাম এখন আমি মাথাব্যথার জন্য গাঁজা এবং অন্যান্য এলোমেলো ওষুধ এবং ঘুমের ওষুধ একসাথে খাই, যাতে আমি একবারের জন্য ঘুমাতে পারি। "&amp;"এবং এখন আমি প্রচণ্ডভাবে আসক্ত। আমি ভয় পাই যে IMA আরও খারাপ হয়ে যাবে। কারণ প্রতিবার আমার বেশি ডোজ প্রয়োজন। যখন আমি গাঁজা এবং বড়ি এবং ঘুমের ওষুধ ছেড়ে দেওয়ার চেষ্টা করি তখন আমার ভয় লাগে, প্যানিক অ্যাটাক হয়, হৃদস্পন্দন অদ্ভুত এবং কখনও কখনও আত্মহত্যাকে"&amp;" আরও ভাল বিকল্প হিসাবে বিবেচনা করি। আমি খুব ভয় পাই কারণ আমি আজ ছেড়ে দেওয়ার চেষ্টা করছি এবং আমি নিজেকে ভয় পাই। তাছাড়া, কীভাবে ছেড়ে দেব সে সম্পর্কে আমার টিপস প্রয়োজন দয়া করে যদি কেউ থাকে তবে দয়া করে কিছু সাহায্য করবে।")</f>
        <v>আমার PTSD সামাজিক উদ্বেগজনিত বিষণ্ণতা আছে এবং আমি ওষুধ খাই। কিন্তু আমার জন্য, এটি এখনও যথেষ্ট ছিল না। আমি এখনও আত্মহত্যা করতে চেয়েছিলাম এখন আমি মাথাব্যথার জন্য গাঁজা এবং অন্যান্য এলোমেলো ওষুধ এবং ঘুমের ওষুধ একসাথে খাই, যাতে আমি একবারের জন্য ঘুমাতে পারি। এবং এখন আমি প্রচণ্ডভাবে আসক্ত। আমি ভয় পাই যে IMA আরও খারাপ হয়ে যাবে। কারণ প্রতিবার আমার বেশি ডোজ প্রয়োজন। যখন আমি গাঁজা এবং বড়ি এবং ঘুমের ওষুধ ছেড়ে দেওয়ার চেষ্টা করি তখন আমার ভয় লাগে, প্যানিক অ্যাটাক হয়, হৃদস্পন্দন অদ্ভুত এবং কখনও কখনও আত্মহত্যাকে আরও ভাল বিকল্প হিসাবে বিবেচনা করি। আমি খুব ভয় পাই কারণ আমি আজ ছেড়ে দেওয়ার চেষ্টা করছি এবং আমি নিজেকে ভয় পাই। তাছাড়া, কীভাবে ছেড়ে দেব সে সম্পর্কে আমার টিপস প্রয়োজন দয়া করে যদি কেউ থাকে তবে দয়া করে কিছু সাহায্য করবে।</v>
      </c>
    </row>
    <row r="226" spans="1:3" ht="15" x14ac:dyDescent="0.25">
      <c r="A226" s="3" t="s">
        <v>228</v>
      </c>
      <c r="B226" s="3" t="s">
        <v>4</v>
      </c>
      <c r="C226" s="4" t="str">
        <f ca="1">IFERROR(__xludf.DUMMYFUNCTION("GOOGLETRANSLATE(A226, ""auto"", ""bn"")"),"আমি দুই মাস ধরে আসক্ত। আমি ব্যক্তিগতভাবে অনুষ্ঠানটি দেখিনি, কিন্তু আমার ভয় হল তারা মাদকের ব্যবহারকে এমনভাবে উপস্থাপন করে যা কিশোর দর্শকদের জন্য বিনোদনমূলক। কেউ অনুষ্ঠানটি দেখেছেন? কোন মতামত আছে? ভাবলাম জিজ্ঞাসা করি কারণ আমার পরিচিত বেশিরভাগ মানুষই অনুষ্ঠ"&amp;"ানটি পছন্দ করে এবং এটি আমাকে কিছুটা বিরক্ত করে। যেমন অনুষ্ঠানটি দেখার পর লোকেরা ভাবে যে তারা আসক্তি বোঝে। যেমন, না, তুমি জানো না!")</f>
        <v>আমি দুই মাস ধরে আসক্ত। আমি ব্যক্তিগতভাবে অনুষ্ঠানটি দেখিনি, কিন্তু আমার ভয় হল তারা মাদকের ব্যবহারকে এমনভাবে উপস্থাপন করে যা কিশোর দর্শকদের জন্য বিনোদনমূলক। কেউ অনুষ্ঠানটি দেখেছেন? কোন মতামত আছে? ভাবলাম জিজ্ঞাসা করি কারণ আমার পরিচিত বেশিরভাগ মানুষই অনুষ্ঠানটি পছন্দ করে এবং এটি আমাকে কিছুটা বিরক্ত করে। যেমন অনুষ্ঠানটি দেখার পর লোকেরা ভাবে যে তারা আসক্তি বোঝে। যেমন, না, তুমি জানো না!</v>
      </c>
    </row>
    <row r="227" spans="1:3" ht="15" x14ac:dyDescent="0.25">
      <c r="A227" s="3" t="s">
        <v>219</v>
      </c>
      <c r="B227" s="3" t="s">
        <v>4</v>
      </c>
      <c r="C227" s="4" t="str">
        <f ca="1">IFERROR(__xludf.DUMMYFUNCTION("GOOGLETRANSLATE(A227, ""auto"", ""bn"")"),"আমার বয়স ১৬ বছর এবং আমি ধূমপান শুরু করতে চাই, কিন্তু একই সাথে করি না। আমি জানি অনেকেই বলবে এটা অস্বাস্থ্যকর, আসক্তিকর, আর এটা না করা উচিত। তবে, আমি এটা আমার মন থেকে মুছে ফেলতে পারছি না। যখনই, আমি আমার মায়ের সাথে দোকানে একটি প্যাকেটের মধ্যে একটি সিগারেটের"&amp;" দিকে তাকাই, তখনই আমি নিজেকে ধূমপান করার কল্পনা করি। সিগারেটের চিন্তা আমার মাথায় আটকে যায় এবং আমাকে আকৃষ্ট করে, যদিও আমি জানি যদি আমি কখনও এটি করি তবে আমি তাড়াতাড়ি মারা যাব। আমার কী করা উচিত? আমি জানি এটা অদ্ভুত শোনাচ্ছে।")</f>
        <v>আমার বয়স ১৬ বছর এবং আমি ধূমপান শুরু করতে চাই, কিন্তু একই সাথে করি না। আমি জানি অনেকেই বলবে এটা অস্বাস্থ্যকর, আসক্তিকর, আর এটা না করা উচিত। তবে, আমি এটা আমার মন থেকে মুছে ফেলতে পারছি না। যখনই, আমি আমার মায়ের সাথে দোকানে একটি প্যাকেটের মধ্যে একটি সিগারেটের দিকে তাকাই, তখনই আমি নিজেকে ধূমপান করার কল্পনা করি। সিগারেটের চিন্তা আমার মাথায় আটকে যায় এবং আমাকে আকৃষ্ট করে, যদিও আমি জানি যদি আমি কখনও এটি করি তবে আমি তাড়াতাড়ি মারা যাব। আমার কী করা উচিত? আমি জানি এটা অদ্ভুত শোনাচ্ছে।</v>
      </c>
    </row>
    <row r="228" spans="1:3" ht="15" x14ac:dyDescent="0.25">
      <c r="A228" s="3" t="s">
        <v>229</v>
      </c>
      <c r="B228" s="3" t="s">
        <v>4</v>
      </c>
      <c r="C228" s="4" t="str">
        <f ca="1">IFERROR(__xludf.DUMMYFUNCTION("GOOGLETRANSLATE(A228, ""auto"", ""bn"")"),"নাটকীয় হওয়ার জন্য আমি দুঃখিত, আমি নিজেকে একজন মদ্যপ বলে দাবি করি। আমি এটাও বুঝতে পেরেছি যে আমি যে কোনও মাদকের সংস্পর্শে আসি, আমি তা ভালোবাসি। তাছাড়া, আমি MDMA ভালোবাসি, আমি ঘা ভালোবাসি। তাছাড়া, আমি আমার জীবনকে এগিয়ে নিয়ে যাওয়ার জন্য এগুলো ত্যাগ করেছি"&amp;"। তাছাড়া, আমি নিশ্চিতভাবে মদ্যপানের প্রতি আসক্ত, কিন্তু সবচেয়ে বড় সমস্যা হল ADHD ওষুধের নাক ডাকা। তাছাড়া, আমি ৩ বছর ধরে OCD-এর জন্য আমার ওষুধে একজন পেশাদার মহিলা হিসেবে স্বাস্থ্যসেবায় নিযুক্ত আছি। ৬ মাস আগে আমার ADHD ধরা পড়ে। এটা অনেক যুক্তিসঙ্গত। আম"&amp;"ার রোগ নির্ণয়ের পর থেকেই আমি শিখেছি Concert আমাকে উত্তপ্ত করে তুলতে পারে। তাই আমি ৩ মাস ধরে এটিকে পিষে ফেলেছি এবং অপব্যবহার করেছি। আমি বুঝতে পেরেছি এটি কতটা সমস্যা হতে পারে। আমি Concert কে পিছনে ফেলে দেওয়ার সিদ্ধান্ত নিয়েছি, এবং এখন আমি আমার Wellbutrin"&amp;" পিষে ফেলছি এবং সপ্তাহে ২ বার নাক ডাকছি। আমি কি কখনও স্বাভাবিক হতে পারব? নাকি এটা চিরতরে?")</f>
        <v>নাটকীয় হওয়ার জন্য আমি দুঃখিত, আমি নিজেকে একজন মদ্যপ বলে দাবি করি। আমি এটাও বুঝতে পেরেছি যে আমি যে কোনও মাদকের সংস্পর্শে আসি, আমি তা ভালোবাসি। তাছাড়া, আমি MDMA ভালোবাসি, আমি ঘা ভালোবাসি। তাছাড়া, আমি আমার জীবনকে এগিয়ে নিয়ে যাওয়ার জন্য এগুলো ত্যাগ করেছি। তাছাড়া, আমি নিশ্চিতভাবে মদ্যপানের প্রতি আসক্ত, কিন্তু সবচেয়ে বড় সমস্যা হল ADHD ওষুধের নাক ডাকা। তাছাড়া, আমি ৩ বছর ধরে OCD-এর জন্য আমার ওষুধে একজন পেশাদার মহিলা হিসেবে স্বাস্থ্যসেবায় নিযুক্ত আছি। ৬ মাস আগে আমার ADHD ধরা পড়ে। এটা অনেক যুক্তিসঙ্গত। আমার রোগ নির্ণয়ের পর থেকেই আমি শিখেছি Concert আমাকে উত্তপ্ত করে তুলতে পারে। তাই আমি ৩ মাস ধরে এটিকে পিষে ফেলেছি এবং অপব্যবহার করেছি। আমি বুঝতে পেরেছি এটি কতটা সমস্যা হতে পারে। আমি Concert কে পিছনে ফেলে দেওয়ার সিদ্ধান্ত নিয়েছি, এবং এখন আমি আমার Wellbutrin পিষে ফেলছি এবং সপ্তাহে ২ বার নাক ডাকছি। আমি কি কখনও স্বাভাবিক হতে পারব? নাকি এটা চিরতরে?</v>
      </c>
    </row>
    <row r="229" spans="1:3" ht="15" x14ac:dyDescent="0.25">
      <c r="A229" s="3" t="s">
        <v>230</v>
      </c>
      <c r="B229" s="3" t="s">
        <v>4</v>
      </c>
      <c r="C229" s="4" t="str">
        <f ca="1">IFERROR(__xludf.DUMMYFUNCTION("GOOGLETRANSLATE(A229, ""auto"", ""bn"")"),"হ্যাঁ, প্রশ্নটা বেশ স্পষ্ট, কিন্তু আমি এখনও এই পোস্টটি ব্যবহার করতে চাই। আমি এতটা আসক্তিতে ভুগছি না যে আমি প্রতিদিন ব্যবহার করব। আমার এর প্রয়োজন নেই এবং আমি এটা চাই না কারণ কাজের আগে দিনের বেলায় উত্তেজিত হওয়া সবচেয়ে ভালো কাজ নয়। গত রবিবার আমি সিদ্ধান"&amp;"্ত নিয়েছিলাম যে মাসের শেষ পর্যন্ত আমি পরিষ্কার থাকব এবং আমি এই সিদ্ধান্ত নিয়েছিলাম কারণ আমি মাতাল হয়েছিলাম, আমি গাড়ি চালাচ্ছিলাম, এবং আমি একদিনের জন্যও ঘুমাইনি, এবং আমি হাইওয়েতে ঘুমিয়ে পড়েছিলাম এবং আমি প্রায় রাস্তা থেকে বেরিয়ে এসেছিলাম। আমি প্রায"&amp;"় মারা গিয়েছিলাম কারণ আমি নিজেকে বলেছিলাম যে আমি পরিষ্কার থাকব, কিন্তু আমি জানতাম না যে আমি পান করতে পারব না আমি ভেবেছিলাম যে আমি এটি সহ্য করতে পারব। কিন্তু আমি জানতাম না এবং আমি সত্যিই মাতাল ছিলাম বলে আমার একমাত্র চিন্তা ছিল যে আমার সত্যিই উত্তেজিত হওয়"&amp;"া দরকার। আমি কখনও এমন অনুভব করিনি, এটি প্রথমবার ছিল যখন আমার সত্যিই এটির 'প্রয়োজন' ছিল। হ্যাঁ, আমি ভয় পাইনি যে আমি মারা যেতে পারি, এটি কেবল এত বড় বিষয় নয় কিন্তু সেই মুহূর্তে আমি বুঝতে পেরেছিলাম যে আমার সমস্যাটি আমার ধারণার চেয়েও বড়। এরপর আমি ৬ দিন "&amp;"পরিষ্কার-পরিচ্ছন্ন ছিলাম, কিন্তু তারপর আবার সপ্তাহান্ত এসে গেল, এবং আমরা সহকর্মীদের সাথে খুব কম পানীয় খেতাম। আমি সবসময় পান করতে জানতাম, এবং আমি কখনই এত মাতাল ছিলাম না কিন্তু সেই সপ্তাহান্তে আমি কেবল ASF মাতাল হতে চেয়েছিলাম কারণ পুরো সপ্তাহ মাদক ছাড়া আ"&amp;"মি কেবল ঘুমিয়ে ছিলাম, এবং আমি স্নান করতে বা আমার ঘর পরিষ্কার করার জন্য অনুপ্রেরণা খুঁজে পাইনি। তাই আমি একই কাজ করেছি, কেবল এই বিষয়টি ছাড়া যে আমি যেখানে গিয়েছিলাম সেখানে আমার পথ মনে নেই এবং পার্টির পরে আমি আমার গাড়িটি খুঁজে পাইনি এবং যখন আমি গাড়িটি খ"&amp;"ুঁজে পাই তখন আমার টায়ার ফেটে গিয়েছিল। এই শনিবার এবং রবিবার আমি মনে করেছিলাম 'আমি সত্যিই মাসের শেষ পর্যন্ত পরিষ্কার থাকব।' কিন্তু সোমবার ছিল ভয়াবহ, আমি খুব বেশি মেজাজ পেতে চেয়েছিলাম, কিন্তু আমি ঘুমিয়ে পড়েছিলাম। মঙ্গলবার আরও খারাপ ছিল আমার কাজ আমাকে প"&amp;"্রতিদিন বিরক্ত করছিল এবং আমি এমনকি আমার প্লাগটি টেক্সট করেছিলাম, কিন্তু তার সময় ছিল না। গতকাল আরেকটি খারাপ দিন ছিল, তাই আমি কেবল 2 গ্রাম স্পিড কিনেছি যাতে আমি আমার ঘরটি ঠিকঠাক পরিষ্কার করতে পারি। আমি পরিষ্কার হতে চাই কিন্তু অন্যদিকে আমি চাই না। আমার হয়তো"&amp;" মানসিক স্বাস্থ্যের কিছু সমস্যা আছে, কিন্তু আমার কোনও রোগ নির্ণয় করা হয়নি, কিন্তু আমি কোনও কিছুর জন্য অনুপ্রেরণা খুঁজে পাচ্ছি না। আমার চাকরিতে আমি স্বাভাবিকভাবে কাজ করি কিন্তু যখন আমি বাড়ি ফিরি, তখন বিছানা থেকে উঠে সত্যিই কিছু করা আমার পক্ষে খুব কঠিন। তা"&amp;"ই প্রায় প্রতিবারই যখনই আমার কিছু করার প্রয়োজন হয়, তখনই আমি একটু দ্রুত কাজ করি কারণ এটি সহজ। আমি জানি না কী করব, অথবা আমি জানি, কিন্তু আমি আসলে তা করতে চাই না। আমি কীভাবে পরিষ্কার থাকব এবং স্বাভাবিক জীবনে আসলে কাজ করব? আমার কি বেশি সময় ধরে পরিষ্কার থাকার "&amp;"প্রয়োজন এবং এটি কি সত্যিই ভালো হয়? কারণ আমি আর এতে বিশ্বাস করি না। আমি ১৬ দিন পরিষ্কার ছিলাম এবং আমি ভালো থাকতে পারতাম, কিন্তু আমি একা অন্য দেশে চলে যাই, এবং আমি বিষণ্ণতায় পড়ে যাই এবং তারপর আবার মাদক গ্রহণ শুরু করি। এবং একটি গুরুত্বপূর্ণ প্রশ্ন: আমি কি "&amp;"খারাপ কারণ আমি এখনও থামতে চাই না? (আমি আশা করি এটি বোধগম্য হবে যে আমি ঘুমাইনি, আমি ট্রিপ করছি আরএন এবং আমার ইংরেজি সেরা XD নয়)")</f>
        <v>হ্যাঁ, প্রশ্নটা বেশ স্পষ্ট, কিন্তু আমি এখনও এই পোস্টটি ব্যবহার করতে চাই। আমি এতটা আসক্তিতে ভুগছি না যে আমি প্রতিদিন ব্যবহার করব। আমার এর প্রয়োজন নেই এবং আমি এটা চাই না কারণ কাজের আগে দিনের বেলায় উত্তেজিত হওয়া সবচেয়ে ভালো কাজ নয়। গত রবিবার আমি সিদ্ধান্ত নিয়েছিলাম যে মাসের শেষ পর্যন্ত আমি পরিষ্কার থাকব এবং আমি এই সিদ্ধান্ত নিয়েছিলাম কারণ আমি মাতাল হয়েছিলাম, আমি গাড়ি চালাচ্ছিলাম, এবং আমি একদিনের জন্যও ঘুমাইনি, এবং আমি হাইওয়েতে ঘুমিয়ে পড়েছিলাম এবং আমি প্রায় রাস্তা থেকে বেরিয়ে এসেছিলাম। আমি প্রায় মারা গিয়েছিলাম কারণ আমি নিজেকে বলেছিলাম যে আমি পরিষ্কার থাকব, কিন্তু আমি জানতাম না যে আমি পান করতে পারব না আমি ভেবেছিলাম যে আমি এটি সহ্য করতে পারব। কিন্তু আমি জানতাম না এবং আমি সত্যিই মাতাল ছিলাম বলে আমার একমাত্র চিন্তা ছিল যে আমার সত্যিই উত্তেজিত হওয়া দরকার। আমি কখনও এমন অনুভব করিনি, এটি প্রথমবার ছিল যখন আমার সত্যিই এটির 'প্রয়োজন' ছিল। হ্যাঁ, আমি ভয় পাইনি যে আমি মারা যেতে পারি, এটি কেবল এত বড় বিষয় নয় কিন্তু সেই মুহূর্তে আমি বুঝতে পেরেছিলাম যে আমার সমস্যাটি আমার ধারণার চেয়েও বড়। এরপর আমি ৬ দিন পরিষ্কার-পরিচ্ছন্ন ছিলাম, কিন্তু তারপর আবার সপ্তাহান্ত এসে গেল, এবং আমরা সহকর্মীদের সাথে খুব কম পানীয় খেতাম। আমি সবসময় পান করতে জানতাম, এবং আমি কখনই এত মাতাল ছিলাম না কিন্তু সেই সপ্তাহান্তে আমি কেবল ASF মাতাল হতে চেয়েছিলাম কারণ পুরো সপ্তাহ মাদক ছাড়া আমি কেবল ঘুমিয়ে ছিলাম, এবং আমি স্নান করতে বা আমার ঘর পরিষ্কার করার জন্য অনুপ্রেরণা খুঁজে পাইনি। তাই আমি একই কাজ করেছি, কেবল এই বিষয়টি ছাড়া যে আমি যেখানে গিয়েছিলাম সেখানে আমার পথ মনে নেই এবং পার্টির পরে আমি আমার গাড়িটি খুঁজে পাইনি এবং যখন আমি গাড়িটি খুঁজে পাই তখন আমার টায়ার ফেটে গিয়েছিল। এই শনিবার এবং রবিবার আমি মনে করেছিলাম 'আমি সত্যিই মাসের শেষ পর্যন্ত পরিষ্কার থাকব।' কিন্তু সোমবার ছিল ভয়াবহ, আমি খুব বেশি মেজাজ পেতে চেয়েছিলাম, কিন্তু আমি ঘুমিয়ে পড়েছিলাম। মঙ্গলবার আরও খারাপ ছিল আমার কাজ আমাকে প্রতিদিন বিরক্ত করছিল এবং আমি এমনকি আমার প্লাগটি টেক্সট করেছিলাম, কিন্তু তার সময় ছিল না। গতকাল আরেকটি খারাপ দিন ছিল, তাই আমি কেবল 2 গ্রাম স্পিড কিনেছি যাতে আমি আমার ঘরটি ঠিকঠাক পরিষ্কার করতে পারি। আমি পরিষ্কার হতে চাই কিন্তু অন্যদিকে আমি চাই না। আমার হয়তো মানসিক স্বাস্থ্যের কিছু সমস্যা আছে, কিন্তু আমার কোনও রোগ নির্ণয় করা হয়নি, কিন্তু আমি কোনও কিছুর জন্য অনুপ্রেরণা খুঁজে পাচ্ছি না। আমার চাকরিতে আমি স্বাভাবিকভাবে কাজ করি কিন্তু যখন আমি বাড়ি ফিরি, তখন বিছানা থেকে উঠে সত্যিই কিছু করা আমার পক্ষে খুব কঠিন। তাই প্রায় প্রতিবারই যখনই আমার কিছু করার প্রয়োজন হয়, তখনই আমি একটু দ্রুত কাজ করি কারণ এটি সহজ। আমি জানি না কী করব, অথবা আমি জানি, কিন্তু আমি আসলে তা করতে চাই না। আমি কীভাবে পরিষ্কার থাকব এবং স্বাভাবিক জীবনে আসলে কাজ করব? আমার কি বেশি সময় ধরে পরিষ্কার থাকার প্রয়োজন এবং এটি কি সত্যিই ভালো হয়? কারণ আমি আর এতে বিশ্বাস করি না। আমি ১৬ দিন পরিষ্কার ছিলাম এবং আমি ভালো থাকতে পারতাম, কিন্তু আমি একা অন্য দেশে চলে যাই, এবং আমি বিষণ্ণতায় পড়ে যাই এবং তারপর আবার মাদক গ্রহণ শুরু করি। এবং একটি গুরুত্বপূর্ণ প্রশ্ন: আমি কি খারাপ কারণ আমি এখনও থামতে চাই না? (আমি আশা করি এটি বোধগম্য হবে যে আমি ঘুমাইনি, আমি ট্রিপ করছি আরএন এবং আমার ইংরেজি সেরা XD নয়)</v>
      </c>
    </row>
    <row r="230" spans="1:3" ht="15" x14ac:dyDescent="0.25">
      <c r="A230" s="3" t="s">
        <v>231</v>
      </c>
      <c r="B230" s="3" t="s">
        <v>4</v>
      </c>
      <c r="C230" s="4" t="str">
        <f ca="1">IFERROR(__xludf.DUMMYFUNCTION("GOOGLETRANSLATE(A230, ""auto"", ""bn"")"),"৫ তারিখে আমি পিল খেয়ে পড়ে গিয়েছিলাম এবং এখন আমার প্রায় ৩ দিন ধরে মাথাব্যথা আছে। এটা কঠিন ছিল, এবং সত্যি বলতে আমি আরও বেশি করে খাওয়ার চেষ্টা করেছিলাম, কিন্তু পারিনি। ৩ মাস ধরে আমি পিল মুক্ত ছিলাম, তাই এটা আমাকে এগুলো থেকে দূরে থাকার চেষ্টা ছেড়ে দিতে "&amp;"বাধ্য করেছে কারণ এটি সহজ হয়নি। কিন্তু এখানে আমি ৩ দিন ধরে মাথাব্যথা করছি, এবং আশা করি এটি কমপক্ষে কয়েক সপ্তাহ ধরে এভাবেই থাকবে।")</f>
        <v>৫ তারিখে আমি পিল খেয়ে পড়ে গিয়েছিলাম এবং এখন আমার প্রায় ৩ দিন ধরে মাথাব্যথা আছে। এটা কঠিন ছিল, এবং সত্যি বলতে আমি আরও বেশি করে খাওয়ার চেষ্টা করেছিলাম, কিন্তু পারিনি। ৩ মাস ধরে আমি পিল মুক্ত ছিলাম, তাই এটা আমাকে এগুলো থেকে দূরে থাকার চেষ্টা ছেড়ে দিতে বাধ্য করেছে কারণ এটি সহজ হয়নি। কিন্তু এখানে আমি ৩ দিন ধরে মাথাব্যথা করছি, এবং আশা করি এটি কমপক্ষে কয়েক সপ্তাহ ধরে এভাবেই থাকবে।</v>
      </c>
    </row>
    <row r="231" spans="1:3" ht="15" x14ac:dyDescent="0.25">
      <c r="A231" s="3" t="s">
        <v>232</v>
      </c>
      <c r="B231" s="3" t="s">
        <v>4</v>
      </c>
      <c r="C231" s="4" t="str">
        <f ca="1">IFERROR(__xludf.DUMMYFUNCTION("GOOGLETRANSLATE(A231, ""auto"", ""bn"")"),"আজ আমার ইয়ারবাড হারিয়ে গেছে। এটা এতটাই বোকামি যে এটা গুরুত্বপূর্ণ, কিন্তু আমার মনে হয় খড়ের কারণেই আমার কোমর ভেঙে গেছে। আমি সবসময় সঙ্গীতকে মোকাবেলা করার একটি উপায় হিসেবে ব্যবহার করেছি। এটি মূলত একটি আসক্তি, এবং এটি আমাকে অন্য যেকোনো কিছুর চেয়ে বেশি "&amp;"কোক থেকে দূরে থাকতে সাহায্য করেছে। আমি জানি না আগামীকাল ঘুম থেকে উঠে কীভাবে গান শুনতে পারব না। কোকেন থেকে আমি ৪ মাস সুস্থ, কিন্তু আমি আবার ব্যবহার করতে চাই। তাছাড়া, আমার মনে হয় না কেউ আমাকে এটা থেকে মুক্ত করতে পারবে। তাছাড়া, আমি বারবার ভাবি যে যদি আমি এখ"&amp;"নই ব্যবহার করি, তাহলে ১০ মিনিটের মধ্যে ভালো বোধ করব, কিন্তু যদি আমি অপেক্ষা করি, তাহলে অনেক বেশি সময় লাগবে। তাছাড়া, আমি জানি আমি আবার আসক্ত হব। তাছাড়া, আমি খুবই দুঃখিত।")</f>
        <v>আজ আমার ইয়ারবাড হারিয়ে গেছে। এটা এতটাই বোকামি যে এটা গুরুত্বপূর্ণ, কিন্তু আমার মনে হয় খড়ের কারণেই আমার কোমর ভেঙে গেছে। আমি সবসময় সঙ্গীতকে মোকাবেলা করার একটি উপায় হিসেবে ব্যবহার করেছি। এটি মূলত একটি আসক্তি, এবং এটি আমাকে অন্য যেকোনো কিছুর চেয়ে বেশি কোক থেকে দূরে থাকতে সাহায্য করেছে। আমি জানি না আগামীকাল ঘুম থেকে উঠে কীভাবে গান শুনতে পারব না। কোকেন থেকে আমি ৪ মাস সুস্থ, কিন্তু আমি আবার ব্যবহার করতে চাই। তাছাড়া, আমার মনে হয় না কেউ আমাকে এটা থেকে মুক্ত করতে পারবে। তাছাড়া, আমি বারবার ভাবি যে যদি আমি এখনই ব্যবহার করি, তাহলে ১০ মিনিটের মধ্যে ভালো বোধ করব, কিন্তু যদি আমি অপেক্ষা করি, তাহলে অনেক বেশি সময় লাগবে। তাছাড়া, আমি জানি আমি আবার আসক্ত হব। তাছাড়া, আমি খুবই দুঃখিত।</v>
      </c>
    </row>
    <row r="232" spans="1:3" ht="15" x14ac:dyDescent="0.25">
      <c r="A232" s="3" t="s">
        <v>233</v>
      </c>
      <c r="B232" s="3" t="s">
        <v>4</v>
      </c>
      <c r="C232" s="4" t="str">
        <f ca="1">IFERROR(__xludf.DUMMYFUNCTION("GOOGLETRANSLATE(A232, ""auto"", ""bn"")"),"এটাকে কি বলা হয়? ধূমপান ত্যাগের বিজ্ঞান? এবং আসক্তি সম্পর্কে কিছুই উল্লেখ করে না, তবে যারা আমাদের সমস্যায় ভুগছেন তাদের জন্য এর সংযোগগুলি এত স্পষ্ট। আমি আমার একজন অ-আসক্ত বন্ধুর কথা শুনেছিলাম যিনি জীবনের অন্যান্য প্রতিটি ক্ষেত্রে এটিকে আশ্চর্যজনক বলে মনে"&amp;" করেছিলেন। সেই কারণেই তিনি এটি ভাগ করে নিতে চেয়েছিলেন। তবে, একজন আসক্ত হিসাবে আমার অভিজ্ঞতার সাথে আমি আরও গভীর সংযোগ স্থাপন করেছি। যদি কেউ ধূমপান ত্যাগ করতে সংগ্রাম করে, অথবা ধূমপান ত্যাগ করতে সংগ্রাম করে, তবে এটি আপনার জন্য। আজ রাতে যদি আপনার খুব কষ্ট হ"&amp;"য়, তাহলে দয়া করে চেষ্টা করে দেখুন।")</f>
        <v>এটাকে কি বলা হয়? ধূমপান ত্যাগের বিজ্ঞান? এবং আসক্তি সম্পর্কে কিছুই উল্লেখ করে না, তবে যারা আমাদের সমস্যায় ভুগছেন তাদের জন্য এর সংযোগগুলি এত স্পষ্ট। আমি আমার একজন অ-আসক্ত বন্ধুর কথা শুনেছিলাম যিনি জীবনের অন্যান্য প্রতিটি ক্ষেত্রে এটিকে আশ্চর্যজনক বলে মনে করেছিলেন। সেই কারণেই তিনি এটি ভাগ করে নিতে চেয়েছিলেন। তবে, একজন আসক্ত হিসাবে আমার অভিজ্ঞতার সাথে আমি আরও গভীর সংযোগ স্থাপন করেছি। যদি কেউ ধূমপান ত্যাগ করতে সংগ্রাম করে, অথবা ধূমপান ত্যাগ করতে সংগ্রাম করে, তবে এটি আপনার জন্য। আজ রাতে যদি আপনার খুব কষ্ট হয়, তাহলে দয়া করে চেষ্টা করে দেখুন।</v>
      </c>
    </row>
    <row r="233" spans="1:3" ht="15" x14ac:dyDescent="0.25">
      <c r="A233" s="3" t="s">
        <v>234</v>
      </c>
      <c r="B233" s="3" t="s">
        <v>4</v>
      </c>
      <c r="C233" s="4" t="str">
        <f ca="1">IFERROR(__xludf.DUMMYFUNCTION("GOOGLETRANSLATE(A233, ""auto"", ""bn"")"),"পারিবারিক থেরাপিতে একজন থেরাপিস্ট এবং পরিবারের সদস্যদের জড়িত করা হয় যাতে তারা পারিবারিক দ্বন্দ্বগুলি আরও ভালভাবে সমাধান করতে পারে। পারিবারিক থেরাপি হল থেরাপিউটিক চিকিৎসার একটি গ্রুপ যার লক্ষ্য পরিবারের শক্তি এবং সম্পদকে কাজে লাগিয়ে তাদের মাদকমুক্ত জীবন"&amp;"যাপনে সহায়তা করা। এটি আসক্ত ব্যক্তি এবং তার পরিবারের উভয়ের উপর আসক্তির প্রভাব কমাতেও লক্ষ্য করে।")</f>
        <v>পারিবারিক থেরাপিতে একজন থেরাপিস্ট এবং পরিবারের সদস্যদের জড়িত করা হয় যাতে তারা পারিবারিক দ্বন্দ্বগুলি আরও ভালভাবে সমাধান করতে পারে। পারিবারিক থেরাপি হল থেরাপিউটিক চিকিৎসার একটি গ্রুপ যার লক্ষ্য পরিবারের শক্তি এবং সম্পদকে কাজে লাগিয়ে তাদের মাদকমুক্ত জীবনযাপনে সহায়তা করা। এটি আসক্ত ব্যক্তি এবং তার পরিবারের উভয়ের উপর আসক্তির প্রভাব কমাতেও লক্ষ্য করে।</v>
      </c>
    </row>
    <row r="234" spans="1:3" ht="15" x14ac:dyDescent="0.25">
      <c r="A234" s="3" t="s">
        <v>235</v>
      </c>
      <c r="B234" s="3" t="s">
        <v>4</v>
      </c>
      <c r="C234" s="4" t="str">
        <f ca="1">IFERROR(__xludf.DUMMYFUNCTION("GOOGLETRANSLATE(A234, ""auto"", ""bn"")"),"আমি সবসময় সামাজিক পরিবেশে খুব উদ্বিগ্ন ব্যক্তি ছিলাম এবং সম্প্রতি আমি ১ মিলিগ্রাম জ্যানাক্স গ্রহণ করেছি এবং দেখেছি যে এটি সাহায্য করে। জনসমক্ষে আমার সমস্ত উদ্বেগ অদৃশ্য হয়ে গেছে। আমি যখন এটি গ্রহণ করি তখন আমি মানুষের সাথে কথা বলতে উদ্বিগ্ন নই এবং বিচারে"&amp;"র ভয়ে আমি সবসময় নিজেকে লুকিয়ে রাখি, কিন্তু এখন আমি কথোপকথন চালিয়ে যেতে এবং আমার মনের কথা বলতে আগ্রহী। আমি মাত্র ১৮ বছর বয়সে পৌঁছেছি এবং আমার মা যখন সেগুলি প্রেসক্রিপশন দিয়েছিলেন তখন থেকে তার কাছ থেকে ফ্যান পান। আমার মায়ের এই বড়িগুলির প্রতি বেশ আসক"&amp;"্তি রয়েছে এবং আমি সবসময় নিজেকে প্রতিশ্রুতি দিয়েছি যে আমি কখনও এই ওষুধে আসক্ত হব না। কিশোর বয়সে আমি কি নিরাপদে এই ওষুধটি নিতে পারি? কখনও কখনও ১ মিলিগ্রাম গ্রহণ আমাকে আসক্ত হওয়ার ঝুঁকিতে ফেলেছে? যখন আমি এটি গ্রহণ করি তখন এটি সাধারণত সকালে স্কুলে যাওয়া"&amp;"র আগে হয়। স্কুলে, আমার কী করা উচিত তার উপর মনোযোগ দেওয়া আমার পক্ষে অনেক সহজ কারণ আমার মাথায় এই সমস্ত অপ্রয়োজনীয় উদ্বেগ থাকে না। এর প্রভাবগুলি অগত্যা কোনও উচ্চ অনুভূতি নয়, এটি আমাকে কেবল স্বাভাবিক বোধ করে?? এটা এমন যে যখন আমি এটি গ্রহণ করি তখন আমি বু"&amp;"ঝতে পারি যে ""আমার আসলেই এমন অনুভূতি হওয়া উচিত?"" এবং আমি প্রশ্ন করি কেন আমার এই উদ্বেগগুলির কোনওটি ছিল। মনে হচ্ছে এটি আমার উদ্বেগ বিশ্লেষণ করতে সাহায্য করেছে যা চিন্তাভাবনার ধরণগুলিকে উদ্বুদ্ধ করেছে যা সম্ভবত উপকারী। তবে নেতিবাচক দিক হল আমার উদ্বেগের শার"&amp;"ীরিক প্রকাশ; কাঁপুনি, স্নায়বিক ঘাম, কাঁপানো কণ্ঠস্বর। আমি Xanax-এ এর কিছুই অনুভব করি না এবং বুঝতে ব্যর্থ হই কেন আমি বড়ি ছাড়া এইভাবে অনুভব করতে পারি না। আসক্ত না হয়ে কি (আমার বয়সে) Xanax পরিমিত পরিমাণে গ্রহণ করা সম্ভব?? Tl;dr: আসক্ত না হয়ে কি (আমার ব"&amp;"য়সে) Xanax পরিমিত পরিমাণে গ্রহণ করা সম্ভব?? (বয়স ১৮)")</f>
        <v>আমি সবসময় সামাজিক পরিবেশে খুব উদ্বিগ্ন ব্যক্তি ছিলাম এবং সম্প্রতি আমি ১ মিলিগ্রাম জ্যানাক্স গ্রহণ করেছি এবং দেখেছি যে এটি সাহায্য করে। জনসমক্ষে আমার সমস্ত উদ্বেগ অদৃশ্য হয়ে গেছে। আমি যখন এটি গ্রহণ করি তখন আমি মানুষের সাথে কথা বলতে উদ্বিগ্ন নই এবং বিচারের ভয়ে আমি সবসময় নিজেকে লুকিয়ে রাখি, কিন্তু এখন আমি কথোপকথন চালিয়ে যেতে এবং আমার মনের কথা বলতে আগ্রহী। আমি মাত্র ১৮ বছর বয়সে পৌঁছেছি এবং আমার মা যখন সেগুলি প্রেসক্রিপশন দিয়েছিলেন তখন থেকে তার কাছ থেকে ফ্যান পান। আমার মায়ের এই বড়িগুলির প্রতি বেশ আসক্তি রয়েছে এবং আমি সবসময় নিজেকে প্রতিশ্রুতি দিয়েছি যে আমি কখনও এই ওষুধে আসক্ত হব না। কিশোর বয়সে আমি কি নিরাপদে এই ওষুধটি নিতে পারি? কখনও কখনও ১ মিলিগ্রাম গ্রহণ আমাকে আসক্ত হওয়ার ঝুঁকিতে ফেলেছে? যখন আমি এটি গ্রহণ করি তখন এটি সাধারণত সকালে স্কুলে যাওয়ার আগে হয়। স্কুলে, আমার কী করা উচিত তার উপর মনোযোগ দেওয়া আমার পক্ষে অনেক সহজ কারণ আমার মাথায় এই সমস্ত অপ্রয়োজনীয় উদ্বেগ থাকে না। এর প্রভাবগুলি অগত্যা কোনও উচ্চ অনুভূতি নয়, এটি আমাকে কেবল স্বাভাবিক বোধ করে?? এটা এমন যে যখন আমি এটি গ্রহণ করি তখন আমি বুঝতে পারি যে "আমার আসলেই এমন অনুভূতি হওয়া উচিত?" এবং আমি প্রশ্ন করি কেন আমার এই উদ্বেগগুলির কোনওটি ছিল। মনে হচ্ছে এটি আমার উদ্বেগ বিশ্লেষণ করতে সাহায্য করেছে যা চিন্তাভাবনার ধরণগুলিকে উদ্বুদ্ধ করেছে যা সম্ভবত উপকারী। তবে নেতিবাচক দিক হল আমার উদ্বেগের শারীরিক প্রকাশ; কাঁপুনি, স্নায়বিক ঘাম, কাঁপানো কণ্ঠস্বর। আমি Xanax-এ এর কিছুই অনুভব করি না এবং বুঝতে ব্যর্থ হই কেন আমি বড়ি ছাড়া এইভাবে অনুভব করতে পারি না। আসক্ত না হয়ে কি (আমার বয়সে) Xanax পরিমিত পরিমাণে গ্রহণ করা সম্ভব?? Tl;dr: আসক্ত না হয়ে কি (আমার বয়সে) Xanax পরিমিত পরিমাণে গ্রহণ করা সম্ভব?? (বয়স ১৮)</v>
      </c>
    </row>
    <row r="235" spans="1:3" ht="15" x14ac:dyDescent="0.25">
      <c r="A235" s="3" t="s">
        <v>236</v>
      </c>
      <c r="B235" s="3" t="s">
        <v>4</v>
      </c>
      <c r="C235" s="4" t="str">
        <f ca="1">IFERROR(__xludf.DUMMYFUNCTION("GOOGLETRANSLATE(A235, ""auto"", ""bn"")"),"ড্যাং। আমি আমার ফোনে ২০১৯ সালের একটি নোট পেয়েছি যাতে লেখা ছিল যদি আমি দুর্ঘটনাক্রমে অতিরিক্ত মাত্রায় মদ্যপান করে মারা যাই। আমি লিখেছিলাম যে আমি মরতে চাই না, আমি আত্মহত্যা করছি না, কিন্তু সেই আসক্তি সুখী, স্বাভাবিক এবং চিন্তামুক্ত জীবনযাপনের যেকোনো ইচ্ছা"&amp;"কে কাটিয়ে ওঠে। তাছাড়া, আমি শেষে লিখেছিলাম যে মানুষ দুঃখিত হলেও, আমি স্বর্গে আমার সবচেয়ে ভালো বন্ধুর সাথে থাকব। কী অদ্ভুত এবং ভয়ঙ্কর জিনিসটি দেখতে পাওয়া।")</f>
        <v>ড্যাং। আমি আমার ফোনে ২০১৯ সালের একটি নোট পেয়েছি যাতে লেখা ছিল যদি আমি দুর্ঘটনাক্রমে অতিরিক্ত মাত্রায় মদ্যপান করে মারা যাই। আমি লিখেছিলাম যে আমি মরতে চাই না, আমি আত্মহত্যা করছি না, কিন্তু সেই আসক্তি সুখী, স্বাভাবিক এবং চিন্তামুক্ত জীবনযাপনের যেকোনো ইচ্ছাকে কাটিয়ে ওঠে। তাছাড়া, আমি শেষে লিখেছিলাম যে মানুষ দুঃখিত হলেও, আমি স্বর্গে আমার সবচেয়ে ভালো বন্ধুর সাথে থাকব। কী অদ্ভুত এবং ভয়ঙ্কর জিনিসটি দেখতে পাওয়া।</v>
      </c>
    </row>
    <row r="236" spans="1:3" ht="15" x14ac:dyDescent="0.25">
      <c r="A236" s="3" t="s">
        <v>237</v>
      </c>
      <c r="B236" s="3" t="s">
        <v>4</v>
      </c>
      <c r="C236" s="4" t="str">
        <f ca="1">IFERROR(__xludf.DUMMYFUNCTION("GOOGLETRANSLATE(A236, ""auto"", ""bn"")"),"প্রায় ৩০ বছর বয়স হলো, আমি ভাবতে পারছি না কেন আমি এত সহজে ভেঙে পড়ি। আমার মনে আছে, সুখী, নিশ্চিন্ত দিনগুলো কাটিয়েছি, আর এখন যখন আমি নিশ্চিন্ত থাকি, তখন আমার খুব খারাপ ও হতাশা লাগে। আমি প্রায় সবসময় বাস্তবতা থেকে পালাতে চাই এবং যতই ভেঙে পড়ি, ততই আমার চারপাশের"&amp;" জীবন এবং সম্পর্কগুলো খারাপ হতে দেখি। তাছাড়া, ছোটবেলায় আমার কখনও কোনও গুরুতর মানসিক স্বাস্থ্য সমস্যা হয়নি এবং এখন আমি প্রতিদিন প্রতি সেকেন্ডে বিষণ্ণ থাকি এবং এর সব দোষ আমার। তাছাড়া, আমি নিজের সাথেই এটা করেছি। ক্রমাগত কাউকে বা কিছুকে দোষারোপ করার জন্য খুঁজ"&amp;"ছি এবং সাময়িক তাৎক্ষণিক তৃপ্তির জন্য বারবার নিজেকেই চোদাচ্ছি। আমি অসহায় বোধ করছি।")</f>
        <v>প্রায় ৩০ বছর বয়স হলো, আমি ভাবতে পারছি না কেন আমি এত সহজে ভেঙে পড়ি। আমার মনে আছে, সুখী, নিশ্চিন্ত দিনগুলো কাটিয়েছি, আর এখন যখন আমি নিশ্চিন্ত থাকি, তখন আমার খুব খারাপ ও হতাশা লাগে। আমি প্রায় সবসময় বাস্তবতা থেকে পালাতে চাই এবং যতই ভেঙে পড়ি, ততই আমার চারপাশের জীবন এবং সম্পর্কগুলো খারাপ হতে দেখি। তাছাড়া, ছোটবেলায় আমার কখনও কোনও গুরুতর মানসিক স্বাস্থ্য সমস্যা হয়নি এবং এখন আমি প্রতিদিন প্রতি সেকেন্ডে বিষণ্ণ থাকি এবং এর সব দোষ আমার। তাছাড়া, আমি নিজের সাথেই এটা করেছি। ক্রমাগত কাউকে বা কিছুকে দোষারোপ করার জন্য খুঁজছি এবং সাময়িক তাৎক্ষণিক তৃপ্তির জন্য বারবার নিজেকেই চোদাচ্ছি। আমি অসহায় বোধ করছি।</v>
      </c>
    </row>
    <row r="237" spans="1:3" ht="15" x14ac:dyDescent="0.25">
      <c r="A237" s="3" t="s">
        <v>238</v>
      </c>
      <c r="B237" s="3" t="s">
        <v>4</v>
      </c>
      <c r="C237" s="4" t="str">
        <f ca="1">IFERROR(__xludf.DUMMYFUNCTION("GOOGLETRANSLATE(A237, ""auto"", ""bn"")"),"যখন আমি নিজে থেকে ধূমপান ছাড়ার চেষ্টা করি, তখন আমার মনে হয় না যে ৩ দিন পরেও আমি সুস্থ থাকতে পারি। সেই দিনই আমার মানসিক অবস্থা খারাপ হয়ে যায় এবং আমি এতটাই খারাপ বোধ করি যে আমি এটি দূর করার জন্য যেকোনো কিছু করি, বেশিরভাগ ক্ষেত্রেই বারবার। এখন সাহায্যের "&amp;"জন্যও জিজ্ঞাসা করছি না, কিন্তু আমার কেবল নিজের উপর হতাশা এবং রাগ প্রকাশ করতে হবে।")</f>
        <v>যখন আমি নিজে থেকে ধূমপান ছাড়ার চেষ্টা করি, তখন আমার মনে হয় না যে ৩ দিন পরেও আমি সুস্থ থাকতে পারি। সেই দিনই আমার মানসিক অবস্থা খারাপ হয়ে যায় এবং আমি এতটাই খারাপ বোধ করি যে আমি এটি দূর করার জন্য যেকোনো কিছু করি, বেশিরভাগ ক্ষেত্রেই বারবার। এখন সাহায্যের জন্যও জিজ্ঞাসা করছি না, কিন্তু আমার কেবল নিজের উপর হতাশা এবং রাগ প্রকাশ করতে হবে।</v>
      </c>
    </row>
    <row r="238" spans="1:3" ht="15" x14ac:dyDescent="0.25">
      <c r="A238" s="3" t="s">
        <v>239</v>
      </c>
      <c r="B238" s="3" t="s">
        <v>4</v>
      </c>
      <c r="C238" s="4" t="str">
        <f ca="1">IFERROR(__xludf.DUMMYFUNCTION("GOOGLETRANSLATE(A238, ""auto"", ""bn"")"),"ঘন ঘন ব্যবহার না করে কি আসক্ত হওয়া সম্ভব? আমার মনে হয় আমি সবসময়ই পাগল হতে চাই, এবং আমি প্রায়শই কল্পনা করি যে পরের বার আমি কখন হার্ড ড্রাগ ব্যবহার করতে পারব এবং তারপর আমার মাথায় সবকিছু পরিকল্পনা করি, কিন্তু আমি খুব বেশি ওষুধ ব্যবহার করি না (প্রতি 1-2 "&amp;"মাস অন্তর একবার)। আমি বিশেষ করে কোনও নির্দিষ্ট ওষুধও চাই না, যে কোনও অতিরিক্ত মাত্রায় কাজ হবে। তাছাড়া, আমি সপ্তাহে 4-5 বার গাঁজা ধূমপান করি। কিন্তু এটি এমন অনুভূতি নয় যা আমি কামনা করি, এটি আসলে 'কঠিন ওষুধের অতিরিক্ত মাত্রা' যা আমি সবসময় ভাবি। আমার কাজ "&amp;"শেষ করা এবং অন্যান্য জিনিসের উপর মনোযোগ দেওয়া কঠিন কারণ আমার মন সর্বদা মাদকের চিন্তাভাবনার প্রতি আকৃষ্ট থাকে। আমি পলিএডিক্ট সম্পর্কে পড়েছি, তাই ব্যাখ্যা করা যেতে পারে যে আমি কেন একটি নির্দিষ্ট ড্রাগ চাই না, তবে আমি জানি না যে আপনি এটিকে আসক্তি বলতে পারে"&amp;"ন কারণ আমি খুব কমই ব্যবহার করি। আপনারা সবাই এ সম্পর্কে কী মনে করেন? যদি আমি অতিরঞ্জিত করে বলি, তাহলে আমার কথাটা বলো কারণ আমার মনে হচ্ছে এই পোস্টটি এখানে প্রযোজ্য নয় কারণ এখানকার অন্যান্য পোস্টগুলি আসক্তির গুরুতর এবং আরও স্পষ্ট ঘটনা সম্পর্কে, কিন্তু আমি জ"&amp;"ানি না এটি আর কোথায় পোস্ট করব।")</f>
        <v>ঘন ঘন ব্যবহার না করে কি আসক্ত হওয়া সম্ভব? আমার মনে হয় আমি সবসময়ই পাগল হতে চাই, এবং আমি প্রায়শই কল্পনা করি যে পরের বার আমি কখন হার্ড ড্রাগ ব্যবহার করতে পারব এবং তারপর আমার মাথায় সবকিছু পরিকল্পনা করি, কিন্তু আমি খুব বেশি ওষুধ ব্যবহার করি না (প্রতি 1-2 মাস অন্তর একবার)। আমি বিশেষ করে কোনও নির্দিষ্ট ওষুধও চাই না, যে কোনও অতিরিক্ত মাত্রায় কাজ হবে। তাছাড়া, আমি সপ্তাহে 4-5 বার গাঁজা ধূমপান করি। কিন্তু এটি এমন অনুভূতি নয় যা আমি কামনা করি, এটি আসলে 'কঠিন ওষুধের অতিরিক্ত মাত্রা' যা আমি সবসময় ভাবি। আমার কাজ শেষ করা এবং অন্যান্য জিনিসের উপর মনোযোগ দেওয়া কঠিন কারণ আমার মন সর্বদা মাদকের চিন্তাভাবনার প্রতি আকৃষ্ট থাকে। আমি পলিএডিক্ট সম্পর্কে পড়েছি, তাই ব্যাখ্যা করা যেতে পারে যে আমি কেন একটি নির্দিষ্ট ড্রাগ চাই না, তবে আমি জানি না যে আপনি এটিকে আসক্তি বলতে পারেন কারণ আমি খুব কমই ব্যবহার করি। আপনারা সবাই এ সম্পর্কে কী মনে করেন? যদি আমি অতিরঞ্জিত করে বলি, তাহলে আমার কথাটা বলো কারণ আমার মনে হচ্ছে এই পোস্টটি এখানে প্রযোজ্য নয় কারণ এখানকার অন্যান্য পোস্টগুলি আসক্তির গুরুতর এবং আরও স্পষ্ট ঘটনা সম্পর্কে, কিন্তু আমি জানি না এটি আর কোথায় পোস্ট করব।</v>
      </c>
    </row>
    <row r="239" spans="1:3" ht="15" x14ac:dyDescent="0.25">
      <c r="A239" s="3" t="s">
        <v>240</v>
      </c>
      <c r="B239" s="3" t="s">
        <v>4</v>
      </c>
      <c r="C239" s="4" t="str">
        <f ca="1">IFERROR(__xludf.DUMMYFUNCTION("GOOGLETRANSLATE(A239, ""auto"", ""bn"")"),"তারপর আমি বাড়ি ফিরে এলাম। ফেন্টানিল খেয়ে আবার ঘুমিয়ে পড়লাম, ভালো লাগছে না। মেথাডোন ক্লিনিকে গিয়ে বুঝতে পারলাম আমার মেজাজ কতটা খারাপ। আমার পোস্টের ইতিহাস দেখুন, আমি বলেছিলাম যে আমি সেরে উঠব। তবে, আমি পারছি না। বেজোস বা অন্য কিছু ছাড়া আমার বেঁচে থাকার"&amp;" ইচ্ছা নেই।")</f>
        <v>তারপর আমি বাড়ি ফিরে এলাম। ফেন্টানিল খেয়ে আবার ঘুমিয়ে পড়লাম, ভালো লাগছে না। মেথাডোন ক্লিনিকে গিয়ে বুঝতে পারলাম আমার মেজাজ কতটা খারাপ। আমার পোস্টের ইতিহাস দেখুন, আমি বলেছিলাম যে আমি সেরে উঠব। তবে, আমি পারছি না। বেজোস বা অন্য কিছু ছাড়া আমার বেঁচে থাকার ইচ্ছা নেই।</v>
      </c>
    </row>
    <row r="240" spans="1:3" ht="15" x14ac:dyDescent="0.25">
      <c r="A240" s="3" t="s">
        <v>241</v>
      </c>
      <c r="B240" s="3" t="s">
        <v>4</v>
      </c>
      <c r="C240" s="4" t="str">
        <f ca="1">IFERROR(__xludf.DUMMYFUNCTION("GOOGLETRANSLATE(A240, ""auto"", ""bn"")"),"গত রাতে, গত দুই বছরে তৃতীয়বারের মতো আমি হেরে গেলাম। যদিও এই প্রথম আমার মাকেই আমাকে খুঁজে বের করতে হলো। প্যারামেডিক এবং সবকিছু ছিল, আমি খুব লজ্জিত এবং বিব্রত বোধ করছিলাম এবং চাইছিলাম যদি আমি না ঘুমাই। তবুও, এটি আমাকে আমার মায়ের কাছে আমার ওষুধ ফেরত চাইতে থ"&amp;"ামাতে পারেনি। আমি কি আমার নিজের জগতে থাকতে চাই, আর সবাই কী ভাবছে তা নিয়ে চিন্তিত না হয়ে, বরং নিজেকে শান্ত রাখার কথা ভাবি। আমি এটা ঘৃণা করি। আমি প্রায়শই সুস্থ হওয়ার কথা ভাবি কিন্তু যখন ""না"" বলার সময় আসে তখন আমি প্রায় কখনও বলি না। আমার বয়স মাত্র ২১"&amp;" বছর এবং আমি জানি আমার বেঁচে থাকার জন্য অনেক কিছু আছে কিন্তু সবকিছুই অর্থহীন বলে মনে হয়। সবচেয়ে খারাপ দিক হল আমি নিজেকে বোঝাচ্ছি যে আমি আসক্ত নই, যেমন আমি নিজেকে বলি যে আমি চাইলে আগামীকালই থামতে পারি কিন্তু এটা একটা বড় মিথ্যা। তোমরা কি বলবে আমি একজন আস"&amp;"ক্ত?")</f>
        <v>গত রাতে, গত দুই বছরে তৃতীয়বারের মতো আমি হেরে গেলাম। যদিও এই প্রথম আমার মাকেই আমাকে খুঁজে বের করতে হলো। প্যারামেডিক এবং সবকিছু ছিল, আমি খুব লজ্জিত এবং বিব্রত বোধ করছিলাম এবং চাইছিলাম যদি আমি না ঘুমাই। তবুও, এটি আমাকে আমার মায়ের কাছে আমার ওষুধ ফেরত চাইতে থামাতে পারেনি। আমি কি আমার নিজের জগতে থাকতে চাই, আর সবাই কী ভাবছে তা নিয়ে চিন্তিত না হয়ে, বরং নিজেকে শান্ত রাখার কথা ভাবি। আমি এটা ঘৃণা করি। আমি প্রায়শই সুস্থ হওয়ার কথা ভাবি কিন্তু যখন "না" বলার সময় আসে তখন আমি প্রায় কখনও বলি না। আমার বয়স মাত্র ২১ বছর এবং আমি জানি আমার বেঁচে থাকার জন্য অনেক কিছু আছে কিন্তু সবকিছুই অর্থহীন বলে মনে হয়। সবচেয়ে খারাপ দিক হল আমি নিজেকে বোঝাচ্ছি যে আমি আসক্ত নই, যেমন আমি নিজেকে বলি যে আমি চাইলে আগামীকালই থামতে পারি কিন্তু এটা একটা বড় মিথ্যা। তোমরা কি বলবে আমি একজন আসক্ত?</v>
      </c>
    </row>
    <row r="241" spans="1:3" ht="15" x14ac:dyDescent="0.25">
      <c r="A241" s="3" t="s">
        <v>242</v>
      </c>
      <c r="B241" s="3" t="s">
        <v>4</v>
      </c>
      <c r="C241" s="4" t="str">
        <f ca="1">IFERROR(__xludf.DUMMYFUNCTION("GOOGLETRANSLATE(A241, ""auto"", ""bn"")"),"চিকিৎসা পরামর্শ চাইছিলাম না। আমি কেবল তাদের কাছেই কৌতূহলী ছিলাম যারা আমার চেয়ে এই বিষয়ে বেশি শিক্ষিত হতে পারেন; যেহেতু গ্যাবাপেন্টিন এবং অ্যালকোহল উভয়ই একই রিসেপ্টরের উপর কাজ করে, তাত্ত্বিকভাবে, যদি কেউ একই সময়ে উভয়ই ছেড়ে দেয়, তাহলে কি দুটি সম্পূর্"&amp;"ণ ভিন্ন ধরণের প্রত্যাহার থাকবে কারণ তারা ভিন্ন পদার্থ? নাকি এটি কেবল একটি বিশাল প্রত্যাহারের সেট হবে?")</f>
        <v>চিকিৎসা পরামর্শ চাইছিলাম না। আমি কেবল তাদের কাছেই কৌতূহলী ছিলাম যারা আমার চেয়ে এই বিষয়ে বেশি শিক্ষিত হতে পারেন; যেহেতু গ্যাবাপেন্টিন এবং অ্যালকোহল উভয়ই একই রিসেপ্টরের উপর কাজ করে, তাত্ত্বিকভাবে, যদি কেউ একই সময়ে উভয়ই ছেড়ে দেয়, তাহলে কি দুটি সম্পূর্ণ ভিন্ন ধরণের প্রত্যাহার থাকবে কারণ তারা ভিন্ন পদার্থ? নাকি এটি কেবল একটি বিশাল প্রত্যাহারের সেট হবে?</v>
      </c>
    </row>
    <row r="242" spans="1:3" ht="15" x14ac:dyDescent="0.25">
      <c r="A242" s="3" t="s">
        <v>243</v>
      </c>
      <c r="B242" s="3" t="s">
        <v>4</v>
      </c>
      <c r="C242" s="4" t="str">
        <f ca="1">IFERROR(__xludf.DUMMYFUNCTION("GOOGLETRANSLATE(A242, ""auto"", ""bn"")"),"আমি আসলে জানি না এটা আমার কোথায় পোস্ট করা উচিত বা এখন আমার কী করা উচিত, তবে আমি নিশ্চিত যে এখানকার লোকেরা আমাকে সঠিক দিকনির্দেশনা দিতে পারবে। আমি [M17] আমার ভাই [M14] যে কার্যকলাপে অংশগ্রহণ করছে তার উপর খুব নিবিড় নজর রাখছি। তাছাড়া, আমি সঠিক সময়সূচী সম"&amp;"্পর্কে নিশ্চিত নই তবে কয়েক মাস ধরে সে MDMA ব্যবহার/অপব্যবহার করছে এবং আমি কতদিন ধরে তা নিশ্চিত নই তবে সে অক্সিকোডোনও ব্যবহার করছে। আমার বাবা-মা জানেন যে সে মাঝে মাঝে গাঁজা সেবন করে, কিন্তু তারা এই সমস্যার পরিমাণ সম্পর্কে অবগত নন। আমার জন্য প্রধান সূচকগুল"&amp;"ি হল বাড়িতে সময় কাটানোর অভাব, স্কুলের কাজের প্রতি যত্নের অভাব এবং মাদকের সরঞ্জামাদি। আমার বাবা আমাদের শৈশবের অনেকটা সময় ওপিওয়েড ব্যবহার করে কাটিয়েছেন এবং আমি চাই না যে আমার ভাইয়ের সাথে এটি ঘটুক। আমি জানি তুমি কাউকে পরিবর্তন করতে পারবে না কিন্তু বর্ত"&amp;"মানে আমি নিশ্চিত নই যে কী করব। আমি এখানে পোস্ট করছি জিজ্ঞাসা করার জন্য যে আমার কার সাথে কথা বলা উচিত এবং আমার কী বলা উচিত? তাছাড়া, আমি আমার বাবা-মা, ডাক্তার, থেরাপিস্ট বা সম্ভবত অন্যদের সাথে কথা বলতে পারি।")</f>
        <v>আমি আসলে জানি না এটা আমার কোথায় পোস্ট করা উচিত বা এখন আমার কী করা উচিত, তবে আমি নিশ্চিত যে এখানকার লোকেরা আমাকে সঠিক দিকনির্দেশনা দিতে পারবে। আমি [M17] আমার ভাই [M14] যে কার্যকলাপে অংশগ্রহণ করছে তার উপর খুব নিবিড় নজর রাখছি। তাছাড়া, আমি সঠিক সময়সূচী সম্পর্কে নিশ্চিত নই তবে কয়েক মাস ধরে সে MDMA ব্যবহার/অপব্যবহার করছে এবং আমি কতদিন ধরে তা নিশ্চিত নই তবে সে অক্সিকোডোনও ব্যবহার করছে। আমার বাবা-মা জানেন যে সে মাঝে মাঝে গাঁজা সেবন করে, কিন্তু তারা এই সমস্যার পরিমাণ সম্পর্কে অবগত নন। আমার জন্য প্রধান সূচকগুলি হল বাড়িতে সময় কাটানোর অভাব, স্কুলের কাজের প্রতি যত্নের অভাব এবং মাদকের সরঞ্জামাদি। আমার বাবা আমাদের শৈশবের অনেকটা সময় ওপিওয়েড ব্যবহার করে কাটিয়েছেন এবং আমি চাই না যে আমার ভাইয়ের সাথে এটি ঘটুক। আমি জানি তুমি কাউকে পরিবর্তন করতে পারবে না কিন্তু বর্তমানে আমি নিশ্চিত নই যে কী করব। আমি এখানে পোস্ট করছি জিজ্ঞাসা করার জন্য যে আমার কার সাথে কথা বলা উচিত এবং আমার কী বলা উচিত? তাছাড়া, আমি আমার বাবা-মা, ডাক্তার, থেরাপিস্ট বা সম্ভবত অন্যদের সাথে কথা বলতে পারি।</v>
      </c>
    </row>
    <row r="243" spans="1:3" ht="15" x14ac:dyDescent="0.25">
      <c r="A243" s="3" t="s">
        <v>244</v>
      </c>
      <c r="B243" s="3" t="s">
        <v>4</v>
      </c>
      <c r="C243" s="4" t="str">
        <f ca="1">IFERROR(__xludf.DUMMYFUNCTION("GOOGLETRANSLATE(A243, ""auto"", ""bn"")"),"আমি বুঝতে পারছি যে আমি চকলেটের প্রতি আসক্ত। আমি এর পেছনে এত টাকা খরচ করছি এবং এত বেশি খাচ্ছি যে আমি আসল খাবার খেতে ভুলে যাচ্ছি। অনেক সময় এবং প্রতিদিন এত বেশি খাচ্ছি যে আমি কমানোর চেষ্টা করেছি, কিন্তু এটি আমার আরও বেশি আকাঙ্ক্ষা তৈরি করে, এবং আমি অতিরিক্ত"&amp;" আকাঙ্ক্ষা অনুভব করি এবং আরও খারাপ বোধ করি। তাছাড়া, আমি চাই না এটি একটি ED তে পরিণত হোক যেখানে আমি তাদের অতিরিক্ত আকাঙ্ক্ষা সীমাবদ্ধ রাখি এবং এটি একটি খারাপ চক্রে পরিণত হয়। এই আকাঙ্ক্ষা থেকে বেরিয়ে আসার জন্য কারও কাছে কোন টিপস আছে?")</f>
        <v>আমি বুঝতে পারছি যে আমি চকলেটের প্রতি আসক্ত। আমি এর পেছনে এত টাকা খরচ করছি এবং এত বেশি খাচ্ছি যে আমি আসল খাবার খেতে ভুলে যাচ্ছি। অনেক সময় এবং প্রতিদিন এত বেশি খাচ্ছি যে আমি কমানোর চেষ্টা করেছি, কিন্তু এটি আমার আরও বেশি আকাঙ্ক্ষা তৈরি করে, এবং আমি অতিরিক্ত আকাঙ্ক্ষা অনুভব করি এবং আরও খারাপ বোধ করি। তাছাড়া, আমি চাই না এটি একটি ED তে পরিণত হোক যেখানে আমি তাদের অতিরিক্ত আকাঙ্ক্ষা সীমাবদ্ধ রাখি এবং এটি একটি খারাপ চক্রে পরিণত হয়। এই আকাঙ্ক্ষা থেকে বেরিয়ে আসার জন্য কারও কাছে কোন টিপস আছে?</v>
      </c>
    </row>
    <row r="244" spans="1:3" ht="15" x14ac:dyDescent="0.25">
      <c r="A244" s="3" t="s">
        <v>245</v>
      </c>
      <c r="B244" s="3" t="s">
        <v>4</v>
      </c>
      <c r="C244" s="4" t="str">
        <f ca="1">IFERROR(__xludf.DUMMYFUNCTION("GOOGLETRANSLATE(A244, ""auto"", ""bn"")"),"আমি একটা মোটাসোটা জিনিস খেয়েছিলাম, আর এটা ছিল সবচেয়ে ভালো অনুভূতি, আর আমি আবার সিগারেট খাই। মাইগ্রেন আর শরীরের ব্যথা সহ্য করতে পারছিলাম না। আমি নিজের উপর একটু গর্বিত। আমি আমার থেরাপিস্টের সাথে একটা থেরাপি সেশন করেছি যা আমি কয়েক মাস ধরে দেখিনি এবং সবচেয়"&amp;"ে ভালো দিক হলো, ঘুম ছাড়াও সবকিছুই এখনও বীমা দ্বারা আচ্ছাদিত। আমি একটা শখের কথা ভাবছি যাতে আমি আমার মনকে ব্যস্ত রাখতে পারি এবং ভাবতে না পারি কারণ আমি OXY চাই, খুব খারাপ এবং আমার সমস্ত ভেতরের অনুভূতির এই ধারণাটি ব্যথা করা বন্ধ করে দেবে। কিন্তু আমি চাই না। গ"&amp;"ত রাতে আমি স্বাভাবিকের মতোই বাড ধূমপান করেছি এবং IDK। আমার মনে হয় আমি আরও বেশি করে সম্পূর্ণ শান্ত হতে চাই। একজন সাধারণ মানুষের মতো আমার কথা এবং বাক্য একসাথে রাখতে পারার অভাব বোধ করছি। গত 2 দিন খুব খারাপ ছিল, কিন্তু ভাবতে পেরে ভালো লাগছে, এবং আগামী মঙ্গলব"&amp;"ার ADHD ওষুধের জন্য আমার ডাক্তারের অ্যাপয়েন্টমেন্ট আছে, কিন্তু আমি ভয় পাচ্ছি যে আমি তাদের অপব্যবহার করব। কেউ কি আছে যে আমাকে বলতে পারবে যে তারা কীভাবে তাদের ওষুধগুলিকে অপব্যবহার না করে এই ধরণের কোনও কিছুর জন্য ব্যবহার করে?")</f>
        <v>আমি একটা মোটাসোটা জিনিস খেয়েছিলাম, আর এটা ছিল সবচেয়ে ভালো অনুভূতি, আর আমি আবার সিগারেট খাই। মাইগ্রেন আর শরীরের ব্যথা সহ্য করতে পারছিলাম না। আমি নিজের উপর একটু গর্বিত। আমি আমার থেরাপিস্টের সাথে একটা থেরাপি সেশন করেছি যা আমি কয়েক মাস ধরে দেখিনি এবং সবচেয়ে ভালো দিক হলো, ঘুম ছাড়াও সবকিছুই এখনও বীমা দ্বারা আচ্ছাদিত। আমি একটা শখের কথা ভাবছি যাতে আমি আমার মনকে ব্যস্ত রাখতে পারি এবং ভাবতে না পারি কারণ আমি OXY চাই, খুব খারাপ এবং আমার সমস্ত ভেতরের অনুভূতির এই ধারণাটি ব্যথা করা বন্ধ করে দেবে। কিন্তু আমি চাই না। গত রাতে আমি স্বাভাবিকের মতোই বাড ধূমপান করেছি এবং IDK। আমার মনে হয় আমি আরও বেশি করে সম্পূর্ণ শান্ত হতে চাই। একজন সাধারণ মানুষের মতো আমার কথা এবং বাক্য একসাথে রাখতে পারার অভাব বোধ করছি। গত 2 দিন খুব খারাপ ছিল, কিন্তু ভাবতে পেরে ভালো লাগছে, এবং আগামী মঙ্গলবার ADHD ওষুধের জন্য আমার ডাক্তারের অ্যাপয়েন্টমেন্ট আছে, কিন্তু আমি ভয় পাচ্ছি যে আমি তাদের অপব্যবহার করব। কেউ কি আছে যে আমাকে বলতে পারবে যে তারা কীভাবে তাদের ওষুধগুলিকে অপব্যবহার না করে এই ধরণের কোনও কিছুর জন্য ব্যবহার করে?</v>
      </c>
    </row>
    <row r="245" spans="1:3" ht="15" x14ac:dyDescent="0.25">
      <c r="A245" s="3" t="s">
        <v>246</v>
      </c>
      <c r="B245" s="3" t="s">
        <v>4</v>
      </c>
      <c r="C245" s="4" t="str">
        <f ca="1">IFERROR(__xludf.DUMMYFUNCTION("GOOGLETRANSLATE(A245, ""auto"", ""bn"")"),"আমার হৃদস্পন্দন ঘন্টায় প্রায় দুইবার কয়েক মিনিট ধরে হচ্ছে, আর এটা খুব ব্যাথা করছে, কিন্তু গতকাল আমার গড় নাড়ি ছিল প্রায় ১২৫, আজ ৯০-১১০, তাই ভালো কথা, আমি মানুষের নাম এবং বেশ সহজ জিনিস ভুলে যাচ্ছি কিন্তু সবচেয়ে ভালো দিক হলো আমার তাপমাত্রা সহ্য করা সহজ হচ্ছে"&amp;" কিন্তু মাঝে মাঝেই আমার খুব খারাপ একটা ঝটকা লাগে কিন্তু যারা থিসিস পড়ছে আমি আমার বন্ধুদের বলতে পারিনি আমি একটা ইঙ্গিত দিয়েছিলাম, কিন্তু আমি তাদের বলতে পারিনি এবং তাদের কাছে মিথ্যা কথা বলে খুব কাঁদতে ইচ্ছে করছে কারণ তারা শেষবার আমার পাশে ছিল এবং বুঝতে পেরে"&amp;"ছে যে আমার আসক্তির সমস্যা আছে। আমি তাদের বলতে পারছি না যে আমি কতটা কষ্ট করে আবার আসক্ত হয়ে পড়েছি। আমি শুধু চাই তারা সত্যটা জানুক।")</f>
        <v>আমার হৃদস্পন্দন ঘন্টায় প্রায় দুইবার কয়েক মিনিট ধরে হচ্ছে, আর এটা খুব ব্যাথা করছে, কিন্তু গতকাল আমার গড় নাড়ি ছিল প্রায় ১২৫, আজ ৯০-১১০, তাই ভালো কথা, আমি মানুষের নাম এবং বেশ সহজ জিনিস ভুলে যাচ্ছি কিন্তু সবচেয়ে ভালো দিক হলো আমার তাপমাত্রা সহ্য করা সহজ হচ্ছে কিন্তু মাঝে মাঝেই আমার খুব খারাপ একটা ঝটকা লাগে কিন্তু যারা থিসিস পড়ছে আমি আমার বন্ধুদের বলতে পারিনি আমি একটা ইঙ্গিত দিয়েছিলাম, কিন্তু আমি তাদের বলতে পারিনি এবং তাদের কাছে মিথ্যা কথা বলে খুব কাঁদতে ইচ্ছে করছে কারণ তারা শেষবার আমার পাশে ছিল এবং বুঝতে পেরেছে যে আমার আসক্তির সমস্যা আছে। আমি তাদের বলতে পারছি না যে আমি কতটা কষ্ট করে আবার আসক্ত হয়ে পড়েছি। আমি শুধু চাই তারা সত্যটা জানুক।</v>
      </c>
    </row>
    <row r="246" spans="1:3" ht="15" x14ac:dyDescent="0.25">
      <c r="A246" s="3" t="s">
        <v>247</v>
      </c>
      <c r="B246" s="3" t="s">
        <v>4</v>
      </c>
      <c r="C246" s="4" t="str">
        <f ca="1">IFERROR(__xludf.DUMMYFUNCTION("GOOGLETRANSLATE(A246, ""auto"", ""bn"")"),"৩০ বছর বয়সে আমি এই খারাপ ছেলেদের ত্যাগ করেছিলাম, অর্থাৎ আমি সারাদিন, প্রতিদিন ধূমপান ছেড়ে দিয়েছিলাম। কিন্তু তারপর আমিও (একটি দানবের মতো) মদ্যপান করতাম এবং খাইতাম - এবং আমার মোকাবেলা করার পদ্ধতি সম্পর্কে খুব অজ্ঞ ছিলাম, (অটিজম এবং ADHD রোগ নির্ণয়ের আগে"&amp;" এবং পরবর্তী স্তরে সাধারণ আত্ম-আবিষ্কার...) আমি এখন সব নিয়ন্ত্রণে এনেছি, অবশেষে, ৩৩ বছর বয়সে, তবে নভেম্বরে আমার কিছুটা মানসিক বিপর্যয় হয়েছিল এবং ছয় সপ্তাহ ধরে ধূমপান করেছি, বড়দিনের পরে সুস্থ হয়ে উঠেছিলাম, তারপর আমার দাদি তাৎক্ষণিকভাবে হাসপাতালে ভর্"&amp;"তি হন এবং তারপর জানুয়ারির শেষে মারা যান, তাই আমি প্রায় তিন মাস ধরে ধূমপান চালিয়ে যাচ্ছিলাম। আমি এই অধার্মিক পরিমাণে ধূমপান করছি এবং জানতাম যে এটি আমাকে সত্যিই খারাপ, খারাপ জায়গায় ফেলে দেবে যখন আমি থামিয়ে দিয়েছিলাম... এবং আমরা এখন এখানে। আমি আবার শে"&amp;"ষ করেছি কারণ আমি এটি পরিমিতভাবে করতে পারি না, চতুর্থ বা পঞ্চম জয়েন্টের পরে আঘাত পাওয়ার আগেই আমার ফুসফুস একেবারে ভাজা হয়ে যায়। এটি ব্যয়বহুল এবং অস্থির এবং আমার বর্তমান আধ্যাত্মিক মূল্যবোধের সাথে ভালভাবে সামঞ্জস্যপূর্ণ নয়। আগাছা আমাকে অনেক কিছু খুলে দ"&amp;"িয়েছে এবং অনেক কিছু বদলে দিয়েছে, কিন্তু সেই ব্যবহার অপব্যবহারে পরিণত হয়েছে এবং আমার কেবল এগিয়ে যাওয়ার প্রয়োজন ছিল। যাই হোক, আমি আসলে এখানে যা চাই তা হলো, সম্ভবত, আশা করি এমন লোকদের কাছ থেকে আশ্বস্ত করা যায় যারা বোঝেন.... আসক্তি আমার জীবনে, কখনও, কখনও মোকা"&amp;"বেলা করা সবচেয়ে কঠিন জিনিস। ছোটবেলায় মানসিক আঘাত, তারপর অটিজমের আচার-অনুষ্ঠানের আনন্দের দ্বিগুণ ধাক্কা এবং তারপর ADHD-এর মানসিক ব্যবস্থাপনা এবং এর সাথে যা আসে... এটি একজন সাধারণ মানুষের মতো কাজ করা একেবারে অসম্ভব করে তোলে। আজকাল আমার কোনও আসক্ত বন্ধু নেই"&amp;" এবং যে তা বুঝতে পারে তার সাথে কথা বলতে সত্যিই কষ্ট হচ্ছে.... তাই এখন অবশ্যই আমি সম্পূর্ণরূপে অস্থির এবং সবকিছু অনুভব করছি। আমি টানা দুই দিন ঘুমিয়েছিলাম, এবং সেখান থেকে বেরিয়ে এসে আমি ড্রামে একটি দুর্দান্ত সেশন এবং একটি দীর্ঘ হাঁটাচলা করতে পেরেছি, তবে, "&amp;"আমি এখন 3 তম দিনে আছি, এবং আমি একেবারে, একেবারে ভয়ঙ্কর, মানসিক এবং মানসিকভাবে অনুভব করছি? আমি জীবনের মধ্য দিয়ে একটা বিষণ্ণ ভূতের মতো কাজ করছি এবং প্রবাহিত হচ্ছি, কিন্তু বিশ্বাসের বাইরেও বিরক্তিকর, অবশ্যই প্রত্যাহারের স্বাভাবিক বোকামি, কিন্তু তারপর অস্তি"&amp;"ত্বের ভয় আমাকে এমন একটা চিরস্থায়ী শর্ট ফিউজিং সার্কিটের মতো অনুভব করাচ্ছে যা একটি কৃষ্ণগহ্বরে চুষে ফেলা হতে চলেছে। এটি আমার উপরের পিঠ দিয়ে আমার দিকে তাকিয়ে আসছে, আমি আতঙ্কিত বোধ করছি, শুধু, এই সম্পূর্ণ অস্তিত্বের, ভয়াবহ, ভয়ানক, কেবল ভয়ানক, ভয়ানক অন"&amp;"ুভূতি.... ধূমপান সবকিছু দূর করে দেবে, কিন্তু তারপর এটি আরও খারাপভাবে ফিরে আসবে, তাই আমি সম্ভবত অনিবার্যকে আর দীর্ঘায়িত করতে পারব না... ঈশ্বর, দয়া করে কেউ কি আছেন যারা এই পরিস্থিতির মধ্য দিয়ে আমাকে সাহায্য করার জন্য কিছু ভিত্তি, আর্থিং, আশ্বস্ত, বোঝার, "&amp;"প্রেরণাদায়ক শব্দ দিয়ে আছেন? আমি মনে করতে পারছি না এটি কতক্ষণ স্থায়ী হবে... আমি কি ঠিক হব?? কারো কি কোন মজার, আশ্বস্ত, সদয় গল্প বা শব্দ বা এমনকি একটি বক্তৃতা আছে...?")</f>
        <v>৩০ বছর বয়সে আমি এই খারাপ ছেলেদের ত্যাগ করেছিলাম, অর্থাৎ আমি সারাদিন, প্রতিদিন ধূমপান ছেড়ে দিয়েছিলাম। কিন্তু তারপর আমিও (একটি দানবের মতো) মদ্যপান করতাম এবং খাইতাম - এবং আমার মোকাবেলা করার পদ্ধতি সম্পর্কে খুব অজ্ঞ ছিলাম, (অটিজম এবং ADHD রোগ নির্ণয়ের আগে এবং পরবর্তী স্তরে সাধারণ আত্ম-আবিষ্কার...) আমি এখন সব নিয়ন্ত্রণে এনেছি, অবশেষে, ৩৩ বছর বয়সে, তবে নভেম্বরে আমার কিছুটা মানসিক বিপর্যয় হয়েছিল এবং ছয় সপ্তাহ ধরে ধূমপান করেছি, বড়দিনের পরে সুস্থ হয়ে উঠেছিলাম, তারপর আমার দাদি তাৎক্ষণিকভাবে হাসপাতালে ভর্তি হন এবং তারপর জানুয়ারির শেষে মারা যান, তাই আমি প্রায় তিন মাস ধরে ধূমপান চালিয়ে যাচ্ছিলাম। আমি এই অধার্মিক পরিমাণে ধূমপান করছি এবং জানতাম যে এটি আমাকে সত্যিই খারাপ, খারাপ জায়গায় ফেলে দেবে যখন আমি থামিয়ে দিয়েছিলাম... এবং আমরা এখন এখানে। আমি আবার শেষ করেছি কারণ আমি এটি পরিমিতভাবে করতে পারি না, চতুর্থ বা পঞ্চম জয়েন্টের পরে আঘাত পাওয়ার আগেই আমার ফুসফুস একেবারে ভাজা হয়ে যায়। এটি ব্যয়বহুল এবং অস্থির এবং আমার বর্তমান আধ্যাত্মিক মূল্যবোধের সাথে ভালভাবে সামঞ্জস্যপূর্ণ নয়। আগাছা আমাকে অনেক কিছু খুলে দিয়েছে এবং অনেক কিছু বদলে দিয়েছে, কিন্তু সেই ব্যবহার অপব্যবহারে পরিণত হয়েছে এবং আমার কেবল এগিয়ে যাওয়ার প্রয়োজন ছিল। যাই হোক, আমি আসলে এখানে যা চাই তা হলো, সম্ভবত, আশা করি এমন লোকদের কাছ থেকে আশ্বস্ত করা যায় যারা বোঝেন.... আসক্তি আমার জীবনে, কখনও, কখনও মোকাবেলা করা সবচেয়ে কঠিন জিনিস। ছোটবেলায় মানসিক আঘাত, তারপর অটিজমের আচার-অনুষ্ঠানের আনন্দের দ্বিগুণ ধাক্কা এবং তারপর ADHD-এর মানসিক ব্যবস্থাপনা এবং এর সাথে যা আসে... এটি একজন সাধারণ মানুষের মতো কাজ করা একেবারে অসম্ভব করে তোলে। আজকাল আমার কোনও আসক্ত বন্ধু নেই এবং যে তা বুঝতে পারে তার সাথে কথা বলতে সত্যিই কষ্ট হচ্ছে.... তাই এখন অবশ্যই আমি সম্পূর্ণরূপে অস্থির এবং সবকিছু অনুভব করছি। আমি টানা দুই দিন ঘুমিয়েছিলাম, এবং সেখান থেকে বেরিয়ে এসে আমি ড্রামে একটি দুর্দান্ত সেশন এবং একটি দীর্ঘ হাঁটাচলা করতে পেরেছি, তবে, আমি এখন 3 তম দিনে আছি, এবং আমি একেবারে, একেবারে ভয়ঙ্কর, মানসিক এবং মানসিকভাবে অনুভব করছি? আমি জীবনের মধ্য দিয়ে একটা বিষণ্ণ ভূতের মতো কাজ করছি এবং প্রবাহিত হচ্ছি, কিন্তু বিশ্বাসের বাইরেও বিরক্তিকর, অবশ্যই প্রত্যাহারের স্বাভাবিক বোকামি, কিন্তু তারপর অস্তিত্বের ভয় আমাকে এমন একটা চিরস্থায়ী শর্ট ফিউজিং সার্কিটের মতো অনুভব করাচ্ছে যা একটি কৃষ্ণগহ্বরে চুষে ফেলা হতে চলেছে। এটি আমার উপরের পিঠ দিয়ে আমার দিকে তাকিয়ে আসছে, আমি আতঙ্কিত বোধ করছি, শুধু, এই সম্পূর্ণ অস্তিত্বের, ভয়াবহ, ভয়ানক, কেবল ভয়ানক, ভয়ানক অনুভূতি.... ধূমপান সবকিছু দূর করে দেবে, কিন্তু তারপর এটি আরও খারাপভাবে ফিরে আসবে, তাই আমি সম্ভবত অনিবার্যকে আর দীর্ঘায়িত করতে পারব না... ঈশ্বর, দয়া করে কেউ কি আছেন যারা এই পরিস্থিতির মধ্য দিয়ে আমাকে সাহায্য করার জন্য কিছু ভিত্তি, আর্থিং, আশ্বস্ত, বোঝার, প্রেরণাদায়ক শব্দ দিয়ে আছেন? আমি মনে করতে পারছি না এটি কতক্ষণ স্থায়ী হবে... আমি কি ঠিক হব?? কারো কি কোন মজার, আশ্বস্ত, সদয় গল্প বা শব্দ বা এমনকি একটি বক্তৃতা আছে...?</v>
      </c>
    </row>
    <row r="247" spans="1:3" ht="15" x14ac:dyDescent="0.25">
      <c r="A247" s="3" t="s">
        <v>248</v>
      </c>
      <c r="B247" s="3" t="s">
        <v>4</v>
      </c>
      <c r="C247" s="4" t="str">
        <f ca="1">IFERROR(__xludf.DUMMYFUNCTION("GOOGLETRANSLATE(A247, ""auto"", ""bn"")"),"আমি (২১ বছর বয়সী) সারা জীবন মানসিক স্বাস্থ্য এবং আসক্তির সাথে লড়াই করেছি। আমার পরিবার আমার মানসিক স্বাস্থ্য সমস্যা সম্পর্কে খুব সচেতন, এবং তারা কিছুটা হলেও জানে যে আমি মদ্যপান করি এবং গাঁজা সেবন করি, তবে আমার মনে হয় না তারা এর পরিমাণ বোঝে। এটাও লক্ষণীয়"&amp;" যে আমি কানাডায় থাকি, আমি অন্টারিওতে থাকি এবং লোকেরা যা ভাবুক না কেন, আমাদের স্বাস্থ্য ব্যবস্থা খারাপ। সাহায্যের জন্য একটি আসক্তি কেন্দ্রে যাওয়ার জন্য আমাকে আমার মায়ের বীমা করতে হবে এবং এটিই আমার সমস্যা। আমি যদি নিজে এটি করি, তবে হাজার হাজার খরচ হবে কা"&amp;"রণ স্বাস্থ্যসেবা এটি কভার করে না। কোনও কারণে আমি তাকে বলতে স্বাচ্ছন্দ্য বোধ করি যে আমার মানসিক স্বাস্থ্য সমস্যা আছে, উদ্বেগ বিষণ্ণতা OCD, তবে শারীরিক কিছু নেই যদি তা বোধগম্য হয়, আমার PTSD বা আসক্তি। অন্যান্য মানসিক স্বাস্থ্য সমস্যা যা আমি নিয়ে জন্মগ্রহণ"&amp;" করেছি, কিন্তু অন্যান্য সমস্যাগুলি আমার ১৪/১৫ বছর বয়সে এসেছিল। আমি এমন একটি প্রোগ্রাম খুঁজে পেয়েছি যা আমার সমস্ত সমস্যা একসাথে সমাধান করতে সাহায্য করবে, এবং এটি একটি খুব ভালো সুযোগ বলে মনে হচ্ছে, এবং এটি এমন একটি প্রোগ্রাম যা খুব বেশি লোকের কাছে পৌঁছায়"&amp;" না কারণ আবার আমাদের সিস্টেম এতটাই জগাখিচুড়ি যে লোকেরা বছরের পর বছর ধরে অপেক্ষার তালিকায় থাকে। আমি কীভাবে আমার মাকে বলব যে আমি একটি আসক্তি কেন্দ্রে যাচ্ছি? আমি জানি আমার মা কেমন আছেন, এবং তিনি হতবাক হয়ে যাবেন, এবং তিনি খুব চিন্তিত হবেন, এবং সত্যি বলতে "&amp;"আমি তার বিচারবুদ্ধি নিয়েও ভয় পাচ্ছি। তিনি খুব মিষ্টি একজন মহিলা, কিন্তু আমি জানি না তিনি কীভাবে খবরটি নেবেন। আসক্তির জন্য সাহায্য নেওয়ার বিষয়ে কাউকে বলার আগে যদি কেউ এই পরিস্থিতির মধ্য দিয়ে গিয়ে থাকেন, তাহলে আমি সত্যিই যেকোন পরামর্শ বা অন্তর্দৃষ্টির"&amp;" জন্য কৃতজ্ঞ থাকব। ধন্যবাদ।")</f>
        <v>আমি (২১ বছর বয়সী) সারা জীবন মানসিক স্বাস্থ্য এবং আসক্তির সাথে লড়াই করেছি। আমার পরিবার আমার মানসিক স্বাস্থ্য সমস্যা সম্পর্কে খুব সচেতন, এবং তারা কিছুটা হলেও জানে যে আমি মদ্যপান করি এবং গাঁজা সেবন করি, তবে আমার মনে হয় না তারা এর পরিমাণ বোঝে। এটাও লক্ষণীয় যে আমি কানাডায় থাকি, আমি অন্টারিওতে থাকি এবং লোকেরা যা ভাবুক না কেন, আমাদের স্বাস্থ্য ব্যবস্থা খারাপ। সাহায্যের জন্য একটি আসক্তি কেন্দ্রে যাওয়ার জন্য আমাকে আমার মায়ের বীমা করতে হবে এবং এটিই আমার সমস্যা। আমি যদি নিজে এটি করি, তবে হাজার হাজার খরচ হবে কারণ স্বাস্থ্যসেবা এটি কভার করে না। কোনও কারণে আমি তাকে বলতে স্বাচ্ছন্দ্য বোধ করি যে আমার মানসিক স্বাস্থ্য সমস্যা আছে, উদ্বেগ বিষণ্ণতা OCD, তবে শারীরিক কিছু নেই যদি তা বোধগম্য হয়, আমার PTSD বা আসক্তি। অন্যান্য মানসিক স্বাস্থ্য সমস্যা যা আমি নিয়ে জন্মগ্রহণ করেছি, কিন্তু অন্যান্য সমস্যাগুলি আমার ১৪/১৫ বছর বয়সে এসেছিল। আমি এমন একটি প্রোগ্রাম খুঁজে পেয়েছি যা আমার সমস্ত সমস্যা একসাথে সমাধান করতে সাহায্য করবে, এবং এটি একটি খুব ভালো সুযোগ বলে মনে হচ্ছে, এবং এটি এমন একটি প্রোগ্রাম যা খুব বেশি লোকের কাছে পৌঁছায় না কারণ আবার আমাদের সিস্টেম এতটাই জগাখিচুড়ি যে লোকেরা বছরের পর বছর ধরে অপেক্ষার তালিকায় থাকে। আমি কীভাবে আমার মাকে বলব যে আমি একটি আসক্তি কেন্দ্রে যাচ্ছি? আমি জানি আমার মা কেমন আছেন, এবং তিনি হতবাক হয়ে যাবেন, এবং তিনি খুব চিন্তিত হবেন, এবং সত্যি বলতে আমি তার বিচারবুদ্ধি নিয়েও ভয় পাচ্ছি। তিনি খুব মিষ্টি একজন মহিলা, কিন্তু আমি জানি না তিনি কীভাবে খবরটি নেবেন। আসক্তির জন্য সাহায্য নেওয়ার বিষয়ে কাউকে বলার আগে যদি কেউ এই পরিস্থিতির মধ্য দিয়ে গিয়ে থাকেন, তাহলে আমি সত্যিই যেকোন পরামর্শ বা অন্তর্দৃষ্টির জন্য কৃতজ্ঞ থাকব। ধন্যবাদ।</v>
      </c>
    </row>
    <row r="248" spans="1:3" ht="15" x14ac:dyDescent="0.25">
      <c r="A248" s="3" t="s">
        <v>249</v>
      </c>
      <c r="B248" s="3" t="s">
        <v>4</v>
      </c>
      <c r="C248" s="4" t="str">
        <f ca="1">IFERROR(__xludf.DUMMYFUNCTION("GOOGLETRANSLATE(A248, ""auto"", ""bn"")"),"আমি শুধু নিজের পরিচয় দিতে চেয়েছিলাম এবং আরোগ্যের যাত্রা শুরু করার জন্য কিছু পরামর্শ পেতে চেয়েছিলাম। আমার টাইপ ২ বাইপোলার ডিসঅর্ডার আছে, এবং অবশেষে আমি এমন কিছু ওষুধের সংমিশ্রণ খুঁজে পেয়েছি যা আমার জন্য কাজ করেছে। যাইহোক, জীবনের একটি গুরুত্বপূর্ণ ঘটনার"&amp;" পর, আমি ব্যথা সহ্য করার জন্য ব্যবহার শুরু করেছিলাম। কিছুক্ষণের জন্য, আগাছা এবং অ্যালকোহল ব্যথাকে অসাড় করে দেওয়ার জন্য এবং বাস্তবতা থেকে আমাকে বের করে আনার জন্য যথেষ্ট ছিল। অবশেষে, আমার সহনশীলতা এতটাই বেড়ে গেল যে আগাছা আর আমাকে বিচ্ছিন্ন করতে সাহায্য ক"&amp;"রেনি, তাই আমি DXM-এর দিকে ঝুঁকে পড়লাম। পরশু, তীব্রতা বাড়ানোর জন্য আমি আঙ্গুরের রসের সাথে ডাবল ডোজ খাওয়ার পর আমার মা আমাকে সম্পূর্ণরূপে এই অবস্থা থেকে মুক্তি পেয়েছিলেন। আমি তাকে বলতে পারিনি যে আমি কতটা খেয়েছি কারণ আমি মনে করতে পারছি না। তিনি এত ভয় পে"&amp;"য়েছিলেন যে আমি অতিরিক্ত মাত্রায় খেয়ে ফেলেছিলাম। আমি তার সাথে খোলামেলা এবং সৎ থাকার সিদ্ধান্ত নিয়েছিলাম এবং রাত ও সকালের নরকীয়তার পরে, আমি সিদ্ধান্ত নিয়েছিলাম যে আমি সত্যিই উন্নতি করতে এবং পরিষ্কার হতে চাই। তাই আমি এখানে এসেছি। আমি একটি নিবিড় বহির্ব"&amp;"িভাগীয় চিকিৎসা কর্মসূচিতে যোগ দিতে যাচ্ছি এবং শুরুতে আমাকে সমর্থন করার জন্য তার উপর নির্ভর করতে যাচ্ছি। সাফল্যের জন্য আমাকে প্রস্তুত করার জন্য কোন টিপস?")</f>
        <v>আমি শুধু নিজের পরিচয় দিতে চেয়েছিলাম এবং আরোগ্যের যাত্রা শুরু করার জন্য কিছু পরামর্শ পেতে চেয়েছিলাম। আমার টাইপ ২ বাইপোলার ডিসঅর্ডার আছে, এবং অবশেষে আমি এমন কিছু ওষুধের সংমিশ্রণ খুঁজে পেয়েছি যা আমার জন্য কাজ করেছে। যাইহোক, জীবনের একটি গুরুত্বপূর্ণ ঘটনার পর, আমি ব্যথা সহ্য করার জন্য ব্যবহার শুরু করেছিলাম। কিছুক্ষণের জন্য, আগাছা এবং অ্যালকোহল ব্যথাকে অসাড় করে দেওয়ার জন্য এবং বাস্তবতা থেকে আমাকে বের করে আনার জন্য যথেষ্ট ছিল। অবশেষে, আমার সহনশীলতা এতটাই বেড়ে গেল যে আগাছা আর আমাকে বিচ্ছিন্ন করতে সাহায্য করেনি, তাই আমি DXM-এর দিকে ঝুঁকে পড়লাম। পরশু, তীব্রতা বাড়ানোর জন্য আমি আঙ্গুরের রসের সাথে ডাবল ডোজ খাওয়ার পর আমার মা আমাকে সম্পূর্ণরূপে এই অবস্থা থেকে মুক্তি পেয়েছিলেন। আমি তাকে বলতে পারিনি যে আমি কতটা খেয়েছি কারণ আমি মনে করতে পারছি না। তিনি এত ভয় পেয়েছিলেন যে আমি অতিরিক্ত মাত্রায় খেয়ে ফেলেছিলাম। আমি তার সাথে খোলামেলা এবং সৎ থাকার সিদ্ধান্ত নিয়েছিলাম এবং রাত ও সকালের নরকীয়তার পরে, আমি সিদ্ধান্ত নিয়েছিলাম যে আমি সত্যিই উন্নতি করতে এবং পরিষ্কার হতে চাই। তাই আমি এখানে এসেছি। আমি একটি নিবিড় বহির্বিভাগীয় চিকিৎসা কর্মসূচিতে যোগ দিতে যাচ্ছি এবং শুরুতে আমাকে সমর্থন করার জন্য তার উপর নির্ভর করতে যাচ্ছি। সাফল্যের জন্য আমাকে প্রস্তুত করার জন্য কোন টিপস?</v>
      </c>
    </row>
    <row r="249" spans="1:3" ht="15" x14ac:dyDescent="0.25">
      <c r="A249" s="3" t="s">
        <v>250</v>
      </c>
      <c r="B249" s="3" t="s">
        <v>4</v>
      </c>
      <c r="C249" s="4" t="str">
        <f ca="1">IFERROR(__xludf.DUMMYFUNCTION("GOOGLETRANSLATE(A249, ""auto"", ""bn"")"),"কোকেন আসক্ত এবং এখানে মদ্যপ। আমি প্রথমবার চিকিৎসার ২০ দিন পর বাড়ি ফিরেছি এবং এখন আমার পাওনা টাকা নিয়ে চিন্তা না করার জন্য যথাসাধ্য চেষ্টা করছি। ছুটি পাওয়ার ১২ ঘন্টা পরেই আমার আবারও এই রোগে আক্রান্ত হয়েছি, এবং আমি জানতাম যে আমি তা করব কারণ আমি চাইতাম। "&amp;"প্রতি রাতে আমি কোকেনের স্বপ্ন দেখতাম এবং দিনের প্রতিটি ঘুম থেকে ওঠার সময় আমি নেশাগ্রস্ত হওয়ার প্রয়োজনীয়তার কথা ভাবতাম। কোক ধ্বংসাত্মক এবং বিপজ্জনক এবং আমি ভয় পাই কারণ আমি অনুভব করছি যে এটির ক্ষতি হচ্ছে। তিন দিন আগে কেনা ৪ গ্রাম শেষ না করার জন্য আমাকে"&amp;" একটি কারণ বলুন। আমার একটি ভৌতিক গল্প দরকার। আমি অসুস্থ। চিকিৎসা স্পষ্টতই আমার কোনও লাভ করেনি। এটা খারাপ, কিন্তু স্পষ্টতই আমি একা এটি করতে পারি না।")</f>
        <v>কোকেন আসক্ত এবং এখানে মদ্যপ। আমি প্রথমবার চিকিৎসার ২০ দিন পর বাড়ি ফিরেছি এবং এখন আমার পাওনা টাকা নিয়ে চিন্তা না করার জন্য যথাসাধ্য চেষ্টা করছি। ছুটি পাওয়ার ১২ ঘন্টা পরেই আমার আবারও এই রোগে আক্রান্ত হয়েছি, এবং আমি জানতাম যে আমি তা করব কারণ আমি চাইতাম। প্রতি রাতে আমি কোকেনের স্বপ্ন দেখতাম এবং দিনের প্রতিটি ঘুম থেকে ওঠার সময় আমি নেশাগ্রস্ত হওয়ার প্রয়োজনীয়তার কথা ভাবতাম। কোক ধ্বংসাত্মক এবং বিপজ্জনক এবং আমি ভয় পাই কারণ আমি অনুভব করছি যে এটির ক্ষতি হচ্ছে। তিন দিন আগে কেনা ৪ গ্রাম শেষ না করার জন্য আমাকে একটি কারণ বলুন। আমার একটি ভৌতিক গল্প দরকার। আমি অসুস্থ। চিকিৎসা স্পষ্টতই আমার কোনও লাভ করেনি। এটা খারাপ, কিন্তু স্পষ্টতই আমি একা এটি করতে পারি না।</v>
      </c>
    </row>
    <row r="250" spans="1:3" ht="15" x14ac:dyDescent="0.25">
      <c r="A250" s="3" t="s">
        <v>251</v>
      </c>
      <c r="B250" s="3" t="s">
        <v>4</v>
      </c>
      <c r="C250" s="4" t="str">
        <f ca="1">IFERROR(__xludf.DUMMYFUNCTION("GOOGLETRANSLATE(A250, ""auto"", ""bn"")"),"আমি নেশার নেশায় আসক্ত এবং কীভাবে ছেড়ে দেবো তা আমি জানি না। আমি অনেকের ফোন নম্বর মুখস্থ করে ফেলেছি, এতে আমার ব্যাংক অ্যাকাউন্ট নষ্ট হয়ে যাচ্ছে, আমি জানি না এর মধ্যে আমার কী ভালো লাগে। আমি থামতে চাই, কোথা থেকে শুরু করব তা জানি না। আমি হয়তো চলে যাব, ৩-৪ দিন "&amp;"ধরে মদ্যপানের ৩ দিন আগে। আমি এখন একেবারে শেষ প্রান্তে।")</f>
        <v>আমি নেশার নেশায় আসক্ত এবং কীভাবে ছেড়ে দেবো তা আমি জানি না। আমি অনেকের ফোন নম্বর মুখস্থ করে ফেলেছি, এতে আমার ব্যাংক অ্যাকাউন্ট নষ্ট হয়ে যাচ্ছে, আমি জানি না এর মধ্যে আমার কী ভালো লাগে। আমি থামতে চাই, কোথা থেকে শুরু করব তা জানি না। আমি হয়তো চলে যাব, ৩-৪ দিন ধরে মদ্যপানের ৩ দিন আগে। আমি এখন একেবারে শেষ প্রান্তে।</v>
      </c>
    </row>
    <row r="251" spans="1:3" ht="15" x14ac:dyDescent="0.25">
      <c r="A251" s="3" t="s">
        <v>252</v>
      </c>
      <c r="B251" s="3" t="s">
        <v>4</v>
      </c>
      <c r="C251" s="4" t="str">
        <f ca="1">IFERROR(__xludf.DUMMYFUNCTION("GOOGLETRANSLATE(A251, ""auto"", ""bn"")"),"আমিও তাদের মধ্যে একজন যারা খুব বেশি চিন্তা করে, কিন্তু প্রায় সব চিন্তাই নেতিবাচক এবং আমার জন্য বেশ কষ্টকর। খারাপ চিন্তাভাবনা থেকে দূরে থাকার জন্য আমি বই পড়ার এবং সংখ্যা উল্টো করে গুনতে চেষ্টা করেছি কিন্তু এটা কঠিন। প্রতিটি অভিজ্ঞতা আমাকে তাড়া করে এবং যখন "&amp;"আমি ঘুম থেকে উঠি, তখন ভবিষ্যতে ঘটতে পারে এমন সবচেয়ে খারাপ পরিস্থিতির কথা ভাবি। আমি সর্বদা খুব অপরাধী, চিন্তিত, ভীত এবং অপমানিত বোধ করি। আমি কীভাবে এই চিন্তাভাবনা থেকে মুক্তি পাব?")</f>
        <v>আমিও তাদের মধ্যে একজন যারা খুব বেশি চিন্তা করে, কিন্তু প্রায় সব চিন্তাই নেতিবাচক এবং আমার জন্য বেশ কষ্টকর। খারাপ চিন্তাভাবনা থেকে দূরে থাকার জন্য আমি বই পড়ার এবং সংখ্যা উল্টো করে গুনতে চেষ্টা করেছি কিন্তু এটা কঠিন। প্রতিটি অভিজ্ঞতা আমাকে তাড়া করে এবং যখন আমি ঘুম থেকে উঠি, তখন ভবিষ্যতে ঘটতে পারে এমন সবচেয়ে খারাপ পরিস্থিতির কথা ভাবি। আমি সর্বদা খুব অপরাধী, চিন্তিত, ভীত এবং অপমানিত বোধ করি। আমি কীভাবে এই চিন্তাভাবনা থেকে মুক্তি পাব?</v>
      </c>
    </row>
    <row r="252" spans="1:3" ht="15" x14ac:dyDescent="0.25">
      <c r="A252" s="3" t="s">
        <v>253</v>
      </c>
      <c r="B252" s="3" t="s">
        <v>4</v>
      </c>
      <c r="C252" s="4" t="str">
        <f ca="1">IFERROR(__xludf.DUMMYFUNCTION("GOOGLETRANSLATE(A252, ""auto"", ""bn"")"),"আমি আমার দুইজন নিখুঁত বন্ধুকে নিয়ে বাড়ি ফিরছি। আমরা যখন সেখানে পৌঁছাবো তখন আমি তাদের আমার সমস্যার কথা বলবো এবং আমি সেখান থেকে পরিষ্কার হতে চাই। তাদের সাথে মিথ্যা বলার জন্য আমাকে মেরে ফেলবো কারণ আমি এটি লুকিয়ে রাখার জন্য ভালো কাজ করেছি। আমি এখনও শারীরিকভা"&amp;"বে দশম ঘন্টার মতোই অনুভব করি।")</f>
        <v>আমি আমার দুইজন নিখুঁত বন্ধুকে নিয়ে বাড়ি ফিরছি। আমরা যখন সেখানে পৌঁছাবো তখন আমি তাদের আমার সমস্যার কথা বলবো এবং আমি সেখান থেকে পরিষ্কার হতে চাই। তাদের সাথে মিথ্যা বলার জন্য আমাকে মেরে ফেলবো কারণ আমি এটি লুকিয়ে রাখার জন্য ভালো কাজ করেছি। আমি এখনও শারীরিকভাবে দশম ঘন্টার মতোই অনুভব করি।</v>
      </c>
    </row>
    <row r="253" spans="1:3" ht="15" x14ac:dyDescent="0.25">
      <c r="A253" s="3" t="s">
        <v>254</v>
      </c>
      <c r="B253" s="3" t="s">
        <v>4</v>
      </c>
      <c r="C253" s="4" t="str">
        <f ca="1">IFERROR(__xludf.DUMMYFUNCTION("GOOGLETRANSLATE(A253, ""auto"", ""bn"")"),"আমি যদি পৃথিবীর সবচেয়ে ধনী, সবচেয়ে ক্ষমতাশালী ব্যক্তি হই, অথবা সেতুর নিচে বসবাসকারী সবচেয়ে দরিদ্র কুকুরের সন্তান হই, শেষ পরিণতি একই রকম। মৃত্যু। আশ্রয়, খাদ্য, পোশাকের জন্য যথেষ্ট পরিশ্রম করা ছাড়া আমার কাছে অন্য কিছু করা অত্যন্ত কঠিন মনে হয়। আমি এই ক"&amp;"থাটি বুঝতে পারছি না যে ভালোবাসা থাকা এবং হারিয়ে যাওয়া, আগে কখনও ভালো না থাকার চেয়ে ভালো। বাজে কথা। আমি ভালোবেসেছি এবং হারিয়েছি, এবং আমি এটা ঘৃণা করি। তারা বলে ওহ কিন্তু স্মৃতিগুলোর কী হবে? স্মৃতিগুলো হারা। আমি প্রতিবারই স্মৃতিগুলো নিয়ে ভাবি। আমার মৃত"&amp;" বন্ধুদের স্বপ্ন। তাছাড়া, আমি এক সেকেন্ডের জন্য খুশি হয়ে ঘুম থেকে উঠি এবং মনে করি যে তারা চিরতরে চলে যাবে। তাছাড়া, আমি বাড়িতে ফিরে যাই এবং স্মৃতিগুলো অতিক্রম করে গাড়ি চালিয়ে যাই এবং আমি এটা ঘৃণা করি। এই জীবনটা খুবই পাগলাটে। যতক্ষণ না আমাকে কাজ করতে "&amp;"হয় ততক্ষণ আমি বাড়িতে থাকি। আমি কাজ করি তারপর বাড়ি আসি। তাছাড়া, আমি গাড়ি চালিয়ে যাওয়ার বা বাইরে বের হওয়ার আদেশ দিই। তাছাড়া, আমি মাথা নিচু করে আমার মুখের পর্দা উঁচু করে রাখি। যদি কারো তোমাকে ছেড়ে যাওয়ার সম্ভাবনা থাকে তবে কেন তাদের সাথে দেখা করার "&amp;"সুযোগ নেব? আমি কিছু বন্ধু তৈরি করেছিলাম এবং তাদের পূর্ববর্তী বন্ধুদের সাথে তুলনা করার চেষ্টা করেছি। তুমি জানো এটা কি কাজ করেনি। এই পৃথিবীতে অনেক ট্র্যাজেডি এবং দুঃখ আছে। আমার সাথে আসক্তি আমার মাথা থেকে কম্বল টেনে নেওয়ার মতো। আমি পৃথিবীকে আসলে কী তা দেখতে"&amp;" পাই। একটা বিশাল আবর্জনার স্তূপ। তুমি জন্মগ্রহণ করো, তুমি বেঁচে থাকো, এবং তুমি যা করো বা না করো তাতে কোন ব্যাপার না। তুমি হতাশ হও অথবা অন্য কাউকে হতাশ করো। যতই ওষুধ বা মানসিক স্বাস্থ্যসেবা আমার জন্য এই সমস্যার সমাধান করতে পারবে না। আমি ইতিমধ্যেই জানি আলোর"&amp;" শেষে কী আছে। আমি নিজেকে যুক্তিসঙ্গত চিন্তাভাবনা করতে সাহায্য করতে পারছি না। বিজ্ঞান এবং প্রকৃতির কিছু নিয়ম আছে যা জীবনের প্রতি আমার অনুভূতিকে সমর্থন করে। কোন ঈশ্বর নেই। স্বর্গ বা নরক নেই। মৃত্যুর পরে কিছুই নেই। তুমি কেবল মারা যাও। তুমি প্রতিদিন চলে যাও,"&amp;" কখন তা জানো না, কিন্তু তুমি জানো তোমার মাথার পিছনে আজকের দিনটি হতে পারে। আমি মানুষকে বুঝতে পারি না। এটা কীভাবে সম্ভব যে আরও বেশি মানুষ এইভাবে অনুভব করে না? তারা কীভাবে খুশি? কেন তারা খুশি? এমনকি আমার থেকে খারাপ লোকেরাও খুশি। যারা হেরেছে তারা আমার চেয়ে ব"&amp;"েশি খুশি। আমি বুঝতে পারছি না।")</f>
        <v>আমি যদি পৃথিবীর সবচেয়ে ধনী, সবচেয়ে ক্ষমতাশালী ব্যক্তি হই, অথবা সেতুর নিচে বসবাসকারী সবচেয়ে দরিদ্র কুকুরের সন্তান হই, শেষ পরিণতি একই রকম। মৃত্যু। আশ্রয়, খাদ্য, পোশাকের জন্য যথেষ্ট পরিশ্রম করা ছাড়া আমার কাছে অন্য কিছু করা অত্যন্ত কঠিন মনে হয়। আমি এই কথাটি বুঝতে পারছি না যে ভালোবাসা থাকা এবং হারিয়ে যাওয়া, আগে কখনও ভালো না থাকার চেয়ে ভালো। বাজে কথা। আমি ভালোবেসেছি এবং হারিয়েছি, এবং আমি এটা ঘৃণা করি। তারা বলে ওহ কিন্তু স্মৃতিগুলোর কী হবে? স্মৃতিগুলো হারা। আমি প্রতিবারই স্মৃতিগুলো নিয়ে ভাবি। আমার মৃত বন্ধুদের স্বপ্ন। তাছাড়া, আমি এক সেকেন্ডের জন্য খুশি হয়ে ঘুম থেকে উঠি এবং মনে করি যে তারা চিরতরে চলে যাবে। তাছাড়া, আমি বাড়িতে ফিরে যাই এবং স্মৃতিগুলো অতিক্রম করে গাড়ি চালিয়ে যাই এবং আমি এটা ঘৃণা করি। এই জীবনটা খুবই পাগলাটে। যতক্ষণ না আমাকে কাজ করতে হয় ততক্ষণ আমি বাড়িতে থাকি। আমি কাজ করি তারপর বাড়ি আসি। তাছাড়া, আমি গাড়ি চালিয়ে যাওয়ার বা বাইরে বের হওয়ার আদেশ দিই। তাছাড়া, আমি মাথা নিচু করে আমার মুখের পর্দা উঁচু করে রাখি। যদি কারো তোমাকে ছেড়ে যাওয়ার সম্ভাবনা থাকে তবে কেন তাদের সাথে দেখা করার সুযোগ নেব? আমি কিছু বন্ধু তৈরি করেছিলাম এবং তাদের পূর্ববর্তী বন্ধুদের সাথে তুলনা করার চেষ্টা করেছি। তুমি জানো এটা কি কাজ করেনি। এই পৃথিবীতে অনেক ট্র্যাজেডি এবং দুঃখ আছে। আমার সাথে আসক্তি আমার মাথা থেকে কম্বল টেনে নেওয়ার মতো। আমি পৃথিবীকে আসলে কী তা দেখতে পাই। একটা বিশাল আবর্জনার স্তূপ। তুমি জন্মগ্রহণ করো, তুমি বেঁচে থাকো, এবং তুমি যা করো বা না করো তাতে কোন ব্যাপার না। তুমি হতাশ হও অথবা অন্য কাউকে হতাশ করো। যতই ওষুধ বা মানসিক স্বাস্থ্যসেবা আমার জন্য এই সমস্যার সমাধান করতে পারবে না। আমি ইতিমধ্যেই জানি আলোর শেষে কী আছে। আমি নিজেকে যুক্তিসঙ্গত চিন্তাভাবনা করতে সাহায্য করতে পারছি না। বিজ্ঞান এবং প্রকৃতির কিছু নিয়ম আছে যা জীবনের প্রতি আমার অনুভূতিকে সমর্থন করে। কোন ঈশ্বর নেই। স্বর্গ বা নরক নেই। মৃত্যুর পরে কিছুই নেই। তুমি কেবল মারা যাও। তুমি প্রতিদিন চলে যাও, কখন তা জানো না, কিন্তু তুমি জানো তোমার মাথার পিছনে আজকের দিনটি হতে পারে। আমি মানুষকে বুঝতে পারি না। এটা কীভাবে সম্ভব যে আরও বেশি মানুষ এইভাবে অনুভব করে না? তারা কীভাবে খুশি? কেন তারা খুশি? এমনকি আমার থেকে খারাপ লোকেরাও খুশি। যারা হেরেছে তারা আমার চেয়ে বেশি খুশি। আমি বুঝতে পারছি না।</v>
      </c>
    </row>
    <row r="254" spans="1:3" ht="15" x14ac:dyDescent="0.25">
      <c r="A254" s="3" t="s">
        <v>255</v>
      </c>
      <c r="B254" s="3" t="s">
        <v>4</v>
      </c>
      <c r="C254" s="4" t="str">
        <f ca="1">IFERROR(__xludf.DUMMYFUNCTION("GOOGLETRANSLATE(A254, ""auto"", ""bn"")"),"তথ্যের জন্য, আমি একজন ১৯ বছর বয়সী মেয়ে যার ADD (অতি সক্রিয়তা বাদে ADHD এর মতোই) ধরা পড়েছে। আমি প্রায় ১২ বছর বয়স থেকেই Adderall প্রেসক্রিপশন নিচ্ছি। মনে রাখবেন, Adderall যতই অতিরিক্ত প্রেসক্রিপশন করা হোক না কেন, সেই সময় এটি আমার অবশ্যই প্রয়োজন ছিল। ছোট"&amp;"বেলায় আমার সাথে একটি আঘাতমূলক ঘটনা ঘটেছিল যার মধ্যে আমার বাবা (যিনি ব্যথানাশক এবং অ্যালকোহলে আসক্ত ছিলেন) জড়িত ছিল, এবং আমি বিশ্বাস করি যে এই আঘাতটি আমার ADD এর সাথে সম্পর্কিত কারণ এর কিছুক্ষণ পরেই আমার লক্ষণগুলি দেখা দিতে শুরু করে, যদিও আমি এর জন্য কয়ে"&amp;"ক বছর পরে ওষুধ গ্রহণ করিনি। এছাড়াও, আঘাতের সরাসরি ফলাফল হিসেবে আমার PTSD এবং উদ্বেগ ধরা পড়ে। আমি জানি Adderall একটি নিয়ন্ত্রিত পদার্থ যা আসক্তির দিকে পরিচালিত করতে পারে, তাই আমি এই বিষয়ে উত্তর খুঁজছি। আমি বলতে পারছি না যে আমি যা অনুভব করছি তা আসক্তি ক"&amp;"িনা। আমাকে ব্যাখ্যা করতে দিন: ১২ বছর বয়সে Adderall প্রেসক্রিপশন নেওয়ার পর, আমি এটি স্বাভাবিকভাবে এবং ধারাবাহিকভাবে গ্রহণ করেছি (৫ দিনের স্কুল সপ্তাহ জুড়ে দিনে একবার)। ক্লাসে মনোযোগ দেওয়া আমার অনেক সহজ ছিল এবং আমার গ্রেড উল্লেখযোগ্যভাবে উন্নত হয়েছিল। প্"&amp;"রায় ১৫ বছর বয়স পর্যন্ত এই অবস্থা ছিল, যখন আমার ডাক্তার আমাকে দিনে দুবার (সকালে একবার, সন্ধ্যায় একবার) অ্যাডেরাল গ্রহণ শুরু করার পরামর্শ দিয়েছিলেন। আমি বুঝতে শুরু করেছিলাম যে অ্যাডেরাল আমাকে যেভাবে অনুভব করায় তা আমার কতটা পছন্দ। যখনই আমি এটি গ্রহণ করতাম,"&amp;" তখন আমার মনে হতো যে আমি আমার মন যা ইচ্ছা তাই করতে সক্ষম। আমি সারা রাত ধরে স্কেচিং, লেখা বা উৎপাদনশীল কিছু করে কাটাতাম, এমনকি যতটা বড়ি খাওয়ার কথা ছিল তার চেয়ে বেশি বড়ি খাতাম। এমন সময় ছিল যখন আমি দিনে ৫টি বড়ি খাতাম। সেই সময়ে, আমি আমার খাওয়ার ব্যাধি"&amp;"র (অ্যানোরেক্সিয়া নার্ভাস) শীর্ষে ছিলাম, এবং প্রায়শই আমি আমার ক্ষুধা নিবারণের জন্য অ্যাডেরাল গ্রহণ করতাম। এর ফলে আমার ওজন অনেক কমে যেত। আমি নিশ্চিত নই যে এটি একটি আসক্তি কিনা কারণ যখন আমাকে অবশেষে এটি প্রায়শই বন্ধ করতে হয়েছিল, তখন আমি বলতে পারতাম না য"&amp;"ে আমার লক্ষণগুলি ওষুধ প্রত্যাহারের ফলে নাকি ওষুধ থেকে নেমে আসার স্বাভাবিক পার্শ্ব প্রতিক্রিয়া থেকে এসেছে। এত দিন রাত এটি ব্যবহার করার পর, এটি ছাড়া একটা দিন কাটানো ছিল ক্লান্তিকর। আমি ক্লান্ত, খিটখিটে এবং মাঝে মাঝে সারা দিন শারীরিকভাবে অসুস্থ বোধ করতাম। "&amp;"একটা সময় ছিল যখন আমি প্রায় ৪৮ ঘন্টা ধরে অ্যাডেরাল খেয়েছিলাম, তারপর অবশেষে ভোর ৩টার দিকে ঘুমাতে যেতাম এবং একই দিন রাত ৮টায় ঘুম থেকে উঠেছিলাম। সেই দীর্ঘ দুর্ঘটনা সম্ভবত আমার ঘুমের অভাবের কারণে হয়েছিল, কিন্তু অ্যাডেরাল খাওয়ার পর আমি দীর্ঘ সময় ধরে দুর্"&amp;"ঘটনার শিকার হয়েছি, যদিও আগে আমার ঘুমের অভাব ছিল না। আরেকটি বিষয় যা আমাকে নিশ্চিত করে যে এটি একটি আসক্তি হতে পারে তা হল ইতিমধ্যেই একটি আসক্তিকর ব্যক্তিত্ব থাকা এবং আমার পরিবারে, যার মধ্যে আমার বাবাও রয়েছে, এটি কতটা ব্যাপকভাবে ছড়িয়ে পড়েছে তার কারণে আস"&amp;"ক্তির প্রবণতা। এটিই আমাকে সবচেয়ে বেশি চিন্তিত করে। কেউ কি আমাকে বলতে পারবে যে আমি অ্যাডেরালে আসক্ত কিনা? আমি বুঝতে পারছি এটা সম্ভবত একটা বোকামিপূর্ণ প্রশ্ন বলে মনে হচ্ছে, কিন্তু মাদকাসক্তি খুবই গুরুতর, এবং সাহায্যের জন্য হাত বাড়ানোর আগে আমি নিশ্চিত করতে"&amp;" চাই যে আমি এটিকে অতিরিক্ত মাত্রায় উড়িয়ে দিচ্ছি না। সৎ হতে দ্বিধা করবেন না, এটি এমন একটি বিষয় যা আমি সত্যিই জানতে চাই যাতে আমি আমার প্রিয়জনদের সাথে এটি সম্পর্কে কথা বলার সময় এটি কীভাবে মোকাবেলা করতে হয় তা বুঝতে পারি।")</f>
        <v>তথ্যের জন্য, আমি একজন ১৯ বছর বয়সী মেয়ে যার ADD (অতি সক্রিয়তা বাদে ADHD এর মতোই) ধরা পড়েছে। আমি প্রায় ১২ বছর বয়স থেকেই Adderall প্রেসক্রিপশন নিচ্ছি। মনে রাখবেন, Adderall যতই অতিরিক্ত প্রেসক্রিপশন করা হোক না কেন, সেই সময় এটি আমার অবশ্যই প্রয়োজন ছিল। ছোটবেলায় আমার সাথে একটি আঘাতমূলক ঘটনা ঘটেছিল যার মধ্যে আমার বাবা (যিনি ব্যথানাশক এবং অ্যালকোহলে আসক্ত ছিলেন) জড়িত ছিল, এবং আমি বিশ্বাস করি যে এই আঘাতটি আমার ADD এর সাথে সম্পর্কিত কারণ এর কিছুক্ষণ পরেই আমার লক্ষণগুলি দেখা দিতে শুরু করে, যদিও আমি এর জন্য কয়েক বছর পরে ওষুধ গ্রহণ করিনি। এছাড়াও, আঘাতের সরাসরি ফলাফল হিসেবে আমার PTSD এবং উদ্বেগ ধরা পড়ে। আমি জানি Adderall একটি নিয়ন্ত্রিত পদার্থ যা আসক্তির দিকে পরিচালিত করতে পারে, তাই আমি এই বিষয়ে উত্তর খুঁজছি। আমি বলতে পারছি না যে আমি যা অনুভব করছি তা আসক্তি কিনা। আমাকে ব্যাখ্যা করতে দিন: ১২ বছর বয়সে Adderall প্রেসক্রিপশন নেওয়ার পর, আমি এটি স্বাভাবিকভাবে এবং ধারাবাহিকভাবে গ্রহণ করেছি (৫ দিনের স্কুল সপ্তাহ জুড়ে দিনে একবার)। ক্লাসে মনোযোগ দেওয়া আমার অনেক সহজ ছিল এবং আমার গ্রেড উল্লেখযোগ্যভাবে উন্নত হয়েছিল। প্রায় ১৫ বছর বয়স পর্যন্ত এই অবস্থা ছিল, যখন আমার ডাক্তার আমাকে দিনে দুবার (সকালে একবার, সন্ধ্যায় একবার) অ্যাডেরাল গ্রহণ শুরু করার পরামর্শ দিয়েছিলেন। আমি বুঝতে শুরু করেছিলাম যে অ্যাডেরাল আমাকে যেভাবে অনুভব করায় তা আমার কতটা পছন্দ। যখনই আমি এটি গ্রহণ করতাম, তখন আমার মনে হতো যে আমি আমার মন যা ইচ্ছা তাই করতে সক্ষম। আমি সারা রাত ধরে স্কেচিং, লেখা বা উৎপাদনশীল কিছু করে কাটাতাম, এমনকি যতটা বড়ি খাওয়ার কথা ছিল তার চেয়ে বেশি বড়ি খাতাম। এমন সময় ছিল যখন আমি দিনে ৫টি বড়ি খাতাম। সেই সময়ে, আমি আমার খাওয়ার ব্যাধির (অ্যানোরেক্সিয়া নার্ভাস) শীর্ষে ছিলাম, এবং প্রায়শই আমি আমার ক্ষুধা নিবারণের জন্য অ্যাডেরাল গ্রহণ করতাম। এর ফলে আমার ওজন অনেক কমে যেত। আমি নিশ্চিত নই যে এটি একটি আসক্তি কিনা কারণ যখন আমাকে অবশেষে এটি প্রায়শই বন্ধ করতে হয়েছিল, তখন আমি বলতে পারতাম না যে আমার লক্ষণগুলি ওষুধ প্রত্যাহারের ফলে নাকি ওষুধ থেকে নেমে আসার স্বাভাবিক পার্শ্ব প্রতিক্রিয়া থেকে এসেছে। এত দিন রাত এটি ব্যবহার করার পর, এটি ছাড়া একটা দিন কাটানো ছিল ক্লান্তিকর। আমি ক্লান্ত, খিটখিটে এবং মাঝে মাঝে সারা দিন শারীরিকভাবে অসুস্থ বোধ করতাম। একটা সময় ছিল যখন আমি প্রায় ৪৮ ঘন্টা ধরে অ্যাডেরাল খেয়েছিলাম, তারপর অবশেষে ভোর ৩টার দিকে ঘুমাতে যেতাম এবং একই দিন রাত ৮টায় ঘুম থেকে উঠেছিলাম। সেই দীর্ঘ দুর্ঘটনা সম্ভবত আমার ঘুমের অভাবের কারণে হয়েছিল, কিন্তু অ্যাডেরাল খাওয়ার পর আমি দীর্ঘ সময় ধরে দুর্ঘটনার শিকার হয়েছি, যদিও আগে আমার ঘুমের অভাব ছিল না। আরেকটি বিষয় যা আমাকে নিশ্চিত করে যে এটি একটি আসক্তি হতে পারে তা হল ইতিমধ্যেই একটি আসক্তিকর ব্যক্তিত্ব থাকা এবং আমার পরিবারে, যার মধ্যে আমার বাবাও রয়েছে, এটি কতটা ব্যাপকভাবে ছড়িয়ে পড়েছে তার কারণে আসক্তির প্রবণতা। এটিই আমাকে সবচেয়ে বেশি চিন্তিত করে। কেউ কি আমাকে বলতে পারবে যে আমি অ্যাডেরালে আসক্ত কিনা? আমি বুঝতে পারছি এটা সম্ভবত একটা বোকামিপূর্ণ প্রশ্ন বলে মনে হচ্ছে, কিন্তু মাদকাসক্তি খুবই গুরুতর, এবং সাহায্যের জন্য হাত বাড়ানোর আগে আমি নিশ্চিত করতে চাই যে আমি এটিকে অতিরিক্ত মাত্রায় উড়িয়ে দিচ্ছি না। সৎ হতে দ্বিধা করবেন না, এটি এমন একটি বিষয় যা আমি সত্যিই জানতে চাই যাতে আমি আমার প্রিয়জনদের সাথে এটি সম্পর্কে কথা বলার সময় এটি কীভাবে মোকাবেলা করতে হয় তা বুঝতে পারি।</v>
      </c>
    </row>
    <row r="255" spans="1:3" ht="15" x14ac:dyDescent="0.25">
      <c r="A255" s="3" t="s">
        <v>256</v>
      </c>
      <c r="B255" s="3" t="s">
        <v>4</v>
      </c>
      <c r="C255" s="4" t="str">
        <f ca="1">IFERROR(__xludf.DUMMYFUNCTION("GOOGLETRANSLATE(A255, ""auto"", ""bn"")"),"গত রাতে একটা কনভেনিয়েন্স স্টোরে আমাকে এই প্রশ্ন করা হয়েছিল। আমি আমার দুই এক ফুট লম্বা স্টেক স্যান্ডউইচ এবং ফ্রেঞ্চ ফ্রাইয়ের সাথে দুটি চিনি-মুক্ত ডক্টর পেপার এবং এক প্যাকেট চকলেট টুইঙ্কল কিনছিলাম। তাছাড়া, আমি নিজে খেতে খেতে ঘুমাতে যাচ্ছিলাম এবং তারপর ঘ"&amp;"ুমাতে যাচ্ছিলাম। তাছাড়া, আমি প্রচুর খাবার খেতে পছন্দ করি তারপর ঘুমাতে যাই। তাছাড়া, আমি জানি এটা স্বাস্থ্যকর নয়, তবুও আমি এটা করি। তাছাড়া, আমি ঘুমানোর আগে প্রচুর খেতে পছন্দ করি। তাছাড়া, এটা আমার শরীরের ক্ষতি করে কিনা তা আমার পরোয়া করে না। তাছাড়া, আম"&amp;"ার দাঁত পড়ে গেলেও আমার কিছু যায় আসে না। তাছাড়া, আমি কেবল পরোয়া করি না। হয়তো আমি যদি গ্যাস স্টেশনের কেরানিকে এই কথা বলি, তাহলে হয়তো পরের বার আমি আসব, সে আমাকে হাসতে বলবে না। সে জানবে যে আমার হাসির কিছু নেই। আমার হাসির কোনও কারণ নেই। আমি হাজার হাজার ক"&amp;"্যালোরি এবং প্রচুর পরিমাণে চর্বি এবং কোলেস্টেরল দিয়ে মুখ ভরে বাড়ি যাচ্ছি। তাছাড়া, আমি কখনও হাসি না। জীবন এমন কিছু নয় যা আমি হাসি। মানুষ এমন কিছু নয় যার জন্য আমি হাসি। আমার মুখে একটা গভীর অন্ধকার, অতল ভাব নিয়ে আমি জীবন পার করছি। কেউ আমার সাথে কথা বলে"&amp;" না এবং আমি কারো সাথে কথা বলি না। যত তাড়াতাড়ি সম্ভব এবং দক্ষতার সাথে এই পথ অতিক্রম করার চেষ্টা করছি। আমি রাতের বেলা কাজ করি এই কারণে। তুমি আমাকে দেখতে পাও না, আর আমি তোমাকেও দেখতে পাই না। আমি আমার বিমানবন্দরের বাইরের পার্কিং শাটল বাসের লাইট বন্ধ করে রাখ"&amp;"ি যতক্ষণ না আমাকে সেগুলো জ্বালাতে হয়। লোকেরা আমার বাসে উঠে তাদের ভ্রমণের কথা বলতে শুরু করে। আমি সেই লাইটগুলো বন্ধ করে দেই। সবাই চুপ করে থাকে। বিমানবন্দরের বাইরের পার্কিং লটে না পৌঁছানো পর্যন্ত আমি লাইট জ্বালাই না। লোকেরা সেখানে পৌঁছানোর আগে আমি তাড়াহুড়"&amp;"ো করে লাগেজ নামিয়ে ফেলি। তাছাড়া, আমি আমার মাথা নিচু করে রাখি এবং আমার হুড উপরে রাখি। তাছাড়া, আমি যতক্ষণ সম্ভব আমার সানগ্লাস জ্বালিয়ে রাখি। তাছাড়া, আমি যতটা সম্ভব মানুষের সাথে যোগাযোগ কম করার চেষ্টা করি। শুধু আমাকে আমার টিপ দিন বা না দিন এবং চলে যান। "&amp;"আসলে আমি টিপ পাই কিনা তা আমার পরোয়া করে না। যদি আমি টিপ পাই তবে আমি কথা বলতে বাধ্য বোধ করি। ধন্যবাদ জানাতে। অন্তত যদি তুমি আমাকে কিছু না দাও, তাহলে আমার সাথে যোগাযোগের সাথে আরও এগিয়ে যাওয়ার কোনও কারণ থাকবে না। সহকর্মীরা আলোচনা শুরু করতে চায়। আমি জানি "&amp;"আমি উত্তর না দিয়ে থাকতে পারি না। আমি বলি, দেয়ালের বাইরের সবচেয়ে খারাপ লোকটা আমার মনে হয় ঠিকই আছে। একজন লোক রাস্তার ধারে একটা পিৎজার দোকানের কথা জিজ্ঞেস করল। জিজ্ঞেস করল কেন ওটা কখনও খোলা থাকে না। জিজ্ঞেস করল আমি কি কখনও ওখানে গিয়েছি? আমি বললাম হ্যাঁ, আমি"&amp;" হেরোইন কিনতে গিয়েছি। কথা শেষ। সে কী বলবে? সে জিজ্ঞাসাও করতে পারল না যে আমি মজা করছি কিনা কারণ আমি সরাসরি মুখে বলি এবং খুব গম্ভীরভাবে আচরণ করি। তরুণ সহকর্মীরা আমাকে প্রশ্ন করে। আমি এমন এক জীবনে প্রবেশ করি যেখানে তুমি বকাঝকা করো। একমাত্র শান্তি তখনই যখন তু"&amp;"মি মারা যাও। তুমি মারা যাও এবং কোন চিন্তা থাকবে না। বিল, কাজ, পারিবারিক বাধ্যবাধকতা, সমাজের দায়িত্ব সব চলে যাবে। তুমি শুধু মারা যাও এবং এটাই। আমি সোজা মুখে বলি এটাকে গম্ভীরভাবে বলি। তারপর মৃত্যুহীন নীরবতা নেমে আসে। কয়েক মিনিট কেটে যায় এবং আর কিছুই বলা হ"&amp;"য় না। তরুণ সহকর্মীরা কেবল সেখানে বসে উত্তরের কথা ভাবে, কিন্তু কিছুই ভাবতে পারে না। তারা জানে আমি ঠিক। তারা জানে যে তাদের প্রজন্মের লোকেরা খারাপ। ২০ বছর বয়স আর কলেজে পড়াশোনা করছি, কিছু ফালতু ডিগ্রির জন্য। অতিরিক্ত বিয়ারের টাকার জন্য বিমানবন্দরের বাইরে পার"&amp;"্কিং লটে কাজ করছি। কথা বলা শুরু না করা পর্যন্ত ভাগ্যবান। এটা সুন্দর। আশা এবং স্বপ্ন চোখের পলকে তাড়াতাড়ি চলে যায়। তারা বুঝতে পারে যে আমি ঠিক। আমি অফিস থেকে বেরিয়ে পার্কিং লটে আমার ভ্যানের দিকে যাই। আমি তাদের চিন্তাভাবনা তাদের কাছে রেখে যাই। তাছাড়া, আমি বিম"&amp;"ানবন্দরে আরেকটি ভ্রমণে যাই। তাছাড়া, আমি বারবার গাড়ি চালাই। রাত ১০, ১১ ঘন্টা। আমি সিবিতে ডিসপ্যাচারের কাছে রেডিও পাঠাই। তাদের কথাবার্তায় আর আনন্দ নেই। আর বন্ধুত্বপূর্ণ বকবক বা আড্ডা নেই। আমি রেডিওতে তাদের কণ্ঠস্বরে শূন্যতা শুনতে পাই। আমি এই লোকেদের হতাশ এ"&amp;"বং আশাহীন করার চেষ্টা করছি না। এটা আমার কাছে খুবই স্বাভাবিক। গ্রাহকরা খুশি যে তারা ছুটিতে যাচ্ছে এবং আমার সাথে এটি সম্পর্কে কথা বলার চেষ্টা করে। আমি তাদের কণ্ঠস্বরে আনন্দ শুনতে পাই। বিমানবন্দরে পৌঁছাতে মাত্র ১০ মিনিট লাগে। আমার কেবল ১০ মিনিটের প্রয়োজন। ত"&amp;"ারা এখনও খুশিতে বাস থেকে নেমে যায়, কিন্তু অবাক হওয়ার কিছু নেই। আমি ফিরে আসার পরও কি সেই বাস ড্রাইভার বেঁচে থাকবে? ভাবছি যে সে আমার মতো এত খুশি হবে না। আমি ছুটিতে যাচ্ছি, আমার শেষ গন্তব্যে পৌঁছানোর আগে কেন আমি আমার আনন্দ সবার কাছে ছড়িয়ে দেব না? না। আমার "&amp;"শিফটে নেই। তুমি আমাকে বোঝানোর চেষ্টা করছো যে তোমার উত্তেজনা আমার উপর নেতিবাচক প্রভাব ফেলছে। তুমি যত বেশি আমার সাথে কথা বলার চেষ্টা করো, আমি তত বেশি তোমার খুশি নষ্ট করার চেষ্টা করছি। আমি তাদের ছেড়ে দেই এবং রেডিও পাঠাতে পাঠাই। আমি কোনও আনন্দ বা উত্তেজনা শু"&amp;"নতে পাই না। তাছাড়া, আমি কোনও আনন্দ বা উত্তেজনা প্রকাশ করি না। তাছাড়া, আমি বিমানবন্দরের বাইরের পার্কিং লটে ফিরে আসি। এটি পরবর্তী 9 ঘন্টা ধরে চলতে থাকে।")</f>
        <v>গত রাতে একটা কনভেনিয়েন্স স্টোরে আমাকে এই প্রশ্ন করা হয়েছিল। আমি আমার দুই এক ফুট লম্বা স্টেক স্যান্ডউইচ এবং ফ্রেঞ্চ ফ্রাইয়ের সাথে দুটি চিনি-মুক্ত ডক্টর পেপার এবং এক প্যাকেট চকলেট টুইঙ্কল কিনছিলাম। তাছাড়া, আমি নিজে খেতে খেতে ঘুমাতে যাচ্ছিলাম এবং তারপর ঘুমাতে যাচ্ছিলাম। তাছাড়া, আমি প্রচুর খাবার খেতে পছন্দ করি তারপর ঘুমাতে যাই। তাছাড়া, আমি জানি এটা স্বাস্থ্যকর নয়, তবুও আমি এটা করি। তাছাড়া, আমি ঘুমানোর আগে প্রচুর খেতে পছন্দ করি। তাছাড়া, এটা আমার শরীরের ক্ষতি করে কিনা তা আমার পরোয়া করে না। তাছাড়া, আমার দাঁত পড়ে গেলেও আমার কিছু যায় আসে না। তাছাড়া, আমি কেবল পরোয়া করি না। হয়তো আমি যদি গ্যাস স্টেশনের কেরানিকে এই কথা বলি, তাহলে হয়তো পরের বার আমি আসব, সে আমাকে হাসতে বলবে না। সে জানবে যে আমার হাসির কিছু নেই। আমার হাসির কোনও কারণ নেই। আমি হাজার হাজার ক্যালোরি এবং প্রচুর পরিমাণে চর্বি এবং কোলেস্টেরল দিয়ে মুখ ভরে বাড়ি যাচ্ছি। তাছাড়া, আমি কখনও হাসি না। জীবন এমন কিছু নয় যা আমি হাসি। মানুষ এমন কিছু নয় যার জন্য আমি হাসি। আমার মুখে একটা গভীর অন্ধকার, অতল ভাব নিয়ে আমি জীবন পার করছি। কেউ আমার সাথে কথা বলে না এবং আমি কারো সাথে কথা বলি না। যত তাড়াতাড়ি সম্ভব এবং দক্ষতার সাথে এই পথ অতিক্রম করার চেষ্টা করছি। আমি রাতের বেলা কাজ করি এই কারণে। তুমি আমাকে দেখতে পাও না, আর আমি তোমাকেও দেখতে পাই না। আমি আমার বিমানবন্দরের বাইরের পার্কিং শাটল বাসের লাইট বন্ধ করে রাখি যতক্ষণ না আমাকে সেগুলো জ্বালাতে হয়। লোকেরা আমার বাসে উঠে তাদের ভ্রমণের কথা বলতে শুরু করে। আমি সেই লাইটগুলো বন্ধ করে দেই। সবাই চুপ করে থাকে। বিমানবন্দরের বাইরের পার্কিং লটে না পৌঁছানো পর্যন্ত আমি লাইট জ্বালাই না। লোকেরা সেখানে পৌঁছানোর আগে আমি তাড়াহুড়ো করে লাগেজ নামিয়ে ফেলি। তাছাড়া, আমি আমার মাথা নিচু করে রাখি এবং আমার হুড উপরে রাখি। তাছাড়া, আমি যতক্ষণ সম্ভব আমার সানগ্লাস জ্বালিয়ে রাখি। তাছাড়া, আমি যতটা সম্ভব মানুষের সাথে যোগাযোগ কম করার চেষ্টা করি। শুধু আমাকে আমার টিপ দিন বা না দিন এবং চলে যান। আসলে আমি টিপ পাই কিনা তা আমার পরোয়া করে না। যদি আমি টিপ পাই তবে আমি কথা বলতে বাধ্য বোধ করি। ধন্যবাদ জানাতে। অন্তত যদি তুমি আমাকে কিছু না দাও, তাহলে আমার সাথে যোগাযোগের সাথে আরও এগিয়ে যাওয়ার কোনও কারণ থাকবে না। সহকর্মীরা আলোচনা শুরু করতে চায়। আমি জানি আমি উত্তর না দিয়ে থাকতে পারি না। আমি বলি, দেয়ালের বাইরের সবচেয়ে খারাপ লোকটা আমার মনে হয় ঠিকই আছে। একজন লোক রাস্তার ধারে একটা পিৎজার দোকানের কথা জিজ্ঞেস করল। জিজ্ঞেস করল কেন ওটা কখনও খোলা থাকে না। জিজ্ঞেস করল আমি কি কখনও ওখানে গিয়েছি? আমি বললাম হ্যাঁ, আমি হেরোইন কিনতে গিয়েছি। কথা শেষ। সে কী বলবে? সে জিজ্ঞাসাও করতে পারল না যে আমি মজা করছি কিনা কারণ আমি সরাসরি মুখে বলি এবং খুব গম্ভীরভাবে আচরণ করি। তরুণ সহকর্মীরা আমাকে প্রশ্ন করে। আমি এমন এক জীবনে প্রবেশ করি যেখানে তুমি বকাঝকা করো। একমাত্র শান্তি তখনই যখন তুমি মারা যাও। তুমি মারা যাও এবং কোন চিন্তা থাকবে না। বিল, কাজ, পারিবারিক বাধ্যবাধকতা, সমাজের দায়িত্ব সব চলে যাবে। তুমি শুধু মারা যাও এবং এটাই। আমি সোজা মুখে বলি এটাকে গম্ভীরভাবে বলি। তারপর মৃত্যুহীন নীরবতা নেমে আসে। কয়েক মিনিট কেটে যায় এবং আর কিছুই বলা হয় না। তরুণ সহকর্মীরা কেবল সেখানে বসে উত্তরের কথা ভাবে, কিন্তু কিছুই ভাবতে পারে না। তারা জানে আমি ঠিক। তারা জানে যে তাদের প্রজন্মের লোকেরা খারাপ। ২০ বছর বয়স আর কলেজে পড়াশোনা করছি, কিছু ফালতু ডিগ্রির জন্য। অতিরিক্ত বিয়ারের টাকার জন্য বিমানবন্দরের বাইরে পার্কিং লটে কাজ করছি। কথা বলা শুরু না করা পর্যন্ত ভাগ্যবান। এটা সুন্দর। আশা এবং স্বপ্ন চোখের পলকে তাড়াতাড়ি চলে যায়। তারা বুঝতে পারে যে আমি ঠিক। আমি অফিস থেকে বেরিয়ে পার্কিং লটে আমার ভ্যানের দিকে যাই। আমি তাদের চিন্তাভাবনা তাদের কাছে রেখে যাই। তাছাড়া, আমি বিমানবন্দরে আরেকটি ভ্রমণে যাই। তাছাড়া, আমি বারবার গাড়ি চালাই। রাত ১০, ১১ ঘন্টা। আমি সিবিতে ডিসপ্যাচারের কাছে রেডিও পাঠাই। তাদের কথাবার্তায় আর আনন্দ নেই। আর বন্ধুত্বপূর্ণ বকবক বা আড্ডা নেই। আমি রেডিওতে তাদের কণ্ঠস্বরে শূন্যতা শুনতে পাই। আমি এই লোকেদের হতাশ এবং আশাহীন করার চেষ্টা করছি না। এটা আমার কাছে খুবই স্বাভাবিক। গ্রাহকরা খুশি যে তারা ছুটিতে যাচ্ছে এবং আমার সাথে এটি সম্পর্কে কথা বলার চেষ্টা করে। আমি তাদের কণ্ঠস্বরে আনন্দ শুনতে পাই। বিমানবন্দরে পৌঁছাতে মাত্র ১০ মিনিট লাগে। আমার কেবল ১০ মিনিটের প্রয়োজন। তারা এখনও খুশিতে বাস থেকে নেমে যায়, কিন্তু অবাক হওয়ার কিছু নেই। আমি ফিরে আসার পরও কি সেই বাস ড্রাইভার বেঁচে থাকবে? ভাবছি যে সে আমার মতো এত খুশি হবে না। আমি ছুটিতে যাচ্ছি, আমার শেষ গন্তব্যে পৌঁছানোর আগে কেন আমি আমার আনন্দ সবার কাছে ছড়িয়ে দেব না? না। আমার শিফটে নেই। তুমি আমাকে বোঝানোর চেষ্টা করছো যে তোমার উত্তেজনা আমার উপর নেতিবাচক প্রভাব ফেলছে। তুমি যত বেশি আমার সাথে কথা বলার চেষ্টা করো, আমি তত বেশি তোমার খুশি নষ্ট করার চেষ্টা করছি। আমি তাদের ছেড়ে দেই এবং রেডিও পাঠাতে পাঠাই। আমি কোনও আনন্দ বা উত্তেজনা শুনতে পাই না। তাছাড়া, আমি কোনও আনন্দ বা উত্তেজনা প্রকাশ করি না। তাছাড়া, আমি বিমানবন্দরের বাইরের পার্কিং লটে ফিরে আসি। এটি পরবর্তী 9 ঘন্টা ধরে চলতে থাকে।</v>
      </c>
    </row>
    <row r="256" spans="1:3" ht="15" x14ac:dyDescent="0.25">
      <c r="A256" s="3" t="s">
        <v>257</v>
      </c>
      <c r="B256" s="3" t="s">
        <v>4</v>
      </c>
      <c r="C256" s="4" t="str">
        <f ca="1">IFERROR(__xludf.DUMMYFUNCTION("GOOGLETRANSLATE(A256, ""auto"", ""bn"")"),"সম্ভবত একটা ছোট্ট গল্প বলা উচিত, দুঃখিত। ৮ বছর বয়সে বাবার আলমারিতে তার প্লেবয়দের খুঁজে পাওয়ার পর থেকে আমি হস্তমৈথুনের সময় ডোপামিনের প্রতি আসক্ত হয়ে পড়েছি। আমার বয়স এখন ৪০। তাছাড়া, যতক্ষণ সম্ভব আমি হস্তমৈথুন করি। সংযত থাকি, বীর্যপাতের আগে হয়তো ৩০ "&amp;"মিনিট সময় পাই। আগাছা খাওয়ার সময় আমার কাছে প্রায় এক ঘন্টা সময় থাকে, কিন্তু অ্যাডেরাল খাওয়ার সময় আমার মনে হয় আমার রেকর্ড টানা ১০ ঘন্টা। আমি কেবল বীর্যপাত করতে পারি না, ঠিক আছে, কিন্তু যতক্ষণ সম্ভব ডোপামিনের প্রয়োজন। মাঝে মাঝে আমি স্ট্রোকের মাঝখানে "&amp;"থামি এবং ভাবি। আজ এই ছিল।")</f>
        <v>সম্ভবত একটা ছোট্ট গল্প বলা উচিত, দুঃখিত। ৮ বছর বয়সে বাবার আলমারিতে তার প্লেবয়দের খুঁজে পাওয়ার পর থেকে আমি হস্তমৈথুনের সময় ডোপামিনের প্রতি আসক্ত হয়ে পড়েছি। আমার বয়স এখন ৪০। তাছাড়া, যতক্ষণ সম্ভব আমি হস্তমৈথুন করি। সংযত থাকি, বীর্যপাতের আগে হয়তো ৩০ মিনিট সময় পাই। আগাছা খাওয়ার সময় আমার কাছে প্রায় এক ঘন্টা সময় থাকে, কিন্তু অ্যাডেরাল খাওয়ার সময় আমার মনে হয় আমার রেকর্ড টানা ১০ ঘন্টা। আমি কেবল বীর্যপাত করতে পারি না, ঠিক আছে, কিন্তু যতক্ষণ সম্ভব ডোপামিনের প্রয়োজন। মাঝে মাঝে আমি স্ট্রোকের মাঝখানে থামি এবং ভাবি। আজ এই ছিল।</v>
      </c>
    </row>
    <row r="257" spans="1:3" ht="15" x14ac:dyDescent="0.25">
      <c r="A257" s="3" t="s">
        <v>258</v>
      </c>
      <c r="B257" s="3" t="s">
        <v>4</v>
      </c>
      <c r="C257" s="4" t="str">
        <f ca="1">IFERROR(__xludf.DUMMYFUNCTION("GOOGLETRANSLATE(A257, ""auto"", ""bn"")"),"পরিবারের এক ঘনিষ্ঠ সদস্য এক বছরেরও বেশি সময় ধরে একজন পলি ড্রাগ ব্যবহারকারীর সাথে সম্পর্কে রয়েছেন। এই সময়কালে তিনি 'ইচ্ছায়' তাকে তার আয়ের একটি উল্লেখযোগ্য অংশ দিয়েছেন। তিনি তার মাদক সংক্রান্ত সমস্যার মধ্য দিয়ে তাকে সহায়তা করেছেন এবং মাঝে মাঝে তার স"&amp;"াথে দৃঢ়ভাবে বলেছেন যে তার বাড়ি যেন ফাটলের আড্ডায় পরিণত না হয়। তিনি মূলত ধূমপান করতেন, এবং তার যৌন মিলন না হওয়ার কারণে (দুর্বল উত্তেজিত হওয়া, কোনও প্রসব-পূর্ব সম্পর্ক, সামান্য ইচ্ছা) তাদের মধ্যে বিচ্ছেদ ঘটে। গত রাতে তিনি ফোন করে বলেন যে তিনি হঠাৎ করে"&amp;"ই তার নম্বর মুছে ফেলার এবং তার জিনিসপত্র ফেরত দেওয়ার হুমকি দিচ্ছেন কারণ তিনি এমন কিছু করেছেন যা তিনি বিস্তারিতভাবে বলতে চান না এবং মনে হচ্ছে তিনি ক্র্যাক প্রত্যাহার করছেন অথবা বেজোসকে নিয়ে গেছেন। যখন এটি ঘটে তখন তাকে সাহায্য করার তার সংকল্প ভেঙে যায় এব"&amp;"ং তিনি তাকে একটি নতুন মোবাইল কিনে দেবেন অথবা তার কাছে থাকা জিনিসপত্র প্রতিস্থাপন করবেন যা তিনি 'হারাতে' বা ভেঙে ফেলতে (বিক্রয় পড়ুন) এবং/অথবা নিজের ক্ষতি করবেন এবং তার জন্য অর্থ ব্যয় করবেন (প্রায়শই তার সামর্থ্যের চেয়ে অনেক বেশি)। এই আচরণটি চক্রাকারে ঘ"&amp;"টেছিল বলে মনে হচ্ছে অর্থাৎ শেষবার এটি ঘটেছিল তাদের বিচ্ছেদের আগে যেখানে সে বলেছিল যে সে তাদের দুজনের ভবিষ্যৎ দেখতে পাচ্ছে না কারণ অনেক 'সমস্যা' ছিল এবং সে সম্পর্কের প্রতি তার রুচি হারিয়ে ফেলেছিল। এর ফলে আমার পরিবারের সদস্য তার উপস্থিতিতে নিজেকে আঘাত করে "&amp;"এবং তারপর প্রচুর পরিমাণে সিগারেট এবং একটি মোবাইল ফোন কিনে ফেলে যার ফলে সে আজীবন বন্ধু থাকতে রাজি হয়। সাম্প্রতিক দিনগুলিতে সে বন্ধুত্ব ভেঙে দেওয়ার হুমকি দিচ্ছে এবং আমার আত্মীয় স্বীকার করেছে যে এই লোকটির অ্যাকাউন্টে প্রায় ৫০০ পাউন্ড স্থানান্তর করে জিনিস"&amp;"পত্র আটকে দেওয়ার চেষ্টা করছে। সে বলেছে যে তার বন্ধুত্ব কেনা যায় না কিন্তু মনে হচ্ছে সে মাসের বেতনের প্রায় ৩/৪ অংশের টাকা ধরে রাখতে সন্তুষ্ট। আমার আত্মীয়া আসক্তি এবং আসক্তিপূর্ণ ব্যক্তিত্ব সম্পর্কে ভালোভাবে অবগত এবং বোঝে যে মাদক তার ব্যক্তিত্বকে প্রতিস"&amp;"্থাপন করেছে, কিন্তু সে আংশিকভাবে কোন উপায় খুঁজে পাচ্ছে না কারণ সে সপ্তাহের পর সপ্তাহ ধরে সবচেয়ে মিষ্টি এবং মনোযোগী ব্যক্তি এবং তারপর হঠাৎ করেই কিছু তুচ্ছ কারণ থাকবে যার জন্য তাকে তার জীবন থেকে চিরতরে বাদ দিতে হবে যার ফলে সে তাকে তার জীবনে ফিরিয়ে আনার জ"&amp;"ন্য মরিয়া হয়ে চেষ্টা করবে যে কোনও শর্তে।")</f>
        <v>পরিবারের এক ঘনিষ্ঠ সদস্য এক বছরেরও বেশি সময় ধরে একজন পলি ড্রাগ ব্যবহারকারীর সাথে সম্পর্কে রয়েছেন। এই সময়কালে তিনি 'ইচ্ছায়' তাকে তার আয়ের একটি উল্লেখযোগ্য অংশ দিয়েছেন। তিনি তার মাদক সংক্রান্ত সমস্যার মধ্য দিয়ে তাকে সহায়তা করেছেন এবং মাঝে মাঝে তার সাথে দৃঢ়ভাবে বলেছেন যে তার বাড়ি যেন ফাটলের আড্ডায় পরিণত না হয়। তিনি মূলত ধূমপান করতেন, এবং তার যৌন মিলন না হওয়ার কারণে (দুর্বল উত্তেজিত হওয়া, কোনও প্রসব-পূর্ব সম্পর্ক, সামান্য ইচ্ছা) তাদের মধ্যে বিচ্ছেদ ঘটে। গত রাতে তিনি ফোন করে বলেন যে তিনি হঠাৎ করেই তার নম্বর মুছে ফেলার এবং তার জিনিসপত্র ফেরত দেওয়ার হুমকি দিচ্ছেন কারণ তিনি এমন কিছু করেছেন যা তিনি বিস্তারিতভাবে বলতে চান না এবং মনে হচ্ছে তিনি ক্র্যাক প্রত্যাহার করছেন অথবা বেজোসকে নিয়ে গেছেন। যখন এটি ঘটে তখন তাকে সাহায্য করার তার সংকল্প ভেঙে যায় এবং তিনি তাকে একটি নতুন মোবাইল কিনে দেবেন অথবা তার কাছে থাকা জিনিসপত্র প্রতিস্থাপন করবেন যা তিনি 'হারাতে' বা ভেঙে ফেলতে (বিক্রয় পড়ুন) এবং/অথবা নিজের ক্ষতি করবেন এবং তার জন্য অর্থ ব্যয় করবেন (প্রায়শই তার সামর্থ্যের চেয়ে অনেক বেশি)। এই আচরণটি চক্রাকারে ঘটেছিল বলে মনে হচ্ছে অর্থাৎ শেষবার এটি ঘটেছিল তাদের বিচ্ছেদের আগে যেখানে সে বলেছিল যে সে তাদের দুজনের ভবিষ্যৎ দেখতে পাচ্ছে না কারণ অনেক 'সমস্যা' ছিল এবং সে সম্পর্কের প্রতি তার রুচি হারিয়ে ফেলেছিল। এর ফলে আমার পরিবারের সদস্য তার উপস্থিতিতে নিজেকে আঘাত করে এবং তারপর প্রচুর পরিমাণে সিগারেট এবং একটি মোবাইল ফোন কিনে ফেলে যার ফলে সে আজীবন বন্ধু থাকতে রাজি হয়। সাম্প্রতিক দিনগুলিতে সে বন্ধুত্ব ভেঙে দেওয়ার হুমকি দিচ্ছে এবং আমার আত্মীয় স্বীকার করেছে যে এই লোকটির অ্যাকাউন্টে প্রায় ৫০০ পাউন্ড স্থানান্তর করে জিনিসপত্র আটকে দেওয়ার চেষ্টা করছে। সে বলেছে যে তার বন্ধুত্ব কেনা যায় না কিন্তু মনে হচ্ছে সে মাসের বেতনের প্রায় ৩/৪ অংশের টাকা ধরে রাখতে সন্তুষ্ট। আমার আত্মীয়া আসক্তি এবং আসক্তিপূর্ণ ব্যক্তিত্ব সম্পর্কে ভালোভাবে অবগত এবং বোঝে যে মাদক তার ব্যক্তিত্বকে প্রতিস্থাপন করেছে, কিন্তু সে আংশিকভাবে কোন উপায় খুঁজে পাচ্ছে না কারণ সে সপ্তাহের পর সপ্তাহ ধরে সবচেয়ে মিষ্টি এবং মনোযোগী ব্যক্তি এবং তারপর হঠাৎ করেই কিছু তুচ্ছ কারণ থাকবে যার জন্য তাকে তার জীবন থেকে চিরতরে বাদ দিতে হবে যার ফলে সে তাকে তার জীবনে ফিরিয়ে আনার জন্য মরিয়া হয়ে চেষ্টা করবে যে কোনও শর্তে।</v>
      </c>
    </row>
    <row r="258" spans="1:3" ht="15" x14ac:dyDescent="0.25">
      <c r="A258" s="3" t="s">
        <v>259</v>
      </c>
      <c r="B258" s="3" t="s">
        <v>4</v>
      </c>
      <c r="C258" s="4" t="str">
        <f ca="1">IFERROR(__xludf.DUMMYFUNCTION("GOOGLETRANSLATE(A258, ""auto"", ""bn"")"),"আমি ১৯ বছর বয়সী একজন মেয়ে, আমি স্কুল ছেড়ে দিয়েছি, পরিবার থেকে দূরে সরে গেছি এবং আংশিকভাবে বিচ্ছিন্ন হয়ে পড়েছি, বাইরে যাওয়া বন্ধ করে দিয়েছি, নিজের যত্ন নেওয়া বা কোনও কিছুর যত্ন নেওয়া বন্ধ করে দিয়েছি, আমার সমস্ত বন্ধুবান্ধব হারিয়েছি - কারণ আমি খ"&amp;"াবার এবং চিনির প্রতি আসক্ত। এটি সম্পর্কে কথা বলা এত কঠিন কারণ এটি বাস্তব শোনায় না, তবে আমি বছরের পর বছর ধরে আছি, এবং নিজেকে আরও বেশি খেতে দেওয়ার জন্য আমি আরও বেশি করে খারাপ কাজ করে চলেছি। আমার জীবন কেবল বাড়িতে ফিরে পুরো সময়ের কাজ করার একটি চক্র। যখনই "&amp;"আমি নিজেকে উন্নত করার চেষ্টা করি, অথবা পুরানো আগ্রহ বা শখগুলি তুলে ধরার চেষ্টা করি, তখন আমি হতাশাগ্রস্ত এবং অতৃপ্ত বোধ করি। একই সাথে আমি শূন্যতা এবং ব্যথা অনুভব করি, তাই আমি শূন্যতা পূরণ করার জন্য খাই। আমি একা এটি চালিয়ে যেতে পারি না, তবে আমি জানি না যে "&amp;"সমস্ত কিছুর খাদ্য আসক্তির জন্য কোথায় সংস্থান পাব। এই সাব-এ এটি সম্পর্কে কথা বলা কি উপযুক্ত? আমি কেবল অনেক লজ্জা এবং একাকীত্ব অনুভব করছি এবং আমি এটি বন্ধ করার চেষ্টা বন্ধ করতে পারছি না।")</f>
        <v>আমি ১৯ বছর বয়সী একজন মেয়ে, আমি স্কুল ছেড়ে দিয়েছি, পরিবার থেকে দূরে সরে গেছি এবং আংশিকভাবে বিচ্ছিন্ন হয়ে পড়েছি, বাইরে যাওয়া বন্ধ করে দিয়েছি, নিজের যত্ন নেওয়া বা কোনও কিছুর যত্ন নেওয়া বন্ধ করে দিয়েছি, আমার সমস্ত বন্ধুবান্ধব হারিয়েছি - কারণ আমি খাবার এবং চিনির প্রতি আসক্ত। এটি সম্পর্কে কথা বলা এত কঠিন কারণ এটি বাস্তব শোনায় না, তবে আমি বছরের পর বছর ধরে আছি, এবং নিজেকে আরও বেশি খেতে দেওয়ার জন্য আমি আরও বেশি করে খারাপ কাজ করে চলেছি। আমার জীবন কেবল বাড়িতে ফিরে পুরো সময়ের কাজ করার একটি চক্র। যখনই আমি নিজেকে উন্নত করার চেষ্টা করি, অথবা পুরানো আগ্রহ বা শখগুলি তুলে ধরার চেষ্টা করি, তখন আমি হতাশাগ্রস্ত এবং অতৃপ্ত বোধ করি। একই সাথে আমি শূন্যতা এবং ব্যথা অনুভব করি, তাই আমি শূন্যতা পূরণ করার জন্য খাই। আমি একা এটি চালিয়ে যেতে পারি না, তবে আমি জানি না যে সমস্ত কিছুর খাদ্য আসক্তির জন্য কোথায় সংস্থান পাব। এই সাব-এ এটি সম্পর্কে কথা বলা কি উপযুক্ত? আমি কেবল অনেক লজ্জা এবং একাকীত্ব অনুভব করছি এবং আমি এটি বন্ধ করার চেষ্টা বন্ধ করতে পারছি না।</v>
      </c>
    </row>
    <row r="259" spans="1:3" ht="15" x14ac:dyDescent="0.25">
      <c r="A259" s="3" t="s">
        <v>260</v>
      </c>
      <c r="B259" s="3" t="s">
        <v>4</v>
      </c>
      <c r="C259" s="4" t="str">
        <f ca="1">IFERROR(__xludf.DUMMYFUNCTION("GOOGLETRANSLATE(A259, ""auto"", ""bn"")"),"আজ ৩০ দিন ধরে আমি সুস্থ, আর আমার এক বন্ধু (আমিও একজন প্রাক্তন মেথ আসক্ত, কিন্তু অনেক বেশি সময় ধরে), আমার সুস্থতা বৃদ্ধির জন্য আমাকে ক্রিস্টাল মেথ অ্যানোনিমাসে যাওয়ার প্রস্তাব দিয়েছে। আমি তাকে হ্যাঁ বলেছি। তাছাড়া, আমি সবসময় যেকোনো ধরণের বেনামী সভায় য"&amp;"েতে দ্বিধাগ্রস্ত ছিলাম, কারণ আমি ভেবেছিলাম সেগুলো ধর্মীয়। তাছাড়া, আমি কেবল নার্ভাস, কারণ আমি কখনও কোনও ধরণের বেনামী গোষ্ঠীতে যাইনি, এবং এর গতিশীলতা এবং এটি কীভাবে কাজ করে তা সম্পর্কে আমি খুব অপরিচিত। সে আগামীকাল আমাকে সেখানে নিয়ে যাবে। তাহলে যারা একটি "&amp;"বেনামী গোষ্ঠীতে গেছেন, দয়া করে আমাকে বলতে পারেন কী আশা করা যায় এবং এটি কীভাবে কাজ করে? এবং বেনামী গোষ্ঠীগুলি কি সিনেমার মতোই?")</f>
        <v>আজ ৩০ দিন ধরে আমি সুস্থ, আর আমার এক বন্ধু (আমিও একজন প্রাক্তন মেথ আসক্ত, কিন্তু অনেক বেশি সময় ধরে), আমার সুস্থতা বৃদ্ধির জন্য আমাকে ক্রিস্টাল মেথ অ্যানোনিমাসে যাওয়ার প্রস্তাব দিয়েছে। আমি তাকে হ্যাঁ বলেছি। তাছাড়া, আমি সবসময় যেকোনো ধরণের বেনামী সভায় যেতে দ্বিধাগ্রস্ত ছিলাম, কারণ আমি ভেবেছিলাম সেগুলো ধর্মীয়। তাছাড়া, আমি কেবল নার্ভাস, কারণ আমি কখনও কোনও ধরণের বেনামী গোষ্ঠীতে যাইনি, এবং এর গতিশীলতা এবং এটি কীভাবে কাজ করে তা সম্পর্কে আমি খুব অপরিচিত। সে আগামীকাল আমাকে সেখানে নিয়ে যাবে। তাহলে যারা একটি বেনামী গোষ্ঠীতে গেছেন, দয়া করে আমাকে বলতে পারেন কী আশা করা যায় এবং এটি কীভাবে কাজ করে? এবং বেনামী গোষ্ঠীগুলি কি সিনেমার মতোই?</v>
      </c>
    </row>
    <row r="260" spans="1:3" ht="15" x14ac:dyDescent="0.25">
      <c r="A260" s="3" t="s">
        <v>261</v>
      </c>
      <c r="B260" s="3" t="s">
        <v>4</v>
      </c>
      <c r="C260" s="4" t="str">
        <f ca="1">IFERROR(__xludf.DUMMYFUNCTION("GOOGLETRANSLATE(A260, ""auto"", ""bn"")"),"আমার ভাইয়ের তীব্র অ্যালকোহল এবং মাদকাসক্তি আছে। এটা এমন পর্যায়ে পৌঁছেছে যে আমার বাবা-মা এতটাই বিচলিত, তারা তার সাথে ""সম্পর্ক ছিন্ন"" করার কথা ভাবছে। আমি বুঝতে পারছি তারা কোথা থেকে আসছে, কিন্তু আমি চাই না যে এটা ঘটুক, স্পষ্টতই। সে পুনর্বাসনে গেছে, কয়েক "&amp;"সপ্তাহ ধরে এটি কাজ করেছে, কিন্তু সম্প্রতি সে আগের চেয়েও খারাপভাবে ফিরে এসেছে। সে বলেছে যে সে আর পুনর্বাসনে ফিরে যাবে না, এবং সঠিক সাহায্য খোঁজার চেষ্টা করছে না। আমি যতটা সম্ভব সমর্থন করার চেষ্টা করছি, কিন্তু সে আমার বাবা-মায়ের সাথে যেভাবে বিশেষভাবে আচরণ"&amp;" করে তার জন্য আমার তার প্রতি রাগও আছে। একজন মাদকাসক্ত নন, তাই আমার কি অন্য কিছু করা উচিত? আমি আবার পুনর্বাসনের জন্য অর্থ প্রদানের প্রস্তাব দিয়েছি, আমি তার ঋণ ইত্যাদি নিয়েছি যাতে তাকে তাদের সম্পর্কে চিন্তা করতে না হয়, কিন্তু মনে হচ্ছে আমরা কোথাও পাচ্ছি "&amp;"না। আমি ভয় পাচ্ছি যে আমি তাকে সাহায্য করার জন্য যথেষ্ট করছি না। তার পদে থাকা কারো কাছ থেকে যেকোনো পরামর্শ, জ্ঞানের কথা সবচেয়ে বেশি প্রশংসা করা হবে! আমি তোমাদের সকলের শুভকামনা করছি,")</f>
        <v>আমার ভাইয়ের তীব্র অ্যালকোহল এবং মাদকাসক্তি আছে। এটা এমন পর্যায়ে পৌঁছেছে যে আমার বাবা-মা এতটাই বিচলিত, তারা তার সাথে "সম্পর্ক ছিন্ন" করার কথা ভাবছে। আমি বুঝতে পারছি তারা কোথা থেকে আসছে, কিন্তু আমি চাই না যে এটা ঘটুক, স্পষ্টতই। সে পুনর্বাসনে গেছে, কয়েক সপ্তাহ ধরে এটি কাজ করেছে, কিন্তু সম্প্রতি সে আগের চেয়েও খারাপভাবে ফিরে এসেছে। সে বলেছে যে সে আর পুনর্বাসনে ফিরে যাবে না, এবং সঠিক সাহায্য খোঁজার চেষ্টা করছে না। আমি যতটা সম্ভব সমর্থন করার চেষ্টা করছি, কিন্তু সে আমার বাবা-মায়ের সাথে যেভাবে বিশেষভাবে আচরণ করে তার জন্য আমার তার প্রতি রাগও আছে। একজন মাদকাসক্ত নন, তাই আমার কি অন্য কিছু করা উচিত? আমি আবার পুনর্বাসনের জন্য অর্থ প্রদানের প্রস্তাব দিয়েছি, আমি তার ঋণ ইত্যাদি নিয়েছি যাতে তাকে তাদের সম্পর্কে চিন্তা করতে না হয়, কিন্তু মনে হচ্ছে আমরা কোথাও পাচ্ছি না। আমি ভয় পাচ্ছি যে আমি তাকে সাহায্য করার জন্য যথেষ্ট করছি না। তার পদে থাকা কারো কাছ থেকে যেকোনো পরামর্শ, জ্ঞানের কথা সবচেয়ে বেশি প্রশংসা করা হবে! আমি তোমাদের সকলের শুভকামনা করছি,</v>
      </c>
    </row>
    <row r="261" spans="1:3" ht="15" x14ac:dyDescent="0.25">
      <c r="A261" s="3" t="s">
        <v>262</v>
      </c>
      <c r="B261" s="3" t="s">
        <v>4</v>
      </c>
      <c r="C261" s="4" t="str">
        <f ca="1">IFERROR(__xludf.DUMMYFUNCTION("GOOGLETRANSLATE(A261, ""auto"", ""bn"")"),"আমার স্বামী কাজের জন্য শহরের বাইরে থাকায় আমি সাময়িকভাবে আমার কাছে থাকা টাকাগুলো তার কাছে স্থানান্তর করেছি। যাইহোক, আমার কাছে খুব একটা টাকা নেই, তবে কেবল নিরাপদ থাকার জন্য। কোনও কারণে আমি এখন শুধু মাদক সেবনের কথা ভাবছি, এবং আমি জানি না কেন, বিশেষ করে কিছ"&amp;"ুই ট্রিগার করছিল না। আমি সবসময় কর্মক্ষেত্রে অতিরিক্ত মাত্রার সাথে মোকাবিলা করি এবং এটি আমাকে কখনও বিরক্ত করেনি। আমি সত্যিই মনে করি না যে এটি আমার কাজ। অন্য কেউ কি এই সমস্যার মধ্য দিয়ে যায়? কেন এমন হচ্ছে? আমি হেরোইন ব্যবহার করেছি তিন বছর হয়ে গেছে এবং আ"&amp;"মি আর কখনও সেখানে থাকতে চাই না। আমি সত্যিই সন্দেহ করি যে আমি সেবন করব, আমি আমার চাকরি হারাবো কারণ আমার সর্বদা মাদক পরীক্ষা করা হয় (আমি আসক্তি/আশ্রয়স্থলে কাজ করি)। আমি আমার বিএ করতে যাচ্ছি, এবং আমি এটিকে এলোমেলো করতে চাই না আমার আর মাত্র দেড় বছর বাকি আছ"&amp;"ে।")</f>
        <v>আমার স্বামী কাজের জন্য শহরের বাইরে থাকায় আমি সাময়িকভাবে আমার কাছে থাকা টাকাগুলো তার কাছে স্থানান্তর করেছি। যাইহোক, আমার কাছে খুব একটা টাকা নেই, তবে কেবল নিরাপদ থাকার জন্য। কোনও কারণে আমি এখন শুধু মাদক সেবনের কথা ভাবছি, এবং আমি জানি না কেন, বিশেষ করে কিছুই ট্রিগার করছিল না। আমি সবসময় কর্মক্ষেত্রে অতিরিক্ত মাত্রার সাথে মোকাবিলা করি এবং এটি আমাকে কখনও বিরক্ত করেনি। আমি সত্যিই মনে করি না যে এটি আমার কাজ। অন্য কেউ কি এই সমস্যার মধ্য দিয়ে যায়? কেন এমন হচ্ছে? আমি হেরোইন ব্যবহার করেছি তিন বছর হয়ে গেছে এবং আমি আর কখনও সেখানে থাকতে চাই না। আমি সত্যিই সন্দেহ করি যে আমি সেবন করব, আমি আমার চাকরি হারাবো কারণ আমার সর্বদা মাদক পরীক্ষা করা হয় (আমি আসক্তি/আশ্রয়স্থলে কাজ করি)। আমি আমার বিএ করতে যাচ্ছি, এবং আমি এটিকে এলোমেলো করতে চাই না আমার আর মাত্র দেড় বছর বাকি আছে।</v>
      </c>
    </row>
    <row r="262" spans="1:3" ht="15" x14ac:dyDescent="0.25">
      <c r="A262" s="3" t="s">
        <v>263</v>
      </c>
      <c r="B262" s="3" t="s">
        <v>4</v>
      </c>
      <c r="C262" s="4" t="str">
        <f ca="1">IFERROR(__xludf.DUMMYFUNCTION("GOOGLETRANSLATE(A262, ""auto"", ""bn"")"),"আমার হৃদস্পন্দন ধীর হচ্ছে না, আর আমি সত্যিই ঘামছি, কিন্তু আগের চেয়ে ভালো লাগছে আমার পেটের নিচের অংশ এখনও আমাকে মেরে ফেলছে এবং আমার কানে বাজছে, কিন্তু আমার মনে হচ্ছে আমার আরও শক্তি আছে, কিন্তু আমি বারবার বমি বমি ভাব শুরু করি এবং তারপর গিলে ফেলি, তাই আমি ক"&amp;"োনও দৃশ্য তৈরি করি না এবং এখনই আমি NIC-কে সবচেয়ে বেশি চাই, আর ছোট ছোট জিনিসে আমি বিরক্ত হই, কিন্তু তারপর বুঝতে পারি এটা বোকামি।")</f>
        <v>আমার হৃদস্পন্দন ধীর হচ্ছে না, আর আমি সত্যিই ঘামছি, কিন্তু আগের চেয়ে ভালো লাগছে আমার পেটের নিচের অংশ এখনও আমাকে মেরে ফেলছে এবং আমার কানে বাজছে, কিন্তু আমার মনে হচ্ছে আমার আরও শক্তি আছে, কিন্তু আমি বারবার বমি বমি ভাব শুরু করি এবং তারপর গিলে ফেলি, তাই আমি কোনও দৃশ্য তৈরি করি না এবং এখনই আমি NIC-কে সবচেয়ে বেশি চাই, আর ছোট ছোট জিনিসে আমি বিরক্ত হই, কিন্তু তারপর বুঝতে পারি এটা বোকামি।</v>
      </c>
    </row>
    <row r="263" spans="1:3" ht="15" x14ac:dyDescent="0.25">
      <c r="A263" s="3" t="s">
        <v>264</v>
      </c>
      <c r="B263" s="3" t="s">
        <v>4</v>
      </c>
      <c r="C263" s="4" t="str">
        <f ca="1">IFERROR(__xludf.DUMMYFUNCTION("GOOGLETRANSLATE(A263, ""auto"", ""bn"")"),"জানি এটা আর মাদকাসক্তির মধ্যে পার্থক্য নেই, কিন্তু আমার অনেক দিন ধরেই কেনাকাটার নেশা/বাধ্যতা ছিল এবং আমি জানি না কিভাবে থামাবো। আমি এবং আমার সঙ্গী এক বছরেরও বেশি সময় ধরে ঘরবাড়িতে ব্যস্ত আছি, এবং শীঘ্রই আমাদের থাকার জায়গা নেই। আমরা আমার আয়ের উপর প্রায়"&amp;" নির্ভরশীল, কিন্তু এর বেশিরভাগই কাপড়ের উপর চলে যাচ্ছে এবং আমার টাকা সত্যিই সঞ্চয় করার জন্য আমাকে একটি উপায় খুঁজে বের করতে হবে। আমার বাকি বেতন শেষ হয়ে গেলে আমি সঞ্চয় থেকে টাকা বের করে নিচ্ছি, এবং আমি লুকিয়ে কাপড় ঢুকিয়ে দিচ্ছি যাতে আমার সাথে থাকা লো"&amp;"কেরা বুঝতে না পারে যে আমি এখনও কেনাকাটা করছি।")</f>
        <v>জানি এটা আর মাদকাসক্তির মধ্যে পার্থক্য নেই, কিন্তু আমার অনেক দিন ধরেই কেনাকাটার নেশা/বাধ্যতা ছিল এবং আমি জানি না কিভাবে থামাবো। আমি এবং আমার সঙ্গী এক বছরেরও বেশি সময় ধরে ঘরবাড়িতে ব্যস্ত আছি, এবং শীঘ্রই আমাদের থাকার জায়গা নেই। আমরা আমার আয়ের উপর প্রায় নির্ভরশীল, কিন্তু এর বেশিরভাগই কাপড়ের উপর চলে যাচ্ছে এবং আমার টাকা সত্যিই সঞ্চয় করার জন্য আমাকে একটি উপায় খুঁজে বের করতে হবে। আমার বাকি বেতন শেষ হয়ে গেলে আমি সঞ্চয় থেকে টাকা বের করে নিচ্ছি, এবং আমি লুকিয়ে কাপড় ঢুকিয়ে দিচ্ছি যাতে আমার সাথে থাকা লোকেরা বুঝতে না পারে যে আমি এখনও কেনাকাটা করছি।</v>
      </c>
    </row>
    <row r="264" spans="1:3" ht="15" x14ac:dyDescent="0.25">
      <c r="A264" s="3" t="s">
        <v>265</v>
      </c>
      <c r="B264" s="3" t="s">
        <v>4</v>
      </c>
      <c r="C264" s="4" t="str">
        <f ca="1">IFERROR(__xludf.DUMMYFUNCTION("GOOGLETRANSLATE(A264, ""auto"", ""bn"")"),"(২২ এফ) আমি অনেক লোককে বলতে শুনি যে তাদের ""আসক্তিকর ব্যক্তিত্ব"" আছে? এবং আমি অবশ্যই এই লেবেলের সাথে পরিচিত হব। যখনই আমি মাদক ব্যবহার করেছি, আমি আসক্ত হয়ে পড়েছি এবং সর্বদা সেগুলি ব্যবহার করতে চেয়েছিলাম। আমি দেখতে পাই যে আমি গাঁজা ধূমপান শুরুও করতে পার"&amp;"ি না, নাহলে এটি দ্রুত আমার প্রতিদিনের জিনিস হয়ে ওঠে যার উপর আমি নির্ভর করি। আমার বন্ধুরা অনেক বেশি আসক্তিকর রাসায়নিক ব্যবহার করেছে, কিন্তু তারা আমার মতো তাদের প্রতি সাড়া দেয় না। তদুপরি, আমি ধারণাগুলিতে আসক্ত হয়ে পড়েছি এবং সেগুলি সম্পর্কে চিন্তা করা "&amp;"বন্ধ করতে পারি না। এখন এটি মাদক, বিশেষ করে অ্যাডেরল (প্রেসক্রিপশন ছাড়াই), শরুম এবং নিকোটিন। আমি অন্যদের চেষ্টা করতে চাই, কিন্তু আমার আসক্তির প্রবণতা দেখিয়েছে যে যখন আমি আমার জীবনে একটি নতুন যৌগ প্রবর্তন করি তখন মনে হয় এটি কেবল একটি অতিরিক্ত জিনিস যা আম"&amp;"াকে অপব্যবহার না করার জন্য চেষ্টা করতে হবে। এমনকি কেবল নিকোটিনও আমি আমার বন্ধুদেরকে অকপটে ভ্যাপিং করতে দেখেছি যা আমি খুব বেশি গ্রহণ করেছি এবং অনুভব করেছি যে আমার ফুসফুস প্রতিদিন বেরিয়ে আসছে, তাই আমি পাউচ এবং নিকোলেটা মিন্ট ব্যবহার করেছি। আমার মনে হয়, নে"&amp;"শার প্রবণতা তখনই স্পষ্ট হয়ে ওঠে যখন আমি ইচ্ছাকৃতভাবে নিকোটিন এবং অ্যাডেরাল জাতীয় ওষুধ ব্যবহার করি যখন আমার শরীরে ডোপামিনের তীব্রতা বৃদ্ধি করার জন্য খাবার থাকে না। আমি সিগারেট গুঁড়ো করে গুঁড়ো করে ফেলি কারণ আমি চাই যে এটি যত তাড়াতাড়ি সম্ভব শোষিত হয়ে "&amp;"কিছু অনুভব করতে পারে। আমি অতিরিক্ত মদ্যপান করতে পছন্দ করি এবং একবার আমি থামতে পারি না। এটা কি কেবল 22 বছর বয়সী হওয়ার স্বভাব? মাদক থেকে দূরে থাকার জন্য আমাকে কি অন্যদের চেয়ে বেশি কাজ করতে হবে? আমার বাবা একজন মদ্যপ এবং আমি তার মধ্যে নিজেকে অনেক কিছু দেখত"&amp;"ে পাই। আমাদের দুজনেরই ""টিকস"" আছে যে আমরা কখনও মাথা ধরা এবং মুখ কামড়ানোর মতো লাথি মারতে পারিনি। আমি দেখেছি যে আমি সবসময় এটিকে খুব বেশি দূরে নিয়ে যাই। আমার বাবা কেবল তার মুখের ভেতরটা কামড়ায় যেমন সে তার নখ কামড়ায়, কিন্তু আমি এটি এমনভাবে করি যেখানে আ"&amp;"মি সবচেয়ে যন্ত্রণাদায়ক অংশগুলি খুঁজে বের করি এবং সেখানে কামড়াই, এবং তারপর আমার মুখ রক্তে ভরে যায়। এবং যখন আমি শুরু করি তখন আমি থামতে পারি না। এই সব বলার জন্য, অন্যদের কাছে স্বাভাবিক মনে হয় এমন জিনিসগুলির প্রতি আমার আসক্তি সম্পর্কে আমি লজ্জা বোধ করি। "&amp;"আমার টেকনোলজিতে একটা পাগলাটে চাকরি আছে, ডিগ্রি আছে এবং সৃজনশীল শিল্পে কাজ করি। আমি অনেক লোককে দেখি যে তারা অ্যাডেরাল, নিকোটিন, ক্যাফেইন এবং অন্যান্য পদার্থ অস্বাস্থ্যকরভাবে ব্যবহার করে কেবল নিজের জন্য নাম তৈরি করার জন্য এবং একজন কর্মমুখী শিল্পী হিসেবে, অস"&amp;"্বাস্থ্যকর আসক্তির শিকার হয়, যার ফলে মনে হয় আমি এই অংশটি উপভোগ করছি। আমি এমনকি জানি না আমি ছেড়ে দিতে চাই কিনা। আমি MDMA এবং ব্যথানাশক ওষুধের মতো অন্যান্য ওষুধ সম্পর্কে সত্যিই আগ্রহী কিন্তু আমি ভয় পাই যে তারা আমাকে সত্যিই ধ্বংস করে দেবে। আমার বেশিরভাগ "&amp;"বন্ধুই খুব সরল, তাই যখন আমি ওষুধ সম্পর্কে কথা বলি তখন আমার নিজেকে বিচ্ছিন্ন মনে হয়, যা একটি ভালো জিনিস, আমার মনে হয় অংশগ্রহণের জন্য কোনও বাহ্যিক চাপ নেই। আমি আজকাল খুব চাপে আছি এবং আবেগগতভাবে অস্থির, এবং মনে হচ্ছে আমি সবসময় অপেক্ষা করছি যে আমি পরবর্তী "&amp;"সময় কখন থলি ব্যবহার করব বা শরুম বা অ্যাডেরাল গ্রহণ করব যাতে দিনগুলি কম বিরক্তিকর হয়। এটি লেখার প্রক্রিয়ায় আমি বুঝতে পেরেছি যে আমার সম্ভবত থেরাপিতে যাওয়া উচিত তবে যদি কেউ সম্পর্কিত হয় বা জ্ঞান বা পরামর্শ থাকে তবে তা অত্যন্ত প্রশংসা করা হবে।")</f>
        <v>(২২ এফ) আমি অনেক লোককে বলতে শুনি যে তাদের "আসক্তিকর ব্যক্তিত্ব" আছে? এবং আমি অবশ্যই এই লেবেলের সাথে পরিচিত হব। যখনই আমি মাদক ব্যবহার করেছি, আমি আসক্ত হয়ে পড়েছি এবং সর্বদা সেগুলি ব্যবহার করতে চেয়েছিলাম। আমি দেখতে পাই যে আমি গাঁজা ধূমপান শুরুও করতে পারি না, নাহলে এটি দ্রুত আমার প্রতিদিনের জিনিস হয়ে ওঠে যার উপর আমি নির্ভর করি। আমার বন্ধুরা অনেক বেশি আসক্তিকর রাসায়নিক ব্যবহার করেছে, কিন্তু তারা আমার মতো তাদের প্রতি সাড়া দেয় না। তদুপরি, আমি ধারণাগুলিতে আসক্ত হয়ে পড়েছি এবং সেগুলি সম্পর্কে চিন্তা করা বন্ধ করতে পারি না। এখন এটি মাদক, বিশেষ করে অ্যাডেরল (প্রেসক্রিপশন ছাড়াই), শরুম এবং নিকোটিন। আমি অন্যদের চেষ্টা করতে চাই, কিন্তু আমার আসক্তির প্রবণতা দেখিয়েছে যে যখন আমি আমার জীবনে একটি নতুন যৌগ প্রবর্তন করি তখন মনে হয় এটি কেবল একটি অতিরিক্ত জিনিস যা আমাকে অপব্যবহার না করার জন্য চেষ্টা করতে হবে। এমনকি কেবল নিকোটিনও আমি আমার বন্ধুদেরকে অকপটে ভ্যাপিং করতে দেখেছি যা আমি খুব বেশি গ্রহণ করেছি এবং অনুভব করেছি যে আমার ফুসফুস প্রতিদিন বেরিয়ে আসছে, তাই আমি পাউচ এবং নিকোলেটা মিন্ট ব্যবহার করেছি। আমার মনে হয়, নেশার প্রবণতা তখনই স্পষ্ট হয়ে ওঠে যখন আমি ইচ্ছাকৃতভাবে নিকোটিন এবং অ্যাডেরাল জাতীয় ওষুধ ব্যবহার করি যখন আমার শরীরে ডোপামিনের তীব্রতা বৃদ্ধি করার জন্য খাবার থাকে না। আমি সিগারেট গুঁড়ো করে গুঁড়ো করে ফেলি কারণ আমি চাই যে এটি যত তাড়াতাড়ি সম্ভব শোষিত হয়ে কিছু অনুভব করতে পারে। আমি অতিরিক্ত মদ্যপান করতে পছন্দ করি এবং একবার আমি থামতে পারি না। এটা কি কেবল 22 বছর বয়সী হওয়ার স্বভাব? মাদক থেকে দূরে থাকার জন্য আমাকে কি অন্যদের চেয়ে বেশি কাজ করতে হবে? আমার বাবা একজন মদ্যপ এবং আমি তার মধ্যে নিজেকে অনেক কিছু দেখতে পাই। আমাদের দুজনেরই "টিকস" আছে যে আমরা কখনও মাথা ধরা এবং মুখ কামড়ানোর মতো লাথি মারতে পারিনি। আমি দেখেছি যে আমি সবসময় এটিকে খুব বেশি দূরে নিয়ে যাই। আমার বাবা কেবল তার মুখের ভেতরটা কামড়ায় যেমন সে তার নখ কামড়ায়, কিন্তু আমি এটি এমনভাবে করি যেখানে আমি সবচেয়ে যন্ত্রণাদায়ক অংশগুলি খুঁজে বের করি এবং সেখানে কামড়াই, এবং তারপর আমার মুখ রক্তে ভরে যায়। এবং যখন আমি শুরু করি তখন আমি থামতে পারি না। এই সব বলার জন্য, অন্যদের কাছে স্বাভাবিক মনে হয় এমন জিনিসগুলির প্রতি আমার আসক্তি সম্পর্কে আমি লজ্জা বোধ করি। আমার টেকনোলজিতে একটা পাগলাটে চাকরি আছে, ডিগ্রি আছে এবং সৃজনশীল শিল্পে কাজ করি। আমি অনেক লোককে দেখি যে তারা অ্যাডেরাল, নিকোটিন, ক্যাফেইন এবং অন্যান্য পদার্থ অস্বাস্থ্যকরভাবে ব্যবহার করে কেবল নিজের জন্য নাম তৈরি করার জন্য এবং একজন কর্মমুখী শিল্পী হিসেবে, অস্বাস্থ্যকর আসক্তির শিকার হয়, যার ফলে মনে হয় আমি এই অংশটি উপভোগ করছি। আমি এমনকি জানি না আমি ছেড়ে দিতে চাই কিনা। আমি MDMA এবং ব্যথানাশক ওষুধের মতো অন্যান্য ওষুধ সম্পর্কে সত্যিই আগ্রহী কিন্তু আমি ভয় পাই যে তারা আমাকে সত্যিই ধ্বংস করে দেবে। আমার বেশিরভাগ বন্ধুই খুব সরল, তাই যখন আমি ওষুধ সম্পর্কে কথা বলি তখন আমার নিজেকে বিচ্ছিন্ন মনে হয়, যা একটি ভালো জিনিস, আমার মনে হয় অংশগ্রহণের জন্য কোনও বাহ্যিক চাপ নেই। আমি আজকাল খুব চাপে আছি এবং আবেগগতভাবে অস্থির, এবং মনে হচ্ছে আমি সবসময় অপেক্ষা করছি যে আমি পরবর্তী সময় কখন থলি ব্যবহার করব বা শরুম বা অ্যাডেরাল গ্রহণ করব যাতে দিনগুলি কম বিরক্তিকর হয়। এটি লেখার প্রক্রিয়ায় আমি বুঝতে পেরেছি যে আমার সম্ভবত থেরাপিতে যাওয়া উচিত তবে যদি কেউ সম্পর্কিত হয় বা জ্ঞান বা পরামর্শ থাকে তবে তা অত্যন্ত প্রশংসা করা হবে।</v>
      </c>
    </row>
    <row r="265" spans="1:3" ht="15" x14ac:dyDescent="0.25">
      <c r="A265" s="3" t="s">
        <v>266</v>
      </c>
      <c r="B265" s="3" t="s">
        <v>4</v>
      </c>
      <c r="C265" s="4" t="str">
        <f ca="1">IFERROR(__xludf.DUMMYFUNCTION("GOOGLETRANSLATE(A265, ""auto"", ""bn"")"),"আমি ওপিওড এবং সিগারেট খেয়ে ঠান্ডা হয়ে গেছি, বমি করছিলাম এবং আমার শরীর কাঁপছে। আমি এটা খেয়ে শেষ করেছি, আমি আমার ক্লাসে আমার কাজ করছি নিজেকে বিভ্রান্ত করার চেষ্টা করছি। আমার পেটে খুব ব্যথা হচ্ছে। এডিট ৪ ঘন্টা অক্সির জন্য ৮ টার কাছাকাছি সিগারেট খাচ্ছি এবং"&amp;" আমার হৃদয় শান্ত হয়েছে। এটি এখনও দ্রুত কিন্তু কম ব্যথা করছে, কিন্তু নিজেকে প্রস্তুত না করে আমি ভালো শ্বাস পাচ্ছি না।")</f>
        <v>আমি ওপিওড এবং সিগারেট খেয়ে ঠান্ডা হয়ে গেছি, বমি করছিলাম এবং আমার শরীর কাঁপছে। আমি এটা খেয়ে শেষ করেছি, আমি আমার ক্লাসে আমার কাজ করছি নিজেকে বিভ্রান্ত করার চেষ্টা করছি। আমার পেটে খুব ব্যথা হচ্ছে। এডিট ৪ ঘন্টা অক্সির জন্য ৮ টার কাছাকাছি সিগারেট খাচ্ছি এবং আমার হৃদয় শান্ত হয়েছে। এটি এখনও দ্রুত কিন্তু কম ব্যথা করছে, কিন্তু নিজেকে প্রস্তুত না করে আমি ভালো শ্বাস পাচ্ছি না।</v>
      </c>
    </row>
    <row r="266" spans="1:3" ht="15" x14ac:dyDescent="0.25">
      <c r="A266" s="3" t="s">
        <v>267</v>
      </c>
      <c r="B266" s="3" t="s">
        <v>4</v>
      </c>
      <c r="C266" s="4" t="str">
        <f ca="1">IFERROR(__xludf.DUMMYFUNCTION("GOOGLETRANSLATE(A266, ""auto"", ""bn"")"),"যদি তুমি ধূমপান ত্যাগ করার কথা ভাবছো, তাহলে এই লোকটিকে দেখো। তোমার মানসিকতা পরিবর্তন করলে তুমি এখন যে ধূমপান ত্যাগের মুখোমুখি হচ্ছো তা আরও সহজ হতে পারে। এই লোকটি এই বিষয়ে গভীরভাবে ঝাঁপিয়ে পড়েছে এবং নিকোটিন এবং THC সম্পর্কিত আসক্তি সম্পর্কে বেশ কয়েকটি "&amp;"ভিডিও তৈরি করেছে।")</f>
        <v>যদি তুমি ধূমপান ত্যাগ করার কথা ভাবছো, তাহলে এই লোকটিকে দেখো। তোমার মানসিকতা পরিবর্তন করলে তুমি এখন যে ধূমপান ত্যাগের মুখোমুখি হচ্ছো তা আরও সহজ হতে পারে। এই লোকটি এই বিষয়ে গভীরভাবে ঝাঁপিয়ে পড়েছে এবং নিকোটিন এবং THC সম্পর্কিত আসক্তি সম্পর্কে বেশ কয়েকটি ভিডিও তৈরি করেছে।</v>
      </c>
    </row>
    <row r="267" spans="1:3" ht="15" x14ac:dyDescent="0.25">
      <c r="A267" s="3" t="s">
        <v>268</v>
      </c>
      <c r="B267" s="3" t="s">
        <v>4</v>
      </c>
      <c r="C267" s="4" t="str">
        <f ca="1">IFERROR(__xludf.DUMMYFUNCTION("GOOGLETRANSLATE(A267, ""auto"", ""bn"")"),"আমাকে প্রথম ৬ বছর বয়সে রিটালিন প্রেসক্রাইব করা হয়েছিল, স্কুলে পড়ার সময় আমি টানা ১০ বছর ধরে এটি গ্রহণ করেছিলাম কিন্তু ১৬ বছর বয়সে তা ছেড়ে দিয়েছিলাম। ২১ বছর বয়সে, আমি বিশ্ববিদ্যালয়ে ভর্তি হই এবং প্রথম সেমিস্টারে ফেল করার পর আবার রিটালিন প্রেসক্রাইব"&amp;" করা হয়। আমার বয়স এখন ২২ এবং আমি নাকের ভেতরে প্রতিদিন প্রায় ১২০ মিলিগ্রাম করে রিটালিন ব্যবহার করি। আমার মনে হয় আমি যা জিজ্ঞাসা করার চেষ্টা করছি তা হল আমি কীভাবে প্রতিদিন ৭০ মিলিগ্রামের উপযুক্ত মাত্রায় পৌঁছাবো। আগে আমি রিটালিন ব্যবহারের পরে পার্শ্বপ্র"&amp;"তিক্রিয়া নিয়ন্ত্রণে / কমাতে আগাছা ধূমপান করতাম কিন্তু মনে হয় এটি আমার স্মৃতিশক্তিকে খুব বেশি প্রভাবিত করে, আমি এখন ২ দিন আগে থেকে আগাছা ছেড়ে দিয়েছি কিন্তু পার্শ্বপ্রতিক্রিয়া নিয়ন্ত্রণে আমার কি অসুবিধা হচ্ছে। আমার ADHD এবং শ্রবণ প্রক্রিয়াকরণ ব্যাধি"&amp;" আছে এবং আমি মনে করি রিটালিন এই ব্যাধিগুলি প্রশমিত করতে অত্যন্ত কার্যকর।")</f>
        <v>আমাকে প্রথম ৬ বছর বয়সে রিটালিন প্রেসক্রাইব করা হয়েছিল, স্কুলে পড়ার সময় আমি টানা ১০ বছর ধরে এটি গ্রহণ করেছিলাম কিন্তু ১৬ বছর বয়সে তা ছেড়ে দিয়েছিলাম। ২১ বছর বয়সে, আমি বিশ্ববিদ্যালয়ে ভর্তি হই এবং প্রথম সেমিস্টারে ফেল করার পর আবার রিটালিন প্রেসক্রাইব করা হয়। আমার বয়স এখন ২২ এবং আমি নাকের ভেতরে প্রতিদিন প্রায় ১২০ মিলিগ্রাম করে রিটালিন ব্যবহার করি। আমার মনে হয় আমি যা জিজ্ঞাসা করার চেষ্টা করছি তা হল আমি কীভাবে প্রতিদিন ৭০ মিলিগ্রামের উপযুক্ত মাত্রায় পৌঁছাবো। আগে আমি রিটালিন ব্যবহারের পরে পার্শ্বপ্রতিক্রিয়া নিয়ন্ত্রণে / কমাতে আগাছা ধূমপান করতাম কিন্তু মনে হয় এটি আমার স্মৃতিশক্তিকে খুব বেশি প্রভাবিত করে, আমি এখন ২ দিন আগে থেকে আগাছা ছেড়ে দিয়েছি কিন্তু পার্শ্বপ্রতিক্রিয়া নিয়ন্ত্রণে আমার কি অসুবিধা হচ্ছে। আমার ADHD এবং শ্রবণ প্রক্রিয়াকরণ ব্যাধি আছে এবং আমি মনে করি রিটালিন এই ব্যাধিগুলি প্রশমিত করতে অত্যন্ত কার্যকর।</v>
      </c>
    </row>
    <row r="268" spans="1:3" ht="15" x14ac:dyDescent="0.25">
      <c r="A268" s="3" t="s">
        <v>269</v>
      </c>
      <c r="B268" s="3" t="s">
        <v>4</v>
      </c>
      <c r="C268" s="4" t="str">
        <f ca="1">IFERROR(__xludf.DUMMYFUNCTION("GOOGLETRANSLATE(A268, ""auto"", ""bn"")"),"তার নিকোটিনের তীব্র আসক্তি আছে। আমি বলতে চাইছি সেই ধরণের মানুষ যেখানে সে সকালে প্রথমেই ভ্যাপিং করে। এটা তাকে তীব্র উদ্বেগের কারণ করে, এবং সে এটা থেকে আলাদা হওয়া সহ্য করতে পারে না। সৌভাগ্যবশত সে সচেতন হয়ে গেছে এবং কিছুটা থামতে চায়। তবে, এটি নির্ভর করে, "&amp;"এবং আমি উদ্ধৃত করছি, ""আমাকে একটি ভাল প্রস্তাব দাও এবং আমি স্নাতক হওয়ার সময় ধূমপান ছেড়ে দেব?"" আমি এমন কী অফার করতে পারি যা তাদের নিজস্ব স্বাস্থ্যের চেয়ে বেশি ক্ষতিকর হবে?")</f>
        <v>তার নিকোটিনের তীব্র আসক্তি আছে। আমি বলতে চাইছি সেই ধরণের মানুষ যেখানে সে সকালে প্রথমেই ভ্যাপিং করে। এটা তাকে তীব্র উদ্বেগের কারণ করে, এবং সে এটা থেকে আলাদা হওয়া সহ্য করতে পারে না। সৌভাগ্যবশত সে সচেতন হয়ে গেছে এবং কিছুটা থামতে চায়। তবে, এটি নির্ভর করে, এবং আমি উদ্ধৃত করছি, "আমাকে একটি ভাল প্রস্তাব দাও এবং আমি স্নাতক হওয়ার সময় ধূমপান ছেড়ে দেব?" আমি এমন কী অফার করতে পারি যা তাদের নিজস্ব স্বাস্থ্যের চেয়ে বেশি ক্ষতিকর হবে?</v>
      </c>
    </row>
    <row r="269" spans="1:3" ht="15" x14ac:dyDescent="0.25">
      <c r="A269" s="3" t="s">
        <v>270</v>
      </c>
      <c r="B269" s="3" t="s">
        <v>4</v>
      </c>
      <c r="C269" s="4" t="str">
        <f ca="1">IFERROR(__xludf.DUMMYFUNCTION("GOOGLETRANSLATE(A269, ""auto"", ""bn"")"),"আমি ১০০% মাদকমুক্ত ছিলাম। কিন্তু এক বছর আগে আমার জিএফ আমাকে আগাছা এবং অ্যাডেরালের সাথে পরিচয় করিয়ে দেয়, এবং পরে আমি ধূমপান শুরু করি কিন্তু নিকোটিন পাউচ ব্যবহার শুরু করি। আমি দীর্ঘ সময় ধরে আগাছা ছাড়া ভালো আছি, এবং সামগ্রিকভাবে উদ্দীপকের চেয়ে এটি অনেক"&amp;" কম কামনা করি। আমি সপ্তাহে একটি অ্যাডেরাল খেতে নিজেকে বাধ্য করতে সক্ষম হয়েছিলাম, কিন্তু তা প্রতি ৩ দিন পর পর হয়ে যায় এবং এখন প্রতিদিন সেবন এড়ানোর জন্য লড়াই। সিগারেট/এনআইসি আমার মাঝে মাঝে ইচ্ছা করে, কিন্তু আমি জানি যে এটি অনেক সাহায্য করবে আরএন। যদি আ"&amp;"মি এই তৃষ্ণার কাছে নতি স্বীকার করি তবে এগুলি প্রতিদিন কয়েকবার গ্রহণ করা হয়। আমি সবকিছু ছেড়ে দেওয়ার চেষ্টা করছি কিন্তু এটি দ্বিতীয় দিন এবং আমার কিছুটা খারাপ প্রত্যাহার হচ্ছে? আমার কি একবারে সব ছেড়ে দেওয়ার চেষ্টা করা উচিত, নাকি নিকোটিন পাউচ/অ্যাডারাল"&amp;" ব্যবহার করা উচিত যাতে এটি আরাম পায়?")</f>
        <v>আমি ১০০% মাদকমুক্ত ছিলাম। কিন্তু এক বছর আগে আমার জিএফ আমাকে আগাছা এবং অ্যাডেরালের সাথে পরিচয় করিয়ে দেয়, এবং পরে আমি ধূমপান শুরু করি কিন্তু নিকোটিন পাউচ ব্যবহার শুরু করি। আমি দীর্ঘ সময় ধরে আগাছা ছাড়া ভালো আছি, এবং সামগ্রিকভাবে উদ্দীপকের চেয়ে এটি অনেক কম কামনা করি। আমি সপ্তাহে একটি অ্যাডেরাল খেতে নিজেকে বাধ্য করতে সক্ষম হয়েছিলাম, কিন্তু তা প্রতি ৩ দিন পর পর হয়ে যায় এবং এখন প্রতিদিন সেবন এড়ানোর জন্য লড়াই। সিগারেট/এনআইসি আমার মাঝে মাঝে ইচ্ছা করে, কিন্তু আমি জানি যে এটি অনেক সাহায্য করবে আরএন। যদি আমি এই তৃষ্ণার কাছে নতি স্বীকার করি তবে এগুলি প্রতিদিন কয়েকবার গ্রহণ করা হয়। আমি সবকিছু ছেড়ে দেওয়ার চেষ্টা করছি কিন্তু এটি দ্বিতীয় দিন এবং আমার কিছুটা খারাপ প্রত্যাহার হচ্ছে? আমার কি একবারে সব ছেড়ে দেওয়ার চেষ্টা করা উচিত, নাকি নিকোটিন পাউচ/অ্যাডারাল ব্যবহার করা উচিত যাতে এটি আরাম পায়?</v>
      </c>
    </row>
    <row r="270" spans="1:3" ht="15" x14ac:dyDescent="0.25">
      <c r="A270" s="3" t="s">
        <v>271</v>
      </c>
      <c r="B270" s="3" t="s">
        <v>4</v>
      </c>
      <c r="C270" s="4" t="str">
        <f ca="1">IFERROR(__xludf.DUMMYFUNCTION("GOOGLETRANSLATE(A270, ""auto"", ""bn"")"),"তাহলে আমি কলেজের একজন ছাত্র, আমার পরিবেশের সাথে খাপ খাইয়ে নিতে আমার কিছুটা সমস্যা হচ্ছে। ৫ই জানুয়ারী অ্যাডেরল, নিকোটিন এবং আগাছা খেয়ে আমি নেশাগ্রস্ত হয়ে পড়েছিলাম। আমার ""স্বাস্থ্যকর ডেট"" এর পর? আমি দুবার অ্যাসিডে পড়েছিলাম এবং মাইক্রোডোজ দিয়ে শরুম "&amp;"খেয়েছিলাম। অভিজ্ঞতার কারণে আমি আমার আসক্তি থেকে বেরিয়ে আসতে সাহায্য করেছি। তবে এখন আমি স্কুলে আছি এবং আমার মনে হয় আমার নতুন পরিবেশের চাপ আমাকে আবার সাইকেডেলিক্স ব্যবহার করতে বাধ্য করছে। আমার মাথায় এই ছোট্ট টিকটিকি চলছে ""আমাকে মনে রেখো, আমিই আসক্তি, আ"&amp;"মাকে ছেড়ে দেওয়ার একমাত্র উপায় হল আবার অ্যাসিড ব্যবহার করা। এমনকি বিজ্ঞানও এটিকে সমর্থন করে। তোমার শেষ ভ্রমণগুলি মনে রেখো। তুমি কি আমাকে ছেড়ে দিতে চাও না?")</f>
        <v>তাহলে আমি কলেজের একজন ছাত্র, আমার পরিবেশের সাথে খাপ খাইয়ে নিতে আমার কিছুটা সমস্যা হচ্ছে। ৫ই জানুয়ারী অ্যাডেরল, নিকোটিন এবং আগাছা খেয়ে আমি নেশাগ্রস্ত হয়ে পড়েছিলাম। আমার "স্বাস্থ্যকর ডেট" এর পর? আমি দুবার অ্যাসিডে পড়েছিলাম এবং মাইক্রোডোজ দিয়ে শরুম খেয়েছিলাম। অভিজ্ঞতার কারণে আমি আমার আসক্তি থেকে বেরিয়ে আসতে সাহায্য করেছি। তবে এখন আমি স্কুলে আছি এবং আমার মনে হয় আমার নতুন পরিবেশের চাপ আমাকে আবার সাইকেডেলিক্স ব্যবহার করতে বাধ্য করছে। আমার মাথায় এই ছোট্ট টিকটিকি চলছে "আমাকে মনে রেখো, আমিই আসক্তি, আমাকে ছেড়ে দেওয়ার একমাত্র উপায় হল আবার অ্যাসিড ব্যবহার করা। এমনকি বিজ্ঞানও এটিকে সমর্থন করে। তোমার শেষ ভ্রমণগুলি মনে রেখো। তুমি কি আমাকে ছেড়ে দিতে চাও না?</v>
      </c>
    </row>
    <row r="271" spans="1:3" ht="15" x14ac:dyDescent="0.25">
      <c r="A271" s="3" t="s">
        <v>272</v>
      </c>
      <c r="B271" s="3" t="s">
        <v>4</v>
      </c>
      <c r="C271" s="4" t="str">
        <f ca="1">IFERROR(__xludf.DUMMYFUNCTION("GOOGLETRANSLATE(A271, ""auto"", ""bn"")"),"আমি প্রায় যা কিছু করি তা কোনও না কোনওভাবে আসক্তির দ্বারা অনুপ্রাণিত। আমি যা করি তা হল মদ্যপান, মাদক সেবন এবং টিকটক এবং রেডডিট দেখা। অন্য যেকোনো কিছু, বিশেষ করে যখন আমি সুস্থ থাকি, এখন আমার কাছে এক বিরাট প্রচেষ্টা বলে মনে হয়। আমি আমার জীবন নষ্ট করছি।")</f>
        <v>আমি প্রায় যা কিছু করি তা কোনও না কোনওভাবে আসক্তির দ্বারা অনুপ্রাণিত। আমি যা করি তা হল মদ্যপান, মাদক সেবন এবং টিকটক এবং রেডডিট দেখা। অন্য যেকোনো কিছু, বিশেষ করে যখন আমি সুস্থ থাকি, এখন আমার কাছে এক বিরাট প্রচেষ্টা বলে মনে হয়। আমি আমার জীবন নষ্ট করছি।</v>
      </c>
    </row>
    <row r="272" spans="1:3" ht="15" x14ac:dyDescent="0.25">
      <c r="A272" s="3" t="s">
        <v>273</v>
      </c>
      <c r="B272" s="3" t="s">
        <v>4</v>
      </c>
      <c r="C272" s="4" t="str">
        <f ca="1">IFERROR(__xludf.DUMMYFUNCTION("GOOGLETRANSLATE(A272, ""auto"", ""bn"")"),"আমি মদ্যপান এবং মাদক সেবন করতে থাকি যদিও আমি জানি এটা আমার জীবনকে নষ্ট করে দিচ্ছে। আমি জানি অ্যালকোহল আমার বেশিরভাগ সমস্যার কারণ, তবুও আমার মনে হয় যখন আমার এমন অনুভূতি হয় যা আমি অনুভব করতে চাই না তখন আমি কেবল এটির দিকেই ফিরে যেতে পারি এবং একবার আমি মদ্য"&amp;"পান শুরু করলে আমি সম্পূর্ণরূপে নিজের উপর নিয়ন্ত্রণ হারিয়ে ফেলি, শেষ পর্যন্ত কয়েক দিনের জন্য আমি নিজেকে ঘৃণা করি, কিন্তু কয়েক দিন সুস্থ থাকার পর আমি সর্বদা নিজেকে বোঝাতে সক্ষম হই যে আমি ""স্বাভাবিকভাবে"" পান করতে পারি? স্পষ্টতই পরিস্থিতি এভাবে চলে না। "&amp;"আমার মনে হয় আমি এখানে এটি পোস্ট করছি যাতে কেউ আমার মতো খারাপ ছিল কিনা এবং সুস্থ হয়ে উঠেছে কিনা তা দেখতে। আমি সত্যিই আমার খারাপ অভ্যাসের জন্য বিরক্ত হয়ে যাচ্ছি এবং আমি জানি না কী করব।")</f>
        <v>আমি মদ্যপান এবং মাদক সেবন করতে থাকি যদিও আমি জানি এটা আমার জীবনকে নষ্ট করে দিচ্ছে। আমি জানি অ্যালকোহল আমার বেশিরভাগ সমস্যার কারণ, তবুও আমার মনে হয় যখন আমার এমন অনুভূতি হয় যা আমি অনুভব করতে চাই না তখন আমি কেবল এটির দিকেই ফিরে যেতে পারি এবং একবার আমি মদ্যপান শুরু করলে আমি সম্পূর্ণরূপে নিজের উপর নিয়ন্ত্রণ হারিয়ে ফেলি, শেষ পর্যন্ত কয়েক দিনের জন্য আমি নিজেকে ঘৃণা করি, কিন্তু কয়েক দিন সুস্থ থাকার পর আমি সর্বদা নিজেকে বোঝাতে সক্ষম হই যে আমি "স্বাভাবিকভাবে" পান করতে পারি? স্পষ্টতই পরিস্থিতি এভাবে চলে না। আমার মনে হয় আমি এখানে এটি পোস্ট করছি যাতে কেউ আমার মতো খারাপ ছিল কিনা এবং সুস্থ হয়ে উঠেছে কিনা তা দেখতে। আমি সত্যিই আমার খারাপ অভ্যাসের জন্য বিরক্ত হয়ে যাচ্ছি এবং আমি জানি না কী করব।</v>
      </c>
    </row>
    <row r="273" spans="1:3" ht="15" x14ac:dyDescent="0.25">
      <c r="A273" s="3" t="s">
        <v>274</v>
      </c>
      <c r="B273" s="3" t="s">
        <v>4</v>
      </c>
      <c r="C273" s="4" t="str">
        <f ca="1">IFERROR(__xludf.DUMMYFUNCTION("GOOGLETRANSLATE(A273, ""auto"", ""bn"")"),"দ্বিধাগ্রস্ততার বোঝা কি আমার বয়সের স্বাভাবিক পরিপক্কতার পর্যায়ের অংশ? আমার মনে হয় না। অস্বাভাবিক লালন-পালন, অস্বাভাবিক মস্তিষ্কের রসায়ন এবং একটি সাধারণ প্রবণতা - আমি কীভাবে পরিসংখ্যানগতভাবে বহির্ভূত হতে পারি না? কালো এবং সাদা কখনও একীভূত হতে পারে না এ"&amp;"বং বিশৃঙ্খলা দেখা দেয়, বিশেষ করে যেহেতু তারা একে অপরের খুব কাছাকাছি। মেরুকৃত রাজনীতি, মেরুকৃত খাদ্যাভ্যাস, মেরুকৃত রাস্তার ঠিকানা, মেরুকৃত সূঁচ, মেরুকৃত সংখ্যা এবং মেরুকৃত অবসর কার্যকলাপ। কালো এবং সাদা রঙে চিন্তা করা একটি যৌক্তিক ভুল এবং একটি জ্ঞানীয় বি"&amp;"কৃতি। আমি আলোকিত হয়েছি - আমি সেই ক্ষেত্রে অযৌক্তিক। দ্বিধাগ্রস্ততার বোঝা প্রচলিত, এবং আমার পুরো কৈশোর জুড়েই এটি খুব প্রচলিত ছিল, খুঁজে বের করতে আসুন।")</f>
        <v>দ্বিধাগ্রস্ততার বোঝা কি আমার বয়সের স্বাভাবিক পরিপক্কতার পর্যায়ের অংশ? আমার মনে হয় না। অস্বাভাবিক লালন-পালন, অস্বাভাবিক মস্তিষ্কের রসায়ন এবং একটি সাধারণ প্রবণতা - আমি কীভাবে পরিসংখ্যানগতভাবে বহির্ভূত হতে পারি না? কালো এবং সাদা কখনও একীভূত হতে পারে না এবং বিশৃঙ্খলা দেখা দেয়, বিশেষ করে যেহেতু তারা একে অপরের খুব কাছাকাছি। মেরুকৃত রাজনীতি, মেরুকৃত খাদ্যাভ্যাস, মেরুকৃত রাস্তার ঠিকানা, মেরুকৃত সূঁচ, মেরুকৃত সংখ্যা এবং মেরুকৃত অবসর কার্যকলাপ। কালো এবং সাদা রঙে চিন্তা করা একটি যৌক্তিক ভুল এবং একটি জ্ঞানীয় বিকৃতি। আমি আলোকিত হয়েছি - আমি সেই ক্ষেত্রে অযৌক্তিক। দ্বিধাগ্রস্ততার বোঝা প্রচলিত, এবং আমার পুরো কৈশোর জুড়েই এটি খুব প্রচলিত ছিল, খুঁজে বের করতে আসুন।</v>
      </c>
    </row>
    <row r="274" spans="1:3" ht="15" x14ac:dyDescent="0.25">
      <c r="A274" s="3" t="s">
        <v>275</v>
      </c>
      <c r="B274" s="3" t="s">
        <v>4</v>
      </c>
      <c r="C274" s="4" t="str">
        <f ca="1">IFERROR(__xludf.DUMMYFUNCTION("GOOGLETRANSLATE(A274, ""auto"", ""bn"")"),"আমি ক্লাসে আছি এবং আমরা হয়তো সত্যিই গুরুত্বপূর্ণ কিছু শিখছি যা পরীক্ষার সময় হতে পারে, আর আমি শুধু গান শুনতে এবং YT দেখতে/গেম খেলতে ব্যস্ত থাকি। শিক্ষকদের কিছু যায় আসে না, তারা বলে এটা তোমার নিজের দোষ, যার সাথে আমি একমত। এমনকি যখন আমি স্কুলে আমার ফোন ব্"&amp;"যবহার করি, তখনও আমি সারাদিন বাড়িতে এটি ব্যবহার করি এবং হোমওয়ার্ক বা আমার ক্লাসের জন্য কোনও কাজ করি না। এবং যখন আমি হোমওয়ার্কের কাজ করি এবং সেটা করি, সাধারণত রাতে, আমি আমার বন্ধুদের সাথে গেম খেলার চেষ্টা করি এবং তারা ঘুমাতে যায়। তারপর আমি আমার ফোনে আটক"&amp;"ে যাই কারণ আমার ঘুমাতে সমস্যা হয় এবং রাত ২-৩ টা পর্যন্ত ঘুম আসে না এবং আমাকে ৬:৩০ এ ঘুম থেকে উঠতে হয়।")</f>
        <v>আমি ক্লাসে আছি এবং আমরা হয়তো সত্যিই গুরুত্বপূর্ণ কিছু শিখছি যা পরীক্ষার সময় হতে পারে, আর আমি শুধু গান শুনতে এবং YT দেখতে/গেম খেলতে ব্যস্ত থাকি। শিক্ষকদের কিছু যায় আসে না, তারা বলে এটা তোমার নিজের দোষ, যার সাথে আমি একমত। এমনকি যখন আমি স্কুলে আমার ফোন ব্যবহার করি, তখনও আমি সারাদিন বাড়িতে এটি ব্যবহার করি এবং হোমওয়ার্ক বা আমার ক্লাসের জন্য কোনও কাজ করি না। এবং যখন আমি হোমওয়ার্কের কাজ করি এবং সেটা করি, সাধারণত রাতে, আমি আমার বন্ধুদের সাথে গেম খেলার চেষ্টা করি এবং তারা ঘুমাতে যায়। তারপর আমি আমার ফোনে আটকে যাই কারণ আমার ঘুমাতে সমস্যা হয় এবং রাত ২-৩ টা পর্যন্ত ঘুম আসে না এবং আমাকে ৬:৩০ এ ঘুম থেকে উঠতে হয়।</v>
      </c>
    </row>
    <row r="275" spans="1:3" ht="15" x14ac:dyDescent="0.25">
      <c r="A275" s="3" t="s">
        <v>276</v>
      </c>
      <c r="B275" s="3" t="s">
        <v>4</v>
      </c>
      <c r="C275" s="4" t="str">
        <f ca="1">IFERROR(__xludf.DUMMYFUNCTION("GOOGLETRANSLATE(A275, ""auto"", ""bn"")"),"দ্বিতীয় শ্রেণীতে আমার বেশ গুরুতর ADHD ধরা পড়ে এবং তারপর থেকে আমি এর জন্য বিভিন্ন ওষুধ খাচ্ছিলাম এবং খাচ্ছিলাম না। প্রায় দুই বছর আগে আমাকে Adderall লিখে দেওয়া হয়েছিল, এবং অবশেষে মনে হয়েছিল যে ওষুধটি আমাকে সবচেয়ে বেশি সাহায্য করেছে। Adderall আমার খাও"&amp;"য়ার ব্যাধির কারণ হয়ে দাঁড়িয়েছিল, তাই আমার ডাক্তার আমাকে Ritalin-এ পরিবর্তন করেছিলেন। মাত্র এক সপ্তাহ Ritalin খাওয়ার পর, প্রত্যাহারের লক্ষণগুলি শুরু হয়েছিল। আমি কোনও আবেগ সহ্য করতে পারিনি, রাতে 12+ ঘন্টা ঘুমিয়েছিলাম এবং খুব বিষণ্ণ হয়ে পড়েছিলাম। আম"&amp;"ি আমার ডাক্তারকে Adderall-এ পুনরায় পরিবর্তন করতে বলেছিলাম, এবং তিনি তা করেছিলেন। এখন আমি আবার এটি গ্রহণ করেছি, আমার ক্রমাগত মনে হয় আমার আরও প্রয়োজন। আমি সকালে আমার ডোজ গ্রহণ করি, এবং দিনের মাঝামাঝি সময়ে আমি নিজেকে আরও বেশি চাইতে দেখি। আমি স্কুলে কয়েক"&amp;"বার এটি নাক ডাকি কারণ যখনই আমার মনে হয় আমি আরও বেশি চাই, আমি খুব অলস এবং আবেগহীন হয়ে পড়ি। যদি কেউ আমাকে সাহায্য করতে পারতেন তবে আমি খুব কৃতজ্ঞ থাকতাম। সত্যি বলতে, আমি জানি না এটি একটি আসল আসক্তি কিনা। আমি শুধু জানি যে আমার সবসময় খারাপ লাগে, আর আমি আমার"&amp;" প্রেসক্রিপশনের অপব্যবহার করছি।")</f>
        <v>দ্বিতীয় শ্রেণীতে আমার বেশ গুরুতর ADHD ধরা পড়ে এবং তারপর থেকে আমি এর জন্য বিভিন্ন ওষুধ খাচ্ছিলাম এবং খাচ্ছিলাম না। প্রায় দুই বছর আগে আমাকে Adderall লিখে দেওয়া হয়েছিল, এবং অবশেষে মনে হয়েছিল যে ওষুধটি আমাকে সবচেয়ে বেশি সাহায্য করেছে। Adderall আমার খাওয়ার ব্যাধির কারণ হয়ে দাঁড়িয়েছিল, তাই আমার ডাক্তার আমাকে Ritalin-এ পরিবর্তন করেছিলেন। মাত্র এক সপ্তাহ Ritalin খাওয়ার পর, প্রত্যাহারের লক্ষণগুলি শুরু হয়েছিল। আমি কোনও আবেগ সহ্য করতে পারিনি, রাতে 12+ ঘন্টা ঘুমিয়েছিলাম এবং খুব বিষণ্ণ হয়ে পড়েছিলাম। আমি আমার ডাক্তারকে Adderall-এ পুনরায় পরিবর্তন করতে বলেছিলাম, এবং তিনি তা করেছিলেন। এখন আমি আবার এটি গ্রহণ করেছি, আমার ক্রমাগত মনে হয় আমার আরও প্রয়োজন। আমি সকালে আমার ডোজ গ্রহণ করি, এবং দিনের মাঝামাঝি সময়ে আমি নিজেকে আরও বেশি চাইতে দেখি। আমি স্কুলে কয়েকবার এটি নাক ডাকি কারণ যখনই আমার মনে হয় আমি আরও বেশি চাই, আমি খুব অলস এবং আবেগহীন হয়ে পড়ি। যদি কেউ আমাকে সাহায্য করতে পারতেন তবে আমি খুব কৃতজ্ঞ থাকতাম। সত্যি বলতে, আমি জানি না এটি একটি আসল আসক্তি কিনা। আমি শুধু জানি যে আমার সবসময় খারাপ লাগে, আর আমি আমার প্রেসক্রিপশনের অপব্যবহার করছি।</v>
      </c>
    </row>
    <row r="276" spans="1:3" ht="15" x14ac:dyDescent="0.25">
      <c r="A276" s="3" t="s">
        <v>277</v>
      </c>
      <c r="B276" s="3" t="s">
        <v>4</v>
      </c>
      <c r="C276" s="4" t="str">
        <f ca="1">IFERROR(__xludf.DUMMYFUNCTION("GOOGLETRANSLATE(A276, ""auto"", ""bn"")"),"আমার বিভিন্ন ধরণের মানসিক রোগ নির্ণয় করা হয়েছে সে সম্পর্কে আরও বিস্তারিতভাবে বলা যেতে পারে, কিন্তু আমার (বেশিরভাগই) কর্মক্ষমতা বেশি। আমি সবসময়ই হতাশাগ্রস্ত ছিলাম, অন্য যেকোনো কিছুর চেয়ে বেশি, এবং বর্তমানে আমি খুব কমই সাফল্য পাচ্ছি। আমার একজন মনোরোগ বি"&amp;"শেষজ্ঞ আছেন, এবং আমি এখনই ওষুধ পরিবর্তন করার চেষ্টা করছি কারণ সেগুলি কার্যকর নয়, তবে আমি জানি যে গাঁজা ধূমপান আমার খারাপ মেজাজের লক্ষণ এবং কারণ উভয়ই। তাছাড়া, আমি ৫ বছর পরিষ্কার কাটিয়েছি, এবং সেই সময় প্রচুর ব্যায়াম করেছি - আমি ফিটনেস পছন্দ করি, বিশেষ কর"&amp;"ে দৌড়ানো, জিউ-জিৎসু এবং যোগব্যায়াম, কিন্তু এই মুহূর্তে আমি গাঁজা ধূমপান এবং কল অফ ডিউটি ​​খেলার পক্ষে খুব কমই করছি। তাছাড়া, আমার আয়ের কোনও উৎস নেই, তবে আমার তাৎক্ষণিক আর্থিক চাপ নেই। ফলস্বরূপ, আমি সকালে ঘুম থেকে উঠে আমার কফির সাথে ধূমপান করি। আমি এটি পছ"&amp;"ন্দ করি, কিন্তু একই সাথে আমি আমার জীবনযাত্রার সাথে অবিশ্বাস্যভাবে বিরক্ত। আমার একজন লাইফ কোচ এবং একজন মনোবিজ্ঞানীও আছেন, এবং তারা আমাকে কিছুটা সাহায্য করছেন বলে মনে হচ্ছে, কিন্তু আমি আমার জীবনে অনেক কিছু করতে সক্ষম, এবং বর্তমানে আমি প্রায় কিছুই করছি না। "&amp;"তাছাড়া, আমি সাধারণত যেসব বিষয়ে আগ্রহী, সেগুলোতেও আগ্রহী নই, যেমন পড়া। পরিবর্তে, আমি ক্লান্ত হয়ে পড়ছি, আমার মস্তিষ্ককে অতিরিক্ত ব্যস্ত করে তুলছি এবং জীবনকে আমার জন্য এগিয়ে যেতে দেখছি। আমার ইতিবাচক আসক্তিতে ফিরে যেতে, দৌড়াতে যাওয়া, জিউ-জিৎসু করা এবং"&amp;" নতুন লোকের সাথে দেখা করা (আমি একা থাকি), যোগব্যায়াম করতে পছন্দ করব। কী করব তা নিশ্চিত নই, এবং যেকোনো পরামর্শ সাদরে গৃহীত হবে।")</f>
        <v>আমার বিভিন্ন ধরণের মানসিক রোগ নির্ণয় করা হয়েছে সে সম্পর্কে আরও বিস্তারিতভাবে বলা যেতে পারে, কিন্তু আমার (বেশিরভাগই) কর্মক্ষমতা বেশি। আমি সবসময়ই হতাশাগ্রস্ত ছিলাম, অন্য যেকোনো কিছুর চেয়ে বেশি, এবং বর্তমানে আমি খুব কমই সাফল্য পাচ্ছি। আমার একজন মনোরোগ বিশেষজ্ঞ আছেন, এবং আমি এখনই ওষুধ পরিবর্তন করার চেষ্টা করছি কারণ সেগুলি কার্যকর নয়, তবে আমি জানি যে গাঁজা ধূমপান আমার খারাপ মেজাজের লক্ষণ এবং কারণ উভয়ই। তাছাড়া, আমি ৫ বছর পরিষ্কার কাটিয়েছি, এবং সেই সময় প্রচুর ব্যায়াম করেছি - আমি ফিটনেস পছন্দ করি, বিশেষ করে দৌড়ানো, জিউ-জিৎসু এবং যোগব্যায়াম, কিন্তু এই মুহূর্তে আমি গাঁজা ধূমপান এবং কল অফ ডিউটি ​​খেলার পক্ষে খুব কমই করছি। তাছাড়া, আমার আয়ের কোনও উৎস নেই, তবে আমার তাৎক্ষণিক আর্থিক চাপ নেই। ফলস্বরূপ, আমি সকালে ঘুম থেকে উঠে আমার কফির সাথে ধূমপান করি। আমি এটি পছন্দ করি, কিন্তু একই সাথে আমি আমার জীবনযাত্রার সাথে অবিশ্বাস্যভাবে বিরক্ত। আমার একজন লাইফ কোচ এবং একজন মনোবিজ্ঞানীও আছেন, এবং তারা আমাকে কিছুটা সাহায্য করছেন বলে মনে হচ্ছে, কিন্তু আমি আমার জীবনে অনেক কিছু করতে সক্ষম, এবং বর্তমানে আমি প্রায় কিছুই করছি না। তাছাড়া, আমি সাধারণত যেসব বিষয়ে আগ্রহী, সেগুলোতেও আগ্রহী নই, যেমন পড়া। পরিবর্তে, আমি ক্লান্ত হয়ে পড়ছি, আমার মস্তিষ্ককে অতিরিক্ত ব্যস্ত করে তুলছি এবং জীবনকে আমার জন্য এগিয়ে যেতে দেখছি। আমার ইতিবাচক আসক্তিতে ফিরে যেতে, দৌড়াতে যাওয়া, জিউ-জিৎসু করা এবং নতুন লোকের সাথে দেখা করা (আমি একা থাকি), যোগব্যায়াম করতে পছন্দ করব। কী করব তা নিশ্চিত নই, এবং যেকোনো পরামর্শ সাদরে গৃহীত হবে।</v>
      </c>
    </row>
    <row r="277" spans="1:3" ht="15" x14ac:dyDescent="0.25">
      <c r="A277" s="3" t="s">
        <v>278</v>
      </c>
      <c r="B277" s="3" t="s">
        <v>4</v>
      </c>
      <c r="C277" s="4" t="str">
        <f ca="1">IFERROR(__xludf.DUMMYFUNCTION("GOOGLETRANSLATE(A277, ""auto"", ""bn"")"),"এমন কেউ কি আছেন যিনি সিজোফ্রেনিয়ার নেশাগ্রস্ত এবং তিনি নিশ্চিন্ত? টিপস? আপনার প্রিয়জনকে এই পরিস্থিতির মধ্য দিয়ে যেতে দেখে মনে হচ্ছে যে তারা এটিকে কাটিয়ে উঠতে পারবে না কারণ সিজোফ্রেনিয়ার সাথে এটি আরও কঠিন? আমি বিশ্বাস করি এটি অবশ্যই আরও কঠিন হতে চলেছে"&amp;", তবে আমি নিশ্চিতভাবে জানি যে এটি অসম্ভব নয় কারণ আপনার মাথায় অন্যান্য ভূত রয়েছে যারা আপনাকে বোঝানোর চেষ্টা করছে যে আপনি এটি গ্রহণ করুন এবং ব্যবহার করুন। আমি কেবল সিজোফ্রেনিয়ায় আক্রান্ত এমন একজনের কাছ থেকে একটি দৃষ্টিভঙ্গি খুঁজছি যিনি নিশ্চিন্ত এবং পর"&amp;"িস্থিতি সম্পর্কে কিছু আলোকপাত করতে বা পরামর্শ দিতে পারেন।")</f>
        <v>এমন কেউ কি আছেন যিনি সিজোফ্রেনিয়ার নেশাগ্রস্ত এবং তিনি নিশ্চিন্ত? টিপস? আপনার প্রিয়জনকে এই পরিস্থিতির মধ্য দিয়ে যেতে দেখে মনে হচ্ছে যে তারা এটিকে কাটিয়ে উঠতে পারবে না কারণ সিজোফ্রেনিয়ার সাথে এটি আরও কঠিন? আমি বিশ্বাস করি এটি অবশ্যই আরও কঠিন হতে চলেছে, তবে আমি নিশ্চিতভাবে জানি যে এটি অসম্ভব নয় কারণ আপনার মাথায় অন্যান্য ভূত রয়েছে যারা আপনাকে বোঝানোর চেষ্টা করছে যে আপনি এটি গ্রহণ করুন এবং ব্যবহার করুন। আমি কেবল সিজোফ্রেনিয়ায় আক্রান্ত এমন একজনের কাছ থেকে একটি দৃষ্টিভঙ্গি খুঁজছি যিনি নিশ্চিন্ত এবং পরিস্থিতি সম্পর্কে কিছু আলোকপাত করতে বা পরামর্শ দিতে পারেন।</v>
      </c>
    </row>
    <row r="278" spans="1:3" ht="15" x14ac:dyDescent="0.25">
      <c r="A278" s="3" t="s">
        <v>279</v>
      </c>
      <c r="B278" s="3" t="s">
        <v>4</v>
      </c>
      <c r="C278" s="4" t="str">
        <f ca="1">IFERROR(__xludf.DUMMYFUNCTION("GOOGLETRANSLATE(A278, ""auto"", ""bn"")"),"আমি নিজেকে বারবার বলি যে, চরম হতাশায় পড়লেই আমি অবশেষে শান্ত হয়ে যাব। এমনকি আমি এমন একটা পর্যায়ে পৌঁছেছি যেখানে আমি আমার চারপাশের সবকিছু ধ্বংস করে ফেলব, সেই পর্যায়ে পৌঁছানোর চেষ্টা করব। তাছাড়া, আমি সবসময় ইচ্ছাকৃতভাবে চরম পর্যায়ে যাই (কাজ হারানো, বন্ধুত্ব "&amp;"হারানো, আমার সমস্ত টাকা উড়িয়ে দেওয়া), আশা করি এটা আমার ঘুম ভাঙাবে। কিন্তু এটা কখনোই খারাপ অবস্থায় আসে না। আমি সবসময় শান্ত হয়ে ফিরে আসি। তারপর আবার বলি।")</f>
        <v>আমি নিজেকে বারবার বলি যে, চরম হতাশায় পড়লেই আমি অবশেষে শান্ত হয়ে যাব। এমনকি আমি এমন একটা পর্যায়ে পৌঁছেছি যেখানে আমি আমার চারপাশের সবকিছু ধ্বংস করে ফেলব, সেই পর্যায়ে পৌঁছানোর চেষ্টা করব। তাছাড়া, আমি সবসময় ইচ্ছাকৃতভাবে চরম পর্যায়ে যাই (কাজ হারানো, বন্ধুত্ব হারানো, আমার সমস্ত টাকা উড়িয়ে দেওয়া), আশা করি এটা আমার ঘুম ভাঙাবে। কিন্তু এটা কখনোই খারাপ অবস্থায় আসে না। আমি সবসময় শান্ত হয়ে ফিরে আসি। তারপর আবার বলি।</v>
      </c>
    </row>
    <row r="279" spans="1:3" ht="15" x14ac:dyDescent="0.25">
      <c r="A279" s="3" t="s">
        <v>280</v>
      </c>
      <c r="B279" s="3" t="s">
        <v>4</v>
      </c>
      <c r="C279" s="4" t="str">
        <f ca="1">IFERROR(__xludf.DUMMYFUNCTION("GOOGLETRANSLATE(A279, ""auto"", ""bn"")"),"আমার বয়স ২২ বছর এবং কলেজের শেষ সেমিস্টারে আমার স্নাতক শেষ হওয়ার কথা। আমার আর কোথাও যাওয়ার নেই তাই আমি আমার বুক থেকে কিছু জিনিস বের করে এখানেই মুখ ফুটে তুলতে চাই। আমি এক বছরেরও বেশি সময় ধরে নোংরা নীল ৩০ এর সাথে তালগোল পাকিয়েছি। প্রথমবারের মতো ওষুধ চেষ্টা"&amp;" করা ঠিক ইউফোরিয়ার মতো ছিল যখন রু বলে যে প্রথমবারের মতো ওষুধ চেষ্টা করা মানে সারা জীবন ধরে যে অনুভূতি খুঁজছি তা খুঁজে পাওয়া। কিন্তু গত শরৎ পর্যন্ত আমি কখনোই ধারাবাহিকভাবে ওষুধ পেতে পারিনি, এবং তারপর থেকে ৪-৫ মাস ধরে দিনে ৪-৫ বার নাক ডাকছি। আমি সবসময় মান"&amp;"সিক স্বাস্থ্যের সাথে লড়াই করেছি এবং আমার BPD আছে। আমি সবসময় পরবর্তী জিনিসটি খুঁজি যা আমাকে কিছু অনুভব করাবে। আমি দিনে একাধিকবার গাঁজা ধূমপান করি এবং আমি নিকোটিনে আসক্ত। আমি মানুষ এবং জিনিসের প্রতি আসক্ত হয়ে পড়ি এবং সাধারণভাবে আমার ব্যক্তিত্ব খুবই আসক্"&amp;"তিকর। কয়েক সপ্তাহ আগে আমার নেশা শেষ হয়ে যায় এবং আমি প্রত্যাহারের দিকে চলে যাই এবং আত্মহত্যা করার কথা ভাবছিলাম, এটি আমার জন্য সত্যিই নরক ছিল। আমি নিজেকে বললাম আমাকে থামতে হবে এবং আমি আর কখনও এই পরিস্থিতির মধ্য দিয়ে যাব না। এক সপ্তাহও না যেতেই আমার রক্ত"&amp;"ের প্লাগ আবার বেড়ে গেল এবং আমি আগের মতোই করছিলাম। এটা খুবই কঠিন কারণ আমার আসলে কোনও সমর্থন ব্যবস্থা নেই, কোনও প্রকৃত বন্ধু বা পরিবার নেই, এবং আমি কখনও খুশি হইনি যদি আমি উচ্চাকাঙ্ক্ষী না হই, তাই আমার একটা অংশ বলে, কেন থামব? তুমি তোমার পুরো জীবনে কখনও এত ভ"&amp;"ালো অনুভব করোনি। তুমি একটি মুক্তি খুঁজে পেয়েছ। কিন্তু আমার অন্য অংশ জানে আমি যদি চালিয়ে যাই তবে এটি আরও খারাপ হবে। কিন্তু আমি থামতে খুব ভয় পাচ্ছি, আমার মনে হয় না যে আমি প্রত্যাহার বা নিঃশ্বাসের সাথে জীবনযাপন করতে পারব। এবং এটা সত্যিই মনে হচ্ছে যে ওষুধ"&amp;" আমাকে বেঁচে থাকার কারণ দিয়েছে। মঙ্গলবার পর্যন্ত আমার রক্তের প্লাগ আমার সাথে দেখা করতে পারছি না এবং আমি নিঃস্ব তাই আমি যা অবশিষ্ট আছে তা রেশন করতে শুরু করেছি এবং আমি ইতিমধ্যেই কিছু WD লক্ষণ অনুভব করতে শুরু করেছি। আমি সত্যিই খুব খারাপ বোধ করছি। আমার সাহায"&amp;"্যের প্রয়োজন কিন্তু আমি আটকে আছি। আমার সাথে কথা বলার জন্য কেউ নেই। আমার কেবল এটি কোথাও বলার দরকার ছিল।")</f>
        <v>আমার বয়স ২২ বছর এবং কলেজের শেষ সেমিস্টারে আমার স্নাতক শেষ হওয়ার কথা। আমার আর কোথাও যাওয়ার নেই তাই আমি আমার বুক থেকে কিছু জিনিস বের করে এখানেই মুখ ফুটে তুলতে চাই। আমি এক বছরেরও বেশি সময় ধরে নোংরা নীল ৩০ এর সাথে তালগোল পাকিয়েছি। প্রথমবারের মতো ওষুধ চেষ্টা করা ঠিক ইউফোরিয়ার মতো ছিল যখন রু বলে যে প্রথমবারের মতো ওষুধ চেষ্টা করা মানে সারা জীবন ধরে যে অনুভূতি খুঁজছি তা খুঁজে পাওয়া। কিন্তু গত শরৎ পর্যন্ত আমি কখনোই ধারাবাহিকভাবে ওষুধ পেতে পারিনি, এবং তারপর থেকে ৪-৫ মাস ধরে দিনে ৪-৫ বার নাক ডাকছি। আমি সবসময় মানসিক স্বাস্থ্যের সাথে লড়াই করেছি এবং আমার BPD আছে। আমি সবসময় পরবর্তী জিনিসটি খুঁজি যা আমাকে কিছু অনুভব করাবে। আমি দিনে একাধিকবার গাঁজা ধূমপান করি এবং আমি নিকোটিনে আসক্ত। আমি মানুষ এবং জিনিসের প্রতি আসক্ত হয়ে পড়ি এবং সাধারণভাবে আমার ব্যক্তিত্ব খুবই আসক্তিকর। কয়েক সপ্তাহ আগে আমার নেশা শেষ হয়ে যায় এবং আমি প্রত্যাহারের দিকে চলে যাই এবং আত্মহত্যা করার কথা ভাবছিলাম, এটি আমার জন্য সত্যিই নরক ছিল। আমি নিজেকে বললাম আমাকে থামতে হবে এবং আমি আর কখনও এই পরিস্থিতির মধ্য দিয়ে যাব না। এক সপ্তাহও না যেতেই আমার রক্তের প্লাগ আবার বেড়ে গেল এবং আমি আগের মতোই করছিলাম। এটা খুবই কঠিন কারণ আমার আসলে কোনও সমর্থন ব্যবস্থা নেই, কোনও প্রকৃত বন্ধু বা পরিবার নেই, এবং আমি কখনও খুশি হইনি যদি আমি উচ্চাকাঙ্ক্ষী না হই, তাই আমার একটা অংশ বলে, কেন থামব? তুমি তোমার পুরো জীবনে কখনও এত ভালো অনুভব করোনি। তুমি একটি মুক্তি খুঁজে পেয়েছ। কিন্তু আমার অন্য অংশ জানে আমি যদি চালিয়ে যাই তবে এটি আরও খারাপ হবে। কিন্তু আমি থামতে খুব ভয় পাচ্ছি, আমার মনে হয় না যে আমি প্রত্যাহার বা নিঃশ্বাসের সাথে জীবনযাপন করতে পারব। এবং এটা সত্যিই মনে হচ্ছে যে ওষুধ আমাকে বেঁচে থাকার কারণ দিয়েছে। মঙ্গলবার পর্যন্ত আমার রক্তের প্লাগ আমার সাথে দেখা করতে পারছি না এবং আমি নিঃস্ব তাই আমি যা অবশিষ্ট আছে তা রেশন করতে শুরু করেছি এবং আমি ইতিমধ্যেই কিছু WD লক্ষণ অনুভব করতে শুরু করেছি। আমি সত্যিই খুব খারাপ বোধ করছি। আমার সাহায্যের প্রয়োজন কিন্তু আমি আটকে আছি। আমার সাথে কথা বলার জন্য কেউ নেই। আমার কেবল এটি কোথাও বলার দরকার ছিল।</v>
      </c>
    </row>
    <row r="280" spans="1:3" ht="15" x14ac:dyDescent="0.25">
      <c r="A280" s="3" t="s">
        <v>281</v>
      </c>
      <c r="B280" s="3" t="s">
        <v>4</v>
      </c>
      <c r="C280" s="4" t="str">
        <f ca="1">IFERROR(__xludf.DUMMYFUNCTION("GOOGLETRANSLATE(A280, ""auto"", ""bn"")"),"৩১৪ দিন আগে আমার প্রথম দিন ছিল অ্যালকোহল, কোকেন, গাঁজা, কফি ছাড়া অন্য সব মাদক থেকে সম্পূর্ণ মুক্ত। এমনকি প্রথম মাসের মধ্যেই ধূমপান ছেড়ে দিয়েছি। আমার প্রোগ্রাম কঠোরভাবে মেনে চলা এবং প্রচুর থেরাপির ফলে, আমি খুব ভালোভাবে ধূমপান ত্যাগ করি। আমার আর তেমন কোন"&amp;" লোভ নেই। যাইহোক, অনেক আসক্তের মতো, আমি প্রথম দিকে যা করতাম তা হল মিষ্টি দিয়ে আমার ব্যবহার বন্ধ করে দেওয়া। ৬ মাসেরও কম সময়ে আমার ওজন ৩০ পাউন্ড বেড়ে গেছে। প্রায় এক মাস আগে আমার ডাক্তাররা আমাকে বলেছিলেন যে আমার ডায়াবেটিসের গুরুতর ঝুঁকি রয়েছে এবং আমি "&amp;"ডায়েট করার চেষ্টা করেছি, কিন্তু খাবার দিয়ে আপনি কি পারবেন না? খাওয়া বন্ধ করুন। যদি আপনি বাঁচতে চান তবে না। এবং আমি নিজেকে ED পথে যেতে দিতে পারি না, মানসিক স্বাস্থ্যের দিক থেকে আমি যত অগ্রগতি করেছি তার পরেও। আমি চিনি-মুক্ত এনার্জি ড্রিংকস ব্যবহার শুরু ক"&amp;"রেছি, জোডি পপ সম্পূর্ণরূপে বন্ধ করে দিয়েছি, ইকুইটোস, পিৎজা রোল এবং র‍্যামেনের মতো আবর্জনা কেনা বন্ধ করে দিয়েছি (আমার বয়স হয়তো ৩৪ বছর, কিন্তু আমি ১৫ বছর ধরে মাতাল ছিলাম, আমি একজন বিশাল শিশু) এবং স্ফটিক আলো এবং স্টেভিয়া চকলেট খেতে শুরু করেছি, তাই আমি ক"&amp;"িছু একটা খেয়েছি। কিন্তু সম্প্রতি, আমি লক্ষ্য করছি যে যখন আমি চাপে থাকি এবং আমার কাছে থাকা সমস্ত স্বাস্থ্যকর খাবার পুরো রান্নার প্রক্রিয়ার উপর নির্ভর করে, তখন আমি কেবল দোকানে ছুটে যাই এবং একটি হিমায়িত পিৎজা কিনে ফেলি, চাইনিজ বা আরও খারাপ টাকো বেল অর্ডার"&amp;" করি, এমনকি কোণার দোকানে ছুটে যাই এবং ক্রমাগত লেবুর শরবত এবং বিষ্ঠা খাই কারণ এটি পপ নয় এবং এটি আরও ঘন ঘন ঘটছে এবং আমি নিজের জন্য অজুহাত তৈরি করছি এবং প্রায় নিজেকে মিথ্যা বলার চেষ্টা করছি, এবং এটি কেবল সক্রিয় আসক্তির মতো মনে হচ্ছে এবং এটি ভীতিকর। কোন চি"&amp;"ন্তা বা পরামর্শ আছে কি? আমি কখনও একটি স্বাস্থ্যকর জীবনযাত্রায় সফল হতে পারিনি, আপনি জানেন, মাদকের সাথে নিজেকে হত্যা না করা ছাড়া।")</f>
        <v>৩১৪ দিন আগে আমার প্রথম দিন ছিল অ্যালকোহল, কোকেন, গাঁজা, কফি ছাড়া অন্য সব মাদক থেকে সম্পূর্ণ মুক্ত। এমনকি প্রথম মাসের মধ্যেই ধূমপান ছেড়ে দিয়েছি। আমার প্রোগ্রাম কঠোরভাবে মেনে চলা এবং প্রচুর থেরাপির ফলে, আমি খুব ভালোভাবে ধূমপান ত্যাগ করি। আমার আর তেমন কোন লোভ নেই। যাইহোক, অনেক আসক্তের মতো, আমি প্রথম দিকে যা করতাম তা হল মিষ্টি দিয়ে আমার ব্যবহার বন্ধ করে দেওয়া। ৬ মাসেরও কম সময়ে আমার ওজন ৩০ পাউন্ড বেড়ে গেছে। প্রায় এক মাস আগে আমার ডাক্তাররা আমাকে বলেছিলেন যে আমার ডায়াবেটিসের গুরুতর ঝুঁকি রয়েছে এবং আমি ডায়েট করার চেষ্টা করেছি, কিন্তু খাবার দিয়ে আপনি কি পারবেন না? খাওয়া বন্ধ করুন। যদি আপনি বাঁচতে চান তবে না। এবং আমি নিজেকে ED পথে যেতে দিতে পারি না, মানসিক স্বাস্থ্যের দিক থেকে আমি যত অগ্রগতি করেছি তার পরেও। আমি চিনি-মুক্ত এনার্জি ড্রিংকস ব্যবহার শুরু করেছি, জোডি পপ সম্পূর্ণরূপে বন্ধ করে দিয়েছি, ইকুইটোস, পিৎজা রোল এবং র‍্যামেনের মতো আবর্জনা কেনা বন্ধ করে দিয়েছি (আমার বয়স হয়তো ৩৪ বছর, কিন্তু আমি ১৫ বছর ধরে মাতাল ছিলাম, আমি একজন বিশাল শিশু) এবং স্ফটিক আলো এবং স্টেভিয়া চকলেট খেতে শুরু করেছি, তাই আমি কিছু একটা খেয়েছি। কিন্তু সম্প্রতি, আমি লক্ষ্য করছি যে যখন আমি চাপে থাকি এবং আমার কাছে থাকা সমস্ত স্বাস্থ্যকর খাবার পুরো রান্নার প্রক্রিয়ার উপর নির্ভর করে, তখন আমি কেবল দোকানে ছুটে যাই এবং একটি হিমায়িত পিৎজা কিনে ফেলি, চাইনিজ বা আরও খারাপ টাকো বেল অর্ডার করি, এমনকি কোণার দোকানে ছুটে যাই এবং ক্রমাগত লেবুর শরবত এবং বিষ্ঠা খাই কারণ এটি পপ নয় এবং এটি আরও ঘন ঘন ঘটছে এবং আমি নিজের জন্য অজুহাত তৈরি করছি এবং প্রায় নিজেকে মিথ্যা বলার চেষ্টা করছি, এবং এটি কেবল সক্রিয় আসক্তির মতো মনে হচ্ছে এবং এটি ভীতিকর। কোন চিন্তা বা পরামর্শ আছে কি? আমি কখনও একটি স্বাস্থ্যকর জীবনযাত্রায় সফল হতে পারিনি, আপনি জানেন, মাদকের সাথে নিজেকে হত্যা না করা ছাড়া।</v>
      </c>
    </row>
    <row r="281" spans="1:3" ht="15" x14ac:dyDescent="0.25">
      <c r="A281" s="3" t="s">
        <v>282</v>
      </c>
      <c r="B281" s="3" t="s">
        <v>4</v>
      </c>
      <c r="C281" s="4" t="str">
        <f ca="1">IFERROR(__xludf.DUMMYFUNCTION("GOOGLETRANSLATE(A281, ""auto"", ""bn"")"),"আমেরিকায় আসক্তির কলঙ্ক এবং বোধগম্যতার অভাব খুবই হতাশাজনক। ২০২২ সাল, এবং এখনও অসংখ্য মানুষ বিশ্বাস করে যে আসক্তি একটি ""পছন্দ?"" নাকি একটি ""নৈতিক সমস্যা""। বিজ্ঞান দুই দশকেরও বেশি সময় ধরে আসক্তিকে মস্তিষ্কের রোগ এবং রাসায়নিক ভারসাম্যহীনতা হিসেবে প্রমাণ "&amp;"করেছে। সাধারণ বিশ্বাস হল যে ""মাদকই আসক্তির কারণ?""। এটা ঠিক নয়। মাদক আসক্তির একটি লক্ষণ, কিন্তু কারণ নয়। মাদক প্রবর্তনের অনেক আগেই আসক্তি শুরু হয়। বেশিরভাগ আসক্ত ছোটবেলা থেকেই ডোপামিন এবং সেরোটোনিনের (যৌন, খাবার, ভিডিও গেম, ব্যায়াম) কোন না কোন ধরণের ত"&amp;"াড়না খুঁজছেন। তাহলে কেন সাধারণ মানুষ পরিমিত পরিমাণে পান করতে পারে বা বছরে একবার কোক পান করে আবার এটি নিয়ে ভাবতে পারে না, যখন আসক্তরা তাদের জীবন নষ্ট করে? রাসায়নিক ভারসাম্যহীনতা এবং মস্তিষ্কের রোগের কারণে একজন আসক্ত আনন্দের সাথে মোকাবিলা করে। ৯/১০ আসক্ত "&amp;"ব্যক্তি স্ব-ঔষধ সেবন করে। দিনের শেষে, আপনার শরীরে মাদক প্রবেশ করানো বেছে নেওয়া একটি পছন্দ, হ্যাঁ। কিন্তু")</f>
        <v>আমেরিকায় আসক্তির কলঙ্ক এবং বোধগম্যতার অভাব খুবই হতাশাজনক। ২০২২ সাল, এবং এখনও অসংখ্য মানুষ বিশ্বাস করে যে আসক্তি একটি "পছন্দ?" নাকি একটি "নৈতিক সমস্যা"। বিজ্ঞান দুই দশকেরও বেশি সময় ধরে আসক্তিকে মস্তিষ্কের রোগ এবং রাসায়নিক ভারসাম্যহীনতা হিসেবে প্রমাণ করেছে। সাধারণ বিশ্বাস হল যে "মাদকই আসক্তির কারণ?"। এটা ঠিক নয়। মাদক আসক্তির একটি লক্ষণ, কিন্তু কারণ নয়। মাদক প্রবর্তনের অনেক আগেই আসক্তি শুরু হয়। বেশিরভাগ আসক্ত ছোটবেলা থেকেই ডোপামিন এবং সেরোটোনিনের (যৌন, খাবার, ভিডিও গেম, ব্যায়াম) কোন না কোন ধরণের তাড়না খুঁজছেন। তাহলে কেন সাধারণ মানুষ পরিমিত পরিমাণে পান করতে পারে বা বছরে একবার কোক পান করে আবার এটি নিয়ে ভাবতে পারে না, যখন আসক্তরা তাদের জীবন নষ্ট করে? রাসায়নিক ভারসাম্যহীনতা এবং মস্তিষ্কের রোগের কারণে একজন আসক্ত আনন্দের সাথে মোকাবিলা করে। ৯/১০ আসক্ত ব্যক্তি স্ব-ঔষধ সেবন করে। দিনের শেষে, আপনার শরীরে মাদক প্রবেশ করানো বেছে নেওয়া একটি পছন্দ, হ্যাঁ। কিন্তু</v>
      </c>
    </row>
    <row r="282" spans="1:3" ht="15" x14ac:dyDescent="0.25">
      <c r="A282" s="3" t="s">
        <v>283</v>
      </c>
      <c r="B282" s="3" t="s">
        <v>4</v>
      </c>
      <c r="C282" s="4" t="str">
        <f ca="1">IFERROR(__xludf.DUMMYFUNCTION("GOOGLETRANSLATE(A282, ""auto"", ""bn"")"),"মাদকাসক্তদের সাথে একটা তীব্র কলঙ্ক জড়িত? বিশেষ করে মেথ আসক্তরা। এই কলঙ্কটা আসলে বাজে কথা। হ্যাঁ, কিছু মাদকাসক্ত আছে? যেমন কিছু মাদকাসক্ত নেই এমন কিছু মাদকাসক্তও আছে। যদি আমাকে একটা শিক্ষিত অনুমান করতে হয়, তাহলে উভয় গ্রুপেই একই রকম হার। আমি মাদকাসক্তদের"&amp;" ব্যাপারে একটু পক্ষপাতদুষ্ট কারণ আমি আমার পরিচিত সেরা কিছু মানুষের সাথে দেখা করেছি যারা দৈনন্দিন মাদকাসক্তও। যদি তারা পৃথিবী সম্পর্কে একটি দৃঢ় দৃষ্টিভঙ্গি, কিছু সহানুভূতি এবং শালীন কাজের নীতি নিয়ে শুরু করে? তাহলে তারা সাধারণত একজন দারুন আসক্ত হয়ে ওঠে। "&amp;"হয়তো এর চেয়েও বেশি কিছু আছে। কিন্তু আমি শুধু জানি যে কিছু মানুষ মাদকাসক্তিতে ভালো করে। তাই, কেন আপনি তাদের গল্প সম্পর্কে শুনতে পান না? তাদের বলার মতো ভৌতিক গল্প নেই। তারা অনলাইনে সংযততা অর্জনের জন্য সাহায্যের জন্য আবেদন করে না (যদি থাকে তবে কোনও বিচার ন"&amp;"েই)। তারা N/A মিটিংয়ে যায় না। তাছাড়া, তাদের দীর্ঘ হৃদয়গ্রাহী পোস্ট নেই যে ত্যাগ করা এবং সংযততা বজায় রাখা কতটা কঠিন।")</f>
        <v>মাদকাসক্তদের সাথে একটা তীব্র কলঙ্ক জড়িত? বিশেষ করে মেথ আসক্তরা। এই কলঙ্কটা আসলে বাজে কথা। হ্যাঁ, কিছু মাদকাসক্ত আছে? যেমন কিছু মাদকাসক্ত নেই এমন কিছু মাদকাসক্তও আছে। যদি আমাকে একটা শিক্ষিত অনুমান করতে হয়, তাহলে উভয় গ্রুপেই একই রকম হার। আমি মাদকাসক্তদের ব্যাপারে একটু পক্ষপাতদুষ্ট কারণ আমি আমার পরিচিত সেরা কিছু মানুষের সাথে দেখা করেছি যারা দৈনন্দিন মাদকাসক্তও। যদি তারা পৃথিবী সম্পর্কে একটি দৃঢ় দৃষ্টিভঙ্গি, কিছু সহানুভূতি এবং শালীন কাজের নীতি নিয়ে শুরু করে? তাহলে তারা সাধারণত একজন দারুন আসক্ত হয়ে ওঠে। হয়তো এর চেয়েও বেশি কিছু আছে। কিন্তু আমি শুধু জানি যে কিছু মানুষ মাদকাসক্তিতে ভালো করে। তাই, কেন আপনি তাদের গল্প সম্পর্কে শুনতে পান না? তাদের বলার মতো ভৌতিক গল্প নেই। তারা অনলাইনে সংযততা অর্জনের জন্য সাহায্যের জন্য আবেদন করে না (যদি থাকে তবে কোনও বিচার নেই)। তারা N/A মিটিংয়ে যায় না। তাছাড়া, তাদের দীর্ঘ হৃদয়গ্রাহী পোস্ট নেই যে ত্যাগ করা এবং সংযততা বজায় রাখা কতটা কঠিন।</v>
      </c>
    </row>
    <row r="283" spans="1:3" ht="15" x14ac:dyDescent="0.25">
      <c r="A283" s="3" t="s">
        <v>284</v>
      </c>
      <c r="B283" s="3" t="s">
        <v>4</v>
      </c>
      <c r="C283" s="4" t="str">
        <f ca="1">IFERROR(__xludf.DUMMYFUNCTION("GOOGLETRANSLATE(A283, ""auto"", ""bn"")"),"শুরুতেই বলি, গত বছর আমি মাদকমুক্ত হয়েছি এবং ৯ মাস ১৭ দিন ধরে আমি সুস্থ আছি। আমি মাদক ত্যাগ করেছি, যেমন বৈধ আসক্তি, মারাত্মক ক্ষতিকারক ওষুধ, কিন্তু আমি ভ্যাপিং ছাড়তে পারছি না। রুলিং হলো একমাত্র খারাপ আসক্তি যা আমি ছেড়ে দিয়েছি, এবং আমি ভেবেছিলাম যে আমি "&amp;"দীর্ঘদিন ধরেই এই অভ্যাস ত্যাগ করার জন্য যথেষ্ট শান্ত ছিলাম এবং সর্বোপরি, আমি এমপিএইচ ড্রাগ ছেড়ে দেব, তাহলে একটু আলপাইন বেরি জুল পড আমার উপর কী প্রভাব ফেলেছে? আমি যা ভেবেছিলাম তার চেয়ে অনেক বেশি খারাপ। এটা কিছুটা দুঃখজনক যখন আমি জোরে বলি, আমি ৯ দিন ফ্রি "&amp;"ছিলাম এবং পরে আমি আরেকটি প্যাক কিনেছিলাম। প্রত্যাহারগুলিও তেমন খারাপ ছিল না (অতিরিক্ত খাওয়ার ফলে আমার ওজন কিছুটা বেড়েছে কিন্তু তা কিছুই নয়) তাহলে আমি কেন ফিরে গেলাম? এবং আমি এটি গোপনে করছি, যেন আমার প্রিয়জনদের কাছ থেকে লুকিয়ে রেখেছি কারণ আমি তাদের বল"&amp;"েছিলাম যে আমি ছেড়ে দিয়েছি, এবং তারা সকলেই অত্যন্ত সহায়ক হচ্ছে এবং প্রথম সপ্তাহের জন্য আমার বিরক্তি সহ্য করছে, কিন্তু এখন আমি আমার ঘরে একা ভ্যাপিং করছি যেমন আমি এক বছর আগে করতাম। এটা এতটাই অলস যে আমি বিশ্বাস করতে পারছি না যে আমার ছোট্ট বোকা NIC স্টিকটি "&amp;"আমাকে এতটা আঁকড়ে ধরেছে যখন আমি আক্ষরিক অর্থেই একটা মাদকাসক্তিকে ধ্বংস করে দিয়েছিলাম।")</f>
        <v>শুরুতেই বলি, গত বছর আমি মাদকমুক্ত হয়েছি এবং ৯ মাস ১৭ দিন ধরে আমি সুস্থ আছি। আমি মাদক ত্যাগ করেছি, যেমন বৈধ আসক্তি, মারাত্মক ক্ষতিকারক ওষুধ, কিন্তু আমি ভ্যাপিং ছাড়তে পারছি না। রুলিং হলো একমাত্র খারাপ আসক্তি যা আমি ছেড়ে দিয়েছি, এবং আমি ভেবেছিলাম যে আমি দীর্ঘদিন ধরেই এই অভ্যাস ত্যাগ করার জন্য যথেষ্ট শান্ত ছিলাম এবং সর্বোপরি, আমি এমপিএইচ ড্রাগ ছেড়ে দেব, তাহলে একটু আলপাইন বেরি জুল পড আমার উপর কী প্রভাব ফেলেছে? আমি যা ভেবেছিলাম তার চেয়ে অনেক বেশি খারাপ। এটা কিছুটা দুঃখজনক যখন আমি জোরে বলি, আমি ৯ দিন ফ্রি ছিলাম এবং পরে আমি আরেকটি প্যাক কিনেছিলাম। প্রত্যাহারগুলিও তেমন খারাপ ছিল না (অতিরিক্ত খাওয়ার ফলে আমার ওজন কিছুটা বেড়েছে কিন্তু তা কিছুই নয়) তাহলে আমি কেন ফিরে গেলাম? এবং আমি এটি গোপনে করছি, যেন আমার প্রিয়জনদের কাছ থেকে লুকিয়ে রেখেছি কারণ আমি তাদের বলেছিলাম যে আমি ছেড়ে দিয়েছি, এবং তারা সকলেই অত্যন্ত সহায়ক হচ্ছে এবং প্রথম সপ্তাহের জন্য আমার বিরক্তি সহ্য করছে, কিন্তু এখন আমি আমার ঘরে একা ভ্যাপিং করছি যেমন আমি এক বছর আগে করতাম। এটা এতটাই অলস যে আমি বিশ্বাস করতে পারছি না যে আমার ছোট্ট বোকা NIC স্টিকটি আমাকে এতটা আঁকড়ে ধরেছে যখন আমি আক্ষরিক অর্থেই একটা মাদকাসক্তিকে ধ্বংস করে দিয়েছিলাম।</v>
      </c>
    </row>
    <row r="284" spans="1:3" ht="15" x14ac:dyDescent="0.25">
      <c r="A284" s="3" t="s">
        <v>285</v>
      </c>
      <c r="B284" s="3" t="s">
        <v>4</v>
      </c>
      <c r="C284" s="4" t="str">
        <f ca="1">IFERROR(__xludf.DUMMYFUNCTION("GOOGLETRANSLATE(A284, ""auto"", ""bn"")"),"আমি ২০ বছর বয়সী একজন মেয়ে এবং প্রায় দেড় বছর ধরে আমি প্রতি রাতে মাতাল। ঘুম থেকে ওঠার পর আমার মদ্যপানের প্রয়োজন হয় এবং প্রতিদিন দুপুর ১-২টার দিকে আমি তা করি। তাছাড়া, এই সময়ে আমার রুমমেটদের সাথে মদ্যপান করতে আমার লজ্জা লাগে। তাছাড়া, আমি জানি না যে আমার বয়"&amp;"সের জন্য এটা স্বাভাবিক কিনা। তাছাড়া, আমি এতটাও অজ্ঞাত বোধ করছি না যে আমার পরিবারকে জানানো উচিত। আমি কি বিভ্রান্ত?")</f>
        <v>আমি ২০ বছর বয়সী একজন মেয়ে এবং প্রায় দেড় বছর ধরে আমি প্রতি রাতে মাতাল। ঘুম থেকে ওঠার পর আমার মদ্যপানের প্রয়োজন হয় এবং প্রতিদিন দুপুর ১-২টার দিকে আমি তা করি। তাছাড়া, এই সময়ে আমার রুমমেটদের সাথে মদ্যপান করতে আমার লজ্জা লাগে। তাছাড়া, আমি জানি না যে আমার বয়সের জন্য এটা স্বাভাবিক কিনা। তাছাড়া, আমি এতটাও অজ্ঞাত বোধ করছি না যে আমার পরিবারকে জানানো উচিত। আমি কি বিভ্রান্ত?</v>
      </c>
    </row>
    <row r="285" spans="1:3" ht="15" x14ac:dyDescent="0.25">
      <c r="A285" s="3" t="s">
        <v>286</v>
      </c>
      <c r="B285" s="3" t="s">
        <v>4</v>
      </c>
      <c r="C285" s="4" t="str">
        <f ca="1">IFERROR(__xludf.DUMMYFUNCTION("GOOGLETRANSLATE(A285, ""auto"", ""bn"")"),"গত ৩-৪ বছর ধরে আমার ঘুমের সমস্যা হচ্ছে, তাই প্রথম বছর থেকেই আমি রাতে বেনাড্রিল বা টাইলেনল পিএম খাওয়া শুরু করি। তারপর মাঝে মাঝে ডাইফেনহাইড্রামিনযুক্ত ওষুধ খাওয়ার পর অ্যালকোহল পান করি, যাতে আমার ঘুমের তীব্রতা কমে যায়। তারপর ২ বছর পর আমি একটি মেডিকেল মারি"&amp;"জুয়ানা কার্ড পেয়েছিলাম, ভেবেছিলাম ঘুমের জন্য প্রথম দুটি পদ্ধতি ব্যবহার বন্ধ করে ঘুমের জন্য আগাছা ব্যবহার করতে পারি। কিন্তু কয়েক মাস ধরে আগাছা ধূমপান করার পর এটি তিনটি জিনিসের সংমিশ্রণে পরিণত হয়। কিছু রাতে কেবল ডাইফেনহাইড্রামিন এবং আগাছা থাকে, এবং আমি "&amp;"কয়েক সপ্তাহের জন্য মদ্যপান বন্ধ করার জন্য যথাসাধ্য চেষ্টা করি। এবং অন্য রাতে আমি মদ্যপান করি এবং ধূমপান করি এবং ডাইফেনহাইড্রামিন গ্রহণ করি না। কিছু রাতে আমি তিনটিই গ্রহণ করি। আমি নিশ্চিত নই কিভাবে সাহায্য পাব কারণ আমার পরিবারকে বলা কঠিন। কোন পরামর্শ?")</f>
        <v>গত ৩-৪ বছর ধরে আমার ঘুমের সমস্যা হচ্ছে, তাই প্রথম বছর থেকেই আমি রাতে বেনাড্রিল বা টাইলেনল পিএম খাওয়া শুরু করি। তারপর মাঝে মাঝে ডাইফেনহাইড্রামিনযুক্ত ওষুধ খাওয়ার পর অ্যালকোহল পান করি, যাতে আমার ঘুমের তীব্রতা কমে যায়। তারপর ২ বছর পর আমি একটি মেডিকেল মারিজুয়ানা কার্ড পেয়েছিলাম, ভেবেছিলাম ঘুমের জন্য প্রথম দুটি পদ্ধতি ব্যবহার বন্ধ করে ঘুমের জন্য আগাছা ব্যবহার করতে পারি। কিন্তু কয়েক মাস ধরে আগাছা ধূমপান করার পর এটি তিনটি জিনিসের সংমিশ্রণে পরিণত হয়। কিছু রাতে কেবল ডাইফেনহাইড্রামিন এবং আগাছা থাকে, এবং আমি কয়েক সপ্তাহের জন্য মদ্যপান বন্ধ করার জন্য যথাসাধ্য চেষ্টা করি। এবং অন্য রাতে আমি মদ্যপান করি এবং ধূমপান করি এবং ডাইফেনহাইড্রামিন গ্রহণ করি না। কিছু রাতে আমি তিনটিই গ্রহণ করি। আমি নিশ্চিত নই কিভাবে সাহায্য পাব কারণ আমার পরিবারকে বলা কঠিন। কোন পরামর্শ?</v>
      </c>
    </row>
    <row r="286" spans="1:3" ht="15" x14ac:dyDescent="0.25">
      <c r="A286" s="3" t="s">
        <v>287</v>
      </c>
      <c r="B286" s="3" t="s">
        <v>4</v>
      </c>
      <c r="C286" s="4" t="str">
        <f ca="1">IFERROR(__xludf.DUMMYFUNCTION("GOOGLETRANSLATE(A286, ""auto"", ""bn"")"),"আমি ২২ বছর বয়সী একজন পুরুষ এবং আমার ওজন ১৪০ পাউন্ড। আমি ৩ ঘন্টা ধরে ১৫০ মিলিগ্রাম অক্সিকোডোন খেয়েছি। আমি ঠিক হয়ে যাব? এটা আমার প্রথমবার ছিল যখন আমি কোনও সহনশীলতা অনুভব করছিলাম না।")</f>
        <v>আমি ২২ বছর বয়সী একজন পুরুষ এবং আমার ওজন ১৪০ পাউন্ড। আমি ৩ ঘন্টা ধরে ১৫০ মিলিগ্রাম অক্সিকোডোন খেয়েছি। আমি ঠিক হয়ে যাব? এটা আমার প্রথমবার ছিল যখন আমি কোনও সহনশীলতা অনুভব করছিলাম না।</v>
      </c>
    </row>
    <row r="287" spans="1:3" ht="15" x14ac:dyDescent="0.25">
      <c r="A287" s="3" t="s">
        <v>288</v>
      </c>
      <c r="B287" s="3" t="s">
        <v>4</v>
      </c>
      <c r="C287" s="4" t="str">
        <f ca="1">IFERROR(__xludf.DUMMYFUNCTION("GOOGLETRANSLATE(A287, ""auto"", ""bn"")"),"বিশ্বজুড়ে অসংখ্য মানুষ ধূমপান করে অথবা হেরোইন গ্রহণ করে। যদিও কেউ কেউ তাদের শিরায় একই ইনজেকশন দেয় যা অবশেষে এই অবৈধ মাদক গ্রহণের জন্য আরও বিপজ্জনক উপায়! সত্যি বলতে, আপনি নাক ডাকুন, ধূমপান করুন বা ইনজেকশন করুন না কেন, হেরোইন দ্রুত আপনার স্নায়ুতন্ত্রে "&amp;"প্রবেশ করতে পারে। এ ছাড়া, এটি অতিরিক্ত মাত্রায় গ্রহণ করা সহজ এবং আপনি একবার বা দুবার এটি ব্যবহার করেছেন কিনা তার উপর নির্ভরশীল হয়ে পড়ে। হেরোইন অবৈধ হওয়ার অনেক কারণ রয়েছে। হেরোইন আপনার শরীরকে ব্যথা অনুভব করা থেকে অসাড় করে দেয়, এটি আপনার হৃদস্পন্দন "&amp;"কমিয়ে দেয় এবং অপব্যবহার করলে কার্ডিয়াক অ্যারেস্ট হওয়ার সম্ভাবনা থাকে। আজকাল, প্রচুর প্রাপ্তবয়স্করা উদ্বেগ আক্রমণ, মানসিক চাপ এবং আনন্দের মতো আরও অনেক কিছু থেকে মুক্তি পেতে হেরোইন ব্যবহার শুরু করেছেন। কেন হেরোইনের ব্যবহার দিন দিন দ্বিগুণ হচ্ছে?")</f>
        <v>বিশ্বজুড়ে অসংখ্য মানুষ ধূমপান করে অথবা হেরোইন গ্রহণ করে। যদিও কেউ কেউ তাদের শিরায় একই ইনজেকশন দেয় যা অবশেষে এই অবৈধ মাদক গ্রহণের জন্য আরও বিপজ্জনক উপায়! সত্যি বলতে, আপনি নাক ডাকুন, ধূমপান করুন বা ইনজেকশন করুন না কেন, হেরোইন দ্রুত আপনার স্নায়ুতন্ত্রে প্রবেশ করতে পারে। এ ছাড়া, এটি অতিরিক্ত মাত্রায় গ্রহণ করা সহজ এবং আপনি একবার বা দুবার এটি ব্যবহার করেছেন কিনা তার উপর নির্ভরশীল হয়ে পড়ে। হেরোইন অবৈধ হওয়ার অনেক কারণ রয়েছে। হেরোইন আপনার শরীরকে ব্যথা অনুভব করা থেকে অসাড় করে দেয়, এটি আপনার হৃদস্পন্দন কমিয়ে দেয় এবং অপব্যবহার করলে কার্ডিয়াক অ্যারেস্ট হওয়ার সম্ভাবনা থাকে। আজকাল, প্রচুর প্রাপ্তবয়স্করা উদ্বেগ আক্রমণ, মানসিক চাপ এবং আনন্দের মতো আরও অনেক কিছু থেকে মুক্তি পেতে হেরোইন ব্যবহার শুরু করেছেন। কেন হেরোইনের ব্যবহার দিন দিন দ্বিগুণ হচ্ছে?</v>
      </c>
    </row>
    <row r="288" spans="1:3" ht="15" x14ac:dyDescent="0.25">
      <c r="A288" s="3" t="s">
        <v>289</v>
      </c>
      <c r="B288" s="3" t="s">
        <v>4</v>
      </c>
      <c r="C288" s="4" t="str">
        <f ca="1">IFERROR(__xludf.DUMMYFUNCTION("GOOGLETRANSLATE(A288, ""auto"", ""bn"")"),"আমার কাউকে বলা দরকার। ছোটবেলায় আমি এটা কয়েকবার ব্যবহার করেছিলাম এবং এতে জড়িত হইনি। তাছাড়া, সম্প্রতি আমি অনেক ছেলের সাথে সম্পর্ক শুরু করেছি এবং শেষ পর্যন্ত তাদের দুজনের সাথে PNP করেছি। তাছাড়া, আমি ভেবেছিলাম মাসে একবার এটা করবো, আর অক্টোবর, নভেম্বর এবং জা"&amp;"নুয়ারিতেও তাই হয়েছিল। গত সপ্তাহে আমি ৩ গ্রাম কিনেছিলাম, একটা আমার জন্য, দুটো আমার বন্ধুর জন্য। আমি খুব দ্রুত বুঝতে পেরেছিলাম যে এটার উপর আমার কোনও নিয়ন্ত্রণ নেই যখন কয়েকটা সন্ধ্যায় সব শেষ হয়ে গেল, শুধু আমার। আমি হয়তো আমার বাসাটা এলোমেলো করে ফেলেছিলাম এবং"&amp;" আমার দাঁতের চামড়ার কারণে কর্মক্ষেত্রে সমস্যা এড়িয়ে গিয়েছিলাম। আমি ভেঙে পড়েছি এবং বুঝতে পেরেছি যে এটা আমাকে কত দ্রুত ধ্বংস করে দিতে পারে। তাছাড়া, আমি আমার ডিলারের নম্বর মুছে ফেলেছি এবং সে যদি আমার সাথে যোগাযোগ করে তাহলে তাকে উপেক্ষা করার ইচ্ছা পোষণ করেছ"&amp;"ি। আমার জন্য মেথের ক্ষতির কোনও হ্রাস নেই, কেবল উচ্চ উচ্চতা থেকে সম্ভাব্য পতন। জীবনের এই মুহূর্ত পর্যন্ত আমার আসক্তিকর আচরণের সমস্যা এড়িয়ে যেতে পেরে আমি ভাগ্যবান - আমার বয়স ৪৪ বছর। জীবনের এই মুহুর্তে আমি নিজেকে ব্যর্থ মনে করছি, কিন্তু আমি এখন থেকে মেথের অ"&amp;"বসরের দিন গুনছি। এভাবেই দ্বিতীয় দিন।")</f>
        <v>আমার কাউকে বলা দরকার। ছোটবেলায় আমি এটা কয়েকবার ব্যবহার করেছিলাম এবং এতে জড়িত হইনি। তাছাড়া, সম্প্রতি আমি অনেক ছেলের সাথে সম্পর্ক শুরু করেছি এবং শেষ পর্যন্ত তাদের দুজনের সাথে PNP করেছি। তাছাড়া, আমি ভেবেছিলাম মাসে একবার এটা করবো, আর অক্টোবর, নভেম্বর এবং জানুয়ারিতেও তাই হয়েছিল। গত সপ্তাহে আমি ৩ গ্রাম কিনেছিলাম, একটা আমার জন্য, দুটো আমার বন্ধুর জন্য। আমি খুব দ্রুত বুঝতে পেরেছিলাম যে এটার উপর আমার কোনও নিয়ন্ত্রণ নেই যখন কয়েকটা সন্ধ্যায় সব শেষ হয়ে গেল, শুধু আমার। আমি হয়তো আমার বাসাটা এলোমেলো করে ফেলেছিলাম এবং আমার দাঁতের চামড়ার কারণে কর্মক্ষেত্রে সমস্যা এড়িয়ে গিয়েছিলাম। আমি ভেঙে পড়েছি এবং বুঝতে পেরেছি যে এটা আমাকে কত দ্রুত ধ্বংস করে দিতে পারে। তাছাড়া, আমি আমার ডিলারের নম্বর মুছে ফেলেছি এবং সে যদি আমার সাথে যোগাযোগ করে তাহলে তাকে উপেক্ষা করার ইচ্ছা পোষণ করেছি। আমার জন্য মেথের ক্ষতির কোনও হ্রাস নেই, কেবল উচ্চ উচ্চতা থেকে সম্ভাব্য পতন। জীবনের এই মুহূর্ত পর্যন্ত আমার আসক্তিকর আচরণের সমস্যা এড়িয়ে যেতে পেরে আমি ভাগ্যবান - আমার বয়স ৪৪ বছর। জীবনের এই মুহুর্তে আমি নিজেকে ব্যর্থ মনে করছি, কিন্তু আমি এখন থেকে মেথের অবসরের দিন গুনছি। এভাবেই দ্বিতীয় দিন।</v>
      </c>
    </row>
    <row r="289" spans="1:3" ht="15" x14ac:dyDescent="0.25">
      <c r="A289" s="3" t="s">
        <v>290</v>
      </c>
      <c r="B289" s="3" t="s">
        <v>4</v>
      </c>
      <c r="C289" s="4" t="str">
        <f ca="1">IFERROR(__xludf.DUMMYFUNCTION("GOOGLETRANSLATE(A289, ""auto"", ""bn"")"),"যখন ব্যথা অসহ্য হয়ে ওঠে, তখন কিছু ডাক্তার ভিকোডিন লিখে দেন। এটি একটি প্রেসক্রিপশন ব্যথানাশক যা মাঝারি বা তীব্র ব্যথায় আক্রান্ত রোগীদের উপশম করার জন্য তৈরি করা হয়। এটি ওপিওয়েড ব্যথানাশক এবং নন-ওপিওয়েড ব্যথানাশক দিয়ে তৈরি। অন্য কথায়, এতে হাইড্রোকোডোন"&amp;" এবং অ্যাসিটামিনোফেন রয়েছে। ভিকোডিনে উপস্থিত হাইড্রোকোডোন হল একটি সিন্থেটিক ওপিওড, যা হেরোইনের মতো একই নিউরোট্রান্সমিটারকে সক্রিয় করে। ভিকোডিন ট্যাবলেট হাইড্রোকোডোনের তিনটি ভিন্ন মাত্রায় পাওয়া যায় - 5 মিলিগ্রাম, 7.5 মিলিগ্রাম এবং 10 মিলিগ্রাম। প্রতিট"&amp;"ি ভিকোডিন ট্যাবলেটে 300 মিলিগ্রাম থেকে 325 মিলিগ্রাম অ্যাসিটামিনোফেন থাকে। সাধারণত, এটি প্রতি 4-5 ঘন্টা পর পর একটি ট্যাবলেট খাওয়ার জন্য নির্ধারিত হয়। দীর্ঘ সময় ধরে গ্রহণ করলে, এটি অভ্যাস গঠনের প্রভাব ফেলতে পারে। ভিকোডিনের আসক্তি কী? ২০১৪ সালের অক্টোবরে"&amp;" তফসিল III থেকে বাদ দেওয়ার পর ড্রাগ এনফোর্সমেন্ট এজেন্সি (DEA) অনুসারে ভিকোডিন বর্তমানে একটি তফসিল II নিয়ন্ত্রিত পদার্থ হিসেবে চিহ্নিত। যেহেতু ভিকোডিনের অতিরিক্ত সম্ভাবনা এত বেশি ছিল, তাই জালিয়াতি রোধ করতে এবং এর প্রতি আসক্ত হতে পারে এমন নাগরিকদের নিরাপ"&amp;"ত্তা নিশ্চিত করার জন্য DEA বিধিনিষেধ আরও কঠোর করে। ভিকোডিনের আসক্তির মধ্যে প্রেসক্রিপশন ছাড়াই সকল ধরণের ব্যবহার অন্তর্ভুক্ত। ভিকোডিনের আসক্তির একটি ফলাফল হল লিভারের ক্ষতি বা ব্যর্থতা। লিভারের ক্ষতির গুরুতর ক্ষেত্রে, একদিনে 4000 মিলিগ্রাম বা তার বেশি ভিকো"&amp;"ডিন বা অ্যাসিটামিনোফেনের ডোজ অন্তর্ভুক্ত থাকে। ভিকোডিন আসক্তির প্রভাব প্রতিটি আসক্তিকর পদার্থের পার্শ্বপ্রতিক্রিয়া থাকে, তাই ভিকোডিনেরও পার্শ্বপ্রতিক্রিয়া থাকে। এর সবচেয়ে সাধারণ পার্শ্বপ্রতিক্রিয়া হল লিভারের ক্ষতি। ভিকোডিনের অন্যান্য পার্শ্বপ্রতিক্রিয"&amp;"়াগুলির মধ্যে রয়েছে: তন্দ্রা মাথা ঘোরা আরামদায়ক এবং শান্ত অনুভূতি হালকা মাথা ঘোরা কোষ্ঠকাঠিন্য শ্বাস-প্রশ্বাসের হার হ্রাস হৃদস্পন্দন ব্যথা এবং খিঁচুনি বমি বমি ভাব বমি পেশী ব্যথা হতাশা ভিকোডিনের আসক্তির লক্ষণ বেশিরভাগ সময় ভিকোডিনের আসক্তি শনাক্ত করা কঠি"&amp;"ন। কারণ বেশিরভাগ মানুষ বুঝতে পারে না যে তারা এর উপর নির্ভরশীল হয়ে পড়ছে। তারা বুঝতে পারে কখন তারা এটি গ্রহণ বন্ধ করে দেয়। পদার্থ ব্যবহারের ব্যাধি নির্ণয়ের জন্য, ডায়াগনস্টিক অ্যান্ড স্ট্যাটিস্টিক্যাল ম্যানুয়াল অফ মেন্টাল ডিসঅর্ডার (MSM-5) কিছু মানদণ্ড"&amp;"ের রূপরেখা দেয়। রোগ নির্ণয়ের জন্য, একজন ব্যক্তির 12 মাসের মধ্যে সংশ্লিষ্ট মানদণ্ডের দুটি বা তার বেশি পূরণ করতে হবে। যখন একজন রোগী দুটি বা তিনটি মানদণ্ড পূরণ করে, তখন তার হালকা পদার্থ ব্যবহারের ব্যাধি হতে পারে। অন্যদিকে, চার থেকে পাঁচটি মানদণ্ড পূরণ করাক"&amp;"ে মাঝারি এবং ছয় বা তার বেশি মানদণ্ডকে গুরুতর পদার্থ ব্যবহারের ব্যাধি হিসাবে বিবেচনা করা হয়। ভিকোডিন আসক্তির কিছু লক্ষণ নিচে উল্লেখ করা হল: A ভিকোডিন বেশি পরিমাণে বা নির্ধারিত সময়ের চেয়ে বেশি সময় ধরে গ্রহণ করা A ডোজ কমাতে চান কিন্তু পরিচালনা করতে অক্ষ"&amp;"ম A ভিকোডিন পেতে, ব্যবহার করতে বা সেরে উঠতে বেশি সময় নিচ্ছে A ভিকোডিন ব্যবহারের তীব্র তাড়না A কাজ, বাড়ি বা স্কুলে মনোনিবেশ করতে অক্ষম। A গুরুত্বপূর্ণ পেশাগত, সামাজিক বা অবসর কার্যকলাপে ত্যাগ করা A প্রত্যাহারের লক্ষণগুলির বিকাশ ভিকোডিন আসক্তির চিকিৎসা স"&amp;"বচেয়ে কার্যকর চিকিৎসা শুধুমাত্র পেশাদারদের দ্বারা প্রদান করা যেতে পারে। ভিকোডিন আসক্তির চিকিৎসায় থেরাপি এবং এমন পরিবেশে সহায়তা অন্তর্ভুক্ত থাকে যা বিশেষভাবে পুনরুদ্ধারের জন্য তৈরি করা হয়েছে। রোগীরা যখন সহায়তা গোষ্ঠীতে যোগদান করে এবং মাদকমুক্ত জীবন কী"&amp;"ভাবে বজায় রাখা যায় সে সম্পর্কে অন্যদের গল্প থেকে শেখে তখন এটি আরও কার্যকর হয়ে ওঠে। একজন বিশেষজ্ঞের তত্ত্বাবধান তাদের নির্দেশনা এবং তত্ত্বাবধান ছাড়াই রোগীদের তুলনায় দ্রুত সেরে উঠতে সাহায্য করে। যদি আপনার কোন নিকটাত্মীয় বা বন্ধু থাকে যিনি ভিকোডিন আসক্"&amp;"তির সাথে মোকাবিলা করছেন, তাহলে আপনি পেশাদার সাহায্য নিয়ে তাদের জীবন বাঁচাতে পারেন।")</f>
        <v>যখন ব্যথা অসহ্য হয়ে ওঠে, তখন কিছু ডাক্তার ভিকোডিন লিখে দেন। এটি একটি প্রেসক্রিপশন ব্যথানাশক যা মাঝারি বা তীব্র ব্যথায় আক্রান্ত রোগীদের উপশম করার জন্য তৈরি করা হয়। এটি ওপিওয়েড ব্যথানাশক এবং নন-ওপিওয়েড ব্যথানাশক দিয়ে তৈরি। অন্য কথায়, এতে হাইড্রোকোডোন এবং অ্যাসিটামিনোফেন রয়েছে। ভিকোডিনে উপস্থিত হাইড্রোকোডোন হল একটি সিন্থেটিক ওপিওড, যা হেরোইনের মতো একই নিউরোট্রান্সমিটারকে সক্রিয় করে। ভিকোডিন ট্যাবলেট হাইড্রোকোডোনের তিনটি ভিন্ন মাত্রায় পাওয়া যায় - 5 মিলিগ্রাম, 7.5 মিলিগ্রাম এবং 10 মিলিগ্রাম। প্রতিটি ভিকোডিন ট্যাবলেটে 300 মিলিগ্রাম থেকে 325 মিলিগ্রাম অ্যাসিটামিনোফেন থাকে। সাধারণত, এটি প্রতি 4-5 ঘন্টা পর পর একটি ট্যাবলেট খাওয়ার জন্য নির্ধারিত হয়। দীর্ঘ সময় ধরে গ্রহণ করলে, এটি অভ্যাস গঠনের প্রভাব ফেলতে পারে। ভিকোডিনের আসক্তি কী? ২০১৪ সালের অক্টোবরে তফসিল III থেকে বাদ দেওয়ার পর ড্রাগ এনফোর্সমেন্ট এজেন্সি (DEA) অনুসারে ভিকোডিন বর্তমানে একটি তফসিল II নিয়ন্ত্রিত পদার্থ হিসেবে চিহ্নিত। যেহেতু ভিকোডিনের অতিরিক্ত সম্ভাবনা এত বেশি ছিল, তাই জালিয়াতি রোধ করতে এবং এর প্রতি আসক্ত হতে পারে এমন নাগরিকদের নিরাপত্তা নিশ্চিত করার জন্য DEA বিধিনিষেধ আরও কঠোর করে। ভিকোডিনের আসক্তির মধ্যে প্রেসক্রিপশন ছাড়াই সকল ধরণের ব্যবহার অন্তর্ভুক্ত। ভিকোডিনের আসক্তির একটি ফলাফল হল লিভারের ক্ষতি বা ব্যর্থতা। লিভারের ক্ষতির গুরুতর ক্ষেত্রে, একদিনে 4000 মিলিগ্রাম বা তার বেশি ভিকোডিন বা অ্যাসিটামিনোফেনের ডোজ অন্তর্ভুক্ত থাকে। ভিকোডিন আসক্তির প্রভাব প্রতিটি আসক্তিকর পদার্থের পার্শ্বপ্রতিক্রিয়া থাকে, তাই ভিকোডিনেরও পার্শ্বপ্রতিক্রিয়া থাকে। এর সবচেয়ে সাধারণ পার্শ্বপ্রতিক্রিয়া হল লিভারের ক্ষতি। ভিকোডিনের অন্যান্য পার্শ্বপ্রতিক্রিয়াগুলির মধ্যে রয়েছে: তন্দ্রা মাথা ঘোরা আরামদায়ক এবং শান্ত অনুভূতি হালকা মাথা ঘোরা কোষ্ঠকাঠিন্য শ্বাস-প্রশ্বাসের হার হ্রাস হৃদস্পন্দন ব্যথা এবং খিঁচুনি বমি বমি ভাব বমি পেশী ব্যথা হতাশা ভিকোডিনের আসক্তির লক্ষণ বেশিরভাগ সময় ভিকোডিনের আসক্তি শনাক্ত করা কঠিন। কারণ বেশিরভাগ মানুষ বুঝতে পারে না যে তারা এর উপর নির্ভরশীল হয়ে পড়ছে। তারা বুঝতে পারে কখন তারা এটি গ্রহণ বন্ধ করে দেয়। পদার্থ ব্যবহারের ব্যাধি নির্ণয়ের জন্য, ডায়াগনস্টিক অ্যান্ড স্ট্যাটিস্টিক্যাল ম্যানুয়াল অফ মেন্টাল ডিসঅর্ডার (MSM-5) কিছু মানদণ্ডের রূপরেখা দেয়। রোগ নির্ণয়ের জন্য, একজন ব্যক্তির 12 মাসের মধ্যে সংশ্লিষ্ট মানদণ্ডের দুটি বা তার বেশি পূরণ করতে হবে। যখন একজন রোগী দুটি বা তিনটি মানদণ্ড পূরণ করে, তখন তার হালকা পদার্থ ব্যবহারের ব্যাধি হতে পারে। অন্যদিকে, চার থেকে পাঁচটি মানদণ্ড পূরণ করাকে মাঝারি এবং ছয় বা তার বেশি মানদণ্ডকে গুরুতর পদার্থ ব্যবহারের ব্যাধি হিসাবে বিবেচনা করা হয়। ভিকোডিন আসক্তির কিছু লক্ষণ নিচে উল্লেখ করা হল: A ভিকোডিন বেশি পরিমাণে বা নির্ধারিত সময়ের চেয়ে বেশি সময় ধরে গ্রহণ করা A ডোজ কমাতে চান কিন্তু পরিচালনা করতে অক্ষম A ভিকোডিন পেতে, ব্যবহার করতে বা সেরে উঠতে বেশি সময় নিচ্ছে A ভিকোডিন ব্যবহারের তীব্র তাড়না A কাজ, বাড়ি বা স্কুলে মনোনিবেশ করতে অক্ষম। A গুরুত্বপূর্ণ পেশাগত, সামাজিক বা অবসর কার্যকলাপে ত্যাগ করা A প্রত্যাহারের লক্ষণগুলির বিকাশ ভিকোডিন আসক্তির চিকিৎসা সবচেয়ে কার্যকর চিকিৎসা শুধুমাত্র পেশাদারদের দ্বারা প্রদান করা যেতে পারে। ভিকোডিন আসক্তির চিকিৎসায় থেরাপি এবং এমন পরিবেশে সহায়তা অন্তর্ভুক্ত থাকে যা বিশেষভাবে পুনরুদ্ধারের জন্য তৈরি করা হয়েছে। রোগীরা যখন সহায়তা গোষ্ঠীতে যোগদান করে এবং মাদকমুক্ত জীবন কীভাবে বজায় রাখা যায় সে সম্পর্কে অন্যদের গল্প থেকে শেখে তখন এটি আরও কার্যকর হয়ে ওঠে। একজন বিশেষজ্ঞের তত্ত্বাবধান তাদের নির্দেশনা এবং তত্ত্বাবধান ছাড়াই রোগীদের তুলনায় দ্রুত সেরে উঠতে সাহায্য করে। যদি আপনার কোন নিকটাত্মীয় বা বন্ধু থাকে যিনি ভিকোডিন আসক্তির সাথে মোকাবিলা করছেন, তাহলে আপনি পেশাদার সাহায্য নিয়ে তাদের জীবন বাঁচাতে পারেন।</v>
      </c>
    </row>
    <row r="290" spans="1:3" ht="15" x14ac:dyDescent="0.25">
      <c r="A290" s="3" t="s">
        <v>291</v>
      </c>
      <c r="B290" s="3" t="s">
        <v>4</v>
      </c>
      <c r="C290" s="4" t="str">
        <f ca="1">IFERROR(__xludf.DUMMYFUNCTION("GOOGLETRANSLATE(A290, ""auto"", ""bn"")"),"যখন আমি মদ্যপানের কারণে হাসপাতালে যেতে বাধ্য হয়েছিলাম, তখন থেকে এতটা খারাপ অবস্থায় ছিলাম না। আমি জানি না আমার কী সমস্যা এবং কীভাবে এটি ঠিক করব। আমি ৭ মাস ধরে সুস্থ ছিলাম এবং এখন আমি প্রতিদিন এক হ্যান্ডেল পান করতে শুরু করেছি। তাছাড়া, আমি জীবন এবং এর সাথে"&amp;" মোকাবিলা করতে করতে খুব ক্লান্ত বোধ করছি। আমি পরিস্থিতি সম্পর্কে আশাবাদী এবং ইতিবাচক থাকার চেষ্টা করছি, কিন্তু আমার মনে হচ্ছে এ থেকে মুক্তি পাওয়ার আর কোনও উপায় নেই। আমি কি করব বুঝতে পারছি না। আমি পুনর্বাসন, AA, naltrexone, EMDR থেরাপি এবং প্রায় সবকিছুই"&amp;" করেছি যা আমি ভাবতে পারি। আমি সবকিছুর জন্য খুব দোষী বোধ করছি। আমার বাবা-মা অসাধারণ এবং প্রতিটি পদক্ষেপে আমার পাশে ছিলেন এবং আমি মদ্যপানের সাথে সবকিছুই ত্যাগ করছি। আমি কল্পনাও করতে পারছি না যে তারা যদি জানতে পারে যে আমি আবার মদ্যপান করছি তবে তারা কতটা কষ্ট"&amp;" পাবে। রাগ করার জন্য দুঃখিত এবং ব্যাকরণ যদি এত ভালো না হয়। আমি পানীয় সম্পর্কে বেশ গভীরভাবে আগ্রহী আরএন। আমার কিছু চিন্তাভাবনা আমার বুক থেকে বের করে আনতে হয়েছিল।")</f>
        <v>যখন আমি মদ্যপানের কারণে হাসপাতালে যেতে বাধ্য হয়েছিলাম, তখন থেকে এতটা খারাপ অবস্থায় ছিলাম না। আমি জানি না আমার কী সমস্যা এবং কীভাবে এটি ঠিক করব। আমি ৭ মাস ধরে সুস্থ ছিলাম এবং এখন আমি প্রতিদিন এক হ্যান্ডেল পান করতে শুরু করেছি। তাছাড়া, আমি জীবন এবং এর সাথে মোকাবিলা করতে করতে খুব ক্লান্ত বোধ করছি। আমি পরিস্থিতি সম্পর্কে আশাবাদী এবং ইতিবাচক থাকার চেষ্টা করছি, কিন্তু আমার মনে হচ্ছে এ থেকে মুক্তি পাওয়ার আর কোনও উপায় নেই। আমি কি করব বুঝতে পারছি না। আমি পুনর্বাসন, AA, naltrexone, EMDR থেরাপি এবং প্রায় সবকিছুই করেছি যা আমি ভাবতে পারি। আমি সবকিছুর জন্য খুব দোষী বোধ করছি। আমার বাবা-মা অসাধারণ এবং প্রতিটি পদক্ষেপে আমার পাশে ছিলেন এবং আমি মদ্যপানের সাথে সবকিছুই ত্যাগ করছি। আমি কল্পনাও করতে পারছি না যে তারা যদি জানতে পারে যে আমি আবার মদ্যপান করছি তবে তারা কতটা কষ্ট পাবে। রাগ করার জন্য দুঃখিত এবং ব্যাকরণ যদি এত ভালো না হয়। আমি পানীয় সম্পর্কে বেশ গভীরভাবে আগ্রহী আরএন। আমার কিছু চিন্তাভাবনা আমার বুক থেকে বের করে আনতে হয়েছিল।</v>
      </c>
    </row>
    <row r="291" spans="1:3" ht="15" x14ac:dyDescent="0.25">
      <c r="A291" s="3" t="s">
        <v>292</v>
      </c>
      <c r="B291" s="3" t="s">
        <v>4</v>
      </c>
      <c r="C291" s="4" t="str">
        <f ca="1">IFERROR(__xludf.DUMMYFUNCTION("GOOGLETRANSLATE(A291, ""auto"", ""bn"")"),"আমি বেশিরভাগ ক্ষেত্রেই মেথ ক্র্যাকের ওষুধ খাই না কারণ এগুলোর গন্ধ আরও ভালো, কিন্তু আমি থামতে চাই যেন আমি শান্ত থাকতে পারি কিন্তু বেশিক্ষণ নয়, এটা সবসময় আরও বেশি চাওয়ার মানসিকতার মতো মনে হয় এবং আমি এতে ক্লান্ত, তাই আমি ভাবছিলাম যে কেউ কি সাহায্য করতে প"&amp;"ারে বা পুনর্বাসন ছাড়াই এটি করা লোকেদের পরামর্শ দিতে পারে।")</f>
        <v>আমি বেশিরভাগ ক্ষেত্রেই মেথ ক্র্যাকের ওষুধ খাই না কারণ এগুলোর গন্ধ আরও ভালো, কিন্তু আমি থামতে চাই যেন আমি শান্ত থাকতে পারি কিন্তু বেশিক্ষণ নয়, এটা সবসময় আরও বেশি চাওয়ার মানসিকতার মতো মনে হয় এবং আমি এতে ক্লান্ত, তাই আমি ভাবছিলাম যে কেউ কি সাহায্য করতে পারে বা পুনর্বাসন ছাড়াই এটি করা লোকেদের পরামর্শ দিতে পারে।</v>
      </c>
    </row>
    <row r="292" spans="1:3" ht="15" x14ac:dyDescent="0.25">
      <c r="A292" s="3" t="s">
        <v>293</v>
      </c>
      <c r="B292" s="3" t="s">
        <v>4</v>
      </c>
      <c r="C292" s="4" t="str">
        <f ca="1">IFERROR(__xludf.DUMMYFUNCTION("GOOGLETRANSLATE(A292, ""auto"", ""bn"")"),"যারা এখন মানসিকভাবে দুর্বল হয়ে পড়েছেন... আপনি কি কখনও বন্ধু হারানোর পর পিছনে ফিরে তাকিয়ে বুঝতে পেরেছেন যে আপনি সেই সময় পরিস্থিতিটি সম্পূর্ণ ভুল বুঝেছিলেন? যদি আপনার দোষ হয়ে থাকে তবে আপনি কি সংশোধন করার চেষ্টা করেছিলেন? আমি এপিফ্যানি সম্পর্কে ভাবছিলাম"&amp;"।")</f>
        <v>যারা এখন মানসিকভাবে দুর্বল হয়ে পড়েছেন... আপনি কি কখনও বন্ধু হারানোর পর পিছনে ফিরে তাকিয়ে বুঝতে পেরেছেন যে আপনি সেই সময় পরিস্থিতিটি সম্পূর্ণ ভুল বুঝেছিলেন? যদি আপনার দোষ হয়ে থাকে তবে আপনি কি সংশোধন করার চেষ্টা করেছিলেন? আমি এপিফ্যানি সম্পর্কে ভাবছিলাম।</v>
      </c>
    </row>
    <row r="293" spans="1:3" ht="15" x14ac:dyDescent="0.25">
      <c r="A293" s="3" t="s">
        <v>294</v>
      </c>
      <c r="B293" s="3" t="s">
        <v>4</v>
      </c>
      <c r="C293" s="4" t="str">
        <f ca="1">IFERROR(__xludf.DUMMYFUNCTION("GOOGLETRANSLATE(A293, ""auto"", ""bn"")"),"আমি ক্রমাগত তাড়াহুড়ো ছাড়া বাঁচতে পারি না, আমার জীবন শূন্য মনে হয়, যদিও আমার দক্ষতা আছে। আমি আমার দক্ষতা দিয়ে অর্থ উপার্জনও করতে পারি, কিন্তু আমি তা করব না কারণ আমার মন অবশ হয়ে যাচ্ছে, যেমন কী, আমিও ডেটিং করছি এবং মন সত্যিই তাদের সমস্ত শক্তি চুষে নিত"&amp;"ে চায়, আমি অভিশপ্ত বোধ করছি।")</f>
        <v>আমি ক্রমাগত তাড়াহুড়ো ছাড়া বাঁচতে পারি না, আমার জীবন শূন্য মনে হয়, যদিও আমার দক্ষতা আছে। আমি আমার দক্ষতা দিয়ে অর্থ উপার্জনও করতে পারি, কিন্তু আমি তা করব না কারণ আমার মন অবশ হয়ে যাচ্ছে, যেমন কী, আমিও ডেটিং করছি এবং মন সত্যিই তাদের সমস্ত শক্তি চুষে নিতে চায়, আমি অভিশপ্ত বোধ করছি।</v>
      </c>
    </row>
    <row r="294" spans="1:3" ht="15" x14ac:dyDescent="0.25">
      <c r="A294" s="3" t="s">
        <v>295</v>
      </c>
      <c r="B294" s="3" t="s">
        <v>4</v>
      </c>
      <c r="C294" s="4" t="str">
        <f ca="1">IFERROR(__xludf.DUMMYFUNCTION("GOOGLETRANSLATE(A294, ""auto"", ""bn"")"),"তো আমি বেশ কয়েক মাস ধরে এই ভালো ভবনে বাস করছি। রাতের বেলায় আমি একটা সিগারেট খেতাম, শুধু গাঁজা, আর কিছু না। আমার আশেপাশে অনেক প্রতিবেশী আছে, আর কেউ এর গন্ধ পায় না, আশা করি একজন লোক আছে। তার বয়স চল্লিশের কোঠায় এবং সে আমাকে বেশ কয়েকবার বলেছে যে আমি তাকে র"&amp;"াতে জাগিয়ে রাখি। সে একজন ভালো লোক এবং বলেছে যে সে ম্যানেজারকে বলবে না, কারণ আমাদের ভবনটি ধূমপানমুক্ত। এখানে কী করব বুঝতে পারছি না? আমি গাঁজার প্রতি আসক্ত, এবং মাঝে মাঝে কিছু বন্ধুকে আমন্ত্রণ জানাই। শুধু এই লোকটি কেন? আমি আরও বেশ কয়েকজনের সাথে কথা বলেছি এ"&amp;"বং কেউ কিছু বলেনি।")</f>
        <v>তো আমি বেশ কয়েক মাস ধরে এই ভালো ভবনে বাস করছি। রাতের বেলায় আমি একটা সিগারেট খেতাম, শুধু গাঁজা, আর কিছু না। আমার আশেপাশে অনেক প্রতিবেশী আছে, আর কেউ এর গন্ধ পায় না, আশা করি একজন লোক আছে। তার বয়স চল্লিশের কোঠায় এবং সে আমাকে বেশ কয়েকবার বলেছে যে আমি তাকে রাতে জাগিয়ে রাখি। সে একজন ভালো লোক এবং বলেছে যে সে ম্যানেজারকে বলবে না, কারণ আমাদের ভবনটি ধূমপানমুক্ত। এখানে কী করব বুঝতে পারছি না? আমি গাঁজার প্রতি আসক্ত, এবং মাঝে মাঝে কিছু বন্ধুকে আমন্ত্রণ জানাই। শুধু এই লোকটি কেন? আমি আরও বেশ কয়েকজনের সাথে কথা বলেছি এবং কেউ কিছু বলেনি।</v>
      </c>
    </row>
    <row r="295" spans="1:3" ht="15" x14ac:dyDescent="0.25">
      <c r="A295" s="3" t="s">
        <v>296</v>
      </c>
      <c r="B295" s="3" t="s">
        <v>4</v>
      </c>
      <c r="C295" s="4" t="str">
        <f ca="1">IFERROR(__xludf.DUMMYFUNCTION("GOOGLETRANSLATE(A295, ""auto"", ""bn"")"),"আমাকে এই অস্ত্রোপচারটি করতেই হবে। আর আমি জানি না ব্যথানাশক ওষুধ ছাড়া আমি কীভাবে আরোগ্য লাভ করব। এখন আমি নিজেকে ""পুরোপুরি আসক্ত"" বলে মনে করব না। আমার বেঞ্জের সমস্যা ছিল, কিন্তু আমি মূলত তাদের থেরাপিউটিক সুবিধার জন্য এগুলো ব্যবহার করতাম? যাইহোক, আমার এগু"&amp;"লোর প্রতি আসক্তি তৈরি হয়েছিল। এটি বছরের পর বছর ধরে চলছে? এবং আমার মনে হয় আমি আমার জীবনে যেকোনো ধরণের আফিম প্রবেশ করানোর বিষয়ে চিন্তিত। যাইহোক, এটি একটি মোটামুটি বড় অস্ত্রোপচার। এবং আমি নিশ্চিত যে এই ধরণের কোনও ব্যথানাশক প্রেসক্রিপশন করা হবে। আমি আগে হ"&amp;"াইড্রোকোডোন এবং অক্সিকোডোন করেছি, উভয়ই বিনোদনমূলকভাবে (কয়েকবার এবং অতীতের অস্ত্রোপচারের কারণে অতীতে, তবে এখন আমার মনে হয় যেহেতু আমার কিছুটা আসক্তিকর ব্যক্তিত্ব আছে, তাই এটি ভিন্ন হতে পারে।")</f>
        <v>আমাকে এই অস্ত্রোপচারটি করতেই হবে। আর আমি জানি না ব্যথানাশক ওষুধ ছাড়া আমি কীভাবে আরোগ্য লাভ করব। এখন আমি নিজেকে "পুরোপুরি আসক্ত" বলে মনে করব না। আমার বেঞ্জের সমস্যা ছিল, কিন্তু আমি মূলত তাদের থেরাপিউটিক সুবিধার জন্য এগুলো ব্যবহার করতাম? যাইহোক, আমার এগুলোর প্রতি আসক্তি তৈরি হয়েছিল। এটি বছরের পর বছর ধরে চলছে? এবং আমার মনে হয় আমি আমার জীবনে যেকোনো ধরণের আফিম প্রবেশ করানোর বিষয়ে চিন্তিত। যাইহোক, এটি একটি মোটামুটি বড় অস্ত্রোপচার। এবং আমি নিশ্চিত যে এই ধরণের কোনও ব্যথানাশক প্রেসক্রিপশন করা হবে। আমি আগে হাইড্রোকোডোন এবং অক্সিকোডোন করেছি, উভয়ই বিনোদনমূলকভাবে (কয়েকবার এবং অতীতের অস্ত্রোপচারের কারণে অতীতে, তবে এখন আমার মনে হয় যেহেতু আমার কিছুটা আসক্তিকর ব্যক্তিত্ব আছে, তাই এটি ভিন্ন হতে পারে।</v>
      </c>
    </row>
    <row r="296" spans="1:3" ht="15" x14ac:dyDescent="0.25">
      <c r="A296" s="3" t="s">
        <v>297</v>
      </c>
      <c r="B296" s="3" t="s">
        <v>4</v>
      </c>
      <c r="C296" s="4" t="str">
        <f ca="1">IFERROR(__xludf.DUMMYFUNCTION("GOOGLETRANSLATE(A296, ""auto"", ""bn"")"),"তোমাদের কারো কি কোন অদ্ভুত বা অস্বাভাবিক ধূমপানের অভ্যাস আছে? উদাহরণস্বরূপ, যখন আমি পাইপ ধূমপান করি, আমি সবসময় চোখ কুঁচকে রাখি অথবা চোখ বন্ধ করে রাখি যাতে চোখ প্রায় বন্ধ হয়ে যায়, কারণ আমি আগে কিছু সাদা/ফাটল ধূমপান করেছি, এবং এটি আমার চোখে থুতু ফেলে এব"&amp;"ং আমার চোখে ব্যথা করে, এবং আমারও কয়েকবার এমন হয়েছে, তাই তারপর থেকে আমি চোখ কুঁচকে রাখি... আমারও একই রকম অভ্যাস আছে, যেখানে ধূমপান করার সময় আমি উভয় চোখ কুঁচকে দেখার পরিবর্তে কেবল আমার বাম চোখ বন্ধ করি... আমি যখনই MDMA গ্রহণ করি, আমাকে সবসময় আয়নায় নি"&amp;"জেকে দেখার জন্য কিছুটা সময় ব্যয় করতে হবে। আমার কুকুরদের আমাকে সবসময়ই মারধর করতে হত, প্রতিবারই যখন আমি গাঁজা ধূমপান করতাম তখন আমার কোনও অভ্যাস ছিল না, এবং গাঁজা ছিল আমার পছন্দের প্রধান মাদক, ১৪ বছর বয়স থেকে শুরু করে ১০ বছর ধরে ধূমপান করেছি... গাঁজার সা"&amp;"থে আমার একমাত্র অভ্যাস ছিল যে পাথর মারার সময় যদি আমি ভৌতিক হয়ে যাই, আমি সবসময় কিছু না কিছু খাই, এবং এটি সত্যিই সাহায্য করে বা কেবল মানসিক, এটি সর্বদা আমার ভৌতিকতা বন্ধ করবে। গাঁজা ধূমপান করার সময় আমার অন্য ধরণের অভ্যাস ছিল যে আমি সর্বদা রাত ১-৩ টার দি"&amp;"কে গভীর রাতে গাড়ি চালাতাম, গান শুনতাম এবং তারা দেখতাম এবং আকাশ দেখতাম, UFO খুঁজতাম। আমি সত্যিই এটি কয়েক বছর ধরে করেছি যদিও সেই সময় আমার সঙ্গীর একটি গাড়ি ছিল এবং যেহেতু আমি গাড়ি চালাই না এবং আমার সঙ্গীও না, তাই আমি আর তা করতে পারি না। এবং এটি মাদক সম্"&amp;"পর্কিত অভ্যাস নয়, তবে আমাকে ঘুমাতে যাওয়ার আগে একের পর এক ৩টি ফ্যাগ ধূমপান করতে হয়, আমি আমার অদ্ভুত অভ্যাসগুলি ভাগ করে নিয়েছি, এখন তোমার পালা!")</f>
        <v>তোমাদের কারো কি কোন অদ্ভুত বা অস্বাভাবিক ধূমপানের অভ্যাস আছে? উদাহরণস্বরূপ, যখন আমি পাইপ ধূমপান করি, আমি সবসময় চোখ কুঁচকে রাখি অথবা চোখ বন্ধ করে রাখি যাতে চোখ প্রায় বন্ধ হয়ে যায়, কারণ আমি আগে কিছু সাদা/ফাটল ধূমপান করেছি, এবং এটি আমার চোখে থুতু ফেলে এবং আমার চোখে ব্যথা করে, এবং আমারও কয়েকবার এমন হয়েছে, তাই তারপর থেকে আমি চোখ কুঁচকে রাখি... আমারও একই রকম অভ্যাস আছে, যেখানে ধূমপান করার সময় আমি উভয় চোখ কুঁচকে দেখার পরিবর্তে কেবল আমার বাম চোখ বন্ধ করি... আমি যখনই MDMA গ্রহণ করি, আমাকে সবসময় আয়নায় নিজেকে দেখার জন্য কিছুটা সময় ব্যয় করতে হবে। আমার কুকুরদের আমাকে সবসময়ই মারধর করতে হত, প্রতিবারই যখন আমি গাঁজা ধূমপান করতাম তখন আমার কোনও অভ্যাস ছিল না, এবং গাঁজা ছিল আমার পছন্দের প্রধান মাদক, ১৪ বছর বয়স থেকে শুরু করে ১০ বছর ধরে ধূমপান করেছি... গাঁজার সাথে আমার একমাত্র অভ্যাস ছিল যে পাথর মারার সময় যদি আমি ভৌতিক হয়ে যাই, আমি সবসময় কিছু না কিছু খাই, এবং এটি সত্যিই সাহায্য করে বা কেবল মানসিক, এটি সর্বদা আমার ভৌতিকতা বন্ধ করবে। গাঁজা ধূমপান করার সময় আমার অন্য ধরণের অভ্যাস ছিল যে আমি সর্বদা রাত ১-৩ টার দিকে গভীর রাতে গাড়ি চালাতাম, গান শুনতাম এবং তারা দেখতাম এবং আকাশ দেখতাম, UFO খুঁজতাম। আমি সত্যিই এটি কয়েক বছর ধরে করেছি যদিও সেই সময় আমার সঙ্গীর একটি গাড়ি ছিল এবং যেহেতু আমি গাড়ি চালাই না এবং আমার সঙ্গীও না, তাই আমি আর তা করতে পারি না। এবং এটি মাদক সম্পর্কিত অভ্যাস নয়, তবে আমাকে ঘুমাতে যাওয়ার আগে একের পর এক ৩টি ফ্যাগ ধূমপান করতে হয়, আমি আমার অদ্ভুত অভ্যাসগুলি ভাগ করে নিয়েছি, এখন তোমার পালা!</v>
      </c>
    </row>
    <row r="297" spans="1:3" ht="15" x14ac:dyDescent="0.25">
      <c r="A297" s="3" t="s">
        <v>298</v>
      </c>
      <c r="B297" s="3" t="s">
        <v>4</v>
      </c>
      <c r="C297" s="4" t="str">
        <f ca="1">IFERROR(__xludf.DUMMYFUNCTION("GOOGLETRANSLATE(A297, ""auto"", ""bn"")"),"আমি শুধু আমার মনের কথা কোথাও খুলে বলতে চেয়েছিলাম। আমি চেষ্টা করব এবং এটি সংক্ষিপ্ত রাখব। তাছাড়া, আমার বয়স ২১ বছর। তাছাড়া, আমি ১৩ বছর বয়স থেকেই পর্নের প্রতি আসক্ত। এই আসক্তি আমার জীবনে কী প্রভাব ফেলেছে তা বুঝতে আমার দীর্ঘ ৭ বছর সময় লেগেছে। আমি প্রায়"&amp;" ২ বছর ধরে PMO (পর্ন হস্তমৈথুন এবং অর্গাজম) এর এই আসক্তি ত্যাগ করার চেষ্টা করছি কিন্তু আমি বারবার ব্যর্থ হচ্ছি। ""ছাড়তে চেষ্টা"" সময়কাল পরিস্থিতিকে আরও খারাপ করে তুলেছিল কারণ আমি কোনও কিছুতে মনোযোগ দিতে পারিনি যার ফলে নিম্নলিখিতগুলি ঘটেছিল - ১- কলেজে ০ "&amp;"থেকে ১৫টি পরীক্ষায় ফেল করেছি। ২- ধারাবাহিকভাবে কোনও কাজে প্রতিশ্রুতিবদ্ধ হতে না পারার কারণে ফ্রিল্যান্স ক্যারিয়ার নষ্ট হয়ে গেছে। ৩- ছাড়তে না পারার অনুশোচনায় হতাশা এবং আত্মহত্যার প্রবণতা। ৪- তহবিলের অভাবে আমার স্টার্টআপ এখনও স্বপ্নই রয়ে গেছে। ৫- আমি "&amp;"আমার গার্লফ্রেন্ডকে ছেড়ে চলে এসেছি কারণ আমি এই সমস্ত বিদ্যমান সমস্যার সাথে তার নাটক মোকাবেলা করতে পারিনি। ৬- আমার আশেপাশে কোনও বন্ধু নেই। আমার কলেজ অন্য অবস্থায় আছে এবং আমি আমার বাবা-মায়ের সাথে থাকি যারা মানসিকভাবে নির্যাতনকারী। ৭- সামাজিক জীবন নষ্ট। অ"&amp;"তিরিক্ত - আমার শৈশবকাল ভয়াবহ কেটেছে। বিষাক্ত বাবা এবং স্কুলে বন্ধু না থাকলে ধমক দেওয়া, এসব কিছুর মধ্যে খুব কমই ছিল। স্কুলে আমার শারীরিক অবস্থার জন্যও আমাকে উপহাস করা হত যার ফলে আমার আত্মসম্মান কমে যেত। (আমার খিঁচুনি ইত্যাদি সমস্যা হয়) মূলত আমি যখনই আবার"&amp;" মাদকাসক্তি শুরু করি তখনই নিজেকে খারাপ মনে করতে অভ্যস্ত হয়ে পড়ি। যারা মাদকাসক্তি ত্যাগের পরামর্শ দিতে চলেছেন, তারা যেন না করেন। আমি মাদকাসক্তি ত্যাগ করার জন্য যথাসাধ্য চেষ্টা করেছি, কিন্তু যেকোনো কট্টর আসক্তের মতো, ঘরে বসে অলস থাকা ডোপামিনের চাহিদা তৈরি"&amp;" করে যা পুনরায় মাদকাসক্তির আকাঙ্ক্ষাকে বাড়িয়ে তোলে। তাই বর্তমানে আমি জিমে যাওয়ার এবং যতটা সম্ভব কলেজের কার্যকলাপে ব্যস্ত থাকার পরিকল্পনা করছি। লক্ষ্য হল কখনও অলস না থাকা। কিন্তু এই মুহূর্তে, আমি এই বিষাক্ত অভ্যাসের সাথে বাড়িতে আটকে আছি এবং একই সাথে আ"&amp;"ত্মহত্যা এবং হতাশার অনুভূতি অনুভব করছি। আমার কোনও পরামর্শের প্রয়োজন নেই। এই যন্ত্রণার চক্র থেকে বেরিয়ে আসার উপায়গুলি সম্পর্কে আমি জানি। তাছাড়া, আমি সেই অনুযায়ী কাজ করার মতো পরিস্থিতিতে নেই। যদি আপনি এতদূর পড়ে থাকেন, তাহলে আমার করুণ গল্পটি শোনার জন্য"&amp;" ধন্যবাদ। আপনার দিনটি শুভ হোক।")</f>
        <v>আমি শুধু আমার মনের কথা কোথাও খুলে বলতে চেয়েছিলাম। আমি চেষ্টা করব এবং এটি সংক্ষিপ্ত রাখব। তাছাড়া, আমার বয়স ২১ বছর। তাছাড়া, আমি ১৩ বছর বয়স থেকেই পর্নের প্রতি আসক্ত। এই আসক্তি আমার জীবনে কী প্রভাব ফেলেছে তা বুঝতে আমার দীর্ঘ ৭ বছর সময় লেগেছে। আমি প্রায় ২ বছর ধরে PMO (পর্ন হস্তমৈথুন এবং অর্গাজম) এর এই আসক্তি ত্যাগ করার চেষ্টা করছি কিন্তু আমি বারবার ব্যর্থ হচ্ছি। "ছাড়তে চেষ্টা" সময়কাল পরিস্থিতিকে আরও খারাপ করে তুলেছিল কারণ আমি কোনও কিছুতে মনোযোগ দিতে পারিনি যার ফলে নিম্নলিখিতগুলি ঘটেছিল - ১- কলেজে ০ থেকে ১৫টি পরীক্ষায় ফেল করেছি। ২- ধারাবাহিকভাবে কোনও কাজে প্রতিশ্রুতিবদ্ধ হতে না পারার কারণে ফ্রিল্যান্স ক্যারিয়ার নষ্ট হয়ে গেছে। ৩- ছাড়তে না পারার অনুশোচনায় হতাশা এবং আত্মহত্যার প্রবণতা। ৪- তহবিলের অভাবে আমার স্টার্টআপ এখনও স্বপ্নই রয়ে গেছে। ৫- আমি আমার গার্লফ্রেন্ডকে ছেড়ে চলে এসেছি কারণ আমি এই সমস্ত বিদ্যমান সমস্যার সাথে তার নাটক মোকাবেলা করতে পারিনি। ৬- আমার আশেপাশে কোনও বন্ধু নেই। আমার কলেজ অন্য অবস্থায় আছে এবং আমি আমার বাবা-মায়ের সাথে থাকি যারা মানসিকভাবে নির্যাতনকারী। ৭- সামাজিক জীবন নষ্ট। অতিরিক্ত - আমার শৈশবকাল ভয়াবহ কেটেছে। বিষাক্ত বাবা এবং স্কুলে বন্ধু না থাকলে ধমক দেওয়া, এসব কিছুর মধ্যে খুব কমই ছিল। স্কুলে আমার শারীরিক অবস্থার জন্যও আমাকে উপহাস করা হত যার ফলে আমার আত্মসম্মান কমে যেত। (আমার খিঁচুনি ইত্যাদি সমস্যা হয়) মূলত আমি যখনই আবার মাদকাসক্তি শুরু করি তখনই নিজেকে খারাপ মনে করতে অভ্যস্ত হয়ে পড়ি। যারা মাদকাসক্তি ত্যাগের পরামর্শ দিতে চলেছেন, তারা যেন না করেন। আমি মাদকাসক্তি ত্যাগ করার জন্য যথাসাধ্য চেষ্টা করেছি, কিন্তু যেকোনো কট্টর আসক্তের মতো, ঘরে বসে অলস থাকা ডোপামিনের চাহিদা তৈরি করে যা পুনরায় মাদকাসক্তির আকাঙ্ক্ষাকে বাড়িয়ে তোলে। তাই বর্তমানে আমি জিমে যাওয়ার এবং যতটা সম্ভব কলেজের কার্যকলাপে ব্যস্ত থাকার পরিকল্পনা করছি। লক্ষ্য হল কখনও অলস না থাকা। কিন্তু এই মুহূর্তে, আমি এই বিষাক্ত অভ্যাসের সাথে বাড়িতে আটকে আছি এবং একই সাথে আত্মহত্যা এবং হতাশার অনুভূতি অনুভব করছি। আমার কোনও পরামর্শের প্রয়োজন নেই। এই যন্ত্রণার চক্র থেকে বেরিয়ে আসার উপায়গুলি সম্পর্কে আমি জানি। তাছাড়া, আমি সেই অনুযায়ী কাজ করার মতো পরিস্থিতিতে নেই। যদি আপনি এতদূর পড়ে থাকেন, তাহলে আমার করুণ গল্পটি শোনার জন্য ধন্যবাদ। আপনার দিনটি শুভ হোক।</v>
      </c>
    </row>
    <row r="298" spans="1:3" ht="15" x14ac:dyDescent="0.25">
      <c r="A298" s="3" t="s">
        <v>299</v>
      </c>
      <c r="B298" s="3" t="s">
        <v>4</v>
      </c>
      <c r="C298" s="4" t="str">
        <f ca="1">IFERROR(__xludf.DUMMYFUNCTION("GOOGLETRANSLATE(A298, ""auto"", ""bn"")"),"আমি বোকামি করতে চাই না কিন্তু যখন কোন ঘটনা তোমাকে সেই একই জায়গায় নিয়ে যাওয়ায় ফেলে দেয়, যেখান থেকে বেরিয়ে আসার জন্য তুমি অনেক চেষ্টা করেছো, তখন নিজেকে উন্নত করা খুব কঠিন। যখন তোমাকে ভাসমান রাখার একমাত্র জিনিস হলো তোমাকে উজাড় করে দেওয়া, তখন ইতিবাচক থাকা খুব"&amp;" কঠিন। আমি আবারও সেই অবস্থায় ফিরে যেতে চাই না, কিন্তু আমি খুব হতাশ বোধ করছি।")</f>
        <v>আমি বোকামি করতে চাই না কিন্তু যখন কোন ঘটনা তোমাকে সেই একই জায়গায় নিয়ে যাওয়ায় ফেলে দেয়, যেখান থেকে বেরিয়ে আসার জন্য তুমি অনেক চেষ্টা করেছো, তখন নিজেকে উন্নত করা খুব কঠিন। যখন তোমাকে ভাসমান রাখার একমাত্র জিনিস হলো তোমাকে উজাড় করে দেওয়া, তখন ইতিবাচক থাকা খুব কঠিন। আমি আবারও সেই অবস্থায় ফিরে যেতে চাই না, কিন্তু আমি খুব হতাশ বোধ করছি।</v>
      </c>
    </row>
    <row r="299" spans="1:3" ht="15" x14ac:dyDescent="0.25">
      <c r="A299" s="3" t="s">
        <v>300</v>
      </c>
      <c r="B299" s="3" t="s">
        <v>4</v>
      </c>
      <c r="C299" s="4" t="str">
        <f ca="1">IFERROR(__xludf.DUMMYFUNCTION("GOOGLETRANSLATE(A299, ""auto"", ""bn"")"),"গতকাল আমি আমার প্রথম পার্টিতে গিয়েছিলাম, সব ঠিক ছিল। আমি মদ্যপান করিনি, কিছুতেই মদ্যপান করিনি, আর এর জন্য আমি নিজেকে নিয়ে গর্বিত, কিন্তু এখন আমার খুব খারাপ লাগছে। এটা হ্যাংওভার, অপরাধবোধ বা আমার মনে হওয়া যেকোনো কিছুর চেয়ে খারাপ কিছু নয়। কিন্তু আমি দুঃ"&amp;"খিত, রাগান্বিত এবং হতাশ বোধ করছি কারণ আমি মাতাল এবং/অথবা উন্মাদ হতে পারতাম, কিন্তু আমি তা করিনি, তাই আমার নেশাগ্রস্ত অংশটি সুযোগ নষ্ট করায় হতাশ, কিন্তু আমি ভেবেছিলাম আজ সকালে ঘুম থেকে উঠে আমি আরও ভালো বোধ করব।")</f>
        <v>গতকাল আমি আমার প্রথম পার্টিতে গিয়েছিলাম, সব ঠিক ছিল। আমি মদ্যপান করিনি, কিছুতেই মদ্যপান করিনি, আর এর জন্য আমি নিজেকে নিয়ে গর্বিত, কিন্তু এখন আমার খুব খারাপ লাগছে। এটা হ্যাংওভার, অপরাধবোধ বা আমার মনে হওয়া যেকোনো কিছুর চেয়ে খারাপ কিছু নয়। কিন্তু আমি দুঃখিত, রাগান্বিত এবং হতাশ বোধ করছি কারণ আমি মাতাল এবং/অথবা উন্মাদ হতে পারতাম, কিন্তু আমি তা করিনি, তাই আমার নেশাগ্রস্ত অংশটি সুযোগ নষ্ট করায় হতাশ, কিন্তু আমি ভেবেছিলাম আজ সকালে ঘুম থেকে উঠে আমি আরও ভালো বোধ করব।</v>
      </c>
    </row>
    <row r="300" spans="1:3" ht="15" x14ac:dyDescent="0.25">
      <c r="A300" s="3" t="s">
        <v>301</v>
      </c>
      <c r="B300" s="3" t="s">
        <v>4</v>
      </c>
      <c r="C300" s="4" t="str">
        <f ca="1">IFERROR(__xludf.DUMMYFUNCTION("GOOGLETRANSLATE(A300, ""auto"", ""bn"")"),"আমি আমার বাবা-মায়ের বাড়িতে এসে DT করলাম, তারপর আবার নেওয়া শুরু করলাম কিন্তু নিয়ন্ত্রণের বাইরে গেলাম না। বুঝতে পারলাম যে আজ হোক কাল আমাকে সত্যিই ছেড়ে দিতে হবে। আমার আগের মিটিংয়ে গিয়েছিলাম, যেটা আমি ৪ বছর আগে দিয়ে শুরু করেছিলাম, আর আমি ছয় দিন ধরে ভালো লাগা"&amp;" অনুভব করছি। খুব বেশি নয়। আমার সব ওষুধ মজুদ আছে, অপব্যবহার করছি না। একটা মাদকাসক্তিবিহীন উদ্বেগের ওষুধ আছে যা আমি খুব বেশি খাচ্ছি, কিন্তু তার পাশাপাশি সবকিছু ঠিকঠাক চলছে। আমি শুধু চেক ইন করতে চেয়েছিলাম যাতে কিছু কমিউনিটি পাই।")</f>
        <v>আমি আমার বাবা-মায়ের বাড়িতে এসে DT করলাম, তারপর আবার নেওয়া শুরু করলাম কিন্তু নিয়ন্ত্রণের বাইরে গেলাম না। বুঝতে পারলাম যে আজ হোক কাল আমাকে সত্যিই ছেড়ে দিতে হবে। আমার আগের মিটিংয়ে গিয়েছিলাম, যেটা আমি ৪ বছর আগে দিয়ে শুরু করেছিলাম, আর আমি ছয় দিন ধরে ভালো লাগা অনুভব করছি। খুব বেশি নয়। আমার সব ওষুধ মজুদ আছে, অপব্যবহার করছি না। একটা মাদকাসক্তিবিহীন উদ্বেগের ওষুধ আছে যা আমি খুব বেশি খাচ্ছি, কিন্তু তার পাশাপাশি সবকিছু ঠিকঠাক চলছে। আমি শুধু চেক ইন করতে চেয়েছিলাম যাতে কিছু কমিউনিটি পাই।</v>
      </c>
    </row>
    <row r="301" spans="1:3" ht="15" x14ac:dyDescent="0.25">
      <c r="A301" s="3" t="s">
        <v>302</v>
      </c>
      <c r="B301" s="3" t="s">
        <v>4</v>
      </c>
      <c r="C301" s="4" t="str">
        <f ca="1">IFERROR(__xludf.DUMMYFUNCTION("GOOGLETRANSLATE(A301, ""auto"", ""bn"")"),"গতকাল আমার আবার নেশা শুরু হয়ে গেল। এক সপ্তাহ ধরে আমি আমার নেশা থেকে মুক্ত ছিলাম। আমার মস্তিষ্ক ডোপামিনের তীব্র আকাঙ্ক্ষায় এতটাই আচ্ছন্ন যে, তা প্রতিরোধ করা প্রায় অসম্ভব বলে মনে হচ্ছে। আমি নিজেকে প্রতিশ্রুতি দিচ্ছি যে আমি লড়াই চালিয়ে যাব, যতই কঠিন হোক"&amp;" না কেন। আমি কেবল আরও ভালো হতে চাই কারণ আমি আর এভাবে বেঁচে থাকতে পারছি না।")</f>
        <v>গতকাল আমার আবার নেশা শুরু হয়ে গেল। এক সপ্তাহ ধরে আমি আমার নেশা থেকে মুক্ত ছিলাম। আমার মস্তিষ্ক ডোপামিনের তীব্র আকাঙ্ক্ষায় এতটাই আচ্ছন্ন যে, তা প্রতিরোধ করা প্রায় অসম্ভব বলে মনে হচ্ছে। আমি নিজেকে প্রতিশ্রুতি দিচ্ছি যে আমি লড়াই চালিয়ে যাব, যতই কঠিন হোক না কেন। আমি কেবল আরও ভালো হতে চাই কারণ আমি আর এভাবে বেঁচে থাকতে পারছি না।</v>
      </c>
    </row>
    <row r="302" spans="1:3" ht="15" x14ac:dyDescent="0.25">
      <c r="A302" s="3" t="s">
        <v>303</v>
      </c>
      <c r="B302" s="3" t="s">
        <v>4</v>
      </c>
      <c r="C302" s="4" t="str">
        <f ca="1">IFERROR(__xludf.DUMMYFUNCTION("GOOGLETRANSLATE(A302, ""auto"", ""bn"")"),"আমার রুমমেট সম্প্রতি বেশ অদ্ভুত আচরণ করছে, সে আসক্ত হয়ে পড়েছে। আমি কিছু টিনের ফয়েল পেয়েছি, যা আমি তাকে ধার করতে দিয়েছিলাম, এবং আমি চিন্তিত যে সে আবার ব্যবহার করছে। ফয়েলে কোনও অবশিষ্টাংশ ছিল না, কিন্তু আমি জিজ্ঞাসা করার পর সে সত্যিই আত্মরক্ষামূলক হয়"&amp;"ে উঠল। আমি তার এবং আমার নিজের নিরাপত্তার জন্য উদ্বিগ্ন, যেহেতু আমরা একসাথে থাকি। সে অন্য রাতে একটি ছেলেকে বাড়িতে নিয়ে এসেছিল যে দেখতে লম্বা এবং অস্পষ্ট ছিল।")</f>
        <v>আমার রুমমেট সম্প্রতি বেশ অদ্ভুত আচরণ করছে, সে আসক্ত হয়ে পড়েছে। আমি কিছু টিনের ফয়েল পেয়েছি, যা আমি তাকে ধার করতে দিয়েছিলাম, এবং আমি চিন্তিত যে সে আবার ব্যবহার করছে। ফয়েলে কোনও অবশিষ্টাংশ ছিল না, কিন্তু আমি জিজ্ঞাসা করার পর সে সত্যিই আত্মরক্ষামূলক হয়ে উঠল। আমি তার এবং আমার নিজের নিরাপত্তার জন্য উদ্বিগ্ন, যেহেতু আমরা একসাথে থাকি। সে অন্য রাতে একটি ছেলেকে বাড়িতে নিয়ে এসেছিল যে দেখতে লম্বা এবং অস্পষ্ট ছিল।</v>
      </c>
    </row>
    <row r="303" spans="1:3" ht="15" x14ac:dyDescent="0.25">
      <c r="A303" s="3" t="s">
        <v>304</v>
      </c>
      <c r="B303" s="3" t="s">
        <v>4</v>
      </c>
      <c r="C303" s="4" t="str">
        <f ca="1">IFERROR(__xludf.DUMMYFUNCTION("GOOGLETRANSLATE(A303, ""auto"", ""bn"")"),"ওরে গ্যাং, বেশ কিছুদিন ধরেই সমস্যা হচ্ছে? ভেবেছিলাম পুনর্বাসন আমার ক্ষত ঠিক করে দেবে এবং শেষ পর্যন্ত নতুন করে শুরু করব। প্রথমে আমি ৫ সপ্তাহ চিকিৎসার জন্য প্রতিশ্রুতিবদ্ধ ছিলাম এবং মাত্র ১৮ দিন চিকিৎসা শেষ করেছিলাম। সেখানে থাকাকালীন প্রতি রাতে আমি কোকেন খা"&amp;"ওয়ার স্বপ্ন দেখতাম এবং প্রতিটি ঘুম থেকে ওঠার সময় আমি বাস্তব জগতে আমার প্রথম দিনের কথা কল্পনা করতাম এবং রাতের আনন্দ উপভোগ করার জন্য প্রয়োজনীয় জিনিসগুলির একটি তালিকা তৈরি করতাম। গতকাল আমি বেরিয়েছিলাম এবং আমার পরিকল্পনা অনুসারে কাজ করেছি। ঘুমাইনি এবং ঘন"&amp;"্টার পর ঘন্টা ধরে তৃষ্ণার্ত ছিলাম। আমার শান্ত থাকার কারণ নেই। আমার প্রেরণার অভাব রয়েছে।")</f>
        <v>ওরে গ্যাং, বেশ কিছুদিন ধরেই সমস্যা হচ্ছে? ভেবেছিলাম পুনর্বাসন আমার ক্ষত ঠিক করে দেবে এবং শেষ পর্যন্ত নতুন করে শুরু করব। প্রথমে আমি ৫ সপ্তাহ চিকিৎসার জন্য প্রতিশ্রুতিবদ্ধ ছিলাম এবং মাত্র ১৮ দিন চিকিৎসা শেষ করেছিলাম। সেখানে থাকাকালীন প্রতি রাতে আমি কোকেন খাওয়ার স্বপ্ন দেখতাম এবং প্রতিটি ঘুম থেকে ওঠার সময় আমি বাস্তব জগতে আমার প্রথম দিনের কথা কল্পনা করতাম এবং রাতের আনন্দ উপভোগ করার জন্য প্রয়োজনীয় জিনিসগুলির একটি তালিকা তৈরি করতাম। গতকাল আমি বেরিয়েছিলাম এবং আমার পরিকল্পনা অনুসারে কাজ করেছি। ঘুমাইনি এবং ঘন্টার পর ঘন্টা ধরে তৃষ্ণার্ত ছিলাম। আমার শান্ত থাকার কারণ নেই। আমার প্রেরণার অভাব রয়েছে।</v>
      </c>
    </row>
    <row r="304" spans="1:3" ht="15" x14ac:dyDescent="0.25">
      <c r="A304" s="3" t="s">
        <v>305</v>
      </c>
      <c r="B304" s="3" t="s">
        <v>4</v>
      </c>
      <c r="C304" s="4" t="str">
        <f ca="1">IFERROR(__xludf.DUMMYFUNCTION("GOOGLETRANSLATE(A304, ""auto"", ""bn"")"),"(১৬মি) আমার মস্তিষ্ককে বিভ্রান্ত করার মতো কিছু না থাকা আমি সহ্য করতে পারছি না, আমার সবসময় এমন কিছুর প্রয়োজন যা আমাকে বিভ্রান্ত করবে, আমার যে বন্ধু আমাকে মদ কিনেছিল সে আমাকে বিক্রি করা বন্ধ করে দিয়েছে কারণ এটা স্পষ্ট ছিল যে এটি একটি সমস্যায় পরিণত হচ্ছে"&amp;", আমার সবসময়ই একটি আসক্তিকর ব্যক্তিত্ব ছিল, আমার মস্তিষ্ক খালি মনে হয়? আমি জানি না এখান থেকে কোথায় যাব এবং এটা আমাকে পাগল করে তুলছে।")</f>
        <v>(১৬মি) আমার মস্তিষ্ককে বিভ্রান্ত করার মতো কিছু না থাকা আমি সহ্য করতে পারছি না, আমার সবসময় এমন কিছুর প্রয়োজন যা আমাকে বিভ্রান্ত করবে, আমার যে বন্ধু আমাকে মদ কিনেছিল সে আমাকে বিক্রি করা বন্ধ করে দিয়েছে কারণ এটা স্পষ্ট ছিল যে এটি একটি সমস্যায় পরিণত হচ্ছে, আমার সবসময়ই একটি আসক্তিকর ব্যক্তিত্ব ছিল, আমার মস্তিষ্ক খালি মনে হয়? আমি জানি না এখান থেকে কোথায় যাব এবং এটা আমাকে পাগল করে তুলছে।</v>
      </c>
    </row>
    <row r="305" spans="1:3" ht="15" x14ac:dyDescent="0.25">
      <c r="A305" s="3" t="s">
        <v>306</v>
      </c>
      <c r="B305" s="3" t="s">
        <v>4</v>
      </c>
      <c r="C305" s="4" t="str">
        <f ca="1">IFERROR(__xludf.DUMMYFUNCTION("GOOGLETRANSLATE(A305, ""auto"", ""bn"")"),"ডিসেম্বরে আমার বন্ধুর এক্সট্যাসির সাথে খুব খারাপ সময় কেটেছে। সে আগাছা, ক্র্যাক, ভ্যালিয়াম এবং অন্যান্য অনেক ওষুধ খেয়েছে। পুরো জানুয়ারী মাস ধরে সে শান্ত ছিল, শুধু আগাছা এবং সিগারেট ধূমপান করত, যা আমার মনে হয় ভালোর জন্য ছিল (সে ঘুমাতে এবং উদ্বেগ দূর কর"&amp;"তে আগাছা ব্যবহার করে)। গত রাতে সে আমাকে মেসেজ করে বলেছিল যে তার গ্রুপ হোমে বসবাসকারী একটি ছেলের কিছুটা এক্সট্যাসি হয়েছে এবং তাকে ""পার্টি"" তে আমন্ত্রণ জানিয়েছে। আমি স্বাভাবিকভাবেই উত্তর দিয়েছিলাম ""এটা করো না?"" এবং তাকে বলেছিলাম যে তার আরোগ্য ভালো হচ"&amp;"্ছে। সংক্ষেপে সে আবার অসুস্থ হয়ে পড়েছে এবং এখন বলছে যে তার নিয়ন্ত্রণে আছে এবং আমার চিন্তা করা উচিত নয়, কিন্তু আমি আছি। আমি কী করতে পারি? শেষবার যখন পরিস্থিতি খারাপ ছিল তখন আমি কেবল এটি থেকে দূরে ছিলাম এবং কিছু বলিনি কারণ সে থামতে চাইছিল না তাই চেষ্টা "&amp;"করা বৃথা ছিল। শেষবার যখন সে অতিরিক্ত মাত্রায় সেবন করেছিল, তখন ডাক্তাররা বলেছিলেন যে যদি সে সেই দিন তার উদ্বেগের ওষুধ গ্রহণ করত তবে সে মারা যেত। আমি চাই না সে আবার আত্মহত্যা শুরু করুক, আমার মনে হয় না আমি দ্বিতীয়বারের মতো এটা ঘটতে দেখতে পারব।")</f>
        <v>ডিসেম্বরে আমার বন্ধুর এক্সট্যাসির সাথে খুব খারাপ সময় কেটেছে। সে আগাছা, ক্র্যাক, ভ্যালিয়াম এবং অন্যান্য অনেক ওষুধ খেয়েছে। পুরো জানুয়ারী মাস ধরে সে শান্ত ছিল, শুধু আগাছা এবং সিগারেট ধূমপান করত, যা আমার মনে হয় ভালোর জন্য ছিল (সে ঘুমাতে এবং উদ্বেগ দূর করতে আগাছা ব্যবহার করে)। গত রাতে সে আমাকে মেসেজ করে বলেছিল যে তার গ্রুপ হোমে বসবাসকারী একটি ছেলের কিছুটা এক্সট্যাসি হয়েছে এবং তাকে "পার্টি" তে আমন্ত্রণ জানিয়েছে। আমি স্বাভাবিকভাবেই উত্তর দিয়েছিলাম "এটা করো না?" এবং তাকে বলেছিলাম যে তার আরোগ্য ভালো হচ্ছে। সংক্ষেপে সে আবার অসুস্থ হয়ে পড়েছে এবং এখন বলছে যে তার নিয়ন্ত্রণে আছে এবং আমার চিন্তা করা উচিত নয়, কিন্তু আমি আছি। আমি কী করতে পারি? শেষবার যখন পরিস্থিতি খারাপ ছিল তখন আমি কেবল এটি থেকে দূরে ছিলাম এবং কিছু বলিনি কারণ সে থামতে চাইছিল না তাই চেষ্টা করা বৃথা ছিল। শেষবার যখন সে অতিরিক্ত মাত্রায় সেবন করেছিল, তখন ডাক্তাররা বলেছিলেন যে যদি সে সেই দিন তার উদ্বেগের ওষুধ গ্রহণ করত তবে সে মারা যেত। আমি চাই না সে আবার আত্মহত্যা শুরু করুক, আমার মনে হয় না আমি দ্বিতীয়বারের মতো এটা ঘটতে দেখতে পারব।</v>
      </c>
    </row>
    <row r="306" spans="1:3" ht="15" x14ac:dyDescent="0.25">
      <c r="A306" s="3" t="s">
        <v>307</v>
      </c>
      <c r="B306" s="3" t="s">
        <v>4</v>
      </c>
      <c r="C306" s="4" t="str">
        <f ca="1">IFERROR(__xludf.DUMMYFUNCTION("GOOGLETRANSLATE(A306, ""auto"", ""bn"")"),"আমার মনে পড়ে, সেই প্রথম রাতের কথা, আমি আগেও মাদক ত্যাগ করার চেষ্টা করেছিলাম। আমি জানতাম যে এবার আমি সফল হব, কিন্তু যখনই আমি নিশ্চিত ছিলাম যে আমি হব না। আমি শুধু জানতাম যে আমি একজন হতাশ মাদকাসক্ত হতে ক্লান্ত এবং এমন একজন ব্যক্তি হতে চেয়েছিলাম যাকে ছায়ায"&amp;"় লুকিয়ে থাকতে হবে না এবং লজ্জা ছাড়াই সাধারণ মানুষের চোখে দেখতে পারব। আমি একটি স্বাভাবিক জীবন চেয়েছিলাম, রাতে ঘুমাতে যাব এবং সকালে ঘুম থেকে উঠে আমার কাজে লেগে যাব। যদিও আমি বিশ্বাস করতাম না যে এটি ঘটতে পারে, তবুও এই গভীর ইচ্ছা এবং চেষ্টা করার দৃঢ় সংকল"&amp;"্পই আমাকে সেখানে পৌঁছানোর পথে পরিচালিত করেছিল?")</f>
        <v>আমার মনে পড়ে, সেই প্রথম রাতের কথা, আমি আগেও মাদক ত্যাগ করার চেষ্টা করেছিলাম। আমি জানতাম যে এবার আমি সফল হব, কিন্তু যখনই আমি নিশ্চিত ছিলাম যে আমি হব না। আমি শুধু জানতাম যে আমি একজন হতাশ মাদকাসক্ত হতে ক্লান্ত এবং এমন একজন ব্যক্তি হতে চেয়েছিলাম যাকে ছায়ায় লুকিয়ে থাকতে হবে না এবং লজ্জা ছাড়াই সাধারণ মানুষের চোখে দেখতে পারব। আমি একটি স্বাভাবিক জীবন চেয়েছিলাম, রাতে ঘুমাতে যাব এবং সকালে ঘুম থেকে উঠে আমার কাজে লেগে যাব। যদিও আমি বিশ্বাস করতাম না যে এটি ঘটতে পারে, তবুও এই গভীর ইচ্ছা এবং চেষ্টা করার দৃঢ় সংকল্পই আমাকে সেখানে পৌঁছানোর পথে পরিচালিত করেছিল?</v>
      </c>
    </row>
    <row r="307" spans="1:3" ht="15" x14ac:dyDescent="0.25">
      <c r="A307" s="3" t="s">
        <v>308</v>
      </c>
      <c r="B307" s="3" t="s">
        <v>4</v>
      </c>
      <c r="C307" s="4" t="str">
        <f ca="1">IFERROR(__xludf.DUMMYFUNCTION("GOOGLETRANSLATE(A307, ""auto"", ""bn"")"),"আমার শিরোনাম বিভ্রান্তিকর বলে আমি ক্ষমা চাইছি। এখানে ব্যাপারটা হল: আমরা সকলেই শুনেছি যে মানসিক স্বাস্থ্য সমস্যায় আক্রান্ত অনেক মানুষ ""স্ব-ঔষধ"" সেবন করে। আমার অভিজ্ঞতায়, বিষণ্ণতা এবং উদ্বেগের চিকিৎসার আগে, আমি কোকেন খেয়েছিলাম কিন্তু আগ্রহী ছিলাম না। ত"&amp;"্রিশ বছর ধরে মানসিক ওষুধ সেবনের পর আমার সমস্যা হচ্ছে। আমি ভাবছি যে মানসিক ওষুধ কি মানুষের মস্তিষ্কের রসায়নকে পরিবর্তন করতে পারে যা তাদের আসক্তির দিকে আরও বেশি ঝুঁকে ফেলতে পারে। আমি গুগলে অনুসন্ধান করেছি এবং কিছুই পাইনি। তাছাড়া, আমি ধরে নিচ্ছি যে ফার্মা "&amp;"কোম্পানিগুলি সম্ভবত বৈধ গবেষণা করলেই যে কাউকে হত্যা করবে।")</f>
        <v>আমার শিরোনাম বিভ্রান্তিকর বলে আমি ক্ষমা চাইছি। এখানে ব্যাপারটা হল: আমরা সকলেই শুনেছি যে মানসিক স্বাস্থ্য সমস্যায় আক্রান্ত অনেক মানুষ "স্ব-ঔষধ" সেবন করে। আমার অভিজ্ঞতায়, বিষণ্ণতা এবং উদ্বেগের চিকিৎসার আগে, আমি কোকেন খেয়েছিলাম কিন্তু আগ্রহী ছিলাম না। ত্রিশ বছর ধরে মানসিক ওষুধ সেবনের পর আমার সমস্যা হচ্ছে। আমি ভাবছি যে মানসিক ওষুধ কি মানুষের মস্তিষ্কের রসায়নকে পরিবর্তন করতে পারে যা তাদের আসক্তির দিকে আরও বেশি ঝুঁকে ফেলতে পারে। আমি গুগলে অনুসন্ধান করেছি এবং কিছুই পাইনি। তাছাড়া, আমি ধরে নিচ্ছি যে ফার্মা কোম্পানিগুলি সম্ভবত বৈধ গবেষণা করলেই যে কাউকে হত্যা করবে।</v>
      </c>
    </row>
    <row r="308" spans="1:3" ht="15" x14ac:dyDescent="0.25">
      <c r="A308" s="3" t="s">
        <v>309</v>
      </c>
      <c r="B308" s="3" t="s">
        <v>4</v>
      </c>
      <c r="C308" s="4" t="str">
        <f ca="1">IFERROR(__xludf.DUMMYFUNCTION("GOOGLETRANSLATE(A308, ""auto"", ""bn"")"),"আমার মনে হয় আত্মনিয়ন্ত্রণ খুব একটা নেই, আর যদি আমার মৃত্যুও হয়, তবুও আমি নিজেকে উৎসাহিত করতে পারি না, কারণ আমি এটা কল্পনাও করতে পারি না? আমার একটা ভয়াবহ ইন্টারনেট আসক্তি আছে, এটা নিয়ন্ত্রণের বাইরে চলে যায়, আমি জানি এটা আজকাল সাধারণ, কিন্তু আমি স্বাভাবিকভা"&amp;"বে ডোপামিন এবং সেরোটোনিন উৎপাদনের ক্ষমতা পুনরায় বৃদ্ধি করতে চাই। আমার লক্ষ্য হল প্রতি ঘন্টায় ১ ঘন্টা অনলাইনে এবং পরপর ১ ঘন্টা করে ১ ঘন্টা ছুটি নেওয়া। এখনও পর্যন্ত একাধিক অ্যালার্ম সেট করলেও এটি কাজ করেনি, আমি এই আসক্তি বন্ধ করার জন্য আরও চেষ্টা করতে চাই। "&amp;"আমি বেশিরভাগ সময় ইউটিউবে থাকি, কোনও কমতি না করে। আমি নিজের সাথে এটি করেছি এবং আমি জানি শুধুমাত্র আমার প্রচেষ্টাই এর সমাধান করবে, এটি বন্ধ করার জন্য আমি কী করব, আমি কী করব? আমার কোনও মানবিক অভিব্যক্তি বা ব্যক্তিত্বের অনুভূতি নেই, মস্তিষ্কের ভাজা ইন্টারনেট"&amp;"ে থাকার কারণে, আমার সমস্ত আবেগ, মতামত এবং মূল্যবোধ অনলাইনে কারও বা অন্য কোনও কিছুর উপর নির্ভর করে।")</f>
        <v>আমার মনে হয় আত্মনিয়ন্ত্রণ খুব একটা নেই, আর যদি আমার মৃত্যুও হয়, তবুও আমি নিজেকে উৎসাহিত করতে পারি না, কারণ আমি এটা কল্পনাও করতে পারি না? আমার একটা ভয়াবহ ইন্টারনেট আসক্তি আছে, এটা নিয়ন্ত্রণের বাইরে চলে যায়, আমি জানি এটা আজকাল সাধারণ, কিন্তু আমি স্বাভাবিকভাবে ডোপামিন এবং সেরোটোনিন উৎপাদনের ক্ষমতা পুনরায় বৃদ্ধি করতে চাই। আমার লক্ষ্য হল প্রতি ঘন্টায় ১ ঘন্টা অনলাইনে এবং পরপর ১ ঘন্টা করে ১ ঘন্টা ছুটি নেওয়া। এখনও পর্যন্ত একাধিক অ্যালার্ম সেট করলেও এটি কাজ করেনি, আমি এই আসক্তি বন্ধ করার জন্য আরও চেষ্টা করতে চাই। আমি বেশিরভাগ সময় ইউটিউবে থাকি, কোনও কমতি না করে। আমি নিজের সাথে এটি করেছি এবং আমি জানি শুধুমাত্র আমার প্রচেষ্টাই এর সমাধান করবে, এটি বন্ধ করার জন্য আমি কী করব, আমি কী করব? আমার কোনও মানবিক অভিব্যক্তি বা ব্যক্তিত্বের অনুভূতি নেই, মস্তিষ্কের ভাজা ইন্টারনেটে থাকার কারণে, আমার সমস্ত আবেগ, মতামত এবং মূল্যবোধ অনলাইনে কারও বা অন্য কোনও কিছুর উপর নির্ভর করে।</v>
      </c>
    </row>
    <row r="309" spans="1:3" ht="15" x14ac:dyDescent="0.25">
      <c r="A309" s="3" t="s">
        <v>310</v>
      </c>
      <c r="B309" s="3" t="s">
        <v>4</v>
      </c>
      <c r="C309" s="4" t="str">
        <f ca="1">IFERROR(__xludf.DUMMYFUNCTION("GOOGLETRANSLATE(A309, ""auto"", ""bn"")"),"আমার বাগদত্তা (২৫ বছর বয়সী) এবং আমি (২৪ বছর বয়সী) আসক্তিতে ভুগছিলাম। সাম্প্রতিক আলোচনার পর আমি জানতে পারলাম যে আমার বাগদত্তা সবসময় আসক্তির সাথে লড়াই করেছে। তা সে ধূমপান, মদ্যপান, মাদক যাই হোক না কেন। তার সাথে দেখা না হওয়া পর্যন্ত আমার কোনও আসক্তি ছিল ন"&amp;"া। ২০২০ এবং ২০২১ সালে কোভিড লকডাউনের সময় আমরা অনেক পার্টি করেছি। কিন্তু ২০২১ সালের জুনে আমি সিদ্ধান্ত নিলাম যে আমার মাদক এবং পার্টি করা বন্ধ হয়ে গেছে। মাদকের কারণে আমি ২০২০ সালে আমার চাকরি ছেড়ে দিয়েছি। আমি পড়াশোনা করতে চাই এবং পূর্ণকালীন কাজে ফিরে যে"&amp;"তে চাই। টাকা বাঁচাতে চাই এবং একটি বাড়ি কিনতে চাই। আমার বাগদত্তা পার্টি করা বন্ধ করতে চায় বলে মনে হচ্ছে না যদিও সে আমাকে বলে যে সে তা করে, এবং এখন সে আমার কাছ থেকে তার মাদকের ব্যবহার লুকিয়ে রাখছে। আমরা নিউক্যাসল থেকে সিডনিতে ফিরে এসেছি যেখানে আমরা ৩ মাস "&amp;"ধরে সুস্থ ছিলাম। আমরা যখন প্রথমবার ফিরে আসি তখন সে গাড়ি থেকে পড়ে যায়, কিন্তু আমি তাকে ক্ষমা করে দিয়েছিলাম এবং তার নিরাময় যাত্রা শুরু করার জন্য তাকে ৬ মাস সময় দিতে রাজি ছিলাম যেমন সে আমাকে বারবার বলতে থাকে যে সে করতে চায়। ৬ মাস হয়ে গেছে আর কিছুই বদ"&amp;"লায়নি, শুধু আমার নিজের সংযম হারিয়ে ফেলা ছাড়া। আমি তাকে তার আরোগ্য সম্পর্কে জিজ্ঞাসা করেছিলাম, কিন্তু সে এখন বলছে ""তুমি আমাকে কেন পরিবর্তন করার চেষ্টা করছো?"" ""তুমি আমাকে আমার মতো করে কেন গ্রহণ করতে পারছো না?"" আমি জানি না কিভাবে তাকে এখন সাহায্য করব,"&amp;" কিন্তু আমি হাল ছাড়তে রাজি নই। আমি কেবল তার জন্য সর্বোত্তম চাই।""")</f>
        <v>আমার বাগদত্তা (২৫ বছর বয়সী) এবং আমি (২৪ বছর বয়সী) আসক্তিতে ভুগছিলাম। সাম্প্রতিক আলোচনার পর আমি জানতে পারলাম যে আমার বাগদত্তা সবসময় আসক্তির সাথে লড়াই করেছে। তা সে ধূমপান, মদ্যপান, মাদক যাই হোক না কেন। তার সাথে দেখা না হওয়া পর্যন্ত আমার কোনও আসক্তি ছিল না। ২০২০ এবং ২০২১ সালে কোভিড লকডাউনের সময় আমরা অনেক পার্টি করেছি। কিন্তু ২০২১ সালের জুনে আমি সিদ্ধান্ত নিলাম যে আমার মাদক এবং পার্টি করা বন্ধ হয়ে গেছে। মাদকের কারণে আমি ২০২০ সালে আমার চাকরি ছেড়ে দিয়েছি। আমি পড়াশোনা করতে চাই এবং পূর্ণকালীন কাজে ফিরে যেতে চাই। টাকা বাঁচাতে চাই এবং একটি বাড়ি কিনতে চাই। আমার বাগদত্তা পার্টি করা বন্ধ করতে চায় বলে মনে হচ্ছে না যদিও সে আমাকে বলে যে সে তা করে, এবং এখন সে আমার কাছ থেকে তার মাদকের ব্যবহার লুকিয়ে রাখছে। আমরা নিউক্যাসল থেকে সিডনিতে ফিরে এসেছি যেখানে আমরা ৩ মাস ধরে সুস্থ ছিলাম। আমরা যখন প্রথমবার ফিরে আসি তখন সে গাড়ি থেকে পড়ে যায়, কিন্তু আমি তাকে ক্ষমা করে দিয়েছিলাম এবং তার নিরাময় যাত্রা শুরু করার জন্য তাকে ৬ মাস সময় দিতে রাজি ছিলাম যেমন সে আমাকে বারবার বলতে থাকে যে সে করতে চায়। ৬ মাস হয়ে গেছে আর কিছুই বদলায়নি, শুধু আমার নিজের সংযম হারিয়ে ফেলা ছাড়া। আমি তাকে তার আরোগ্য সম্পর্কে জিজ্ঞাসা করেছিলাম, কিন্তু সে এখন বলছে "তুমি আমাকে কেন পরিবর্তন করার চেষ্টা করছো?" "তুমি আমাকে আমার মতো করে কেন গ্রহণ করতে পারছো না?" আমি জানি না কিভাবে তাকে এখন সাহায্য করব, কিন্তু আমি হাল ছাড়তে রাজি নই। আমি কেবল তার জন্য সর্বোত্তম চাই।"</v>
      </c>
    </row>
    <row r="310" spans="1:3" ht="15" x14ac:dyDescent="0.25">
      <c r="A310" s="3" t="s">
        <v>311</v>
      </c>
      <c r="B310" s="3" t="s">
        <v>4</v>
      </c>
      <c r="C310" s="4" t="str">
        <f ca="1">IFERROR(__xludf.DUMMYFUNCTION("GOOGLETRANSLATE(A310, ""auto"", ""bn"")"),"আমি সম্প্রতি ধূমপান শুরু করেছি অর্থাৎ মোট ৫০টিরও কম সিগারেট খাই কিন্তু প্রতিদিন আমার মাথায় ধূমপানের কথা আসে এবং আমি জানি না কিভাবে এটি বন্ধ করব এবং প্রতিবার সাবান ব্যবহার করার চেষ্টা করলে প্রতি ৩, ৭, ৯,... আমি খুব ভয় পাই কারণ এই সিগারেট ধূমপান আমার আসক্"&amp;"তিতে পরিণত হতে পারে এবং আমি থামাতে পারছি না, কারণ আমার বয়স মাত্র ২১ বছর।")</f>
        <v>আমি সম্প্রতি ধূমপান শুরু করেছি অর্থাৎ মোট ৫০টিরও কম সিগারেট খাই কিন্তু প্রতিদিন আমার মাথায় ধূমপানের কথা আসে এবং আমি জানি না কিভাবে এটি বন্ধ করব এবং প্রতিবার সাবান ব্যবহার করার চেষ্টা করলে প্রতি ৩, ৭, ৯,... আমি খুব ভয় পাই কারণ এই সিগারেট ধূমপান আমার আসক্তিতে পরিণত হতে পারে এবং আমি থামাতে পারছি না, কারণ আমার বয়স মাত্র ২১ বছর।</v>
      </c>
    </row>
    <row r="311" spans="1:3" ht="15" x14ac:dyDescent="0.25">
      <c r="A311" s="3" t="s">
        <v>312</v>
      </c>
      <c r="B311" s="3" t="s">
        <v>4</v>
      </c>
      <c r="C311" s="4" t="str">
        <f ca="1">IFERROR(__xludf.DUMMYFUNCTION("GOOGLETRANSLATE(A311, ""auto"", ""bn"")"),"আমি প্রায় ৩-৪ বছর ধরে নিষ্ক্রিয়, জীবনটা ধূসর লাগছে। আবার ব্যবহার করার কোনও ইচ্ছা আমার নেই, কিন্তু আমি আমার ছিলাম, জীবনটা কত সুন্দর লাগছিল, তা নিয়ে ভাবতে পারছি না। এমনকি যখন সবকিছু ঠিকঠাক হচ্ছিল, তখনও আমার মনে হচ্ছিল যেন আমার সবকিছুই আছে। যেন আমি সত্যিই সু"&amp;"খী এবং স্বাধীনভাবে জীবনযাপন করছি। পৃথিবীতে সত্যিকারের উদ্দেশ্য অনুভব করছি। আজকাল, আমি জীবনের দৈনন্দিন জীবনে আটকে আছি, কোনও সৌন্দর্য নেই, আমার জীবনে সন্তুষ্ট এবং সুখী থাকার কোনও অনুভূতি নেই। তখনকার তুলনায় আমার জীবনটা বেশ ভালো, কিন্তু আমি অনেক বেশি দুঃখী ব"&amp;"োধ করছি। যেন আমি এই যন্ত্রের মতো সমাজের মধ্যে আটকে আছি যেখানে বেঁচে থেকে কাজ করি এবং তারপর মারা যাই।")</f>
        <v>আমি প্রায় ৩-৪ বছর ধরে নিষ্ক্রিয়, জীবনটা ধূসর লাগছে। আবার ব্যবহার করার কোনও ইচ্ছা আমার নেই, কিন্তু আমি আমার ছিলাম, জীবনটা কত সুন্দর লাগছিল, তা নিয়ে ভাবতে পারছি না। এমনকি যখন সবকিছু ঠিকঠাক হচ্ছিল, তখনও আমার মনে হচ্ছিল যেন আমার সবকিছুই আছে। যেন আমি সত্যিই সুখী এবং স্বাধীনভাবে জীবনযাপন করছি। পৃথিবীতে সত্যিকারের উদ্দেশ্য অনুভব করছি। আজকাল, আমি জীবনের দৈনন্দিন জীবনে আটকে আছি, কোনও সৌন্দর্য নেই, আমার জীবনে সন্তুষ্ট এবং সুখী থাকার কোনও অনুভূতি নেই। তখনকার তুলনায় আমার জীবনটা বেশ ভালো, কিন্তু আমি অনেক বেশি দুঃখী বোধ করছি। যেন আমি এই যন্ত্রের মতো সমাজের মধ্যে আটকে আছি যেখানে বেঁচে থেকে কাজ করি এবং তারপর মারা যাই।</v>
      </c>
    </row>
    <row r="312" spans="1:3" ht="15" x14ac:dyDescent="0.25">
      <c r="A312" s="3" t="s">
        <v>313</v>
      </c>
      <c r="B312" s="3" t="s">
        <v>4</v>
      </c>
      <c r="C312" s="4" t="str">
        <f ca="1">IFERROR(__xludf.DUMMYFUNCTION("GOOGLETRANSLATE(A312, ""auto"", ""bn"")"),"আমি প্রায় এক সপ্তাহ ধরে সুস্থ ছিলাম, এখন আমার ছোট্ট ল্যাব সেটআপ পরিষ্কার করার সাহস সঞ্চার করেছি। আমি যদি একটু ধূমপান করি তাহলে কেউ জানত না, কেউ জানে না যে আমি সঠিক কাজটি করেছি, আমি নিশ্চিত নই কোনটা কঠিন, কিন্তু এখন আর টয়লেটের উপর নির্ভর করে আর পিছনে ফিরে"&amp;" তাকাতে হয় না।")</f>
        <v>আমি প্রায় এক সপ্তাহ ধরে সুস্থ ছিলাম, এখন আমার ছোট্ট ল্যাব সেটআপ পরিষ্কার করার সাহস সঞ্চার করেছি। আমি যদি একটু ধূমপান করি তাহলে কেউ জানত না, কেউ জানে না যে আমি সঠিক কাজটি করেছি, আমি নিশ্চিত নই কোনটা কঠিন, কিন্তু এখন আর টয়লেটের উপর নির্ভর করে আর পিছনে ফিরে তাকাতে হয় না।</v>
      </c>
    </row>
    <row r="313" spans="1:3" ht="15" x14ac:dyDescent="0.25">
      <c r="A313" s="3" t="s">
        <v>314</v>
      </c>
      <c r="B313" s="3" t="s">
        <v>4</v>
      </c>
      <c r="C313" s="4" t="str">
        <f ca="1">IFERROR(__xludf.DUMMYFUNCTION("GOOGLETRANSLATE(A313, ""auto"", ""bn"")"),"৪ বছর ধরে আসক্তিতে থাকার পর, এই মুহূর্তে আমার সাহায্য পাওয়ার একমাত্র সুযোগ হল ১০ মাসের জন্য একটি মুক্ত বিশ্বাসভিত্তিক পুনর্বাসন। যেহেতু আমি বীমাকৃত নই এবং আমার পরিবার এবং আমি এর খরচ বহন করতে পারব না। যদি কেউ একটি সম্পন্ন করে থাকেন, তাহলে কি আপনার অভিজ্ঞত"&amp;"া শেয়ার করতে পারেন? ধন্যবাদ।")</f>
        <v>৪ বছর ধরে আসক্তিতে থাকার পর, এই মুহূর্তে আমার সাহায্য পাওয়ার একমাত্র সুযোগ হল ১০ মাসের জন্য একটি মুক্ত বিশ্বাসভিত্তিক পুনর্বাসন। যেহেতু আমি বীমাকৃত নই এবং আমার পরিবার এবং আমি এর খরচ বহন করতে পারব না। যদি কেউ একটি সম্পন্ন করে থাকেন, তাহলে কি আপনার অভিজ্ঞতা শেয়ার করতে পারেন? ধন্যবাদ।</v>
      </c>
    </row>
    <row r="314" spans="1:3" ht="15" x14ac:dyDescent="0.25">
      <c r="A314" s="3" t="s">
        <v>315</v>
      </c>
      <c r="B314" s="3" t="s">
        <v>4</v>
      </c>
      <c r="C314" s="4" t="str">
        <f ca="1">IFERROR(__xludf.DUMMYFUNCTION("GOOGLETRANSLATE(A314, ""auto"", ""bn"")"),"আমি বলতে চাই যে আমি অনেক কিছুর মধ্য দিয়ে গেছি এবং ৮ বছর ধরে কনসার্টে থাকার পর সম্প্রতি আমি ভাইভান্সে চলে এসেছি। দুই সপ্তাহ ধরে ওষুধ বন্ধ রাখার ফলে আমি কীভাবে কাজ করি তা নিয়ে সত্যিই ভাবতে বাধ্য হয়েছি। আমি সবেমাত্র ভাইভান্স নেওয়া শুরু করেছি এবং এত দিন ধ"&amp;"রে প্রত্যাহারের পর আমি অনেক ভালো বোধ করছি। আমি এই সিদ্ধান্তে পৌঁছেছি যে আমার হতাশার কারণে আমার আসক্তি এবং সমস্যাগুলি বন্ধ করা উচিত। তাছাড়া, সম্প্রতি আমার আসক্তির কারণে আমার সেরোটোনিন বিষাক্ততার অভিজ্ঞতা হয়েছে। তাই আজ আমি ধূমপান, ধূমপান, বড়ি (আমার ওষুধে"&amp;"র পাশাপাশি) এবং মদ্যপান বন্ধ করার প্রতিশ্রুতি দিচ্ছি। আমি আরও ভালো মানসিকভাবে স্থিতিশীল ব্যক্তি হতে চাই। আমি বিশ্বাস করি যে এটি করা আমার পুনরুদ্ধারের দিকে পরিচালিত করার জন্য অনেকের মধ্যে প্রথম পদক্ষেপ হবে। তাছাড়া, আমি সিদ্ধান্ত নেওয়ার জন্য নিজেকে নিয়ে "&amp;"খুব গর্বিত, এবং যদি আপনিও একই রকম অভিজ্ঞতা অর্জন করে থাকেন বা এর মধ্য দিয়ে যাচ্ছেন তবে আমি আপনাকে জানাতে চাই যে সাহায্য এবং আশা আছে।")</f>
        <v>আমি বলতে চাই যে আমি অনেক কিছুর মধ্য দিয়ে গেছি এবং ৮ বছর ধরে কনসার্টে থাকার পর সম্প্রতি আমি ভাইভান্সে চলে এসেছি। দুই সপ্তাহ ধরে ওষুধ বন্ধ রাখার ফলে আমি কীভাবে কাজ করি তা নিয়ে সত্যিই ভাবতে বাধ্য হয়েছি। আমি সবেমাত্র ভাইভান্স নেওয়া শুরু করেছি এবং এত দিন ধরে প্রত্যাহারের পর আমি অনেক ভালো বোধ করছি। আমি এই সিদ্ধান্তে পৌঁছেছি যে আমার হতাশার কারণে আমার আসক্তি এবং সমস্যাগুলি বন্ধ করা উচিত। তাছাড়া, সম্প্রতি আমার আসক্তির কারণে আমার সেরোটোনিন বিষাক্ততার অভিজ্ঞতা হয়েছে। তাই আজ আমি ধূমপান, ধূমপান, বড়ি (আমার ওষুধের পাশাপাশি) এবং মদ্যপান বন্ধ করার প্রতিশ্রুতি দিচ্ছি। আমি আরও ভালো মানসিকভাবে স্থিতিশীল ব্যক্তি হতে চাই। আমি বিশ্বাস করি যে এটি করা আমার পুনরুদ্ধারের দিকে পরিচালিত করার জন্য অনেকের মধ্যে প্রথম পদক্ষেপ হবে। তাছাড়া, আমি সিদ্ধান্ত নেওয়ার জন্য নিজেকে নিয়ে খুব গর্বিত, এবং যদি আপনিও একই রকম অভিজ্ঞতা অর্জন করে থাকেন বা এর মধ্য দিয়ে যাচ্ছেন তবে আমি আপনাকে জানাতে চাই যে সাহায্য এবং আশা আছে।</v>
      </c>
    </row>
    <row r="315" spans="1:3" ht="15" x14ac:dyDescent="0.25">
      <c r="A315" s="3" t="s">
        <v>316</v>
      </c>
      <c r="B315" s="3" t="s">
        <v>4</v>
      </c>
      <c r="C315" s="4" t="str">
        <f ca="1">IFERROR(__xludf.DUMMYFUNCTION("GOOGLETRANSLATE(A315, ""auto"", ""bn"")"),"এখনও পরিষ্কার কর্মী, টানা চার মাস ধরে ক্রিস্টাল মেথের ব্যবহার বন্ধ। পাঁচ বছর আগে এই অগ্নিপরীক্ষা শুরু হওয়ার পর থেকে এটি আমার সবচেয়ে বড় জয়। গত বছরে অনেক সংক্ষিপ্ত সময়ের (১ মাস, তারপর ২ মাস, এখানে বা সেখানে ভুল) মাধ্যমে আমি দশবার মেথ ব্যবহার করতে পেরেছ"&amp;"ি। ২০২১ এবং ২০২০ সত্যিই আমাকে খেলা পরিবর্তন করতে সাহায্য করেছে। আমি এখন সংগ্রাম করছি। সমাজের উন্মাদনা এবং দাম বৃদ্ধি সত্ত্বেও আমার জীবন সত্যিই দুর্দান্ত, এখনও ভালোভাবে চলছে। আমি সম্প্রতি আমার কর্মস্থলে ভূমিকা পরিবর্তন করেছি, আমার মনোবিজ্ঞানী যে প্রতিষ্ঠান"&amp;"ে আমি চিকিৎসা নিতে চাই সেখানে পদোন্নতি পেয়েছেন, তাই আমি বৃহস্পতিবার নতুন কুকুরটির সাথে ফোনে কথা বলেছি। এর পাশাপাশি গত বছর যে কুকুরটিকে আমি সেই ব্যক্তির কাছ থেকে উদ্ধার করেছিলাম যে আমাকে নির্যাতন করত - আমি তাকে বাড়িতে রেখেছিলাম এবং বলেছিলাম যে তারা তার উ"&amp;"চ্চ চাহিদা পূরণ করতে পারবে না। আমি তিন দিনের কাজ থেকে ছুটি নিয়েছিলাম (উপরের কোনওটি কার্যকর হওয়ার আগে) মাদক ব্যবহারের জন্য নয়, অথবা আমার পুরানো নির্যাতনমূলক সম্পর্ক থেকে বা ব্যক্তিগত বিষয় বা পরিবারের জন্য নয়। এটা সত্যিই চমৎকার হয়েছে। বছরের পর বছর আমা"&amp;"র কোনও উপযুক্ত ছুটি হয়নি। গতকাল এক অসাধারণ হাইকিংয়ের সময়, আমার এক ঘনিষ্ঠ বন্ধুর সাথে, আমি ভেঙে পড়তে শুরু করলাম। আত্মহত্যার সমস্ত পুরনো চিন্তাভাবনা এবং কল্পনাতীত সকল ধরণের নেতিবাচক আত্ম-কথা আমার মাথায় ঘুরপাক খাচ্ছে। আমি হার মানতে রাজি নই। আমি এখনই মেথের "&amp;"নেশা থেকে উৎকর্ষ লাভ করতে চাই, কিন্তু ঈশ্বর, এই উৎকর্ষ লাভের সাথে যা আসে তা আমি মিস করি না। আমি এখানে এটি পোস্ট করছি কারণ আমি আমার পরিবার এবং প্রিয়জনদের জন্য একটি নিষ্কাশনের মতো অনুভব করি। তদুপরি, আমি জানি এটি সত্য নয় এবং তাদের কষ্ট দেওয়ার আগে আমি তাদে"&amp;"র সাহায্যের জন্য তাদের কাছে পৌঁছাব, কিন্তু ঈশ্বর, আমি ভুলে গেছি যে এই অস্থির পরিবেশে থাকা কতটা কষ্টকর। তদুপরি, আমি আক্ষরিক অর্থেই নিজেকে ঘৃণা করতাম এবং নিজেকে মোটেও মূল্য দিতাম না। তদুপরি, আমি চাই এটি চলে যাক।")</f>
        <v>এখনও পরিষ্কার কর্মী, টানা চার মাস ধরে ক্রিস্টাল মেথের ব্যবহার বন্ধ। পাঁচ বছর আগে এই অগ্নিপরীক্ষা শুরু হওয়ার পর থেকে এটি আমার সবচেয়ে বড় জয়। গত বছরে অনেক সংক্ষিপ্ত সময়ের (১ মাস, তারপর ২ মাস, এখানে বা সেখানে ভুল) মাধ্যমে আমি দশবার মেথ ব্যবহার করতে পেরেছি। ২০২১ এবং ২০২০ সত্যিই আমাকে খেলা পরিবর্তন করতে সাহায্য করেছে। আমি এখন সংগ্রাম করছি। সমাজের উন্মাদনা এবং দাম বৃদ্ধি সত্ত্বেও আমার জীবন সত্যিই দুর্দান্ত, এখনও ভালোভাবে চলছে। আমি সম্প্রতি আমার কর্মস্থলে ভূমিকা পরিবর্তন করেছি, আমার মনোবিজ্ঞানী যে প্রতিষ্ঠানে আমি চিকিৎসা নিতে চাই সেখানে পদোন্নতি পেয়েছেন, তাই আমি বৃহস্পতিবার নতুন কুকুরটির সাথে ফোনে কথা বলেছি। এর পাশাপাশি গত বছর যে কুকুরটিকে আমি সেই ব্যক্তির কাছ থেকে উদ্ধার করেছিলাম যে আমাকে নির্যাতন করত - আমি তাকে বাড়িতে রেখেছিলাম এবং বলেছিলাম যে তারা তার উচ্চ চাহিদা পূরণ করতে পারবে না। আমি তিন দিনের কাজ থেকে ছুটি নিয়েছিলাম (উপরের কোনওটি কার্যকর হওয়ার আগে) মাদক ব্যবহারের জন্য নয়, অথবা আমার পুরানো নির্যাতনমূলক সম্পর্ক থেকে বা ব্যক্তিগত বিষয় বা পরিবারের জন্য নয়। এটা সত্যিই চমৎকার হয়েছে। বছরের পর বছর আমার কোনও উপযুক্ত ছুটি হয়নি। গতকাল এক অসাধারণ হাইকিংয়ের সময়, আমার এক ঘনিষ্ঠ বন্ধুর সাথে, আমি ভেঙে পড়তে শুরু করলাম। আত্মহত্যার সমস্ত পুরনো চিন্তাভাবনা এবং কল্পনাতীত সকল ধরণের নেতিবাচক আত্ম-কথা আমার মাথায় ঘুরপাক খাচ্ছে। আমি হার মানতে রাজি নই। আমি এখনই মেথের নেশা থেকে উৎকর্ষ লাভ করতে চাই, কিন্তু ঈশ্বর, এই উৎকর্ষ লাভের সাথে যা আসে তা আমি মিস করি না। আমি এখানে এটি পোস্ট করছি কারণ আমি আমার পরিবার এবং প্রিয়জনদের জন্য একটি নিষ্কাশনের মতো অনুভব করি। তদুপরি, আমি জানি এটি সত্য নয় এবং তাদের কষ্ট দেওয়ার আগে আমি তাদের সাহায্যের জন্য তাদের কাছে পৌঁছাব, কিন্তু ঈশ্বর, আমি ভুলে গেছি যে এই অস্থির পরিবেশে থাকা কতটা কষ্টকর। তদুপরি, আমি আক্ষরিক অর্থেই নিজেকে ঘৃণা করতাম এবং নিজেকে মোটেও মূল্য দিতাম না। তদুপরি, আমি চাই এটি চলে যাক।</v>
      </c>
    </row>
    <row r="316" spans="1:3" ht="15" x14ac:dyDescent="0.25">
      <c r="A316" s="3" t="s">
        <v>317</v>
      </c>
      <c r="B316" s="3" t="s">
        <v>4</v>
      </c>
      <c r="C316" s="4" t="str">
        <f ca="1">IFERROR(__xludf.DUMMYFUNCTION("GOOGLETRANSLATE(A316, ""auto"", ""bn"")"),"দয়া করে কোনও মন্তব্য করবেন না, আমি সব শুনেছি। আমি শুরুতেই বলব, আমি গত সম্ভবত ১১ বছর ধরে হার্ড ড্রাগ ব্যবহার করে আসক্ত, সম্ভবত আরও বেশি। এই সময়ের মধ্যে আমি সবকিছু চেষ্টা করেছি। শুরুতে গাঁজা, তারপর মদ, বেজোস, আফিম, কোক, এবং আমি যা কিছু পাই তা খেয়েছি। কিন্"&amp;"তু গত পাঁচ বছর ধরে আমি মেথাডোন সেবন করে আসছি, মাঝে মাঝে ভুল করে। কিন্তু আমি কেবল গাঁজা ধূমপান করেই চলেছি। কয়েক মাস আগে আমাকে কোকের একটি নমুনা দেওয়া হয়েছিল, এবং স্পষ্টতই আমি তা গ্রহণ করেছি, এবং সেই দিন থেকে আমি অবিরামভাবে গাঁজা সেবন করছি যে আমি আর গাঁজা"&amp;"ও ধূমপান করি না। এবং আমি সত্যিই ছেড়ে দিতে চাই, কিন্তু সমস্যা হল যাদের কাছ থেকে আমি গাঁজা পাই তারা কোক বিক্রি করে, এবং তারা সবাই আমার অ্যাপার্টমেন্ট কমপ্লেক্সে থাকে, তাই আমি তাদের প্রতিদিন দেখি। এবং যাই হোক না কেন আমি আমার মনকে বলতে পারি না যে একদিনের জন্"&amp;"যও এটি না করতে। আমি খুশি নই, এবং এতটাই অনুপ্রাণিত নই, এমনকি বেজোসের সাথেও। আমার ব্যক্তিগত জীবনে কেউ জানে না যে আমি বর্তমানে ব্যবহার করছি, এবং আমি আমার পরিচিত কারো সাথে কথা বলতে চাই না, কারণ বেশিরভাগ সময় আমি মেথাডোন ব্যবহার বন্ধ করে দেওয়ার পরেও লোকেরা এত"&amp;" সমালোচনা করত। আমি জানি না ব্যবহার না করার জন্য আর কী করব, আমি দৃঢ় এবং ইতিবাচক থাকার জন্য যথাসাধ্য চেষ্টা করি, কিন্তু শেষ পর্যন্ত আমি আবার ব্যবহার বৈধ করার জন্য যে কোনও কারণ ব্যবহার করি। তারপর প্রতিদিন শেষে আমি বলতে থাকি যে আমার এই জিনিসটি শেষ হয়ে গেছে,"&amp;" আমি আর এটি করতে পারব না। কিন্তু সকালে আমি আবার শুরু করি।")</f>
        <v>দয়া করে কোনও মন্তব্য করবেন না, আমি সব শুনেছি। আমি শুরুতেই বলব, আমি গত সম্ভবত ১১ বছর ধরে হার্ড ড্রাগ ব্যবহার করে আসক্ত, সম্ভবত আরও বেশি। এই সময়ের মধ্যে আমি সবকিছু চেষ্টা করেছি। শুরুতে গাঁজা, তারপর মদ, বেজোস, আফিম, কোক, এবং আমি যা কিছু পাই তা খেয়েছি। কিন্তু গত পাঁচ বছর ধরে আমি মেথাডোন সেবন করে আসছি, মাঝে মাঝে ভুল করে। কিন্তু আমি কেবল গাঁজা ধূমপান করেই চলেছি। কয়েক মাস আগে আমাকে কোকের একটি নমুনা দেওয়া হয়েছিল, এবং স্পষ্টতই আমি তা গ্রহণ করেছি, এবং সেই দিন থেকে আমি অবিরামভাবে গাঁজা সেবন করছি যে আমি আর গাঁজাও ধূমপান করি না। এবং আমি সত্যিই ছেড়ে দিতে চাই, কিন্তু সমস্যা হল যাদের কাছ থেকে আমি গাঁজা পাই তারা কোক বিক্রি করে, এবং তারা সবাই আমার অ্যাপার্টমেন্ট কমপ্লেক্সে থাকে, তাই আমি তাদের প্রতিদিন দেখি। এবং যাই হোক না কেন আমি আমার মনকে বলতে পারি না যে একদিনের জন্যও এটি না করতে। আমি খুশি নই, এবং এতটাই অনুপ্রাণিত নই, এমনকি বেজোসের সাথেও। আমার ব্যক্তিগত জীবনে কেউ জানে না যে আমি বর্তমানে ব্যবহার করছি, এবং আমি আমার পরিচিত কারো সাথে কথা বলতে চাই না, কারণ বেশিরভাগ সময় আমি মেথাডোন ব্যবহার বন্ধ করে দেওয়ার পরেও লোকেরা এত সমালোচনা করত। আমি জানি না ব্যবহার না করার জন্য আর কী করব, আমি দৃঢ় এবং ইতিবাচক থাকার জন্য যথাসাধ্য চেষ্টা করি, কিন্তু শেষ পর্যন্ত আমি আবার ব্যবহার বৈধ করার জন্য যে কোনও কারণ ব্যবহার করি। তারপর প্রতিদিন শেষে আমি বলতে থাকি যে আমার এই জিনিসটি শেষ হয়ে গেছে, আমি আর এটি করতে পারব না। কিন্তু সকালে আমি আবার শুরু করি।</v>
      </c>
    </row>
    <row r="317" spans="1:3" ht="15" x14ac:dyDescent="0.25">
      <c r="A317" s="3" t="s">
        <v>318</v>
      </c>
      <c r="B317" s="3" t="s">
        <v>4</v>
      </c>
      <c r="C317" s="4" t="str">
        <f ca="1">IFERROR(__xludf.DUMMYFUNCTION("GOOGLETRANSLATE(A317, ""auto"", ""bn"")"),"নভেম্বর মাস থেকে আমি কোকেন ছেড়ে দিয়েছি। ডিসেম্বর-জানুয়ারিতে আমার খুব ভালো লাগছিল, কিন্তু এখন আবার সেই লোভ ফিরে এসেছে। তাছাড়া, আজ রাতে আমি বুঝতে পেরেছি যে আমি কোকেনের জন্য লোভ করছি না, আমি এমন একটা ক্রাচের জন্য লোভ করছি যা দিয়ে আমি ব্যাখ্যা করতে পারব "&amp;"কেন আমি এত হতাশ বোধ করছি। আমার পুরনো কোনও শখই এখন আমাকে আনন্দ দেয় না। আমি বসে বসে সিনেমা দেখতে পারি না, ভিডিও গেম উপভোগ করতে পারি না, যতই মনকে ব্যস্ত রাখার চেষ্টা করি না কেন, নিজেকে মূল্যহীন মনে হয়। আমার এইরকম অনুভূতির কোনও যুক্তি নেই, আমার একটি সুন্দর "&amp;"পরিবার আছে, আমি মোটামুটি সফল, তাই আমি আবার মাদকের প্রতি আসক্ত হওয়ার একমাত্র কারণ হল আমার অনুভূতির একটি ভাল ব্যাখ্যা থাকা। যখন আমি মাদকের প্রতি আসক্ত হই তখন আমি সহজেই আমার বিষণ্ণতার জন্য মাদককে দোষ দিতে পারি। এটি ছাড়া, আমার এইরকম অনুভূতির কোনও কারণ নেই, "&amp;"আমি বোকার মতো অনুভব করি।")</f>
        <v>নভেম্বর মাস থেকে আমি কোকেন ছেড়ে দিয়েছি। ডিসেম্বর-জানুয়ারিতে আমার খুব ভালো লাগছিল, কিন্তু এখন আবার সেই লোভ ফিরে এসেছে। তাছাড়া, আজ রাতে আমি বুঝতে পেরেছি যে আমি কোকেনের জন্য লোভ করছি না, আমি এমন একটা ক্রাচের জন্য লোভ করছি যা দিয়ে আমি ব্যাখ্যা করতে পারব কেন আমি এত হতাশ বোধ করছি। আমার পুরনো কোনও শখই এখন আমাকে আনন্দ দেয় না। আমি বসে বসে সিনেমা দেখতে পারি না, ভিডিও গেম উপভোগ করতে পারি না, যতই মনকে ব্যস্ত রাখার চেষ্টা করি না কেন, নিজেকে মূল্যহীন মনে হয়। আমার এইরকম অনুভূতির কোনও যুক্তি নেই, আমার একটি সুন্দর পরিবার আছে, আমি মোটামুটি সফল, তাই আমি আবার মাদকের প্রতি আসক্ত হওয়ার একমাত্র কারণ হল আমার অনুভূতির একটি ভাল ব্যাখ্যা থাকা। যখন আমি মাদকের প্রতি আসক্ত হই তখন আমি সহজেই আমার বিষণ্ণতার জন্য মাদককে দোষ দিতে পারি। এটি ছাড়া, আমার এইরকম অনুভূতির কোনও কারণ নেই, আমি বোকার মতো অনুভব করি।</v>
      </c>
    </row>
    <row r="318" spans="1:3" ht="15" x14ac:dyDescent="0.25">
      <c r="A318" s="3" t="s">
        <v>319</v>
      </c>
      <c r="B318" s="3" t="s">
        <v>4</v>
      </c>
      <c r="C318" s="4" t="str">
        <f ca="1">IFERROR(__xludf.DUMMYFUNCTION("GOOGLETRANSLATE(A318, ""auto"", ""bn"")"),"আমি আবারও অসুস্থ হয়ে পড়লাম। আমার পুরনো নেশার সাথে আমার যোগাযোগ বিচ্ছিন্ন হয়ে গেল কারণ আমি আমার নম্বর পরিবর্তন করেছিলাম। আমি একজন সৃজনশীল আসক্ত, তাই কিছুদিন আগে যখন আমি তার কাছ থেকে কয়েকটি বার কিনেছিলাম তখন বুঝতে পেরেছিলাম যে আমার কাছে এখনও তার ক্যাশ অ"&amp;"্যাপটি আছে। তাই আমি মাছ ধরতে গিয়েছিলাম। আমি আক্ষরিক অর্থেই সিদ্ধান্ত নিয়েছিলাম যে আমি এলোমেলোভাবে সেই ক্যাশ অ্যাপে $20 পাঠিয়ে আমার ফোন নম্বর সংযুক্ত করব। বাকিটা ইতিহাস। আমরা লিঙ্ক করেছি। 4 বার পেয়েছি, সেই দিন পরে আমার মনে হয় আমি এক গ্রাম ক্লিয়ার কিন"&amp;"ে ফেলেছি। এর পরের জিনিসটি আমি জানি, আমি কোনও সস্তা হোটেলে আমার বাহুতে একটি সুই রাখছি। এই 2 দিনের বিঞ্জের সময়, আমি আমার পুরো সাবক্সোন স্ক্রিপ্টটি হারাতে সক্ষম হয়েছি, এবং জুয়া খেলায় $400 হারিয়েছি। আমি কেবল এই সত্যটিকে ঘৃণা করি যে এই জীবনধারা কোনও কারণে"&amp;" আমার প্রতি আকৃষ্ট হয় এবং এটি কেবল দুর্দশার দিকে পরিচালিত করবে। আমাকে খারাপ হাত দেওয়া হয়েছিল।")</f>
        <v>আমি আবারও অসুস্থ হয়ে পড়লাম। আমার পুরনো নেশার সাথে আমার যোগাযোগ বিচ্ছিন্ন হয়ে গেল কারণ আমি আমার নম্বর পরিবর্তন করেছিলাম। আমি একজন সৃজনশীল আসক্ত, তাই কিছুদিন আগে যখন আমি তার কাছ থেকে কয়েকটি বার কিনেছিলাম তখন বুঝতে পেরেছিলাম যে আমার কাছে এখনও তার ক্যাশ অ্যাপটি আছে। তাই আমি মাছ ধরতে গিয়েছিলাম। আমি আক্ষরিক অর্থেই সিদ্ধান্ত নিয়েছিলাম যে আমি এলোমেলোভাবে সেই ক্যাশ অ্যাপে $20 পাঠিয়ে আমার ফোন নম্বর সংযুক্ত করব। বাকিটা ইতিহাস। আমরা লিঙ্ক করেছি। 4 বার পেয়েছি, সেই দিন পরে আমার মনে হয় আমি এক গ্রাম ক্লিয়ার কিনে ফেলেছি। এর পরের জিনিসটি আমি জানি, আমি কোনও সস্তা হোটেলে আমার বাহুতে একটি সুই রাখছি। এই 2 দিনের বিঞ্জের সময়, আমি আমার পুরো সাবক্সোন স্ক্রিপ্টটি হারাতে সক্ষম হয়েছি, এবং জুয়া খেলায় $400 হারিয়েছি। আমি কেবল এই সত্যটিকে ঘৃণা করি যে এই জীবনধারা কোনও কারণে আমার প্রতি আকৃষ্ট হয় এবং এটি কেবল দুর্দশার দিকে পরিচালিত করবে। আমাকে খারাপ হাত দেওয়া হয়েছিল।</v>
      </c>
    </row>
    <row r="319" spans="1:3" ht="15" x14ac:dyDescent="0.25">
      <c r="A319" s="3" t="s">
        <v>320</v>
      </c>
      <c r="B319" s="3" t="s">
        <v>4</v>
      </c>
      <c r="C319" s="4" t="str">
        <f ca="1">IFERROR(__xludf.DUMMYFUNCTION("GOOGLETRANSLATE(A319, ""auto"", ""bn"")"),"আমি আশা করেছিলাম যে অন্যান্য সুস্থ আসক্তদের কাছ থেকে আসক্তির পর কীভাবে তাদের জীবন পুনর্নির্মাণ করা যায় সে সম্পর্কে কিছু পরামর্শ পাব। আমি এখন আমার মাদকাসক্তি নিয়ে আত্মবিশ্বাসী বোধ করি এবং পুনরায় আসক্তির বিষয়ে চিন্তিত নই, কিন্তু আমার সময়কালে আমি আমার প"&amp;"রিবারকে ধ্বংস করে দিয়েছিলাম (দুটি সন্তান আছে) এবং আমার ক্যারিয়ার ধ্বংস করে দিয়েছিলাম, আমি এখন এমন এক পর্যায়ে এসেছি যেখানে আমার আবার নিজের অ্যাপার্টমেন্ট আছে এবং আমি নিজের জন্য একটি মোটরসাইকেল কিনতে পেরেছি কিন্তু আমি কি সুবিধার উপর জীবনযাপন করছি এবং সত"&amp;"্যি বলতে এখন কী করব তা জানি না, আমার বয়স প্রায় 40 বছর এবং আমার কোনও সম্ভাবনা নেই। আমার চাকরিতে ফাঁক রয়েছে এবং তাই সাক্ষাৎকারে এটি কীভাবে সমাধান করব তা আমি জানি না, আমি মনে করি না যে আমার একটি ফাটল কাটিয়ে ওঠার জন্য সময় বের করতে হবে এবং হেরোইনের আসক্তি"&amp;" ভালোভাবে কমে যাবে, তাই আমি যা জানতে চাই তা হল তোমরা কীভাবে পুনর্নির্মাণ করেছিলে এবং কীভাবে তোমরা তোমাদের আত্মবিশ্বাস ফিরে পেয়েছ!")</f>
        <v>আমি আশা করেছিলাম যে অন্যান্য সুস্থ আসক্তদের কাছ থেকে আসক্তির পর কীভাবে তাদের জীবন পুনর্নির্মাণ করা যায় সে সম্পর্কে কিছু পরামর্শ পাব। আমি এখন আমার মাদকাসক্তি নিয়ে আত্মবিশ্বাসী বোধ করি এবং পুনরায় আসক্তির বিষয়ে চিন্তিত নই, কিন্তু আমার সময়কালে আমি আমার পরিবারকে ধ্বংস করে দিয়েছিলাম (দুটি সন্তান আছে) এবং আমার ক্যারিয়ার ধ্বংস করে দিয়েছিলাম, আমি এখন এমন এক পর্যায়ে এসেছি যেখানে আমার আবার নিজের অ্যাপার্টমেন্ট আছে এবং আমি নিজের জন্য একটি মোটরসাইকেল কিনতে পেরেছি কিন্তু আমি কি সুবিধার উপর জীবনযাপন করছি এবং সত্যি বলতে এখন কী করব তা জানি না, আমার বয়স প্রায় 40 বছর এবং আমার কোনও সম্ভাবনা নেই। আমার চাকরিতে ফাঁক রয়েছে এবং তাই সাক্ষাৎকারে এটি কীভাবে সমাধান করব তা আমি জানি না, আমি মনে করি না যে আমার একটি ফাটল কাটিয়ে ওঠার জন্য সময় বের করতে হবে এবং হেরোইনের আসক্তি ভালোভাবে কমে যাবে, তাই আমি যা জানতে চাই তা হল তোমরা কীভাবে পুনর্নির্মাণ করেছিলে এবং কীভাবে তোমরা তোমাদের আত্মবিশ্বাস ফিরে পেয়েছ!</v>
      </c>
    </row>
    <row r="320" spans="1:3" ht="15" x14ac:dyDescent="0.25">
      <c r="A320" s="3" t="s">
        <v>321</v>
      </c>
      <c r="B320" s="3" t="s">
        <v>4</v>
      </c>
      <c r="C320" s="4" t="str">
        <f ca="1">IFERROR(__xludf.DUMMYFUNCTION("GOOGLETRANSLATE(A320, ""auto"", ""bn"")"),"আমি এখন দ্বিতীয় মধুচন্দ্রিমার পর্যায়ে আছি যাকে আমি দ্বিতীয় মধুচন্দ্রিমা পর্যায় বলে মনে করি। আমার মন পরিষ্কার এবং মনোযোগী। আমার আবেগ ভারসাম্যহীন হয়ে পড়ছে। আমার মানসিক চাপের মাত্রা গত কয়েক বছরের মধ্যে সবচেয়ে কম। অদ্ভুতভাবে, গত রাতে আমি একটি তীব্র ব্"&amp;"যবহারের স্বপ্ন দেখেছিলাম, যা আমার মনের কথা বলে ""এত দ্রুত নয়?"" আসক্তির পর্দা উঠতে থাকে। এই নোংরামির ১৫ বছর হয়ে গেছে, বন্ধু। আমি কয়েক ঘন্টা থেকে ১৪ মাস পর্যন্ত অগণিত চেষ্টা করেছি, এবং আমি কখনও মাদকাসক্তিকে আমার অতীতের অংশ করতে চাইনি। এবার আমি পরিষ্কার "&amp;"হয়েছি কারণ আমি আবারও বাস্তবতার উপর আমার নিয়ন্ত্রণ হারিয়ে ফেলছিলাম। তাছাড়া, আমি কণ্ঠস্বর শুনতে পাচ্ছিলাম। তাছাড়া, আমি ভেঙে পড়েছিলাম। তাছাড়া, আমি তলানিতে ছিলাম। একজন কার্যকরী আসক্ত হিসেবে আমার দিনগুলি শেষ হয়ে গেছে। সম্প্রতি আমি যা নিয়ে অনেক ভাবছি ত"&amp;"া হল মানসিক আসক্তির ধারণা। শারীরিক প্রত্যাহারের ক্ষেত্রে আমার কখনও খুব বেশি বাধা ছিল না। ওপিয়েট কখনও আমার পছন্দের জিনিস ছিল না। আমার সাম্প্রতিক চক্র ছিল প্রতিদিন গাঁজা সেবন, তারপর দুই থেকে তিন দিন অ্যাডেরাল বিংজ। মোম বন্ধ, মোম বন্ধ। কিন্তু যেকোনো আসক্তিক"&amp;"র পদার্থ, এমনকি গাঁজার তুলনামূলকভাবে ক্ষতিকারক কিছু, নিউরোট্রান্সমিশনে শারীরিক পরিবর্তন আনে। মস্তিষ্ক পদার্থ ব্যবহারের সাথে একটি খারাপ অভিযোজন করে, এটি দৈনন্দিন জীবনে এটিকে আঁকড়ে ধরে। আমি মূলত এই চক্রে পড়েছিলাম কারণ আমি এই ধারণাটি সম্পূর্ণরূপে ভুল বুঝেছ"&amp;"িলাম। আসক্তি আমি যা ভেবেছিলাম তা নয়। এটি অনেক খারাপ। এটি মনকে দখল করে নেয়। তদুপরি, এটি আপনার প্রয়োজনীয় জিনিসটি কেড়ে নেয় এবং আপনিই শেষ ব্যক্তি যিনি এটি জানেন। তরুণ প্রজন্মের কাছে এই জ্ঞানটি পৌঁছে দেওয়ার চেয়ে আমার আর কিছুই চাওয়ার নেই, আমার মতো লোকে"&amp;"রা যারা জানে না যে তারা নিজেদেরকে সত্যিই ভয়ঙ্কর কিছুতে জড়িয়ে ফেলছে, কিন্তু একই সাথে আমি এটিকে বোকার কাজ বলে মনে করি। যখন মাদক একটি নতুন এবং সত্যিই আনন্দদায়ক অভিজ্ঞতা ছিল তখন কি আমি শুনতাম? আমার মনে হয় না। প্রথমবার যখন আমি সচেতনভাবে পরিষ্কার হওয়ার চে"&amp;"ষ্টা করেছিলাম তখন দশ বছরেরও বেশি সময় আগে। পুনরুদ্ধার এবং পুনরায় রোগের এই পুনরাবৃত্তি চক্রের সময়, আমি অনেক বন্ধু হারিয়েছি। আমার সবচেয়ে ভালো বন্ধু আমাকে তার বিয়েতে আমন্ত্রণ জানায়নি। কখনও কোনও ঝগড়া হয়নি। মানুষ কেবল আমার থেকে নিজেদের দূরে সরিয়ে নিয়"&amp;"েছে। আমি একটা দায়। আমি অনেক কিছু মিস করেছি। কিছু দিন আমি কেবল অনুশোচনা অনুভব করি। অন্য দিন আমি নিজেকে মনে করিয়ে দিয়ে শান্তি পাই যে আমি আরও নম্র, আরও যত্নশীল এবং আরও বোধগম্য ব্যক্তি কারণ আমার জীবনে আসক্তির বিপর্যয় নেমে এসেছে। আমি ব্যর্থতাকে ঘনিষ্ঠভাবে "&amp;"বুঝতে পারি। আমি জানি ভুলের মধ্যে থাকা কেমন লাগে। আমি সত্যিই কিছু ভয়ঙ্কর কাজ করেছি যা আমাকে রাত জেগে রাখে। আমার শান্ত মন সক্রিয় আসক্তিতে আমার ক্রিয়াকলাপগুলিকে সামঞ্জস্য করতে লড়াই করে, এবং যদি আমি সতর্ক না হই তবে কেবল এটিই আমাকে পুনরায় ফিরে আসতে বাধ্য "&amp;"করবে। এত ট্রিগার, এত ট্রমা পয়েন্ট আছে যে মাঝে মাঝে আমি কেবল চিৎকার করতে চাই। অথবা ১০০ মাইল প্রতি ঘণ্টা গতিতে একটি ইটের দেয়ালে ধাক্কা দিতে, আমার সুস্থতার জন্য এই সংগ্রামকে সম্পূর্ণভাবে শেষ করে দিতে। অথবা উচ্চাকাঙ্ক্ষী হয়ে উঠুন। এই সপ্তাহে আমি দারুন অনুভ"&amp;"ব করছি। এক সপ্তাহ আগে আমি আমার বুদ্ধির শেষ প্রান্তে ছিলাম। ঠিক এভাবেই চলছে। গতকাল আমি আমার বাবার খামার পরিদর্শন করেছি। ওহাইওতে গত কয়েকদিন ধরে এত তুষারপাত হয়েছে যে আমি কাজ করতে পারছি না। আমি UberEats-এ গাড়ি চালাই, কিন্তু আমার কাছে RWD গাড়ি আছে। তুষারে এটা "&amp;"ভালোভাবে চলাচল করে, কিন্তু যখন আমরা গাড়িতে করে ফেলে দেওয়া হয় তখন আটকে যাওয়ার সম্ভাবনা থাকে। একঘেয়েমি আমার সবচেয়ে বড় শত্রু। আমি এতটাই অস্থির ছিলাম যে আমার বাচ্চা আর পশুপাখিদের দেখার জন্য আধ ঘন্টার পথ পাড়ি দিয়েছিলাম। আসলে আমি শুধু নতুন কুকুরছানাটির সাথে খে"&amp;"লতে চেয়েছিলাম। আমরা তুষারে এদিক-ওদিক ছুটে বেড়াতাম। কুকুরছানা, আমি আর একই জাতের প্রাপ্তবয়স্ক কুকুরটি। আমার হৃদয় অনেক ভালোবাসা আর আনন্দে ভরে গিয়েছিল। আমার ফসলের ব্যাপারে আমি চিন্তিত ছিলাম না। আমার বং-এ বাড়ি ফেরার তাড়াহুড়ো ছিলাম না। তাছাড়া, আমি উন্মাদ ছিলা"&amp;"ম না কারণ আমি আমার সমস্ত আয় এবং তারপর কিছু ($400+/মাস) গাঁজার পেছনেই খরচ করে ফেলেছিলাম। তাছাড়া, আমি সত্যিই সেই মুহূর্তে রাতের খাবারের জন্য বসে ছিলাম এবং গভীর রাত পর্যন্ত আমার বাবা আর তার স্ত্রীর সাথে গল্প করছিলাম। তাছাড়া, আমি ভাবলাম আমি কতটা স্বাধীন বোধ "&amp;"করছি, মাদক আর আমার জীবনকে পরিচালনা করে না, এবং এটি প্রাপ্তবয়স্ক মানুষকে কাঁদিয়ে ফেলার জন্য যথেষ্ট। আসক্তি একটি দুঃস্বপ্ন। আমার মনে হয় না তুমি এটা বুঝতে পারবে যতক্ষণ না তুমি চক্রটি ভেঙে ফেলো। আমি কী করছিলাম? এটা জীবন নয়। এটাই। আমি আর আমার বান্ধবী বারবার"&amp;" বার্তা পাঠাতাম যখন আমি বাড়ি ফিরেছিলাম। আমি আরামে ঘুমাতে গেলাম। তবুও এটি স্বপ্ন ব্যবহারের একটি রাত ছিল। অদৃশ্য হাতের দ্বারা পুনরুদ্ধারের একটি দিন, সেই জীবনযাত্রায় ফিরে যাওয়ার চেষ্টা করে, অনেক আগে চলে যাওয়া উচ্চমানের অসুস্থ স্মৃতি, একটি স্মরণ করিয়ে দে"&amp;"য় যে আমি আমার বাকি জীবন এই ভয়ঙ্কর যন্ত্রণার সাথে বেঁচে থাকব। কেউ আমার 16 বছর বয়সী নিজেকে বলুন যে মাদকের কোনও মূল্য নেই। আমার বয়স 31, এবং আমি এখনই বাঁচতে শুরু করেছি।")</f>
        <v>আমি এখন দ্বিতীয় মধুচন্দ্রিমার পর্যায়ে আছি যাকে আমি দ্বিতীয় মধুচন্দ্রিমা পর্যায় বলে মনে করি। আমার মন পরিষ্কার এবং মনোযোগী। আমার আবেগ ভারসাম্যহীন হয়ে পড়ছে। আমার মানসিক চাপের মাত্রা গত কয়েক বছরের মধ্যে সবচেয়ে কম। অদ্ভুতভাবে, গত রাতে আমি একটি তীব্র ব্যবহারের স্বপ্ন দেখেছিলাম, যা আমার মনের কথা বলে "এত দ্রুত নয়?" আসক্তির পর্দা উঠতে থাকে। এই নোংরামির ১৫ বছর হয়ে গেছে, বন্ধু। আমি কয়েক ঘন্টা থেকে ১৪ মাস পর্যন্ত অগণিত চেষ্টা করেছি, এবং আমি কখনও মাদকাসক্তিকে আমার অতীতের অংশ করতে চাইনি। এবার আমি পরিষ্কার হয়েছি কারণ আমি আবারও বাস্তবতার উপর আমার নিয়ন্ত্রণ হারিয়ে ফেলছিলাম। তাছাড়া, আমি কণ্ঠস্বর শুনতে পাচ্ছিলাম। তাছাড়া, আমি ভেঙে পড়েছিলাম। তাছাড়া, আমি তলানিতে ছিলাম। একজন কার্যকরী আসক্ত হিসেবে আমার দিনগুলি শেষ হয়ে গেছে। সম্প্রতি আমি যা নিয়ে অনেক ভাবছি তা হল মানসিক আসক্তির ধারণা। শারীরিক প্রত্যাহারের ক্ষেত্রে আমার কখনও খুব বেশি বাধা ছিল না। ওপিয়েট কখনও আমার পছন্দের জিনিস ছিল না। আমার সাম্প্রতিক চক্র ছিল প্রতিদিন গাঁজা সেবন, তারপর দুই থেকে তিন দিন অ্যাডেরাল বিংজ। মোম বন্ধ, মোম বন্ধ। কিন্তু যেকোনো আসক্তিকর পদার্থ, এমনকি গাঁজার তুলনামূলকভাবে ক্ষতিকারক কিছু, নিউরোট্রান্সমিশনে শারীরিক পরিবর্তন আনে। মস্তিষ্ক পদার্থ ব্যবহারের সাথে একটি খারাপ অভিযোজন করে, এটি দৈনন্দিন জীবনে এটিকে আঁকড়ে ধরে। আমি মূলত এই চক্রে পড়েছিলাম কারণ আমি এই ধারণাটি সম্পূর্ণরূপে ভুল বুঝেছিলাম। আসক্তি আমি যা ভেবেছিলাম তা নয়। এটি অনেক খারাপ। এটি মনকে দখল করে নেয়। তদুপরি, এটি আপনার প্রয়োজনীয় জিনিসটি কেড়ে নেয় এবং আপনিই শেষ ব্যক্তি যিনি এটি জানেন। তরুণ প্রজন্মের কাছে এই জ্ঞানটি পৌঁছে দেওয়ার চেয়ে আমার আর কিছুই চাওয়ার নেই, আমার মতো লোকেরা যারা জানে না যে তারা নিজেদেরকে সত্যিই ভয়ঙ্কর কিছুতে জড়িয়ে ফেলছে, কিন্তু একই সাথে আমি এটিকে বোকার কাজ বলে মনে করি। যখন মাদক একটি নতুন এবং সত্যিই আনন্দদায়ক অভিজ্ঞতা ছিল তখন কি আমি শুনতাম? আমার মনে হয় না। প্রথমবার যখন আমি সচেতনভাবে পরিষ্কার হওয়ার চেষ্টা করেছিলাম তখন দশ বছরেরও বেশি সময় আগে। পুনরুদ্ধার এবং পুনরায় রোগের এই পুনরাবৃত্তি চক্রের সময়, আমি অনেক বন্ধু হারিয়েছি। আমার সবচেয়ে ভালো বন্ধু আমাকে তার বিয়েতে আমন্ত্রণ জানায়নি। কখনও কোনও ঝগড়া হয়নি। মানুষ কেবল আমার থেকে নিজেদের দূরে সরিয়ে নিয়েছে। আমি একটা দায়। আমি অনেক কিছু মিস করেছি। কিছু দিন আমি কেবল অনুশোচনা অনুভব করি। অন্য দিন আমি নিজেকে মনে করিয়ে দিয়ে শান্তি পাই যে আমি আরও নম্র, আরও যত্নশীল এবং আরও বোধগম্য ব্যক্তি কারণ আমার জীবনে আসক্তির বিপর্যয় নেমে এসেছে। আমি ব্যর্থতাকে ঘনিষ্ঠভাবে বুঝতে পারি। আমি জানি ভুলের মধ্যে থাকা কেমন লাগে। আমি সত্যিই কিছু ভয়ঙ্কর কাজ করেছি যা আমাকে রাত জেগে রাখে। আমার শান্ত মন সক্রিয় আসক্তিতে আমার ক্রিয়াকলাপগুলিকে সামঞ্জস্য করতে লড়াই করে, এবং যদি আমি সতর্ক না হই তবে কেবল এটিই আমাকে পুনরায় ফিরে আসতে বাধ্য করবে। এত ট্রিগার, এত ট্রমা পয়েন্ট আছে যে মাঝে মাঝে আমি কেবল চিৎকার করতে চাই। অথবা ১০০ মাইল প্রতি ঘণ্টা গতিতে একটি ইটের দেয়ালে ধাক্কা দিতে, আমার সুস্থতার জন্য এই সংগ্রামকে সম্পূর্ণভাবে শেষ করে দিতে। অথবা উচ্চাকাঙ্ক্ষী হয়ে উঠুন। এই সপ্তাহে আমি দারুন অনুভব করছি। এক সপ্তাহ আগে আমি আমার বুদ্ধির শেষ প্রান্তে ছিলাম। ঠিক এভাবেই চলছে। গতকাল আমি আমার বাবার খামার পরিদর্শন করেছি। ওহাইওতে গত কয়েকদিন ধরে এত তুষারপাত হয়েছে যে আমি কাজ করতে পারছি না। আমি UberEats-এ গাড়ি চালাই, কিন্তু আমার কাছে RWD গাড়ি আছে। তুষারে এটা ভালোভাবে চলাচল করে, কিন্তু যখন আমরা গাড়িতে করে ফেলে দেওয়া হয় তখন আটকে যাওয়ার সম্ভাবনা থাকে। একঘেয়েমি আমার সবচেয়ে বড় শত্রু। আমি এতটাই অস্থির ছিলাম যে আমার বাচ্চা আর পশুপাখিদের দেখার জন্য আধ ঘন্টার পথ পাড়ি দিয়েছিলাম। আসলে আমি শুধু নতুন কুকুরছানাটির সাথে খেলতে চেয়েছিলাম। আমরা তুষারে এদিক-ওদিক ছুটে বেড়াতাম। কুকুরছানা, আমি আর একই জাতের প্রাপ্তবয়স্ক কুকুরটি। আমার হৃদয় অনেক ভালোবাসা আর আনন্দে ভরে গিয়েছিল। আমার ফসলের ব্যাপারে আমি চিন্তিত ছিলাম না। আমার বং-এ বাড়ি ফেরার তাড়াহুড়ো ছিলাম না। তাছাড়া, আমি উন্মাদ ছিলাম না কারণ আমি আমার সমস্ত আয় এবং তারপর কিছু ($400+/মাস) গাঁজার পেছনেই খরচ করে ফেলেছিলাম। তাছাড়া, আমি সত্যিই সেই মুহূর্তে রাতের খাবারের জন্য বসে ছিলাম এবং গভীর রাত পর্যন্ত আমার বাবা আর তার স্ত্রীর সাথে গল্প করছিলাম। তাছাড়া, আমি ভাবলাম আমি কতটা স্বাধীন বোধ করছি, মাদক আর আমার জীবনকে পরিচালনা করে না, এবং এটি প্রাপ্তবয়স্ক মানুষকে কাঁদিয়ে ফেলার জন্য যথেষ্ট। আসক্তি একটি দুঃস্বপ্ন। আমার মনে হয় না তুমি এটা বুঝতে পারবে যতক্ষণ না তুমি চক্রটি ভেঙে ফেলো। আমি কী করছিলাম? এটা জীবন নয়। এটাই। আমি আর আমার বান্ধবী বারবার বার্তা পাঠাতাম যখন আমি বাড়ি ফিরেছিলাম। আমি আরামে ঘুমাতে গেলাম। তবুও এটি স্বপ্ন ব্যবহারের একটি রাত ছিল। অদৃশ্য হাতের দ্বারা পুনরুদ্ধারের একটি দিন, সেই জীবনযাত্রায় ফিরে যাওয়ার চেষ্টা করে, অনেক আগে চলে যাওয়া উচ্চমানের অসুস্থ স্মৃতি, একটি স্মরণ করিয়ে দেয় যে আমি আমার বাকি জীবন এই ভয়ঙ্কর যন্ত্রণার সাথে বেঁচে থাকব। কেউ আমার 16 বছর বয়সী নিজেকে বলুন যে মাদকের কোনও মূল্য নেই। আমার বয়স 31, এবং আমি এখনই বাঁচতে শুরু করেছি।</v>
      </c>
    </row>
    <row r="321" spans="1:3" ht="15" x14ac:dyDescent="0.25">
      <c r="A321" s="3" t="s">
        <v>322</v>
      </c>
      <c r="B321" s="3" t="s">
        <v>4</v>
      </c>
      <c r="C321" s="4" t="str">
        <f ca="1">IFERROR(__xludf.DUMMYFUNCTION("GOOGLETRANSLATE(A321, ""auto"", ""bn"")"),"আমি প্রায় ৩ দিন ধরে ৩-FPM পর্যন্ত নাক ডাকতাম। সারা দিন ও রাত জেগে থাকতাম এবং অবশেষে ক্লোনাজেপাম এবং হুইস্কি খেয়ে ঘুম ভেঙে যেত। তারপর দীর্ঘ ঘুমের পর আবার ৩fpm পর্যন্ত ঘুমাতে হতো। এটা এমন একটা লুপ ছিল যা আমি থামাতে চাইনি। এটা বন্ধ হওয়ার একমাত্র কারণ হল আমা"&amp;"র অর্ধাংশ কেটে ফেলা হয়েছিল। তবুও আমি এটাকে সাময়িক বিপত্তি হিসেবে দেখেছিলাম এবং আবারও এটা করার জন্য অধীর আগ্রহে অপেক্ষা করছিলাম। আমার সাইনাস এখনও খারাপ অবস্থায় আছে :-(সময় গড়ানোর সাথে সাথে আমি বুঝতে পারি যে আমি খারাপ জায়গায় ছিলাম এবং এটা ছাড়া আমি ভালো আছি"&amp;" এবং একজন ভালো মানুষও হতে পারি।")</f>
        <v>আমি প্রায় ৩ দিন ধরে ৩-FPM পর্যন্ত নাক ডাকতাম। সারা দিন ও রাত জেগে থাকতাম এবং অবশেষে ক্লোনাজেপাম এবং হুইস্কি খেয়ে ঘুম ভেঙে যেত। তারপর দীর্ঘ ঘুমের পর আবার ৩fpm পর্যন্ত ঘুমাতে হতো। এটা এমন একটা লুপ ছিল যা আমি থামাতে চাইনি। এটা বন্ধ হওয়ার একমাত্র কারণ হল আমার অর্ধাংশ কেটে ফেলা হয়েছিল। তবুও আমি এটাকে সাময়িক বিপত্তি হিসেবে দেখেছিলাম এবং আবারও এটা করার জন্য অধীর আগ্রহে অপেক্ষা করছিলাম। আমার সাইনাস এখনও খারাপ অবস্থায় আছে :-(সময় গড়ানোর সাথে সাথে আমি বুঝতে পারি যে আমি খারাপ জায়গায় ছিলাম এবং এটা ছাড়া আমি ভালো আছি এবং একজন ভালো মানুষও হতে পারি।</v>
      </c>
    </row>
    <row r="322" spans="1:3" ht="15" x14ac:dyDescent="0.25">
      <c r="A322" s="3" t="s">
        <v>323</v>
      </c>
      <c r="B322" s="3" t="s">
        <v>4</v>
      </c>
      <c r="C322" s="4" t="str">
        <f ca="1">IFERROR(__xludf.DUMMYFUNCTION("GOOGLETRANSLATE(A322, ""auto"", ""bn"")"),"""পুনরুদ্ধার"" ধারণা এবং আসক্তি এবং মানসিক অসুস্থতার প্রকৃতি নিয়ে আমি লড়াই করছি। আমি আগাছা এবং সম্পর্কের (সহ-নির্ভরতা) প্রতি আসক্ত। আমি যদি নিজেকে তাদের সংস্পর্শে আসতে দেই তবে আমি আরও খারাপ জিনিসের প্রতি আসক্ত হয়ে পড়ব, কিন্তু আমি নিজেকে যথেষ্ট ভালোভাব"&amp;"ে জানি যে নিজেকে এই পরিস্থিতিতে ফেলব না। আমার প্রশ্ন হল, যদি আপনার এই ধরণের ""আসক্তিক ব্যক্তিত্ব"" থাকে (অর্থাৎ মানসিক অসুস্থতা, আমার ক্ষেত্রে OCD).....আরোগ্যলাভ কেমন দেখাবে??? আমার কাছে এমন একটি ভবিষ্যতের ধারণা করা অসম্ভব যেখানে আমার কোনও অস্বাস্থ্যকর অন"&amp;"্তর্নিহিত প্রয়োজন নেই। তা আগাছা হোক, সম্পর্ক হোক, চিনি হোক, যৌনতা হোক, মনোযোগ হোক ইত্যাদি। যদি আমি সুস্থ থাকার জন্য এবং নিজের উপর মনোযোগ দেওয়ার জন্য এই সব ছেড়ে দিই.....আমি সম্ভবত আমার শখগুলির মধ্যে একটিকে আসক্তিকর, অস্বাস্থ্যকর মাত্রায় বিকশিত করব, যেম"&amp;"ন আমার আংশিকভাবে সুস্থ হয়ে ওঠা মদ্যপ বাবা দৌড়ানো/ব্যায়াম করে গেছেন। স্পষ্ট করে বলতে গেলে, আমি বর্তমানে OCD-এর জন্য ওষুধ খাচ্ছি এবং এটি অবশ্যই সাহায্য করে, তবে থেরাপি এবং ওষুধের কোনও সংমিশ্রণ কখনও আমার আসক্তির প্রবণতাগুলি সমাধান করতে পারবে তা বিশ্বাস কর"&amp;"া আমার পক্ষে কঠিন। আশা আছে কি? সুস্থতার কি এমন কোন অর্থ আছে যেখানে আপনি ঘুম থেকে উঠে বুঝতে পারবেন ""আরে, আমার কোনও কিছুর প্রতি/কারও প্রতি অস্বাস্থ্যকর আকাঙ্ক্ষা নেই। মনে হয় আমি ১০০% সুস্থ হয়ে উঠেছি""???")</f>
        <v>"পুনরুদ্ধার" ধারণা এবং আসক্তি এবং মানসিক অসুস্থতার প্রকৃতি নিয়ে আমি লড়াই করছি। আমি আগাছা এবং সম্পর্কের (সহ-নির্ভরতা) প্রতি আসক্ত। আমি যদি নিজেকে তাদের সংস্পর্শে আসতে দেই তবে আমি আরও খারাপ জিনিসের প্রতি আসক্ত হয়ে পড়ব, কিন্তু আমি নিজেকে যথেষ্ট ভালোভাবে জানি যে নিজেকে এই পরিস্থিতিতে ফেলব না। আমার প্রশ্ন হল, যদি আপনার এই ধরণের "আসক্তিক ব্যক্তিত্ব" থাকে (অর্থাৎ মানসিক অসুস্থতা, আমার ক্ষেত্রে OCD).....আরোগ্যলাভ কেমন দেখাবে??? আমার কাছে এমন একটি ভবিষ্যতের ধারণা করা অসম্ভব যেখানে আমার কোনও অস্বাস্থ্যকর অন্তর্নিহিত প্রয়োজন নেই। তা আগাছা হোক, সম্পর্ক হোক, চিনি হোক, যৌনতা হোক, মনোযোগ হোক ইত্যাদি। যদি আমি সুস্থ থাকার জন্য এবং নিজের উপর মনোযোগ দেওয়ার জন্য এই সব ছেড়ে দিই.....আমি সম্ভবত আমার শখগুলির মধ্যে একটিকে আসক্তিকর, অস্বাস্থ্যকর মাত্রায় বিকশিত করব, যেমন আমার আংশিকভাবে সুস্থ হয়ে ওঠা মদ্যপ বাবা দৌড়ানো/ব্যায়াম করে গেছেন। স্পষ্ট করে বলতে গেলে, আমি বর্তমানে OCD-এর জন্য ওষুধ খাচ্ছি এবং এটি অবশ্যই সাহায্য করে, তবে থেরাপি এবং ওষুধের কোনও সংমিশ্রণ কখনও আমার আসক্তির প্রবণতাগুলি সমাধান করতে পারবে তা বিশ্বাস করা আমার পক্ষে কঠিন। আশা আছে কি? সুস্থতার কি এমন কোন অর্থ আছে যেখানে আপনি ঘুম থেকে উঠে বুঝতে পারবেন "আরে, আমার কোনও কিছুর প্রতি/কারও প্রতি অস্বাস্থ্যকর আকাঙ্ক্ষা নেই। মনে হয় আমি ১০০% সুস্থ হয়ে উঠেছি"???</v>
      </c>
    </row>
    <row r="323" spans="1:3" ht="15" x14ac:dyDescent="0.25">
      <c r="A323" s="3" t="s">
        <v>324</v>
      </c>
      <c r="B323" s="3" t="s">
        <v>4</v>
      </c>
      <c r="C323" s="4" t="str">
        <f ca="1">IFERROR(__xludf.DUMMYFUNCTION("GOOGLETRANSLATE(A323, ""auto"", ""bn"")"),"সিজোফ্রেনিয়া, বাইপোলার, ADHD, উইলিস ইকোনমি ডিজিজ এবং প্যানিক ডিসঅর্ডারের চিকিৎসার জন্য আমাকে দশটি ওষুধ দেওয়া হয়েছে। এর উপরে, আমি রাতে কয়েকটি পানীয়ের সাথে দশ থেকে বিশ গ্রাম Kr অ্যাটম গ্রহণ করি। কখন আমার লিভার নিয়ে চিন্তা করা উচিত? সাম্প্রতিক পরীক্ষাগ"&amp;"ুলি বলেছে যে আমার লিভারের এনজাইমগুলি ঠিক আছে, তবে আমি কেবল ভাবছি যে আমি কতক্ষণ ক্ষতি না করে আমার শরীরে 12 টি পদার্থ রাখতে পারি। আমি Lauda, ​​Vyvanse, Adderall, Klonopin, Genotropin, Ropinirole, gabapentin, levothyroxine, testosterone gel, propranolol, plu"&amp;"s alcohol এবং Kr অ্যাটম গ্রহণ করছি। এই সমস্ত ওষুধের আসক্তির দিকটির উপর জোর না দিয়ে, কখন লোকেরা তাদের লিভার নিয়ে চিন্তা করতে শুরু করে? এটি কি অস্থির, নাকি আমি নিয়মিত রক্ত ​​পরীক্ষা করানোর সময় এটি নিয়ে চিন্তা না করেই আমার দৈনন্দিন জীবনযাপন করতে পারি? ক"&amp;"িছু লোকের লিভারে গুরুতর আঘাতের কারণ কী, যখন আমার মতো অন্যরা লক্ষণীয় পার্থক্য ছাড়াই প্রচুর পরিমাণে ওষুধ খাচ্ছে? এটা কি জেনেটিক্সের উপর নির্ভর করে?")</f>
        <v>সিজোফ্রেনিয়া, বাইপোলার, ADHD, উইলিস ইকোনমি ডিজিজ এবং প্যানিক ডিসঅর্ডারের চিকিৎসার জন্য আমাকে দশটি ওষুধ দেওয়া হয়েছে। এর উপরে, আমি রাতে কয়েকটি পানীয়ের সাথে দশ থেকে বিশ গ্রাম Kr অ্যাটম গ্রহণ করি। কখন আমার লিভার নিয়ে চিন্তা করা উচিত? সাম্প্রতিক পরীক্ষাগুলি বলেছে যে আমার লিভারের এনজাইমগুলি ঠিক আছে, তবে আমি কেবল ভাবছি যে আমি কতক্ষণ ক্ষতি না করে আমার শরীরে 12 টি পদার্থ রাখতে পারি। আমি Lauda, ​​Vyvanse, Adderall, Klonopin, Genotropin, Ropinirole, gabapentin, levothyroxine, testosterone gel, propranolol, plus alcohol এবং Kr অ্যাটম গ্রহণ করছি। এই সমস্ত ওষুধের আসক্তির দিকটির উপর জোর না দিয়ে, কখন লোকেরা তাদের লিভার নিয়ে চিন্তা করতে শুরু করে? এটি কি অস্থির, নাকি আমি নিয়মিত রক্ত ​​পরীক্ষা করানোর সময় এটি নিয়ে চিন্তা না করেই আমার দৈনন্দিন জীবনযাপন করতে পারি? কিছু লোকের লিভারে গুরুতর আঘাতের কারণ কী, যখন আমার মতো অন্যরা লক্ষণীয় পার্থক্য ছাড়াই প্রচুর পরিমাণে ওষুধ খাচ্ছে? এটা কি জেনেটিক্সের উপর নির্ভর করে?</v>
      </c>
    </row>
    <row r="324" spans="1:3" ht="15" x14ac:dyDescent="0.25">
      <c r="A324" s="3" t="s">
        <v>325</v>
      </c>
      <c r="B324" s="3" t="s">
        <v>4</v>
      </c>
      <c r="C324" s="4" t="str">
        <f ca="1">IFERROR(__xludf.DUMMYFUNCTION("GOOGLETRANSLATE(A324, ""auto"", ""bn"")"),"কেউ হয়তো পরোয়া করবে না, কিন্তু আমাকে কারো সাথে কথা বলতে হবে। এক মাস হয়ে গেছে যখন আমি শেষবার এক শতাংশও নিয়েছি এবং জীবন অসাধারণ হয়ে উঠেছে, এবং দিন দিন আরও ভালো হচ্ছে। Kr atom এর এতে বড় ভূমিকা ছিল। অনেকদিন পর আমি নিজের উপর গর্ব অনুভব করছি। আমার অতীতের সিদ্ধা"&amp;"ন্ত এবং অর্থের অপচয়ের লজ্জা/অপরাধবোধ আমাকে প্রক্রিয়া করতে হচ্ছে কিন্তু আমি প্রতিদিন এটি নিয়ে কাজ করছি। আমি জিমে যেতে শুরু করেছি এবং একটি পার্শ্ব ব্যবসা তৈরি করার জন্য 3D সফ্টওয়্যার শিখতে শুরু করেছি। এক মাস আগে আমি সারাদিন গাঁজা ধূমপান করতাম এবং পার্সির ক"&amp;"থা মাথা নাড়তাম। Kr atom আমাকে প্রত্যাহারের সময় বাঁচিয়েছিল এবং এখন আমি Kr atom কে প্রতিদিন 3g-4g এ কমিয়ে আনছি। যদি তুমি এটি আবার পড়ো এবং সংগ্রাম করো, তাহলে জেনে রাখো এটা ভালো হবে। কারণ আমি বিশ্বাস করিনি যে এটা হবে।")</f>
        <v>কেউ হয়তো পরোয়া করবে না, কিন্তু আমাকে কারো সাথে কথা বলতে হবে। এক মাস হয়ে গেছে যখন আমি শেষবার এক শতাংশও নিয়েছি এবং জীবন অসাধারণ হয়ে উঠেছে, এবং দিন দিন আরও ভালো হচ্ছে। Kr atom এর এতে বড় ভূমিকা ছিল। অনেকদিন পর আমি নিজের উপর গর্ব অনুভব করছি। আমার অতীতের সিদ্ধান্ত এবং অর্থের অপচয়ের লজ্জা/অপরাধবোধ আমাকে প্রক্রিয়া করতে হচ্ছে কিন্তু আমি প্রতিদিন এটি নিয়ে কাজ করছি। আমি জিমে যেতে শুরু করেছি এবং একটি পার্শ্ব ব্যবসা তৈরি করার জন্য 3D সফ্টওয়্যার শিখতে শুরু করেছি। এক মাস আগে আমি সারাদিন গাঁজা ধূমপান করতাম এবং পার্সির কথা মাথা নাড়তাম। Kr atom আমাকে প্রত্যাহারের সময় বাঁচিয়েছিল এবং এখন আমি Kr atom কে প্রতিদিন 3g-4g এ কমিয়ে আনছি। যদি তুমি এটি আবার পড়ো এবং সংগ্রাম করো, তাহলে জেনে রাখো এটা ভালো হবে। কারণ আমি বিশ্বাস করিনি যে এটা হবে।</v>
      </c>
    </row>
    <row r="325" spans="1:3" ht="15" x14ac:dyDescent="0.25">
      <c r="A325" s="3" t="s">
        <v>326</v>
      </c>
      <c r="B325" s="3" t="s">
        <v>4</v>
      </c>
      <c r="C325" s="4" t="str">
        <f ca="1">IFERROR(__xludf.DUMMYFUNCTION("GOOGLETRANSLATE(A325, ""auto"", ""bn"")"),"আজ বেজোস ৩ মাসের ছুটিতে আছেন, আমাকে জেলে যেতে হয়েছে এবং তাদের কাছ থেকে থামতে বাধ্য করা হয়েছে কিন্তু আমি খুশি যে এটা ঘটেছে এবং কিছু একটার জন্য অনুশোচনা করছি, সত্যিই আমার জীবন বাঁচিয়েছে। প্রতিদিন এখনও একটি সংগ্রাম, এখনও মানসিক স্বাস্থ্য নিয়ে ভুগছি, কিন্"&amp;"তু আমি এখন আমার ভবিষ্যতে ইতিবাচক কিছু দেখতে পাচ্ছি, যারা লড়াই করছেন তাদের জন্য দয়া করে চালিয়ে যান, সময়টা আরও ভালো হবে, কারণ সময়টা আপনার সেরা বন্ধু এবং শত্রুও বটে।")</f>
        <v>আজ বেজোস ৩ মাসের ছুটিতে আছেন, আমাকে জেলে যেতে হয়েছে এবং তাদের কাছ থেকে থামতে বাধ্য করা হয়েছে কিন্তু আমি খুশি যে এটা ঘটেছে এবং কিছু একটার জন্য অনুশোচনা করছি, সত্যিই আমার জীবন বাঁচিয়েছে। প্রতিদিন এখনও একটি সংগ্রাম, এখনও মানসিক স্বাস্থ্য নিয়ে ভুগছি, কিন্তু আমি এখন আমার ভবিষ্যতে ইতিবাচক কিছু দেখতে পাচ্ছি, যারা লড়াই করছেন তাদের জন্য দয়া করে চালিয়ে যান, সময়টা আরও ভালো হবে, কারণ সময়টা আপনার সেরা বন্ধু এবং শত্রুও বটে।</v>
      </c>
    </row>
    <row r="326" spans="1:3" ht="15" x14ac:dyDescent="0.25">
      <c r="A326" s="3" t="s">
        <v>327</v>
      </c>
      <c r="B326" s="3" t="s">
        <v>4</v>
      </c>
      <c r="C326" s="4" t="str">
        <f ca="1">IFERROR(__xludf.DUMMYFUNCTION("GOOGLETRANSLATE(A326, ""auto"", ""bn"")"),"আমি প্রতিদিন সুপারিশকৃত চিনির পরিমাণের প্রায় ৩-৪ গুণ বেশি গ্রহণ করি। আমার ওজন বাড়েনি, কিন্তু আমি দ্রুত ডায়াবেটিসের দিকে ধাবিত হচ্ছি। তাছাড়া, আমি এটার জন্য আকুল। এটা স্বাভাবিকভাবেই মাদকের আকাঙ্ক্ষার মতো। তাই, যেকোনো প্রত্যাহারের মতো, আপনার মনেও খারাপ ল"&amp;"াগছে। এখন ৩ দিন হয়ে গেছে। আকাঙ্ক্ষা কমে গেছে কিন্তু ওহ মাই গড, মাথাব্যথা শুরু হয়েছে, এবং তারা তীব্র হয়ে উঠছে। আমি অ্যাসপিরিন এবং টাইলেনল কমিয়ে দিচ্ছি...ক্যান্ডির মতো। খুব কম সাহায্য। তাহলে...এই মাথাব্যথা কমাতে আমি কি কিছু করতে পারি? ভিটামিন, খাবার, পা"&amp;"নীয়, কিছু? কিছু?")</f>
        <v>আমি প্রতিদিন সুপারিশকৃত চিনির পরিমাণের প্রায় ৩-৪ গুণ বেশি গ্রহণ করি। আমার ওজন বাড়েনি, কিন্তু আমি দ্রুত ডায়াবেটিসের দিকে ধাবিত হচ্ছি। তাছাড়া, আমি এটার জন্য আকুল। এটা স্বাভাবিকভাবেই মাদকের আকাঙ্ক্ষার মতো। তাই, যেকোনো প্রত্যাহারের মতো, আপনার মনেও খারাপ লাগছে। এখন ৩ দিন হয়ে গেছে। আকাঙ্ক্ষা কমে গেছে কিন্তু ওহ মাই গড, মাথাব্যথা শুরু হয়েছে, এবং তারা তীব্র হয়ে উঠছে। আমি অ্যাসপিরিন এবং টাইলেনল কমিয়ে দিচ্ছি...ক্যান্ডির মতো। খুব কম সাহায্য। তাহলে...এই মাথাব্যথা কমাতে আমি কি কিছু করতে পারি? ভিটামিন, খাবার, পানীয়, কিছু? কিছু?</v>
      </c>
    </row>
    <row r="327" spans="1:3" ht="15" x14ac:dyDescent="0.25">
      <c r="A327" s="3" t="s">
        <v>328</v>
      </c>
      <c r="B327" s="3" t="s">
        <v>4</v>
      </c>
      <c r="C327" s="4" t="str">
        <f ca="1">IFERROR(__xludf.DUMMYFUNCTION("GOOGLETRANSLATE(A327, ""auto"", ""bn"")"),"শীঘ্রই? আমি সত্যিই একটা জটিল আসক্তির সাথে লড়াই করছি। আমি অনেক পেশাদার, ডাক্তার, থেরাপিস্ট ইত্যাদির সাথে দেখা করেছি কিন্তু কেউই আমাকে সাহায্য করতে সক্ষম বলে মনে হচ্ছে না। এই পাগলামিতে শেষ হওয়ার পর থেকে আমি সবচেয়ে বেশি সময় ধরে সুস্থ ছিলাম এক মাস এবং এই "&amp;"মুহুর্তে, আর চেষ্টা করার কোনও মানে হয় না কারণ আমি অবশেষে আবারও আসক্ত হয়ে পড়ব। আমি যে সকল পেশাদারদের দেখছি তারা খুবই দয়ালু এবং উৎসাহব্যঞ্জক, কিন্তু আমার মনে হচ্ছে আমি ক্রমাগত তাদের হতাশ করছি এবং তাদের সময় নষ্ট করছি যখন আমার সত্যিই এটি শেষ করা উচিত। আম"&amp;"ি যদি এমন কেউ থাকতাম যার সাথে কথা বলার জন্য, যিনি একই রকম পরিস্থিতির মধ্য দিয়ে গেছেন এবং সত্যিই জানেন কেমন তা জানেন। আমার মনে হয় না আমি এখানে সত্যিই কোনও পরামর্শ খুঁজছি, কেবল মুখ ফুটে বলছি কারণ আমি খুব একা এবং হারিয়ে গেছি।")</f>
        <v>শীঘ্রই? আমি সত্যিই একটা জটিল আসক্তির সাথে লড়াই করছি। আমি অনেক পেশাদার, ডাক্তার, থেরাপিস্ট ইত্যাদির সাথে দেখা করেছি কিন্তু কেউই আমাকে সাহায্য করতে সক্ষম বলে মনে হচ্ছে না। এই পাগলামিতে শেষ হওয়ার পর থেকে আমি সবচেয়ে বেশি সময় ধরে সুস্থ ছিলাম এক মাস এবং এই মুহুর্তে, আর চেষ্টা করার কোনও মানে হয় না কারণ আমি অবশেষে আবারও আসক্ত হয়ে পড়ব। আমি যে সকল পেশাদারদের দেখছি তারা খুবই দয়ালু এবং উৎসাহব্যঞ্জক, কিন্তু আমার মনে হচ্ছে আমি ক্রমাগত তাদের হতাশ করছি এবং তাদের সময় নষ্ট করছি যখন আমার সত্যিই এটি শেষ করা উচিত। আমি যদি এমন কেউ থাকতাম যার সাথে কথা বলার জন্য, যিনি একই রকম পরিস্থিতির মধ্য দিয়ে গেছেন এবং সত্যিই জানেন কেমন তা জানেন। আমার মনে হয় না আমি এখানে সত্যিই কোনও পরামর্শ খুঁজছি, কেবল মুখ ফুটে বলছি কারণ আমি খুব একা এবং হারিয়ে গেছি।</v>
      </c>
    </row>
    <row r="328" spans="1:3" ht="15" x14ac:dyDescent="0.25">
      <c r="A328" s="3" t="s">
        <v>329</v>
      </c>
      <c r="B328" s="3" t="s">
        <v>4</v>
      </c>
      <c r="C328" s="4" t="str">
        <f ca="1">IFERROR(__xludf.DUMMYFUNCTION("GOOGLETRANSLATE(A328, ""auto"", ""bn"")"),"প্রায় ৮ মাস ধরে আমি আতঙ্কিত, প্যানিক অ্যাটাকের কারণে একেবারেই অসুস্থ। কয়েক মাস আগে আমি ১০০টি বড়ি অর্ডার করেছিলাম, কারণ, ঠিক জানি না। আমার উচিত হয়নি যে ওগুলো আমার পুরোটা নেওয়া উচিত। ধাক্কাধাক্কি শুরু হয়ে গেল। আমি একা বোধ করছিলাম, দম বন্ধ হয়ে যাচ্ছিল, আমি "&amp;"শ্বাস নিতে পারছিলাম না। আমি জানি না কেন আমি বড়িগুলো বের করে নিয়েছিলাম। তাছাড়া, আমার আরও আত্মনিয়ন্ত্রণ থাকা উচিত ছিল, আমি বুঝতে পারছি না। ৫০টির মতো বড়ি। প্রতিটি ৩০ মিলিগ্রাম। আমি সুস্থ হওয়ার আগে, আমি সপ্তাহে ৩-৪ বার ১০০০ মিলিগ্রাম খেতাম। কিন্তু ৮ মাস সুস"&amp;"্থ থাকার পর এটি আরও ৫০০ মিলিগ্রাম হয়ে যায়। এটা ভীষণভাবে আঘাত করেছে। আমার পুরো জীবন আমার উপর নেমে এসেছে। আমি আনুষ্ঠানিকভাবে যা কিছু অবশিষ্ট ছিল তা হারিয়ে ফেলেছি। সবই এক বোকামির কারণে। কিন্তু সবচেয়ে গুরুত্বপূর্ণ বিষয় হল, আমি আমার জীবনের সেই ভালোবাসা হারি"&amp;"য়ে ফেলেছি, যে আমাকে থামাতে রাজি করেছিল। আমি ভয় পাচ্ছি।")</f>
        <v>প্রায় ৮ মাস ধরে আমি আতঙ্কিত, প্যানিক অ্যাটাকের কারণে একেবারেই অসুস্থ। কয়েক মাস আগে আমি ১০০টি বড়ি অর্ডার করেছিলাম, কারণ, ঠিক জানি না। আমার উচিত হয়নি যে ওগুলো আমার পুরোটা নেওয়া উচিত। ধাক্কাধাক্কি শুরু হয়ে গেল। আমি একা বোধ করছিলাম, দম বন্ধ হয়ে যাচ্ছিল, আমি শ্বাস নিতে পারছিলাম না। আমি জানি না কেন আমি বড়িগুলো বের করে নিয়েছিলাম। তাছাড়া, আমার আরও আত্মনিয়ন্ত্রণ থাকা উচিত ছিল, আমি বুঝতে পারছি না। ৫০টির মতো বড়ি। প্রতিটি ৩০ মিলিগ্রাম। আমি সুস্থ হওয়ার আগে, আমি সপ্তাহে ৩-৪ বার ১০০০ মিলিগ্রাম খেতাম। কিন্তু ৮ মাস সুস্থ থাকার পর এটি আরও ৫০০ মিলিগ্রাম হয়ে যায়। এটা ভীষণভাবে আঘাত করেছে। আমার পুরো জীবন আমার উপর নেমে এসেছে। আমি আনুষ্ঠানিকভাবে যা কিছু অবশিষ্ট ছিল তা হারিয়ে ফেলেছি। সবই এক বোকামির কারণে। কিন্তু সবচেয়ে গুরুত্বপূর্ণ বিষয় হল, আমি আমার জীবনের সেই ভালোবাসা হারিয়ে ফেলেছি, যে আমাকে থামাতে রাজি করেছিল। আমি ভয় পাচ্ছি।</v>
      </c>
    </row>
    <row r="329" spans="1:3" ht="15" x14ac:dyDescent="0.25">
      <c r="A329" s="3" t="s">
        <v>330</v>
      </c>
      <c r="B329" s="3" t="s">
        <v>4</v>
      </c>
      <c r="C329" s="4" t="str">
        <f ca="1">IFERROR(__xludf.DUMMYFUNCTION("GOOGLETRANSLATE(A329, ""auto"", ""bn"")"),"আমার পটভূমি খুবই ছোট, আমি ২৪ বছর বয়সী ৫ম বর্ষের মেডিকেল ছাত্র, আমার নিজের দেশ থেকে ভিন্ন একটি দেশে থাকি এবং আমি ৫ বছর ধরে বাড়ি ফিরে আসিনি, তাই এটি আপনাকে আমার পরিবারের সাথে আমার সম্পর্ক কেমন তা বলতে পারে, আমার বাবা-মা আলাদা হয়ে গেছেন, এবং আপনি বলতে পার"&amp;"েন যে তারা যখনই একসাথে থাকে তখন একে অপরকে ঘৃণা করে, তাই আমার শৈশবকাল খুব ভালো কাটেনি, আমার বাবা একটি তেল কোম্পানিতে কাজ করতেন এবং প্রচুর টাকা পেতেন কিন্তু ৮ বছর আগে অবসর গ্রহণ করেছিলেন, টাকা এখনও কিছুটা আছে এবং তিনি একজন রাজনীতিবিদ, এবং তিনি খুব মিতব্যয়ী"&amp;" মানুষ, তাই এটি বিষয়গুলিকে দৃষ্টিকোণ থেকে দেখতে সাহায্য করবে। ২০২১ সালের অক্টোবরে আমাকে ৫০০০ ডলার পাঠানো হয়েছিল যা আমার দেশের মুদ্রায় ২০ লক্ষ ডলারের সমতুল্য যা আমার এক বছরের খাওয়ানোর জন্য এবং আমার বাড়ি ভাড়া এবং বিলের জন্য, এবং আমার বাবা ২০২২ সালের ফ"&amp;"েব্রুয়ারিতে রাশিয়ায় একটি সম্মেলন করেছিলেন এবং ভেবেছিলেন যে আমি তার জন্য কিছু থাকার ব্যবস্থা করার জন্যও এই টাকা ব্যবহার করতে পারি। আমার জুয়ার ইতিহাস - আমি ২০১৪ সাল থেকে জুয়া খেলছি কিন্তু এটা বেশ কিছুদিন ধরেই চলছে কিন্তু ২০২১ সাল থেকে লকডাউনের কারণে আম"&amp;"ার খুব বেশি বিনিয়োগ হয়ে গেছে কারণ টুইটারে আমি একটি জুয়ার পৃষ্ঠা দেখতে পেয়েছি যার ফলে আরও ১৫টি পেজ তৈরি হয়েছে। তখনই আমি আমার অল্প কিছু তহবিল দিয়ে জুয়া খেলতে শুরু করি এবং লোকসান সামলাতে শুরু করি। তারপর অক্টোবরে যখন আমি ৫০০০ ডলার পেয়েছিলাম, আমি ধীরে "&amp;"ধীরে শুরু করেছিলাম কিন্তু জানুয়ারিতে ১৬০০ ডলার বাকি থাকা অবস্থায় নিজেকে একটা বড় গর্তে ফেলে দিয়েছিলাম। আমি একটি বড় জুয়া খেলার সিদ্ধান্ত নিয়েছিলাম যা জিতে ১৬০০ ডলারকে আবার ৪৫০০ ডলারে পরিণত করে, যে কোনও বিচক্ষণ ব্যক্তি দৌড়াতে পারত, তাই না? কিন্তু না,"&amp;" আমি ফুটবল এবং বাস্কেটবল খেলায় জুয়া খেলতে থাকি, আমি একটা দিনও বাজি না রেখে চলতে পারতাম না এবং অনলাইন ক্লাসের ফলে আমি আটকে গিয়েছিলাম যে আমি প্রতিদিন ১২ ঘন্টা পরিসংখ্যান এবং বাজি ওয়েবসাইটে খরচ করছিলাম। ধীরে ধীরে আমি আবার সবকিছু হেরে গেলাম, আমি আরেকটি বড় ব"&amp;"াজি ধরার চেষ্টা করলাম কিন্তু এবার কাজ হলো না, অবশেষে আমার অ্যাকাউন্টে কিছুই অবশিষ্ট রইল না। তারপর আমি আমার এক বন্ধুর কাছে আমার আইফোন বিক্রি করে দিলাম এবং ভাবলাম এবার যদি আমি আরও সাবধান থাকি তাহলে হয়তো এটি হারাব না, কিন্তু আমি সবকিছুও হারিয়ে ফেললাম। আমার"&amp;" মনে হচ্ছে আমি আমার জীবন নষ্ট করতে চেয়েছিলাম, আমি এখনও বুঝতে পারছি না কিভাবে এই সব ঘটেছে, আমি ৫ মাসে সবকিছু হারিয়েছি, এখন আমার কিছুই নেই, টাকা নেই, কোন আশা নেই, আমি আজ আমার রুমমেটদের কাছে আমার পরিস্থিতি এবং আমি কীভাবে আত্মহত্যা করছি সে সম্পর্কে খুলে বলল"&amp;"াম, এবং তারা বুঝতে পারছে, এই মাসের জন্য আমাকে কভার করতে রাজি হয়েছে। আমি জানি না কোথা থেকে শুরু করব কারণ আমি একজন মেডিকেল ছাত্র এবং আক্ষরিক অর্থেই প্রতিদিন ক্লাস করি এবং আমার কোনও চাকরি নেই, আমি পরিণতি ভোগ করতে প্রস্তুত, আমাকে আমার বাবা-মাকে বলতে হবে, আমা"&amp;"র দেশে মেডিকেল স্কুলের দ্বিতীয় বর্ষে ফেল করার পরে আমার বাবার সাথে আমার সম্পর্ক ইতিমধ্যেই টানাপোড়েন করছে, যার জন্য অনেক টাকা খরচ হত, তাই এটি সম্ভবত এটি ধ্বংস করবে, তিনি ইতিমধ্যেই আমার সমস্ত স্কুল ফি পরিশোধ করেছেন তাই তিনি সম্ভবত আমাকে অস্বীকার করবেন, এটি"&amp;" আমার মায়ের ভঙ্গুর হৃদয় ভেঙে দেবে, মহিলাটি আমাকে ভালোবাসে, আমি আমার জীবন না নেওয়ার একটি কারণ, আমার ভাইবোনেরা হতাশ হবে এবং কখনও আমার দিকে একইভাবে তাকাবে না, আমি সবকিছু নষ্ট করে দিয়েছি, আমি ক্রিপ্টোতে টাকা হারানোর বিষয়ে মিথ্যা বলার কথা ভাবছিলাম যা জুয়"&amp;"ার চেয়ে কম লজ্জাজনক কারণ আমি আফ্রিকান এবং জুয়া খেলাকে ভ্রুকুটি করা হয়, কিন্তু আমি মিথ্যা বলতে চাই না, আমি চাই সত্য প্রকাশ পাক, আমি কি এতে অনুতপ্ত? হ্যাঁ, আমি এটা নিয়ে না ভেবে ঘুমাতে বা জেগে থাকতে পারি না, সবচেয়ে খারাপ দিক হল আমার অনেকদিন ধরে ভয় ছিল,"&amp;" কিন্তু গত সপ্তাহে হতাশা থেকে আমি এটা কেটে ফেলেছি, আমার জন্য শাস্তির মতো মনে হয়েছিল, আমার প্রয়োজন ছিল কিন্তু এখনও যথেষ্ট নয়")</f>
        <v>আমার পটভূমি খুবই ছোট, আমি ২৪ বছর বয়সী ৫ম বর্ষের মেডিকেল ছাত্র, আমার নিজের দেশ থেকে ভিন্ন একটি দেশে থাকি এবং আমি ৫ বছর ধরে বাড়ি ফিরে আসিনি, তাই এটি আপনাকে আমার পরিবারের সাথে আমার সম্পর্ক কেমন তা বলতে পারে, আমার বাবা-মা আলাদা হয়ে গেছেন, এবং আপনি বলতে পারেন যে তারা যখনই একসাথে থাকে তখন একে অপরকে ঘৃণা করে, তাই আমার শৈশবকাল খুব ভালো কাটেনি, আমার বাবা একটি তেল কোম্পানিতে কাজ করতেন এবং প্রচুর টাকা পেতেন কিন্তু ৮ বছর আগে অবসর গ্রহণ করেছিলেন, টাকা এখনও কিছুটা আছে এবং তিনি একজন রাজনীতিবিদ, এবং তিনি খুব মিতব্যয়ী মানুষ, তাই এটি বিষয়গুলিকে দৃষ্টিকোণ থেকে দেখতে সাহায্য করবে। ২০২১ সালের অক্টোবরে আমাকে ৫০০০ ডলার পাঠানো হয়েছিল যা আমার দেশের মুদ্রায় ২০ লক্ষ ডলারের সমতুল্য যা আমার এক বছরের খাওয়ানোর জন্য এবং আমার বাড়ি ভাড়া এবং বিলের জন্য, এবং আমার বাবা ২০২২ সালের ফেব্রুয়ারিতে রাশিয়ায় একটি সম্মেলন করেছিলেন এবং ভেবেছিলেন যে আমি তার জন্য কিছু থাকার ব্যবস্থা করার জন্যও এই টাকা ব্যবহার করতে পারি। আমার জুয়ার ইতিহাস - আমি ২০১৪ সাল থেকে জুয়া খেলছি কিন্তু এটা বেশ কিছুদিন ধরেই চলছে কিন্তু ২০২১ সাল থেকে লকডাউনের কারণে আমার খুব বেশি বিনিয়োগ হয়ে গেছে কারণ টুইটারে আমি একটি জুয়ার পৃষ্ঠা দেখতে পেয়েছি যার ফলে আরও ১৫টি পেজ তৈরি হয়েছে। তখনই আমি আমার অল্প কিছু তহবিল দিয়ে জুয়া খেলতে শুরু করি এবং লোকসান সামলাতে শুরু করি। তারপর অক্টোবরে যখন আমি ৫০০০ ডলার পেয়েছিলাম, আমি ধীরে ধীরে শুরু করেছিলাম কিন্তু জানুয়ারিতে ১৬০০ ডলার বাকি থাকা অবস্থায় নিজেকে একটা বড় গর্তে ফেলে দিয়েছিলাম। আমি একটি বড় জুয়া খেলার সিদ্ধান্ত নিয়েছিলাম যা জিতে ১৬০০ ডলারকে আবার ৪৫০০ ডলারে পরিণত করে, যে কোনও বিচক্ষণ ব্যক্তি দৌড়াতে পারত, তাই না? কিন্তু না, আমি ফুটবল এবং বাস্কেটবল খেলায় জুয়া খেলতে থাকি, আমি একটা দিনও বাজি না রেখে চলতে পারতাম না এবং অনলাইন ক্লাসের ফলে আমি আটকে গিয়েছিলাম যে আমি প্রতিদিন ১২ ঘন্টা পরিসংখ্যান এবং বাজি ওয়েবসাইটে খরচ করছিলাম। ধীরে ধীরে আমি আবার সবকিছু হেরে গেলাম, আমি আরেকটি বড় বাজি ধরার চেষ্টা করলাম কিন্তু এবার কাজ হলো না, অবশেষে আমার অ্যাকাউন্টে কিছুই অবশিষ্ট রইল না। তারপর আমি আমার এক বন্ধুর কাছে আমার আইফোন বিক্রি করে দিলাম এবং ভাবলাম এবার যদি আমি আরও সাবধান থাকি তাহলে হয়তো এটি হারাব না, কিন্তু আমি সবকিছুও হারিয়ে ফেললাম। আমার মনে হচ্ছে আমি আমার জীবন নষ্ট করতে চেয়েছিলাম, আমি এখনও বুঝতে পারছি না কিভাবে এই সব ঘটেছে, আমি ৫ মাসে সবকিছু হারিয়েছি, এখন আমার কিছুই নেই, টাকা নেই, কোন আশা নেই, আমি আজ আমার রুমমেটদের কাছে আমার পরিস্থিতি এবং আমি কীভাবে আত্মহত্যা করছি সে সম্পর্কে খুলে বললাম, এবং তারা বুঝতে পারছে, এই মাসের জন্য আমাকে কভার করতে রাজি হয়েছে। আমি জানি না কোথা থেকে শুরু করব কারণ আমি একজন মেডিকেল ছাত্র এবং আক্ষরিক অর্থেই প্রতিদিন ক্লাস করি এবং আমার কোনও চাকরি নেই, আমি পরিণতি ভোগ করতে প্রস্তুত, আমাকে আমার বাবা-মাকে বলতে হবে, আমার দেশে মেডিকেল স্কুলের দ্বিতীয় বর্ষে ফেল করার পরে আমার বাবার সাথে আমার সম্পর্ক ইতিমধ্যেই টানাপোড়েন করছে, যার জন্য অনেক টাকা খরচ হত, তাই এটি সম্ভবত এটি ধ্বংস করবে, তিনি ইতিমধ্যেই আমার সমস্ত স্কুল ফি পরিশোধ করেছেন তাই তিনি সম্ভবত আমাকে অস্বীকার করবেন, এটি আমার মায়ের ভঙ্গুর হৃদয় ভেঙে দেবে, মহিলাটি আমাকে ভালোবাসে, আমি আমার জীবন না নেওয়ার একটি কারণ, আমার ভাইবোনেরা হতাশ হবে এবং কখনও আমার দিকে একইভাবে তাকাবে না, আমি সবকিছু নষ্ট করে দিয়েছি, আমি ক্রিপ্টোতে টাকা হারানোর বিষয়ে মিথ্যা বলার কথা ভাবছিলাম যা জুয়ার চেয়ে কম লজ্জাজনক কারণ আমি আফ্রিকান এবং জুয়া খেলাকে ভ্রুকুটি করা হয়, কিন্তু আমি মিথ্যা বলতে চাই না, আমি চাই সত্য প্রকাশ পাক, আমি কি এতে অনুতপ্ত? হ্যাঁ, আমি এটা নিয়ে না ভেবে ঘুমাতে বা জেগে থাকতে পারি না, সবচেয়ে খারাপ দিক হল আমার অনেকদিন ধরে ভয় ছিল, কিন্তু গত সপ্তাহে হতাশা থেকে আমি এটা কেটে ফেলেছি, আমার জন্য শাস্তির মতো মনে হয়েছিল, আমার প্রয়োজন ছিল কিন্তু এখনও যথেষ্ট নয়</v>
      </c>
    </row>
    <row r="330" spans="1:3" ht="15" x14ac:dyDescent="0.25">
      <c r="A330" s="3" t="s">
        <v>331</v>
      </c>
      <c r="B330" s="3" t="s">
        <v>4</v>
      </c>
      <c r="C330" s="4" t="str">
        <f ca="1">IFERROR(__xludf.DUMMYFUNCTION("GOOGLETRANSLATE(A330, ""auto"", ""bn"")"),"প্রায় এক সপ্তাহের মধ্যে আমার মাথাব্যথা কমে যাবে, আর আমি এতে ক্লান্ত। সবকিছুর উপর রাগ এবং বিষণ্ণতা থামাতে আমি মদ্যপান শুরু করেছিলাম। আমি মদ্যপান বন্ধ করতে না পারার কারণে আমি শান্ত হয়ে গিয়েছিলাম, এবং এটি আমার নিজের চেয়ে অন্যদের উপর প্রভাব ফেলতে শুরু করেছ"&amp;"িল। কিন্তু এখন আমি অনুভব করছি যে এই সর্পিল আমাকে চুষতে শুরু করেছে। বন্ধুবান্ধব এবং পরিবার আমাকে সর্বদা বলে যে তারা আমার উপর কতটা গর্বিত। কিন্তু কেন? যে জিনিসটির দিকে আমি সর্বদা ফিরে যেতে পারি তা কেড়ে নেওয়ার জন্য আমার মস্তিষ্ক বন্ধ হয়ে যাবে, আমার আত্ম-ঘ"&amp;"ৃণাকে সবকিছুতে পরিণত করতে সক্ষম হওয়ার জন্য - ঘৃণা, অথবা সবার কাছ থেকে পানীয় প্রত্যাখ্যান করতে হবে কেবল ভালো হওয়ার চেষ্টা করে এবং তারপর তাদের ব্যাখ্যা করতে হবে কেন আমি তাদের প্রস্তাব প্রত্যাখ্যান করছি এবং তাদের চোখে অপরাধবোধ তৈরি হচ্ছে। আমি আর কোন কিছুর"&amp;" উন্নতি দেখতে পাচ্ছি না। আর কি লাভ। আমি সম্ভবত আগামী সপ্তাহে বা তার মধ্যে আবার ফিরে যাব না। আমি এটা করার জন্য খুব জেদী। শুধু আমার বুক থেকে এটি সরিয়ে দেওয়ার দরকার ছিল। কিন্তু যদি তোমাদের কারো কোন পরামর্শ থাকে (""একটি সভায় যাও"" ছাড়া), তাহলে গুলি করো।")</f>
        <v>প্রায় এক সপ্তাহের মধ্যে আমার মাথাব্যথা কমে যাবে, আর আমি এতে ক্লান্ত। সবকিছুর উপর রাগ এবং বিষণ্ণতা থামাতে আমি মদ্যপান শুরু করেছিলাম। আমি মদ্যপান বন্ধ করতে না পারার কারণে আমি শান্ত হয়ে গিয়েছিলাম, এবং এটি আমার নিজের চেয়ে অন্যদের উপর প্রভাব ফেলতে শুরু করেছিল। কিন্তু এখন আমি অনুভব করছি যে এই সর্পিল আমাকে চুষতে শুরু করেছে। বন্ধুবান্ধব এবং পরিবার আমাকে সর্বদা বলে যে তারা আমার উপর কতটা গর্বিত। কিন্তু কেন? যে জিনিসটির দিকে আমি সর্বদা ফিরে যেতে পারি তা কেড়ে নেওয়ার জন্য আমার মস্তিষ্ক বন্ধ হয়ে যাবে, আমার আত্ম-ঘৃণাকে সবকিছুতে পরিণত করতে সক্ষম হওয়ার জন্য - ঘৃণা, অথবা সবার কাছ থেকে পানীয় প্রত্যাখ্যান করতে হবে কেবল ভালো হওয়ার চেষ্টা করে এবং তারপর তাদের ব্যাখ্যা করতে হবে কেন আমি তাদের প্রস্তাব প্রত্যাখ্যান করছি এবং তাদের চোখে অপরাধবোধ তৈরি হচ্ছে। আমি আর কোন কিছুর উন্নতি দেখতে পাচ্ছি না। আর কি লাভ। আমি সম্ভবত আগামী সপ্তাহে বা তার মধ্যে আবার ফিরে যাব না। আমি এটা করার জন্য খুব জেদী। শুধু আমার বুক থেকে এটি সরিয়ে দেওয়ার দরকার ছিল। কিন্তু যদি তোমাদের কারো কোন পরামর্শ থাকে ("একটি সভায় যাও" ছাড়া), তাহলে গুলি করো।</v>
      </c>
    </row>
    <row r="331" spans="1:3" ht="15" x14ac:dyDescent="0.25">
      <c r="A331" s="3" t="s">
        <v>332</v>
      </c>
      <c r="B331" s="3" t="s">
        <v>4</v>
      </c>
      <c r="C331" s="4" t="str">
        <f ca="1">IFERROR(__xludf.DUMMYFUNCTION("GOOGLETRANSLATE(A331, ""auto"", ""bn"")"),"কেন আমি থামি আমি জানি না। কেন আমি থামি এটা চিরকালের জন্য নয়। কেন আমি থামি জানি আমি আবার শুরু করব। যখন আমি শুরু করি তখন আমি এটা ঘৃণা করি। যখন আমি যাই তখন আমি এটা ঘৃণা করি। চালু এবং বন্ধ কখনও শেষ হবে না। 1 দিন 2 দিন 5 দিন 10. ​​শূন্যে ফিরে আমার জীবন শুরু হ"&amp;"য়। আলো দেখে তারপর পালিয়ে যাই। কেন আমি থামি কারণ আমি সবসময় শুরু করব? পরিকল্পনা তৈরি করে তারপর সেগুলো ছুঁড়ে ফেলে। এটা আমার অস্তিত্বকে কষ্ট দেয়, কিন্তু এটাই আমাদের পথ। বারবার আমি থামি এবং চলে যাই। আমার জীবনের একমাত্র ব্যঞ্জনবর্ণ। কেন আমি থামি আমি জানি ন"&amp;"া। থামার উত্তেজনা। যাওয়ার দুঃখ। এটা আমাদের চক্র। কেন আমি থামি আমি জানি না। জেগে ওঠা সবকিছু অনুভব করা। জেগে ওঠা কিছুই অনুভব না করা। কেন আমি থামি আমি জানি না। একদিন ভিন্ন হতে পারে। প্রতিটি দিন একই। মাঝে মাঝে আমি জিজ্ঞাসা করি কেন আমি থামি যদি আমি সবসময় যাব"&amp;"। পড়ে যাওয়া, বারবার উঠে পড়া। আমি আবার চেষ্টা করব, কিন্তু আমি সবসময় জানি। সবকিছুর শেষে। আমি বলতে পারি আমি চেষ্টা করেছি, কিন্তু তুমিও জানো আমিও তাই। আমি সবসময় যাব। তাই আমি জিজ্ঞাসা করছি কেন আমরা থামি, যদি আমরা কেবল 'যাও' জানি।")</f>
        <v>কেন আমি থামি আমি জানি না। কেন আমি থামি এটা চিরকালের জন্য নয়। কেন আমি থামি জানি আমি আবার শুরু করব। যখন আমি শুরু করি তখন আমি এটা ঘৃণা করি। যখন আমি যাই তখন আমি এটা ঘৃণা করি। চালু এবং বন্ধ কখনও শেষ হবে না। 1 দিন 2 দিন 5 দিন 10. ​​শূন্যে ফিরে আমার জীবন শুরু হয়। আলো দেখে তারপর পালিয়ে যাই। কেন আমি থামি কারণ আমি সবসময় শুরু করব? পরিকল্পনা তৈরি করে তারপর সেগুলো ছুঁড়ে ফেলে। এটা আমার অস্তিত্বকে কষ্ট দেয়, কিন্তু এটাই আমাদের পথ। বারবার আমি থামি এবং চলে যাই। আমার জীবনের একমাত্র ব্যঞ্জনবর্ণ। কেন আমি থামি আমি জানি না। থামার উত্তেজনা। যাওয়ার দুঃখ। এটা আমাদের চক্র। কেন আমি থামি আমি জানি না। জেগে ওঠা সবকিছু অনুভব করা। জেগে ওঠা কিছুই অনুভব না করা। কেন আমি থামি আমি জানি না। একদিন ভিন্ন হতে পারে। প্রতিটি দিন একই। মাঝে মাঝে আমি জিজ্ঞাসা করি কেন আমি থামি যদি আমি সবসময় যাব। পড়ে যাওয়া, বারবার উঠে পড়া। আমি আবার চেষ্টা করব, কিন্তু আমি সবসময় জানি। সবকিছুর শেষে। আমি বলতে পারি আমি চেষ্টা করেছি, কিন্তু তুমিও জানো আমিও তাই। আমি সবসময় যাব। তাই আমি জিজ্ঞাসা করছি কেন আমরা থামি, যদি আমরা কেবল 'যাও' জানি।</v>
      </c>
    </row>
    <row r="332" spans="1:3" ht="15" x14ac:dyDescent="0.25">
      <c r="A332" s="3" t="s">
        <v>333</v>
      </c>
      <c r="B332" s="3" t="s">
        <v>4</v>
      </c>
      <c r="C332" s="4" t="str">
        <f ca="1">IFERROR(__xludf.DUMMYFUNCTION("GOOGLETRANSLATE(A332, ""auto"", ""bn"")"),"এটা শুনতে অদ্ভুত লাগবে আর আমি কখনোই এই আসক্তিতে আক্রান্ত কারো কথা শুনিনি। এক বা দুই দিন ক্রিয়েটিন না খেয়ে থাকতে পারি না। এটা ছাড়া আমার দুর্বলতা বোধ হয়, এবং এটা আমাকে আক্ষরিক অর্থেই সম্পূর্ণরূপে নিরুৎসাহিত করে, এবং বিছানা থেকে ওঠা বা সক্রিয় থাকার মতো "&amp;"জিনিস থেকে আমাকে পঙ্গু করে দিতে পারে। এটা আমার ব্যাংক অ্যাকাউন্টের ক্ষতি করছে, সম্ভবত এটি আমার শরীরকে ক্ষতি করছে, কিন্তু আমি থামাতে পারছি না। আমি প্রতিদিন ক্রিয়েটিন দিয়ে ব্যায়াম করি যেন একটা শূন্যস্থান পূরণ করতে পারি। এটা আমাকে এমন অনুভূতি দেয় যে আমি "&amp;"কিছু অর্জন করছি এবং ক্রিয়েটিন ছাড়া আমি তা করতে পারছি না। আমি জানি না কী করব।")</f>
        <v>এটা শুনতে অদ্ভুত লাগবে আর আমি কখনোই এই আসক্তিতে আক্রান্ত কারো কথা শুনিনি। এক বা দুই দিন ক্রিয়েটিন না খেয়ে থাকতে পারি না। এটা ছাড়া আমার দুর্বলতা বোধ হয়, এবং এটা আমাকে আক্ষরিক অর্থেই সম্পূর্ণরূপে নিরুৎসাহিত করে, এবং বিছানা থেকে ওঠা বা সক্রিয় থাকার মতো জিনিস থেকে আমাকে পঙ্গু করে দিতে পারে। এটা আমার ব্যাংক অ্যাকাউন্টের ক্ষতি করছে, সম্ভবত এটি আমার শরীরকে ক্ষতি করছে, কিন্তু আমি থামাতে পারছি না। আমি প্রতিদিন ক্রিয়েটিন দিয়ে ব্যায়াম করি যেন একটা শূন্যস্থান পূরণ করতে পারি। এটা আমাকে এমন অনুভূতি দেয় যে আমি কিছু অর্জন করছি এবং ক্রিয়েটিন ছাড়া আমি তা করতে পারছি না। আমি জানি না কী করব।</v>
      </c>
    </row>
    <row r="333" spans="1:3" ht="15" x14ac:dyDescent="0.25">
      <c r="A333" s="3" t="s">
        <v>334</v>
      </c>
      <c r="B333" s="3" t="s">
        <v>4</v>
      </c>
      <c r="C333" s="4" t="str">
        <f ca="1">IFERROR(__xludf.DUMMYFUNCTION("GOOGLETRANSLATE(A333, ""auto"", ""bn"")"),"১০০ দিনের একটু বেশি সময় ধরে পরিষ্কার এবং এখনও খারাপ লাগছে, কিন্তু প্রতিদিন উন্নতি হচ্ছে। আপনার কতক্ষণ সময় লেগেছে?")</f>
        <v>১০০ দিনের একটু বেশি সময় ধরে পরিষ্কার এবং এখনও খারাপ লাগছে, কিন্তু প্রতিদিন উন্নতি হচ্ছে। আপনার কতক্ষণ সময় লেগেছে?</v>
      </c>
    </row>
    <row r="334" spans="1:3" ht="15" x14ac:dyDescent="0.25">
      <c r="A334" s="3" t="s">
        <v>335</v>
      </c>
      <c r="B334" s="3" t="s">
        <v>4</v>
      </c>
      <c r="C334" s="4" t="str">
        <f ca="1">IFERROR(__xludf.DUMMYFUNCTION("GOOGLETRANSLATE(A334, ""auto"", ""bn"")"),"আমি বারবার রিল্যাপসিং করতে করতে খুব ক্লান্ত। সত্যি বলতে আমি যেকোনো কিছু নাক ডাকি। শুধু তাড়াহুড়ো করার জন্য। আমি সবচেয়ে বেশি অ্যালকোহল মিস করি। আমি ২৫ দিন ধরে পরিষ্কার ছিলাম, তার আগে এক মাস ধরে পরিষ্কার ছিলাম, এবং তার আগে এক বছরেরও বেশি সময় ধরে পরিষ্কার"&amp;" ছিলাম। আমি অন্যদের কাছেও আমার মাদক ব্যবহারের বিষয়ে খুব খোলামেলা। তাছাড়া, আমি চাই আমার বন্ধুরা জানুক যে জরুরি অবস্থা হলে কী ঘটছে। আমি জানি না। আমি কেবল তৃষ্ণা এবং রিল্যাপসিং করতে করতে ক্লান্ত। আমি কীভাবে থামাব?")</f>
        <v>আমি বারবার রিল্যাপসিং করতে করতে খুব ক্লান্ত। সত্যি বলতে আমি যেকোনো কিছু নাক ডাকি। শুধু তাড়াহুড়ো করার জন্য। আমি সবচেয়ে বেশি অ্যালকোহল মিস করি। আমি ২৫ দিন ধরে পরিষ্কার ছিলাম, তার আগে এক মাস ধরে পরিষ্কার ছিলাম, এবং তার আগে এক বছরেরও বেশি সময় ধরে পরিষ্কার ছিলাম। আমি অন্যদের কাছেও আমার মাদক ব্যবহারের বিষয়ে খুব খোলামেলা। তাছাড়া, আমি চাই আমার বন্ধুরা জানুক যে জরুরি অবস্থা হলে কী ঘটছে। আমি জানি না। আমি কেবল তৃষ্ণা এবং রিল্যাপসিং করতে করতে ক্লান্ত। আমি কীভাবে থামাব?</v>
      </c>
    </row>
    <row r="335" spans="1:3" ht="15" x14ac:dyDescent="0.25">
      <c r="A335" s="3" t="s">
        <v>336</v>
      </c>
      <c r="B335" s="3" t="s">
        <v>4</v>
      </c>
      <c r="C335" s="4" t="str">
        <f ca="1">IFERROR(__xludf.DUMMYFUNCTION("GOOGLETRANSLATE(A335, ""auto"", ""bn"")"),"সাধারণত আমি প্রতিদিন খুব বেশি খাই না। যেমন এক কাপ কফি + টোস্ট + সকালের নাস্তায়/দুপুরের খাবারে সিগারেট। কিন্তু যখন খাই তখন আর চেপে রাখতে পারি না। আমি প্রচুর পরিমাণে আগাছা, পানীয়, প্রতিদিন Kr atom ধূমপান করি, এবং মাঝে মাঝে যদি আফিম খাই তাহলেও করি। আমি একজ"&amp;"ন প্রচণ্ড সিগারেটের আসক্ত। তাছাড়া, আমি দিনে দুই প্যাকেট ধূমপান করি। এইসব কারণে কি আমি অসুস্থ হয়ে পড়ি? নাকি আমার অন্য কোনও সমস্যা আছে যা ধূমপান বা মাদক ব্যবহারের সাথে সম্পর্কিত নয়? দুই মাসে আমারও প্রায় ২০ পাউন্ড ওজন কমে গেছে।")</f>
        <v>সাধারণত আমি প্রতিদিন খুব বেশি খাই না। যেমন এক কাপ কফি + টোস্ট + সকালের নাস্তায়/দুপুরের খাবারে সিগারেট। কিন্তু যখন খাই তখন আর চেপে রাখতে পারি না। আমি প্রচুর পরিমাণে আগাছা, পানীয়, প্রতিদিন Kr atom ধূমপান করি, এবং মাঝে মাঝে যদি আফিম খাই তাহলেও করি। আমি একজন প্রচণ্ড সিগারেটের আসক্ত। তাছাড়া, আমি দিনে দুই প্যাকেট ধূমপান করি। এইসব কারণে কি আমি অসুস্থ হয়ে পড়ি? নাকি আমার অন্য কোনও সমস্যা আছে যা ধূমপান বা মাদক ব্যবহারের সাথে সম্পর্কিত নয়? দুই মাসে আমারও প্রায় ২০ পাউন্ড ওজন কমে গেছে।</v>
      </c>
    </row>
    <row r="336" spans="1:3" ht="15" x14ac:dyDescent="0.25">
      <c r="A336" s="3" t="s">
        <v>337</v>
      </c>
      <c r="B336" s="3" t="s">
        <v>4</v>
      </c>
      <c r="C336" s="4" t="str">
        <f ca="1">IFERROR(__xludf.DUMMYFUNCTION("GOOGLETRANSLATE(A336, ""auto"", ""bn"")"),"এক বছর ৩ মাস ধরে আমি মাদকাসক্ত ছিলাম, আমার পছন্দের ওষুধ ছিল মেথ। এতদিন মাদকাসক্ত থাকার পর সপ্তাহের পর সপ্তাহ ধরে আমি এই নেশা নিয়ে স্বপ্ন দেখতে থাকি। তাই আমি আবার নেশায় আক্রান্ত হয়ে পড়ি এবং ৫ দিন ধরে ঘুমিয়ে থাকি, প্রতিদিন এক গ্রাম ধূমপান করি। ঘুম আসে "&amp;"না। এখন আমি ""নিচে আসছি""? আমি এমন কিছু দেখতে পাই যা সেখানে নেই। তাছাড়া, আমি এক বাটি গাঁজা ধূমপান করতে গিয়েছিলাম এবং কোনওভাবে আধা ঘন্টা ধরে এটি সর্বোচ্চ ১০ মিনিটের মতো মনে হয়েছিল। এই কারণেই আমি মেথকে ঘৃণা করি। আপনি যতক্ষণ মাদকাসক্ত থাকুন না কেন এটি কাট"&amp;"িয়ে ওঠা খুব কঠিন। আমি কেবল এটি চিরতরে ছেড়ে দিতে চাই, কিন্তু আমার চারপাশে সবকিছু ঠিকঠাক থাকলেও এটি অসম্ভব বলে মনে হয়।")</f>
        <v>এক বছর ৩ মাস ধরে আমি মাদকাসক্ত ছিলাম, আমার পছন্দের ওষুধ ছিল মেথ। এতদিন মাদকাসক্ত থাকার পর সপ্তাহের পর সপ্তাহ ধরে আমি এই নেশা নিয়ে স্বপ্ন দেখতে থাকি। তাই আমি আবার নেশায় আক্রান্ত হয়ে পড়ি এবং ৫ দিন ধরে ঘুমিয়ে থাকি, প্রতিদিন এক গ্রাম ধূমপান করি। ঘুম আসে না। এখন আমি "নিচে আসছি"? আমি এমন কিছু দেখতে পাই যা সেখানে নেই। তাছাড়া, আমি এক বাটি গাঁজা ধূমপান করতে গিয়েছিলাম এবং কোনওভাবে আধা ঘন্টা ধরে এটি সর্বোচ্চ ১০ মিনিটের মতো মনে হয়েছিল। এই কারণেই আমি মেথকে ঘৃণা করি। আপনি যতক্ষণ মাদকাসক্ত থাকুন না কেন এটি কাটিয়ে ওঠা খুব কঠিন। আমি কেবল এটি চিরতরে ছেড়ে দিতে চাই, কিন্তু আমার চারপাশে সবকিছু ঠিকঠাক থাকলেও এটি অসম্ভব বলে মনে হয়।</v>
      </c>
    </row>
    <row r="337" spans="1:3" ht="15" x14ac:dyDescent="0.25">
      <c r="A337" s="3" t="s">
        <v>338</v>
      </c>
      <c r="B337" s="3" t="s">
        <v>4</v>
      </c>
      <c r="C337" s="4" t="str">
        <f ca="1">IFERROR(__xludf.DUMMYFUNCTION("GOOGLETRANSLATE(A337, ""auto"", ""bn"")"),"আমি দুই বছরেরও বেশি সময় ধরে অ্যালকোহল থেকে মুক্ত, এবং মিষ্টি যীশুকে ধন্যবাদ, কারণ আমি কেবল একটি পান করতে পারি না, এবং অ্যালকোহল আমার জীবনে সর্বনাশ ডেকে আনে। আমারও নির্ধারিত সময়ের চেয়ে বেশি রিটালিন এবং বেজোস গ্রহণ করতে সমস্যা হয়েছে, এবং সম্প্রতি নিজেকে"&amp;" এবং আমার ডাক্তারকে বোঝাতে পেরেছি যে আমার গুরুতর ADHD-এর জন্য আমার উভয়ই প্রয়োজন। এটি প্রথমবার নয় যে আমি একটি স্ক্রিপ্ট পেয়েছি, এক সপ্তাহের জন্য প্রেসক্রিপশন অনুসারে এটি গ্রহণ করেছি, তারপর নিজেকে শক্তি এবং সুপার ফোকাস দেওয়ার জন্য কিছু অতিরিক্ত অ্যাডিশ"&amp;"ন দিয়েছি এবং যদি আমার সত্যিই একটি ঘন ঘুমের প্রয়োজন হয় তবে আরও কিছু অতিরিক্ত বেজোস গ্রহণ করেছি। আমার স্ক্রিপ্টে 2 সপ্তাহ আমার 30 দিনের সরবরাহ শেষ হয়ে গেছে এবং লজ্জা এবং অপরাধবোধ ভিতরে বুদবুদ করছে এবং আমি সত্যিই হতাশ বোধ করছি। হ্যাঁ, এটি মদ্যপান নয়, এব"&amp;"ং আমি নিজের উপর নিয়ন্ত্রণ হারিয়ে ফেলিনি বা হারিয়ে ফেলিনি, তবে আমি 3 বছরে সম্ভবত 10 বার এটি করেছি তা আমাকে উদ্বিগ্ন করে। একজন ব্যক্তির সাথে কথা বলা এবং এই অনুভূতি যে ""তারা জানে আমি মাদক সেবন করছি, আমি লজ্জায় সম্পূর্ণরূপে স্তব্ধ বোধ করি এবং নিজের প্রতি"&amp;" লজ্জিত হওয়ার কারণে আমি খুব বেশি চোখের যোগাযোগ করি না (আমি যখন মদ্যপান করতাম তখন আমি সবসময় এটি অনুভব করতাম; তবে এটি সম্ভবত আরও স্পষ্ট ছিল যে আমি মদ্যপান করছিলাম।) আমি কিছুটা কৃতজ্ঞ যে এই স্ক্রিপ্টগুলি অ্যাক্সেস করা সহজ নয়, কারণ আমি স্পষ্টতই নিজেকে নির্"&amp;"দেশিতভাবে ব্যবহার করার উপর বিশ্বাস করি না। যাই হোক, আমি আশা করি যে যারা সংগ্রাম করছেন তারা জানেন যে তারা একা নন এবং ভালো লড়াই চালিয়ে যান! সকলের জন্য ভালোবাসা, আলো এবং শান্তি।""")</f>
        <v>আমি দুই বছরেরও বেশি সময় ধরে অ্যালকোহল থেকে মুক্ত, এবং মিষ্টি যীশুকে ধন্যবাদ, কারণ আমি কেবল একটি পান করতে পারি না, এবং অ্যালকোহল আমার জীবনে সর্বনাশ ডেকে আনে। আমারও নির্ধারিত সময়ের চেয়ে বেশি রিটালিন এবং বেজোস গ্রহণ করতে সমস্যা হয়েছে, এবং সম্প্রতি নিজেকে এবং আমার ডাক্তারকে বোঝাতে পেরেছি যে আমার গুরুতর ADHD-এর জন্য আমার উভয়ই প্রয়োজন। এটি প্রথমবার নয় যে আমি একটি স্ক্রিপ্ট পেয়েছি, এক সপ্তাহের জন্য প্রেসক্রিপশন অনুসারে এটি গ্রহণ করেছি, তারপর নিজেকে শক্তি এবং সুপার ফোকাস দেওয়ার জন্য কিছু অতিরিক্ত অ্যাডিশন দিয়েছি এবং যদি আমার সত্যিই একটি ঘন ঘুমের প্রয়োজন হয় তবে আরও কিছু অতিরিক্ত বেজোস গ্রহণ করেছি। আমার স্ক্রিপ্টে 2 সপ্তাহ আমার 30 দিনের সরবরাহ শেষ হয়ে গেছে এবং লজ্জা এবং অপরাধবোধ ভিতরে বুদবুদ করছে এবং আমি সত্যিই হতাশ বোধ করছি। হ্যাঁ, এটি মদ্যপান নয়, এবং আমি নিজের উপর নিয়ন্ত্রণ হারিয়ে ফেলিনি বা হারিয়ে ফেলিনি, তবে আমি 3 বছরে সম্ভবত 10 বার এটি করেছি তা আমাকে উদ্বিগ্ন করে। একজন ব্যক্তির সাথে কথা বলা এবং এই অনুভূতি যে "তারা জানে আমি মাদক সেবন করছি, আমি লজ্জায় সম্পূর্ণরূপে স্তব্ধ বোধ করি এবং নিজের প্রতি লজ্জিত হওয়ার কারণে আমি খুব বেশি চোখের যোগাযোগ করি না (আমি যখন মদ্যপান করতাম তখন আমি সবসময় এটি অনুভব করতাম; তবে এটি সম্ভবত আরও স্পষ্ট ছিল যে আমি মদ্যপান করছিলাম।) আমি কিছুটা কৃতজ্ঞ যে এই স্ক্রিপ্টগুলি অ্যাক্সেস করা সহজ নয়, কারণ আমি স্পষ্টতই নিজেকে নির্দেশিতভাবে ব্যবহার করার উপর বিশ্বাস করি না। যাই হোক, আমি আশা করি যে যারা সংগ্রাম করছেন তারা জানেন যে তারা একা নন এবং ভালো লড়াই চালিয়ে যান! সকলের জন্য ভালোবাসা, আলো এবং শান্তি।"</v>
      </c>
    </row>
    <row r="338" spans="1:3" ht="15" x14ac:dyDescent="0.25">
      <c r="A338" s="3" t="s">
        <v>339</v>
      </c>
      <c r="B338" s="3" t="s">
        <v>4</v>
      </c>
      <c r="C338" s="4" t="str">
        <f ca="1">IFERROR(__xludf.DUMMYFUNCTION("GOOGLETRANSLATE(A338, ""auto"", ""bn"")"),"সেটা তোমার জীবনের সেরা সময়গুলোর মধ্যে একটা হোক, অথবা তোমার অন্ধকার সময়গুলোর মধ্যে একটা হোক, যে সময় তুমি আলোর দিকে তাকিয়ে থাকতে পেরেছিলে। ভালো হোক বা খারাপ, মূলত, তোমার আসক্তি তোমার জন্য সবচেয়ে ভালো জিনিসটি কী করেছিল?")</f>
        <v>সেটা তোমার জীবনের সেরা সময়গুলোর মধ্যে একটা হোক, অথবা তোমার অন্ধকার সময়গুলোর মধ্যে একটা হোক, যে সময় তুমি আলোর দিকে তাকিয়ে থাকতে পেরেছিলে। ভালো হোক বা খারাপ, মূলত, তোমার আসক্তি তোমার জন্য সবচেয়ে ভালো জিনিসটি কী করেছিল?</v>
      </c>
    </row>
    <row r="339" spans="1:3" ht="15" x14ac:dyDescent="0.25">
      <c r="A339" s="3" t="s">
        <v>340</v>
      </c>
      <c r="B339" s="3" t="s">
        <v>4</v>
      </c>
      <c r="C339" s="4" t="str">
        <f ca="1">IFERROR(__xludf.DUMMYFUNCTION("GOOGLETRANSLATE(A339, ""auto"", ""bn"")"),"নভেম্বর শুরু হওয়ার পর থেকে, আজ ""৪ ফেব্রুয়ারী"" পর্যন্ত আমি প্রতিদিন খাবার খেয়ে আসছি। আমি যেভাবে শুরু করেছি তা বেশ মজার। আমার একটা বান্ধবী যার সাথে আমার সম্পর্ক ভেঙে গিয়েছিল... এই ঘটনাটা আমাকে অনেক প্রভাবিত করেছিল, তার জন্য আমি ঘুমাতেও পারছিলাম না :(,"&amp;" প্রতিদিনই খুব যন্ত্রণাদায়ক ছিল এবং আমার মাথা আত্মহত্যার চিন্তায় ভরা ছিল... তারপর, অনেক ধ্যানের পর আমি CDMX (আমি মেক্সিকো থেকে) ভ্রমণে গেলাম শুধু আমার মন পরিষ্কার করার জন্য। কিন্তু আমার ভ্রমণে, আমি ""Snorlax Store"" নামে একটি স্মোক শপ পেলাম এবং আমি আপনাকে"&amp;" বলতে চাই যে তাদের কাছে সবচেয়ে শক্তিশালী ক্যানা ব্রাউনি আছে এবং আমি যা রান্না করেছি তা রান্না করেছি। [শুধুমাত্র তারা কতটা শক্তিশালী তা বোঝানোর জন্য, আমি আমার সংখ্যা তৈরি করেছি এবং প্রতিটিতে THC এর 1/2 হাতেরও বেশি কিছু আছে] সেই দিন থেকে আমি আসক্ত হয়ে পড়"&amp;"েছি। আমি দিনে 2টি ক্যানা ব্রাউনি খেয়েছি। এখন আমি কাজের কারণে মদ্যপান ছেড়ে দিতে চাই। কিন্তু এখন যখন আমি খুব বেশি মদ্যপান করি না তখন আমি আমার মনকে সামলাতে পারি না। তোমার কি আমার প্রাক্তন প্রেমিকের কথা মনে আছে? আচ্ছা, আমরা দুজনেই একই স্কুলে পড়ি, এবং আমরা "&amp;"এই মঙ্গলবার স্কুলে ফিরে এসেছি। তাকে একই ঘরে দেখা খুব কঠিন, আমি সত্যিই তার জন্য লড়াই করতে চাই, কিন্তু গাঁজা আমাকে কঠিন করে তুলছে। যখন আমার মেজাজ খারাপ থাকে, তখন আমার মেজাজ খারাপ হয়ে যায়, আর যখন আমার মেজাজ খুব বেশি থাকে, তখন আমি মদ্যপান ছেড়ে দিতে চাই, ক"&amp;"িন্তু পারি না। যখনই আমি সুস্থ হই, তখনই আমার মন খারাপ চিন্তায় ভরে ওঠে :(")</f>
        <v>নভেম্বর শুরু হওয়ার পর থেকে, আজ "৪ ফেব্রুয়ারী" পর্যন্ত আমি প্রতিদিন খাবার খেয়ে আসছি। আমি যেভাবে শুরু করেছি তা বেশ মজার। আমার একটা বান্ধবী যার সাথে আমার সম্পর্ক ভেঙে গিয়েছিল... এই ঘটনাটা আমাকে অনেক প্রভাবিত করেছিল, তার জন্য আমি ঘুমাতেও পারছিলাম না :(, প্রতিদিনই খুব যন্ত্রণাদায়ক ছিল এবং আমার মাথা আত্মহত্যার চিন্তায় ভরা ছিল... তারপর, অনেক ধ্যানের পর আমি CDMX (আমি মেক্সিকো থেকে) ভ্রমণে গেলাম শুধু আমার মন পরিষ্কার করার জন্য। কিন্তু আমার ভ্রমণে, আমি "Snorlax Store" নামে একটি স্মোক শপ পেলাম এবং আমি আপনাকে বলতে চাই যে তাদের কাছে সবচেয়ে শক্তিশালী ক্যানা ব্রাউনি আছে এবং আমি যা রান্না করেছি তা রান্না করেছি। [শুধুমাত্র তারা কতটা শক্তিশালী তা বোঝানোর জন্য, আমি আমার সংখ্যা তৈরি করেছি এবং প্রতিটিতে THC এর 1/2 হাতেরও বেশি কিছু আছে] সেই দিন থেকে আমি আসক্ত হয়ে পড়েছি। আমি দিনে 2টি ক্যানা ব্রাউনি খেয়েছি। এখন আমি কাজের কারণে মদ্যপান ছেড়ে দিতে চাই। কিন্তু এখন যখন আমি খুব বেশি মদ্যপান করি না তখন আমি আমার মনকে সামলাতে পারি না। তোমার কি আমার প্রাক্তন প্রেমিকের কথা মনে আছে? আচ্ছা, আমরা দুজনেই একই স্কুলে পড়ি, এবং আমরা এই মঙ্গলবার স্কুলে ফিরে এসেছি। তাকে একই ঘরে দেখা খুব কঠিন, আমি সত্যিই তার জন্য লড়াই করতে চাই, কিন্তু গাঁজা আমাকে কঠিন করে তুলছে। যখন আমার মেজাজ খারাপ থাকে, তখন আমার মেজাজ খারাপ হয়ে যায়, আর যখন আমার মেজাজ খুব বেশি থাকে, তখন আমি মদ্যপান ছেড়ে দিতে চাই, কিন্তু পারি না। যখনই আমি সুস্থ হই, তখনই আমার মন খারাপ চিন্তায় ভরে ওঠে :(</v>
      </c>
    </row>
    <row r="340" spans="1:3" ht="15" x14ac:dyDescent="0.25">
      <c r="A340" s="3" t="s">
        <v>341</v>
      </c>
      <c r="B340" s="3" t="s">
        <v>4</v>
      </c>
      <c r="C340" s="4" t="str">
        <f ca="1">IFERROR(__xludf.DUMMYFUNCTION("GOOGLETRANSLATE(A340, ""auto"", ""bn"")"),"আমি (২৮) আমার সঙ্গীর (৩৪) সাথে প্রায় তিন বছর ধরে সম্পর্কে আছি। যখন আমি তার সাথে দেখা করি, তখন আমার মানসিক অবস্থা খুবই খারাপ ছিল, এবং আমি গাঁজা (ঘুমানোর আগে দিনে একবার) এবং বিয়ারের সাথে লড়াই করছিলাম, সন্ধ্যায়ও। এই ক্রমাগত চক্রের কয়েক মাস পর, আমি বুঝতে "&amp;"পারলাম যে আমার মাথা প্রতি রাতে জেলি হয়ে গেছে, এবং আমি এভাবে বাঁচতে চাই না বা পছন্দ করি না। আমি দুটোই ব্যবহার বন্ধ করে দিয়েছি, এবং অনুশোচনা বা কোনও ধরণের আকাঙ্ক্ষার দিনও পাইনি। কিন্তু আমার সঙ্গীর গল্প আলাদা। আমার মনে হয় তাকে প্রতি রাতে গাঁজা ""ধূমপান"" "&amp;"করতে হয়, সাধারণত দুটি জয়েন্ট। আমি তার সাথে এই বিষয়ে কথা বলার চেষ্টা করেছি, কিন্তু সে নিশ্চিত যে তার কোনও সমস্যা নেই, কারণ সে ঘুমানোর জন্য কাজের পরে ধূমপান করে। মাঝে মাঝে যখন আমরা বাইরে যাই, সে দ্রুত গতিতে কাজ করতে পছন্দ করে, এবং যখন আমি তার সাথে এই বিষ"&amp;"য়ে মুখোমুখি হই, তখন সে বলে যে এটি কেবল মজা করার জন্য এবং আমি জীবন সম্পর্কে খুব বেশি সিরিয়াস। সে বহু বছর ধরে এটি করছে (প্রচুর গাঁজা এবং মাঝে মাঝে অন্যান্য জিনিস)।")</f>
        <v>আমি (২৮) আমার সঙ্গীর (৩৪) সাথে প্রায় তিন বছর ধরে সম্পর্কে আছি। যখন আমি তার সাথে দেখা করি, তখন আমার মানসিক অবস্থা খুবই খারাপ ছিল, এবং আমি গাঁজা (ঘুমানোর আগে দিনে একবার) এবং বিয়ারের সাথে লড়াই করছিলাম, সন্ধ্যায়ও। এই ক্রমাগত চক্রের কয়েক মাস পর, আমি বুঝতে পারলাম যে আমার মাথা প্রতি রাতে জেলি হয়ে গেছে, এবং আমি এভাবে বাঁচতে চাই না বা পছন্দ করি না। আমি দুটোই ব্যবহার বন্ধ করে দিয়েছি, এবং অনুশোচনা বা কোনও ধরণের আকাঙ্ক্ষার দিনও পাইনি। কিন্তু আমার সঙ্গীর গল্প আলাদা। আমার মনে হয় তাকে প্রতি রাতে গাঁজা "ধূমপান" করতে হয়, সাধারণত দুটি জয়েন্ট। আমি তার সাথে এই বিষয়ে কথা বলার চেষ্টা করেছি, কিন্তু সে নিশ্চিত যে তার কোনও সমস্যা নেই, কারণ সে ঘুমানোর জন্য কাজের পরে ধূমপান করে। মাঝে মাঝে যখন আমরা বাইরে যাই, সে দ্রুত গতিতে কাজ করতে পছন্দ করে, এবং যখন আমি তার সাথে এই বিষয়ে মুখোমুখি হই, তখন সে বলে যে এটি কেবল মজা করার জন্য এবং আমি জীবন সম্পর্কে খুব বেশি সিরিয়াস। সে বহু বছর ধরে এটি করছে (প্রচুর গাঁজা এবং মাঝে মাঝে অন্যান্য জিনিস)।</v>
      </c>
    </row>
    <row r="341" spans="1:3" ht="15" x14ac:dyDescent="0.25">
      <c r="A341" s="3" t="s">
        <v>342</v>
      </c>
      <c r="B341" s="3" t="s">
        <v>4</v>
      </c>
      <c r="C341" s="4" t="str">
        <f ca="1">IFERROR(__xludf.DUMMYFUNCTION("GOOGLETRANSLATE(A341, ""auto"", ""bn"")"),"সত্যি বলতে, আমার নিজেকে খুব বোকা লাগছে। এক বছরেরও বেশি সময় ধরে আমি বড়ি খেয়ে সুস্থ আছি। গত রাতে আমি পাগল হয়ে গিয়েছিলাম, আমার ঘর ভেঙে কিছু খুঁজছিলাম। আমি ঘুমাতে পারিনি। আমি অনেক দিন ধরে ঘুমাইনি, যা আমার মানসিক অবস্থার ক্ষতি করছে এবং সম্ভবত সে কারণেই আম"&amp;"ি এটা করেছি। আমি কিছুই পাইনি। কিন্তু আমি এটা নিয়ে ভাবতে থামাতে পারছি না। আমার আকাঙ্ক্ষা এত তীব্র যে আমার মনে হচ্ছে আমার দম বন্ধ হয়ে আসছে, আমার মনে হচ্ছে আমি শ্বাস নিতে পারছি না। আমি ফ্যানের প্রতি আসক্ত ছিলাম, যখনই আমার হাত লাগত তখনই অক্সি নাক ডাকতাম এবং"&amp;" আরও কিছু জিনিস। আমার প্রেমিক এবং ঘনিষ্ঠ বন্ধু ছাড়া কেউ জানত না। আমি বারবার এটা করার কথা ভাবি।")</f>
        <v>সত্যি বলতে, আমার নিজেকে খুব বোকা লাগছে। এক বছরেরও বেশি সময় ধরে আমি বড়ি খেয়ে সুস্থ আছি। গত রাতে আমি পাগল হয়ে গিয়েছিলাম, আমার ঘর ভেঙে কিছু খুঁজছিলাম। আমি ঘুমাতে পারিনি। আমি অনেক দিন ধরে ঘুমাইনি, যা আমার মানসিক অবস্থার ক্ষতি করছে এবং সম্ভবত সে কারণেই আমি এটা করেছি। আমি কিছুই পাইনি। কিন্তু আমি এটা নিয়ে ভাবতে থামাতে পারছি না। আমার আকাঙ্ক্ষা এত তীব্র যে আমার মনে হচ্ছে আমার দম বন্ধ হয়ে আসছে, আমার মনে হচ্ছে আমি শ্বাস নিতে পারছি না। আমি ফ্যানের প্রতি আসক্ত ছিলাম, যখনই আমার হাত লাগত তখনই অক্সি নাক ডাকতাম এবং আরও কিছু জিনিস। আমার প্রেমিক এবং ঘনিষ্ঠ বন্ধু ছাড়া কেউ জানত না। আমি বারবার এটা করার কথা ভাবি।</v>
      </c>
    </row>
    <row r="342" spans="1:3" ht="15" x14ac:dyDescent="0.25">
      <c r="A342" s="3" t="s">
        <v>343</v>
      </c>
      <c r="B342" s="3" t="s">
        <v>4</v>
      </c>
      <c r="C342" s="4" t="str">
        <f ca="1">IFERROR(__xludf.DUMMYFUNCTION("GOOGLETRANSLATE(A342, ""auto"", ""bn"")"),"আরে! আমার বয়স ২১ মিলিয়ন, আর প্রথম চাকরি শুরু করার পর থেকেই Reddit, OnlyFans ইত্যাদি থেকে পর্ন কেনার নেশায় ভুগছি। ভাগ্যক্রমে আমার জীবনে কোনও বড় বিল দিতে হয় না, তবুও আমি অন্তত কিছু টাকা বাঁচাতে চাই (এটা সাধারণত মূলত পর্নের জন্যই যায়, এবং তারপর আমার অন্যান্য"&amp;" শখ যেমন ভিনাইল সংগ্রহ, ভিডিও গেম ইত্যাদি)। ভিডিও গেম এবং ভিনাইলের মতো চিন্তাভাবনার উপর টাকা খরচ করতে আমার আপত্তি নেই, কারণ আমি এমন একটি শখ উপভোগ করি যার উপর আমি টাকা খরচ করতে পারি (যা মূলত ভিনাইল) কিন্তু পর্ন আসলে আমার কোনও কাজে লাগে না... কেন এমন কিছুর "&amp;"জন্য টাকা খরচ করি যা আমি অনলাইনে বিনামূল্যে পেতে পারি? মানে এটা এমন পর্যায়ে পৌঁছেছে যে সপ্তাহে কমপক্ষে ৩ বার আমি পর্নের উপর সর্বোচ্চ ৯০ ডলার খরচ করব। আমি বুঝতে পারছি না।")</f>
        <v>আরে! আমার বয়স ২১ মিলিয়ন, আর প্রথম চাকরি শুরু করার পর থেকেই Reddit, OnlyFans ইত্যাদি থেকে পর্ন কেনার নেশায় ভুগছি। ভাগ্যক্রমে আমার জীবনে কোনও বড় বিল দিতে হয় না, তবুও আমি অন্তত কিছু টাকা বাঁচাতে চাই (এটা সাধারণত মূলত পর্নের জন্যই যায়, এবং তারপর আমার অন্যান্য শখ যেমন ভিনাইল সংগ্রহ, ভিডিও গেম ইত্যাদি)। ভিডিও গেম এবং ভিনাইলের মতো চিন্তাভাবনার উপর টাকা খরচ করতে আমার আপত্তি নেই, কারণ আমি এমন একটি শখ উপভোগ করি যার উপর আমি টাকা খরচ করতে পারি (যা মূলত ভিনাইল) কিন্তু পর্ন আসলে আমার কোনও কাজে লাগে না... কেন এমন কিছুর জন্য টাকা খরচ করি যা আমি অনলাইনে বিনামূল্যে পেতে পারি? মানে এটা এমন পর্যায়ে পৌঁছেছে যে সপ্তাহে কমপক্ষে ৩ বার আমি পর্নের উপর সর্বোচ্চ ৯০ ডলার খরচ করব। আমি বুঝতে পারছি না।</v>
      </c>
    </row>
    <row r="343" spans="1:3" ht="15" x14ac:dyDescent="0.25">
      <c r="A343" s="3" t="s">
        <v>344</v>
      </c>
      <c r="B343" s="3" t="s">
        <v>4</v>
      </c>
      <c r="C343" s="4" t="str">
        <f ca="1">IFERROR(__xludf.DUMMYFUNCTION("GOOGLETRANSLATE(A343, ""auto"", ""bn"")"),"আমি নববর্ষের সংকল্প নিয়ে ভাবছিলাম এবং ভাবছিলাম কিভাবে আমি সিগারেট ধূমপান ছেড়ে দিতে চাই কারণ আমি জানি এটা আমার শরীরের ক্ষতি করছে। সিগারেট খাওয়ার সময় আমি বসে বসে এই চিন্তাটা ভাবছিলাম এবং আমার পুরো শরীরটা ঠিক এমনই অনুভব করছিল যখন আমি কয়েকদিন সিগারেট না "&amp;"খাই, আর তাতে আমি কিছুটা ভীত হয়ে পড়েছিলাম। আর কেউ কি কখনও এমন অনুভব করে? বেশিরভাগ দিনের মতো, যদি আমি মদ্যপান বা গাঁজা সেবন করতে না পারি, তাহলে আমি প্রয়োজন মেটাতে সিগারেটের উপর নির্ভর করি।")</f>
        <v>আমি নববর্ষের সংকল্প নিয়ে ভাবছিলাম এবং ভাবছিলাম কিভাবে আমি সিগারেট ধূমপান ছেড়ে দিতে চাই কারণ আমি জানি এটা আমার শরীরের ক্ষতি করছে। সিগারেট খাওয়ার সময় আমি বসে বসে এই চিন্তাটা ভাবছিলাম এবং আমার পুরো শরীরটা ঠিক এমনই অনুভব করছিল যখন আমি কয়েকদিন সিগারেট না খাই, আর তাতে আমি কিছুটা ভীত হয়ে পড়েছিলাম। আর কেউ কি কখনও এমন অনুভব করে? বেশিরভাগ দিনের মতো, যদি আমি মদ্যপান বা গাঁজা সেবন করতে না পারি, তাহলে আমি প্রয়োজন মেটাতে সিগারেটের উপর নির্ভর করি।</v>
      </c>
    </row>
    <row r="344" spans="1:3" ht="15" x14ac:dyDescent="0.25">
      <c r="A344" s="3" t="s">
        <v>345</v>
      </c>
      <c r="B344" s="3" t="s">
        <v>4</v>
      </c>
      <c r="C344" s="4" t="str">
        <f ca="1">IFERROR(__xludf.DUMMYFUNCTION("GOOGLETRANSLATE(A344, ""auto"", ""bn"")"),"আমার প্রায় দশ বছর ধরে অনেক মাদকাসক্তির ব্যাধি এবং খাদ্যাভ্যাসের ব্যাধি ছিল। আমি আক্ষরিক অর্থেই পাঁচ বছর ধরে পুরুষদের কাছে চলে এসেছি। তারপর আমার বিবাহিত জীবনের ১৫ বছর পূর্ণ হয়েছে এবং আমি বলব আসক্তির সাথে লড়াই করাটা ছিল। এখন আমার ফোন আর সম্পর্ক চাওয়ার এই ন"&amp;"িম্ন স্তরের দুঃখজনক আবেশ। যদি আমি এমন একটা সম্পর্কে থাকি, তাহলে আমি উদ্বিগ্ন। যদি না থাকি, তাহলে আমি আকুল থাকি। কিন্তু আমি খুব কমই ঠিক থাকি। দুঃখের বিষয় হল, যে সম্পর্কগুলোতে আমি খুব স্বাচ্ছন্দ্য বোধ করতাম, সেখানে এমন একজন সঙ্গীর সাথে আসতাম যে ছিল না। এটা"&amp;" এমন যে, যদি আমি মনে করি যে তারা আমাকে যথেষ্ট পছন্দ করে, তবে তারা মনে করে না যে আমি তাদের যথেষ্ট পছন্দ করি। তুমি সেই সুখী মাধ্যম এবং মিষ্টি জায়গাটি কোথায় পাবে? তুমি কীভাবে কেবল নিজের এবং সেই মুহূর্তে আনন্দ খুঁজে পাবে? আমার এমন ক্ষণস্থায়ী সময় কেটেছে যখ"&amp;"ন আমি সত্যিই কেবল এক বা অন্য জিনিসের উপর নির্ভর করার জন্য স্বাধীন বোধ করতাম। আমি এই বাধ্যবাধকতাগুলির দ্বারা টানাপোড়েন বোধ করার পরিবর্তে আমার জীবনের উপর সম্পূর্ণভাবে নিযুক্ত থাকতে এবং মনোযোগী হতে চাই।")</f>
        <v>আমার প্রায় দশ বছর ধরে অনেক মাদকাসক্তির ব্যাধি এবং খাদ্যাভ্যাসের ব্যাধি ছিল। আমি আক্ষরিক অর্থেই পাঁচ বছর ধরে পুরুষদের কাছে চলে এসেছি। তারপর আমার বিবাহিত জীবনের ১৫ বছর পূর্ণ হয়েছে এবং আমি বলব আসক্তির সাথে লড়াই করাটা ছিল। এখন আমার ফোন আর সম্পর্ক চাওয়ার এই নিম্ন স্তরের দুঃখজনক আবেশ। যদি আমি এমন একটা সম্পর্কে থাকি, তাহলে আমি উদ্বিগ্ন। যদি না থাকি, তাহলে আমি আকুল থাকি। কিন্তু আমি খুব কমই ঠিক থাকি। দুঃখের বিষয় হল, যে সম্পর্কগুলোতে আমি খুব স্বাচ্ছন্দ্য বোধ করতাম, সেখানে এমন একজন সঙ্গীর সাথে আসতাম যে ছিল না। এটা এমন যে, যদি আমি মনে করি যে তারা আমাকে যথেষ্ট পছন্দ করে, তবে তারা মনে করে না যে আমি তাদের যথেষ্ট পছন্দ করি। তুমি সেই সুখী মাধ্যম এবং মিষ্টি জায়গাটি কোথায় পাবে? তুমি কীভাবে কেবল নিজের এবং সেই মুহূর্তে আনন্দ খুঁজে পাবে? আমার এমন ক্ষণস্থায়ী সময় কেটেছে যখন আমি সত্যিই কেবল এক বা অন্য জিনিসের উপর নির্ভর করার জন্য স্বাধীন বোধ করতাম। আমি এই বাধ্যবাধকতাগুলির দ্বারা টানাপোড়েন বোধ করার পরিবর্তে আমার জীবনের উপর সম্পূর্ণভাবে নিযুক্ত থাকতে এবং মনোযোগী হতে চাই।</v>
      </c>
    </row>
    <row r="345" spans="1:3" ht="15" x14ac:dyDescent="0.25">
      <c r="A345" s="3" t="s">
        <v>346</v>
      </c>
      <c r="B345" s="3" t="s">
        <v>4</v>
      </c>
      <c r="C345" s="4" t="str">
        <f ca="1">IFERROR(__xludf.DUMMYFUNCTION("GOOGLETRANSLATE(A345, ""auto"", ""bn"")"),"আমার নাম জন। আমার বয়স ১৪। আমার যত্নশীল বাবা-মা, মজার ভাই, সুন্দর বিড়াল, গড়পড়তা গ্রেডের চেয়ে বেশি, প্রায় সম্পূর্ণ ভবিষ্যৎ পরিকল্পনা, প্রচুর টাকা এবং আরও অনেক আশ্চর্যজনক জিনিস যা কেউ কেউ স্বপ্ন দেখতে পারে। এবং একটি খারাপ রহস্য। আমি দিনে একাধিকবার হস্ত"&amp;"মৈথুন করি। আমি অনেক আসক্তি নিরাময়কারী অ্যাপ, পর্ন ব্লকার এবং অন্যান্য অনলাইন সরঞ্জাম ব্যবহার করেছি। তাছাড়া, আমি এখনও এটি করছি। তাছাড়া, আমার সাহায্যের প্রয়োজন। দয়া করে।")</f>
        <v>আমার নাম জন। আমার বয়স ১৪। আমার যত্নশীল বাবা-মা, মজার ভাই, সুন্দর বিড়াল, গড়পড়তা গ্রেডের চেয়ে বেশি, প্রায় সম্পূর্ণ ভবিষ্যৎ পরিকল্পনা, প্রচুর টাকা এবং আরও অনেক আশ্চর্যজনক জিনিস যা কেউ কেউ স্বপ্ন দেখতে পারে। এবং একটি খারাপ রহস্য। আমি দিনে একাধিকবার হস্তমৈথুন করি। আমি অনেক আসক্তি নিরাময়কারী অ্যাপ, পর্ন ব্লকার এবং অন্যান্য অনলাইন সরঞ্জাম ব্যবহার করেছি। তাছাড়া, আমি এখনও এটি করছি। তাছাড়া, আমার সাহায্যের প্রয়োজন। দয়া করে।</v>
      </c>
    </row>
    <row r="346" spans="1:3" ht="15" x14ac:dyDescent="0.25">
      <c r="A346" s="3" t="s">
        <v>347</v>
      </c>
      <c r="B346" s="3" t="s">
        <v>4</v>
      </c>
      <c r="C346" s="4" t="str">
        <f ca="1">IFERROR(__xludf.DUMMYFUNCTION("GOOGLETRANSLATE(A346, ""auto"", ""bn"")"),"প্রথমত, যারা এই সমস্যাটি নিয়ে ভেবেছিলেন তাদের সকলের প্রতি শ্রদ্ধা। সবাই আমাকে এটা না করার জন্য বলেছিল, আমাকে ঝামেলায় ফেলা হবে, আমি শুনিনি। এখন আমি নিকোটিন, আগাছা এবং হ্যাশ, পপার এবং মাঝে মাঝে MDMA এর প্রতি আসক্তির মুখোমুখি। আমি (২২ বছর বয়সী) এই মেয়েটি"&amp;"কে (২৭ বছর বয়সী) যতটা সম্ভব সাহায্য করার চেষ্টা করেছি এবং শেষ পর্যন্ত হ্যাঁ, হয়তো আমি তাকে সাহায্য করেছি কারণ সে এখন পরিষ্কার, কিন্তু আমি অনেক বেশি খারাপ হয়ে গেছি। আমি দেখতে খারাপ লোকের মতো নই, তবে আমার কিছু যায় আসে না কারণ আমি এখন পুরোপুরি একজন। শুধু"&amp;" মুখ খুলে বলার দরকার ছিল।")</f>
        <v>প্রথমত, যারা এই সমস্যাটি নিয়ে ভেবেছিলেন তাদের সকলের প্রতি শ্রদ্ধা। সবাই আমাকে এটা না করার জন্য বলেছিল, আমাকে ঝামেলায় ফেলা হবে, আমি শুনিনি। এখন আমি নিকোটিন, আগাছা এবং হ্যাশ, পপার এবং মাঝে মাঝে MDMA এর প্রতি আসক্তির মুখোমুখি। আমি (২২ বছর বয়সী) এই মেয়েটিকে (২৭ বছর বয়সী) যতটা সম্ভব সাহায্য করার চেষ্টা করেছি এবং শেষ পর্যন্ত হ্যাঁ, হয়তো আমি তাকে সাহায্য করেছি কারণ সে এখন পরিষ্কার, কিন্তু আমি অনেক বেশি খারাপ হয়ে গেছি। আমি দেখতে খারাপ লোকের মতো নই, তবে আমার কিছু যায় আসে না কারণ আমি এখন পুরোপুরি একজন। শুধু মুখ খুলে বলার দরকার ছিল।</v>
      </c>
    </row>
    <row r="347" spans="1:3" ht="15" x14ac:dyDescent="0.25">
      <c r="A347" s="3" t="s">
        <v>348</v>
      </c>
      <c r="B347" s="3" t="s">
        <v>4</v>
      </c>
      <c r="C347" s="4" t="str">
        <f ca="1">IFERROR(__xludf.DUMMYFUNCTION("GOOGLETRANSLATE(A347, ""auto"", ""bn"")"),"আমি খুব খারাপ অবস্থায় যাচ্ছি। আমার সাহায্যের প্রয়োজন। প্রতিদিন কাজ শেষে আমি বারে যাই, একগুচ্ছ কোকেন খাই, আধা প্যাকেট পান করি এবং ধূমপান করি, বাড়ি যাই, আরও কোক খাই, অদ্ভুত পর্ন দেখার জন্য হস্তমৈথুন করি, গাঁজা সেবন করি এবং ঘুমাতে যাই। বারবার বলি। এই চক্রটি"&amp;" কীভাবে ভাঙবো?")</f>
        <v>আমি খুব খারাপ অবস্থায় যাচ্ছি। আমার সাহায্যের প্রয়োজন। প্রতিদিন কাজ শেষে আমি বারে যাই, একগুচ্ছ কোকেন খাই, আধা প্যাকেট পান করি এবং ধূমপান করি, বাড়ি যাই, আরও কোক খাই, অদ্ভুত পর্ন দেখার জন্য হস্তমৈথুন করি, গাঁজা সেবন করি এবং ঘুমাতে যাই। বারবার বলি। এই চক্রটি কীভাবে ভাঙবো?</v>
      </c>
    </row>
    <row r="348" spans="1:3" ht="15" x14ac:dyDescent="0.25">
      <c r="A348" s="3" t="s">
        <v>349</v>
      </c>
      <c r="B348" s="3" t="s">
        <v>4</v>
      </c>
      <c r="C348" s="4" t="str">
        <f ca="1">IFERROR(__xludf.DUMMYFUNCTION("GOOGLETRANSLATE(A348, ""auto"", ""bn"")"),"""এগুলো খারাপ, তুমি এখনও এগুলো করার জন্য অনেক ছোট"", ""এখনই এগুলো ছেড়ে দেওয়া উচিত, যখন তুমি পারবে, তোমার অনেক সময় আছে"", এইসব নিয়ে কত মানুষ কথা বলতে শুরু করে, আমার খুব খারাপ লাগে। হ্যাঁ, আমার বয়স ১৭, তাই কী, এটা তোমার চিন্তার বিষয় নয়। আমি ছেড়ে দিত"&amp;"ে চাই না, আর তুমি আমার কান বন্ধ করে বলছো যে আমি কীভাবে ছেড়ে দেব, তা আমার জীবনে কোনও প্রভাব ফেলছে না। তাছাড়া, আমি জানি আমি কোন পথে এগোচ্ছি, এভাবে চলতে থাকলে আমি অবশেষে একজন হেরোইন আসক্ত হয়ে যাব, সম্ভবত গৃহহীন, তারপর ফেন্টানাইল, তারপর মৃত্যু। তাছাড়া, এখ"&amp;"ন আমার কিছু যায় আসে না, আমি আত্মহত্যাপ্রবণ এবং মাদক আমাকে খুশি করে, এমনকি মাত্র কয়েক ঘন্টার জন্য হলেও।")</f>
        <v>"এগুলো খারাপ, তুমি এখনও এগুলো করার জন্য অনেক ছোট", "এখনই এগুলো ছেড়ে দেওয়া উচিত, যখন তুমি পারবে, তোমার অনেক সময় আছে", এইসব নিয়ে কত মানুষ কথা বলতে শুরু করে, আমার খুব খারাপ লাগে। হ্যাঁ, আমার বয়স ১৭, তাই কী, এটা তোমার চিন্তার বিষয় নয়। আমি ছেড়ে দিতে চাই না, আর তুমি আমার কান বন্ধ করে বলছো যে আমি কীভাবে ছেড়ে দেব, তা আমার জীবনে কোনও প্রভাব ফেলছে না। তাছাড়া, আমি জানি আমি কোন পথে এগোচ্ছি, এভাবে চলতে থাকলে আমি অবশেষে একজন হেরোইন আসক্ত হয়ে যাব, সম্ভবত গৃহহীন, তারপর ফেন্টানাইল, তারপর মৃত্যু। তাছাড়া, এখন আমার কিছু যায় আসে না, আমি আত্মহত্যাপ্রবণ এবং মাদক আমাকে খুশি করে, এমনকি মাত্র কয়েক ঘন্টার জন্য হলেও।</v>
      </c>
    </row>
    <row r="349" spans="1:3" ht="15" x14ac:dyDescent="0.25">
      <c r="A349" s="3" t="s">
        <v>350</v>
      </c>
      <c r="B349" s="3" t="s">
        <v>4</v>
      </c>
      <c r="C349" s="4" t="str">
        <f ca="1">IFERROR(__xludf.DUMMYFUNCTION("GOOGLETRANSLATE(A349, ""auto"", ""bn"")"),"গত ৬ মাস ধরে, আমি ধীরে ধীরে নাক দিয়ে শ্বাস নেওয়ার জন্য আফ্রিকান এবং অন্যান্য অক্সিমেটাজোলিন এইচসিএল নাসাল স্প্রে-এর উপর নির্ভরশীল হয়ে পড়েছি। আমার নাকের ডিভাইটেড সেপ্টাম এবং মৌসুমি অ্যালার্জি আছে তাই শুরু থেকেই আমি নাক দিয়ে শ্বাস নিতে পারি না। দুর্ভাগ"&amp;"্যবশত, রিবাউন্ড কনজেশনের প্রভাব আমাকে এতটাই তীব্রভাবে প্রভাবিত করেছে যে এক ঘন্টা বা তারও বেশি সময় ধরে স্টেরয়েডটি শেষ হয়ে গেছে এবং শ্বাস নেওয়ার জন্য আমাকে প্রতিদিন ১০ বার এটি ব্যবহার করতে হয়। ঠান্ডা টার্কি থেকে বেরিয়ে আসা বিকল্পের বাইরে, কারণ আমি এই "&amp;"নাসাল স্প্রে-এর উপর নির্ভরশীল। আমার মুখ দিয়ে শ্বাস নেওয়ার ফলে খাওয়া, ঘুমানো এবং ব্যায়াম করা প্রায় অসম্ভব হয়ে পড়ে এবং আমার কণ্ঠস্বর নাক দিয়ে শব্দ করে। আমি অনিদ্রা এবং অন্যান্য মানসিক প্রভাবও অনুভব করি যা আমি অতিরিক্ত গ্রহণের সময় প্রকাশ করতে পারি ন"&amp;"া, এটি অক্সিমেটাজোলিনের প্রভাব হতে পারে বা নাও হতে পারে। কোন পরামর্শ বা টিপস?")</f>
        <v>গত ৬ মাস ধরে, আমি ধীরে ধীরে নাক দিয়ে শ্বাস নেওয়ার জন্য আফ্রিকান এবং অন্যান্য অক্সিমেটাজোলিন এইচসিএল নাসাল স্প্রে-এর উপর নির্ভরশীল হয়ে পড়েছি। আমার নাকের ডিভাইটেড সেপ্টাম এবং মৌসুমি অ্যালার্জি আছে তাই শুরু থেকেই আমি নাক দিয়ে শ্বাস নিতে পারি না। দুর্ভাগ্যবশত, রিবাউন্ড কনজেশনের প্রভাব আমাকে এতটাই তীব্রভাবে প্রভাবিত করেছে যে এক ঘন্টা বা তারও বেশি সময় ধরে স্টেরয়েডটি শেষ হয়ে গেছে এবং শ্বাস নেওয়ার জন্য আমাকে প্রতিদিন ১০ বার এটি ব্যবহার করতে হয়। ঠান্ডা টার্কি থেকে বেরিয়ে আসা বিকল্পের বাইরে, কারণ আমি এই নাসাল স্প্রে-এর উপর নির্ভরশীল। আমার মুখ দিয়ে শ্বাস নেওয়ার ফলে খাওয়া, ঘুমানো এবং ব্যায়াম করা প্রায় অসম্ভব হয়ে পড়ে এবং আমার কণ্ঠস্বর নাক দিয়ে শব্দ করে। আমি অনিদ্রা এবং অন্যান্য মানসিক প্রভাবও অনুভব করি যা আমি অতিরিক্ত গ্রহণের সময় প্রকাশ করতে পারি না, এটি অক্সিমেটাজোলিনের প্রভাব হতে পারে বা নাও হতে পারে। কোন পরামর্শ বা টিপস?</v>
      </c>
    </row>
    <row r="350" spans="1:3" ht="15" x14ac:dyDescent="0.25">
      <c r="A350" s="3" t="s">
        <v>351</v>
      </c>
      <c r="B350" s="3" t="s">
        <v>4</v>
      </c>
      <c r="C350" s="4" t="str">
        <f ca="1">IFERROR(__xludf.DUMMYFUNCTION("GOOGLETRANSLATE(A350, ""auto"", ""bn"")"),"আমি স্বীকার করেছি যে আমার একটি গুরুতর আসক্তির সমস্যা রয়েছে যার সাথে খারাপ প্রবণতা এবং আত্ম-নাশকতার প্রয়োজন মিশ্রিত, জীবনের এমন অনেক বিষয় যা কখনও আলোচনা করা হয়নি। আমি অত্যন্ত কর্মক্ষম এবং একজন দুর্দান্ত পারিবারিক মানুষ, কিন্তু আমার সমস্যাগুলি আরও খারাপ"&amp;" হচ্ছে বলে মনে হচ্ছে, তাই এখন আমার একজন পেশাদারের সাথে কথা বলার সময় এসেছে। আমার বিশেষভাবে কোন ধরণের ডাক্তারের সাথে যোগাযোগ করা উচিত? যখন আমি সিগনার মানসিক স্বাস্থ্যের বিকল্পগুলিতে থাকি তখন বিভিন্ন ধরণের বিশেষজ্ঞের হাজার হাজার লোক থাকে এবং আমি নিশ্চিত নই "&amp;"যে কাকে বেছে নেব। একজন লাইসেন্সপ্রাপ্ত থেরাপিস্ট? মনোবিজ্ঞানী? মনোরোগ বিশেষজ্ঞ? আমার কোন ধারণা নেই কোথায় যাব।")</f>
        <v>আমি স্বীকার করেছি যে আমার একটি গুরুতর আসক্তির সমস্যা রয়েছে যার সাথে খারাপ প্রবণতা এবং আত্ম-নাশকতার প্রয়োজন মিশ্রিত, জীবনের এমন অনেক বিষয় যা কখনও আলোচনা করা হয়নি। আমি অত্যন্ত কর্মক্ষম এবং একজন দুর্দান্ত পারিবারিক মানুষ, কিন্তু আমার সমস্যাগুলি আরও খারাপ হচ্ছে বলে মনে হচ্ছে, তাই এখন আমার একজন পেশাদারের সাথে কথা বলার সময় এসেছে। আমার বিশেষভাবে কোন ধরণের ডাক্তারের সাথে যোগাযোগ করা উচিত? যখন আমি সিগনার মানসিক স্বাস্থ্যের বিকল্পগুলিতে থাকি তখন বিভিন্ন ধরণের বিশেষজ্ঞের হাজার হাজার লোক থাকে এবং আমি নিশ্চিত নই যে কাকে বেছে নেব। একজন লাইসেন্সপ্রাপ্ত থেরাপিস্ট? মনোবিজ্ঞানী? মনোরোগ বিশেষজ্ঞ? আমার কোন ধারণা নেই কোথায় যাব।</v>
      </c>
    </row>
    <row r="351" spans="1:3" ht="15" x14ac:dyDescent="0.25">
      <c r="A351" s="3" t="s">
        <v>352</v>
      </c>
      <c r="B351" s="3" t="s">
        <v>4</v>
      </c>
      <c r="C351" s="4" t="str">
        <f ca="1">IFERROR(__xludf.DUMMYFUNCTION("GOOGLETRANSLATE(A351, ""auto"", ""bn"")"),"তোমার আসক্তি সম্পর্কে আমি জানতে আগ্রহী। তোমার খারাপ দিকটা কী? যখন তুমি বুঝতে পারলে যে তোমার সমস্যা আছে। তুমি কোন বই সুপারিশ করেছো। কোন নির্দিষ্ট থেরাপি তোমার জন্য কাজ করে। এছাড়াও, তুমি যদি তোমার খারাপ দিকটা দূর করার জন্য কোন ঔষধ খেয়ে থাকো। তুমি কতদিন ধর"&amp;"ে মাদকাসক্ত। আমি প্রথমেই বলব। আসক্তি: অক্সিকোডোন/কোকেন বন্ধু আমাকে এক রাতে এক ফোঁটা OXY খেতে দিয়েছিলো, জীবনে কখনো ব্যথার বড়ি খাইনি। তাৎক্ষণিকভাবে আসক্ত। OXY থেকে দুই বছর মাদকাসক্ত থাকার পর আবারও অসুস্থ হয়ে পড়ে এবং স্ট্রিপ ক্লাবে এক ফোঁটা কোক খেয়ে তাৎ"&amp;"ক্ষণিকভাবে আসক্ত হয়ে পড়ে। ৬ মাস পর বুঝতে পারলাম যে আমি প্রতিদিন সেবন করছি। বন্ধ করলে প্রত্যাহার করে নিচ্ছি। বই; ? যুক্তিসঙ্গত পুনরুদ্ধার (AA এর বিকল্প) ?, ? বুদ্ধের মস্তিষ্ক: সুখ, ভালোবাসা এবং প্রজ্ঞার ব্যবহারিক স্নায়ুবিজ্ঞান। থেরাপি; সাপ্তাহিক কাউন্সে"&amp;"লিং সেশন। তাকে বলার চেষ্টা করেছিলাম যে আমি এটা কিনতে পারব না। সে আমাকে বললো, যদি তুমি আমার ওষুধ কিনতে পারো, তাহলে আমিও তাকে কিনতে পারবো। হা হা, সে ঠিক বলেছে। AA: এক বছরের জন্য প্রতি ৩০ সপ্তাহে ৩০। সবার জন্য নয় কিন্তু অনেক কিছু শিখেছে। পরে একজন ট্রমা বিশে"&amp;"ষজ্ঞের সাথে কাজ করে উদ্বেগের মূলে পৌঁছাই। EMDR বিশেষজ্ঞের অস্বস্তিকর AF ছিল কিন্তু ভালো কাজ করেছে। বিষণ্ণতার জন্য কেটামিন - একজন ডাক্তারের তত্ত্বাবধানে। প্রথমে অ্যান্টি-ডিপ্রেশন SSRI এবং উদ্বেগের ওষুধ খেয়েছি। 5HTP, GABA, L-Thea এর মতো অ্যামিনো অ্যাসিড ব্"&amp;"যবহার করেছি নয়টি। শান্ত: ৭ বছর।")</f>
        <v>তোমার আসক্তি সম্পর্কে আমি জানতে আগ্রহী। তোমার খারাপ দিকটা কী? যখন তুমি বুঝতে পারলে যে তোমার সমস্যা আছে। তুমি কোন বই সুপারিশ করেছো। কোন নির্দিষ্ট থেরাপি তোমার জন্য কাজ করে। এছাড়াও, তুমি যদি তোমার খারাপ দিকটা দূর করার জন্য কোন ঔষধ খেয়ে থাকো। তুমি কতদিন ধরে মাদকাসক্ত। আমি প্রথমেই বলব। আসক্তি: অক্সিকোডোন/কোকেন বন্ধু আমাকে এক রাতে এক ফোঁটা OXY খেতে দিয়েছিলো, জীবনে কখনো ব্যথার বড়ি খাইনি। তাৎক্ষণিকভাবে আসক্ত। OXY থেকে দুই বছর মাদকাসক্ত থাকার পর আবারও অসুস্থ হয়ে পড়ে এবং স্ট্রিপ ক্লাবে এক ফোঁটা কোক খেয়ে তাৎক্ষণিকভাবে আসক্ত হয়ে পড়ে। ৬ মাস পর বুঝতে পারলাম যে আমি প্রতিদিন সেবন করছি। বন্ধ করলে প্রত্যাহার করে নিচ্ছি। বই; ? যুক্তিসঙ্গত পুনরুদ্ধার (AA এর বিকল্প) ?, ? বুদ্ধের মস্তিষ্ক: সুখ, ভালোবাসা এবং প্রজ্ঞার ব্যবহারিক স্নায়ুবিজ্ঞান। থেরাপি; সাপ্তাহিক কাউন্সেলিং সেশন। তাকে বলার চেষ্টা করেছিলাম যে আমি এটা কিনতে পারব না। সে আমাকে বললো, যদি তুমি আমার ওষুধ কিনতে পারো, তাহলে আমিও তাকে কিনতে পারবো। হা হা, সে ঠিক বলেছে। AA: এক বছরের জন্য প্রতি ৩০ সপ্তাহে ৩০। সবার জন্য নয় কিন্তু অনেক কিছু শিখেছে। পরে একজন ট্রমা বিশেষজ্ঞের সাথে কাজ করে উদ্বেগের মূলে পৌঁছাই। EMDR বিশেষজ্ঞের অস্বস্তিকর AF ছিল কিন্তু ভালো কাজ করেছে। বিষণ্ণতার জন্য কেটামিন - একজন ডাক্তারের তত্ত্বাবধানে। প্রথমে অ্যান্টি-ডিপ্রেশন SSRI এবং উদ্বেগের ওষুধ খেয়েছি। 5HTP, GABA, L-Thea এর মতো অ্যামিনো অ্যাসিড ব্যবহার করেছি নয়টি। শান্ত: ৭ বছর।</v>
      </c>
    </row>
    <row r="352" spans="1:3" ht="15" x14ac:dyDescent="0.25">
      <c r="A352" s="3" t="s">
        <v>353</v>
      </c>
      <c r="B352" s="3" t="s">
        <v>4</v>
      </c>
      <c r="C352" s="4" t="str">
        <f ca="1">IFERROR(__xludf.DUMMYFUNCTION("GOOGLETRANSLATE(A352, ""auto"", ""bn"")"),"আমার অভিজ্ঞতায়, আসক্তির বিভিন্ন ধাপ আছে। প্রথমটি হলো সম্পূর্ণ বিশ্বাস যে আপনি নিয়ন্ত্রণে আছেন, ভালো সময় কাটাচ্ছেন এবং এটি এমন কিছু যা আপনি করতে চান। তারপর আসে পরিণতি, মাঝে মাঝে স্পষ্টতার মুহূর্ত যখন আপনি বুঝতে পারেন যে আপনি দিনটি একটি উদ্দেশ্য নিয়ে শুরু"&amp;" করেছিলেন, কিন্তু শেষ পর্যন্ত সম্পূর্ণ ভিন্ন কিছু নিয়ে। অর্থাৎ একবার পান করার জন্য বাইরে যাওয়া, দুই দিন পরে ব্ল্যাকআউটের পরে ঘুম থেকে ওঠা। অনেকের ক্ষেত্রে, পরিণতি খুব দ্রুত ঘটে, কারও কারও ক্ষেত্রে, সমস্যায় পরিণত হতে বছরের পর বছর সময় লাগে। এই পর্যায়ে "&amp;"বেশ কিছু অস্বীকার করা হয়। কেউই 'আসক্ত' হিসেবে চিহ্নিত হতে চায় না এবং তাছাড়া, কেউই এই ধারণা পছন্দ করে না যে তাদের সমস্যাটির উপর তাদের কোন ক্ষমতা নেই, তাদের ইচ্ছাশক্তি মূলত শূন্য এবং মস্তিষ্কের কিছু সহজাত আনন্দের সন্ধান যেকোনো যুক্তিসঙ্গত চিন্তাভাবনাকে প্"&amp;"রাধান্য দেয়।")</f>
        <v>আমার অভিজ্ঞতায়, আসক্তির বিভিন্ন ধাপ আছে। প্রথমটি হলো সম্পূর্ণ বিশ্বাস যে আপনি নিয়ন্ত্রণে আছেন, ভালো সময় কাটাচ্ছেন এবং এটি এমন কিছু যা আপনি করতে চান। তারপর আসে পরিণতি, মাঝে মাঝে স্পষ্টতার মুহূর্ত যখন আপনি বুঝতে পারেন যে আপনি দিনটি একটি উদ্দেশ্য নিয়ে শুরু করেছিলেন, কিন্তু শেষ পর্যন্ত সম্পূর্ণ ভিন্ন কিছু নিয়ে। অর্থাৎ একবার পান করার জন্য বাইরে যাওয়া, দুই দিন পরে ব্ল্যাকআউটের পরে ঘুম থেকে ওঠা। অনেকের ক্ষেত্রে, পরিণতি খুব দ্রুত ঘটে, কারও কারও ক্ষেত্রে, সমস্যায় পরিণত হতে বছরের পর বছর সময় লাগে। এই পর্যায়ে বেশ কিছু অস্বীকার করা হয়। কেউই 'আসক্ত' হিসেবে চিহ্নিত হতে চায় না এবং তাছাড়া, কেউই এই ধারণা পছন্দ করে না যে তাদের সমস্যাটির উপর তাদের কোন ক্ষমতা নেই, তাদের ইচ্ছাশক্তি মূলত শূন্য এবং মস্তিষ্কের কিছু সহজাত আনন্দের সন্ধান যেকোনো যুক্তিসঙ্গত চিন্তাভাবনাকে প্রাধান্য দেয়।</v>
      </c>
    </row>
    <row r="353" spans="1:3" ht="15" x14ac:dyDescent="0.25">
      <c r="A353" s="3" t="s">
        <v>354</v>
      </c>
      <c r="B353" s="3" t="s">
        <v>4</v>
      </c>
      <c r="C353" s="4" t="str">
        <f ca="1">IFERROR(__xludf.DUMMYFUNCTION("GOOGLETRANSLATE(A353, ""auto"", ""bn"")"),"তো, এটা মূলত একটা দুষ্টুমি কারণ আমি খুব অলস বোধ করছি। শনিবার আমি আড়াই বছরের সংযম ভেঙে ফেলেছি। আমার কোমরবিড বাইপোলার আছে, এবং আমি আমার সম্পূর্ণ ভয়ঙ্কর মাতাল স্বভাবে পরিণত হয়েছি। শনিবার থেকে আমি যা করতে চাই তা হল আবার মদ্যপান করা যাতে অপরাধবোধ থেকে মুক্ত"&amp;"ি পাওয়া যায়, এক মিনিটের জন্য শান্তি বোধ করা যায়। কিন্তু আমি আর কখনও মদ্যপান করতে চাই না কারণ আমি আর কখনও আমার বন্ধুদের এভাবে আঘাত করতে চাই না। তাই, আমি একটি কর্ম পরিকল্পনা তৈরি করেছি। আমি মাদক, অ্যালকোহল অপব্যবহার এবং আপত্তিকর আচরণের জন্য স্থানীয় একটি দা"&amp;"তব্য প্রতিষ্ঠানের সাথে যোগাযোগ করি এবং সেই সাথে আমার মানসিক স্বাস্থ্য অনুশীলনকারীর সাথেও যোগাযোগ করি। আজ দাতব্য প্রতিষ্ঠানটি আমাকে বলেছে যে তারা আমাকে গ্রহণ করতে পারবে না কারণ তারা একটি ব্লিপ সক্রিয় আসক্তি হিসাবে বিবেচনা করে না। তারা আমাকে একজন সহায়তা ক"&amp;"র্মী দিতে পারবে না কারণ আমি যথেষ্ট আসক্ত নই। তারা আমাকে বিকল্প হিসেবে অনলাইন সহায়তা গোষ্ঠীর সহায়তা সভা করার প্রস্তাব দিয়েছে।")</f>
        <v>তো, এটা মূলত একটা দুষ্টুমি কারণ আমি খুব অলস বোধ করছি। শনিবার আমি আড়াই বছরের সংযম ভেঙে ফেলেছি। আমার কোমরবিড বাইপোলার আছে, এবং আমি আমার সম্পূর্ণ ভয়ঙ্কর মাতাল স্বভাবে পরিণত হয়েছি। শনিবার থেকে আমি যা করতে চাই তা হল আবার মদ্যপান করা যাতে অপরাধবোধ থেকে মুক্তি পাওয়া যায়, এক মিনিটের জন্য শান্তি বোধ করা যায়। কিন্তু আমি আর কখনও মদ্যপান করতে চাই না কারণ আমি আর কখনও আমার বন্ধুদের এভাবে আঘাত করতে চাই না। তাই, আমি একটি কর্ম পরিকল্পনা তৈরি করেছি। আমি মাদক, অ্যালকোহল অপব্যবহার এবং আপত্তিকর আচরণের জন্য স্থানীয় একটি দাতব্য প্রতিষ্ঠানের সাথে যোগাযোগ করি এবং সেই সাথে আমার মানসিক স্বাস্থ্য অনুশীলনকারীর সাথেও যোগাযোগ করি। আজ দাতব্য প্রতিষ্ঠানটি আমাকে বলেছে যে তারা আমাকে গ্রহণ করতে পারবে না কারণ তারা একটি ব্লিপ সক্রিয় আসক্তি হিসাবে বিবেচনা করে না। তারা আমাকে একজন সহায়তা কর্মী দিতে পারবে না কারণ আমি যথেষ্ট আসক্ত নই। তারা আমাকে বিকল্প হিসেবে অনলাইন সহায়তা গোষ্ঠীর সহায়তা সভা করার প্রস্তাব দিয়েছে।</v>
      </c>
    </row>
    <row r="354" spans="1:3" ht="15" x14ac:dyDescent="0.25">
      <c r="A354" s="3" t="s">
        <v>355</v>
      </c>
      <c r="B354" s="3" t="s">
        <v>4</v>
      </c>
      <c r="C354" s="4" t="str">
        <f ca="1">IFERROR(__xludf.DUMMYFUNCTION("GOOGLETRANSLATE(A354, ""auto"", ""bn"")"),"যতদূর আমি পড়েছি, একটি খারাপ অভ্যাস প্রতিক্রিয়া হিসেবে তৈরি হয় এবং বাইরের কারণগুলির দ্বারা উদ্দীপ্ত হয়। যেমন যারা বিরতির সময় বা যখন তারা চাপে থাকে। তাই অভ্যাসটি তখন তৈরি হয় যখন তারা একটি নির্দিষ্ট পরিস্থিতিতে থাকে এবং তাই ঠান্ডা টার্কি ছেড়ে দেওয়া ক"&amp;"ঠিন কারণ আপনার এখনও সেই অভ্যাসটি রয়েছে। তাই আমি ভেবেছিলাম যদি আপনি একটি নির্দিষ্ট সময় বা নির্দিষ্ট বাহ্যিক ঘটনা ছাড়াই আপনার ধ্বংসাত্মক আচরণকে এলোমেলোভাবে নির্ধারণ করেন এবং তারপর কমিয়ে আনেন তবে কি আসক্তির বিরুদ্ধে লড়াইয়ে সাহায্য করবে?")</f>
        <v>যতদূর আমি পড়েছি, একটি খারাপ অভ্যাস প্রতিক্রিয়া হিসেবে তৈরি হয় এবং বাইরের কারণগুলির দ্বারা উদ্দীপ্ত হয়। যেমন যারা বিরতির সময় বা যখন তারা চাপে থাকে। তাই অভ্যাসটি তখন তৈরি হয় যখন তারা একটি নির্দিষ্ট পরিস্থিতিতে থাকে এবং তাই ঠান্ডা টার্কি ছেড়ে দেওয়া কঠিন কারণ আপনার এখনও সেই অভ্যাসটি রয়েছে। তাই আমি ভেবেছিলাম যদি আপনি একটি নির্দিষ্ট সময় বা নির্দিষ্ট বাহ্যিক ঘটনা ছাড়াই আপনার ধ্বংসাত্মক আচরণকে এলোমেলোভাবে নির্ধারণ করেন এবং তারপর কমিয়ে আনেন তবে কি আসক্তির বিরুদ্ধে লড়াইয়ে সাহায্য করবে?</v>
      </c>
    </row>
    <row r="355" spans="1:3" ht="15" x14ac:dyDescent="0.25">
      <c r="A355" s="3" t="s">
        <v>356</v>
      </c>
      <c r="B355" s="3" t="s">
        <v>4</v>
      </c>
      <c r="C355" s="4" t="str">
        <f ca="1">IFERROR(__xludf.DUMMYFUNCTION("GOOGLETRANSLATE(A355, ""auto"", ""bn"")"),"এই!! আমার বয়স ২১ বছর এবং আমার নেশার দীর্ঘ ইতিহাস আছে, এবং অবশেষে আমি চিরতরে সুস্থ হতে প্রস্তুত। দুর্ভাগ্যবশত এর মানে হল যে আমাকে আসলে এর পিছনে থাকা সমস্ত সমস্যা (ব্যক্তিত্বজনিত ব্যাধি, ADHD, ট্রমা ইত্যাদি) মোকাবেলা করতে হবে। আমি একটি দীর্ঘমেয়াদী ইনপেশেন্"&amp;"ট পুনর্বাসন কেন্দ্র খুঁজছি যেখানে অন্যান্য রোগ নির্ণয়েরও গভীরভাবে চিকিৎসা করা হয়। আমি যেকোনো সুপারিশ খুঁজছিলাম, দাম কোনও সমস্যা নয় এবং আমি বিশ্বের যেকোনো জায়গায় ভ্রমণ করতে ইচ্ছুক।")</f>
        <v>এই!! আমার বয়স ২১ বছর এবং আমার নেশার দীর্ঘ ইতিহাস আছে, এবং অবশেষে আমি চিরতরে সুস্থ হতে প্রস্তুত। দুর্ভাগ্যবশত এর মানে হল যে আমাকে আসলে এর পিছনে থাকা সমস্ত সমস্যা (ব্যক্তিত্বজনিত ব্যাধি, ADHD, ট্রমা ইত্যাদি) মোকাবেলা করতে হবে। আমি একটি দীর্ঘমেয়াদী ইনপেশেন্ট পুনর্বাসন কেন্দ্র খুঁজছি যেখানে অন্যান্য রোগ নির্ণয়েরও গভীরভাবে চিকিৎসা করা হয়। আমি যেকোনো সুপারিশ খুঁজছিলাম, দাম কোনও সমস্যা নয় এবং আমি বিশ্বের যেকোনো জায়গায় ভ্রমণ করতে ইচ্ছুক।</v>
      </c>
    </row>
    <row r="356" spans="1:3" ht="15" x14ac:dyDescent="0.25">
      <c r="A356" s="3" t="s">
        <v>357</v>
      </c>
      <c r="B356" s="3" t="s">
        <v>4</v>
      </c>
      <c r="C356" s="4" t="str">
        <f ca="1">IFERROR(__xludf.DUMMYFUNCTION("GOOGLETRANSLATE(A356, ""auto"", ""bn"")"),"ঠিক আছে, তাই আমি সমাজসেবামূলক কাজে/সেবামূলক কাজে কাজ করি। আমার পরিবার সত্যিই সহায়ক, এবং আমি অত্যন্ত ভাগ্যবান। যখন আমি প্রস্তুত ছিলাম না তখন তারা আমাকে পরিষ্কার-পরিচ্ছন্নতার জন্য চাপ দিত না, যখন আমি ছিলাম তখন তারা আমাকে ডিটক্সের জন্য নিয়ে যাওয়ার জন্য ঘন"&amp;"্টার পর ঘন্টা আমার শহরে গাড়ি চালিয়ে যেত, এবং যখন আমি আবার আসক্ত হয়ে পড়ি তখন তারা আমাকে ঘৃণা করত না। আমার যদি এমন পরিবার না থাকত তবে আমি কোথায় থাকতাম জানি না, এবং আমি এটি প্রায়শই দেখি। আমার স্বামীর কথা তো বাদই দিলাম, একজন পরম সৎ পুরুষ। তাকে থাকতে হয়"&amp;"নি। যদিও আমি আসক্তির বিপদের সাথে মানিয়ে নিতে পারি, আমি হেরোইন প্রত্যাহার এবং সেবনের সাথে যা কিছু আসে তা বুঝতে পারি, আমি অস্বীকার করতে পারি না যে আমার সমর্থনের সাথে আমার সময় সহজ ছিল। আমি এই লোকদের যথাসাধ্য সাহায্য করতে চাই, কিন্তু সম্প্রতি আমার মনে হচ্ছে"&amp;" আমি সেই ব্যক্তি যাকে আমি পরিষ্কার হওয়ার সময় ঘৃণা করতাম। কারণ তারা তাদের কাজে ভালো ছিল না, আমি একেবারে ঘৃণা করতাম যখন মনে হচ্ছিল যে অন্য পক্ষের লোকেরা তাদের পরিস্থিতির কারণে আমার চেয়ে ভালো সুযোগ পাচ্ছে। তাদের মোটেও দোষ নেই, আমি রেগে গিয়েছিলাম এবং ভয় "&amp;"পেয়েছিলাম।")</f>
        <v>ঠিক আছে, তাই আমি সমাজসেবামূলক কাজে/সেবামূলক কাজে কাজ করি। আমার পরিবার সত্যিই সহায়ক, এবং আমি অত্যন্ত ভাগ্যবান। যখন আমি প্রস্তুত ছিলাম না তখন তারা আমাকে পরিষ্কার-পরিচ্ছন্নতার জন্য চাপ দিত না, যখন আমি ছিলাম তখন তারা আমাকে ডিটক্সের জন্য নিয়ে যাওয়ার জন্য ঘন্টার পর ঘন্টা আমার শহরে গাড়ি চালিয়ে যেত, এবং যখন আমি আবার আসক্ত হয়ে পড়ি তখন তারা আমাকে ঘৃণা করত না। আমার যদি এমন পরিবার না থাকত তবে আমি কোথায় থাকতাম জানি না, এবং আমি এটি প্রায়শই দেখি। আমার স্বামীর কথা তো বাদই দিলাম, একজন পরম সৎ পুরুষ। তাকে থাকতে হয়নি। যদিও আমি আসক্তির বিপদের সাথে মানিয়ে নিতে পারি, আমি হেরোইন প্রত্যাহার এবং সেবনের সাথে যা কিছু আসে তা বুঝতে পারি, আমি অস্বীকার করতে পারি না যে আমার সমর্থনের সাথে আমার সময় সহজ ছিল। আমি এই লোকদের যথাসাধ্য সাহায্য করতে চাই, কিন্তু সম্প্রতি আমার মনে হচ্ছে আমি সেই ব্যক্তি যাকে আমি পরিষ্কার হওয়ার সময় ঘৃণা করতাম। কারণ তারা তাদের কাজে ভালো ছিল না, আমি একেবারে ঘৃণা করতাম যখন মনে হচ্ছিল যে অন্য পক্ষের লোকেরা তাদের পরিস্থিতির কারণে আমার চেয়ে ভালো সুযোগ পাচ্ছে। তাদের মোটেও দোষ নেই, আমি রেগে গিয়েছিলাম এবং ভয় পেয়েছিলাম।</v>
      </c>
    </row>
    <row r="357" spans="1:3" ht="15" x14ac:dyDescent="0.25">
      <c r="A357" s="3" t="s">
        <v>358</v>
      </c>
      <c r="B357" s="3" t="s">
        <v>4</v>
      </c>
      <c r="C357" s="4" t="str">
        <f ca="1">IFERROR(__xludf.DUMMYFUNCTION("GOOGLETRANSLATE(A357, ""auto"", ""bn"")"),"সে একটা বিপজ্জনক ঢাল বেয়ে নেমে যাচ্ছে আর আমি তাকে যা বলি তা সবই কানে যাচ্ছে না। সে অতিরিক্ত মাত্রায় জ্যানাক্স খাচ্ছে আর মদ্যপান করছে, স্কুলে আসছে, আর যখনই আমি তার সাথে কথা বলি তখনই সে কিছু না কিছু খাচ্ছে। বড়ি, এলএসডি, শরুম, আগাছা, আক্ষরিক অর্থেই যে কোনও"&amp;" কিছু। সে আমাকে বলেছে যে সে আরও কঠিন ওষুধ খাওয়ার পরিকল্পনা করছে এবং আমি যা বলি তা তার কানে যাচ্ছে না। এটা খুবই যন্ত্রণাদায়ক। আমি জানি যে তুমি এমন কাউকে সাহায্য করতে পারো না যে সাহায্য পেতে চায় না কিন্তু ঈশ্বর, আমি তার জন্য খুব ভয় পাচ্ছি যে আমি কিছু করতে"&amp;" পারি না??")</f>
        <v>সে একটা বিপজ্জনক ঢাল বেয়ে নেমে যাচ্ছে আর আমি তাকে যা বলি তা সবই কানে যাচ্ছে না। সে অতিরিক্ত মাত্রায় জ্যানাক্স খাচ্ছে আর মদ্যপান করছে, স্কুলে আসছে, আর যখনই আমি তার সাথে কথা বলি তখনই সে কিছু না কিছু খাচ্ছে। বড়ি, এলএসডি, শরুম, আগাছা, আক্ষরিক অর্থেই যে কোনও কিছু। সে আমাকে বলেছে যে সে আরও কঠিন ওষুধ খাওয়ার পরিকল্পনা করছে এবং আমি যা বলি তা তার কানে যাচ্ছে না। এটা খুবই যন্ত্রণাদায়ক। আমি জানি যে তুমি এমন কাউকে সাহায্য করতে পারো না যে সাহায্য পেতে চায় না কিন্তু ঈশ্বর, আমি তার জন্য খুব ভয় পাচ্ছি যে আমি কিছু করতে পারি না??</v>
      </c>
    </row>
    <row r="358" spans="1:3" ht="15" x14ac:dyDescent="0.25">
      <c r="A358" s="3" t="s">
        <v>359</v>
      </c>
      <c r="B358" s="3" t="s">
        <v>4</v>
      </c>
      <c r="C358" s="4" t="str">
        <f ca="1">IFERROR(__xludf.DUMMYFUNCTION("GOOGLETRANSLATE(A358, ""auto"", ""bn"")"),"এখানে IV মেথ আসক্ত, আমার মনে হয় যারা জুয়া খেলে তারা নির্বোধ বোকা এবং আমি বুঝতে পারছি না কেন এই লোকেরা শত শত এবং হাজার হাজার ডলার ডাস্টবিনে ফেলে দিতে পছন্দ করে যতক্ষণ না তাদের কাছে কোনও টাকা থাকে না এবং বারবার তা করেই যায়। এখন আমার মনে হয় মাদকাসক্তদের "&amp;"আসলে ভালো কারণ আছে। প্রথমত, আপনি এমন কিছুতে অর্থ ব্যয় করছেন যা আপনাকে উচ্ছ্বসিত করে এবং ভালো বোধ করে। আমি জুয়া খেলেছি তাই আমি বলতে পারি যে জুয়ার সাথে কোনও উচ্ছ্বসিত বা ভালো বোধ হয় না। প্রথমবার আমি এটি করার সময় $2 রেখেছিলাম এবং $17 দিয়ে বেরিয়ে এসেছি"&amp;"লাম, এবং আমার উচ্ছ্বসিত এবং ভালো অনুভূতি হয়েছিল কারণ আমি প্রায় $15 বিনামূল্যে পেয়েছিলাম। দ্বিতীয়বার আমি জুয়া খেলেছিলাম আমি $14 রেখে কোনও অর্থ প্রদান ছাড়াই বেরিয়ে এসেছিলাম, তাই যখন আমি প্রবেশ করি তখন 14 ডলার দালাল। এটি আমাকে এই যুক্তিসঙ্গত সিদ্ধান্ত"&amp;"ে নিয়ে যায় যে জুয়া বিনামূল্যে অর্থ প্রদান করে না এবং এটি বোকা এবং বোকা লোকদের জন্যও। আমি এই পোস্টটি লিখছি কারণ আমার ১২ বছরের সবচেয়ে ভালো বন্ধু মাদকাসক্ত এবং জুয়ায় আসক্ত, এবং সে এই সমস্ত টাকা একটি ডাস্টবিনে ফেলে দেয় এবং মেথের জন্য কখনও টাকা থাকে না এব"&amp;"ং কেবল আশা করে যে আমি তার সাথে ক্রমাগত ভাগাভাগি করব এবং তারপর যখন আমার মেথ ফুরিয়ে যায় তখন অবশ্যই তার কাছে আমার জন্য কিছু থাকে না যা আমার মুখে কেবল একটি বড় ""তোমাকে চোদো""। আচ্ছা, সে বেতন পেয়েছে, এবং আমি এখনও পাইনি এবং ভেঙে পড়েছিলাম, এবং আমি জিজ্ঞাসা "&amp;"করেছিলাম যে সে কত পেতে চায়, এবং সে বলেছিল যে সে কেবল $100 খরচ করতে চায়। যাই হোক, আমরা এটি করি, ভাগ করে নিই, এবং কয়েক দিন পরে যখন আমি বেতন পাই তখন আমি তাকে $50 দিই। ততক্ষণে আমাদের প্রত্যেকের অর্ধেক শেষ হয়ে গেছে, এবং আমি আমার স্বাভাবিক কোয়ার্টার (প্রায"&amp;"় $400) কিনছিলাম যাতে পরবর্তী বেতন পর্যন্ত আমার 2 সপ্তাহ চলে যায় যখন আমার বন্ধু ইতিমধ্যেই অসুস্থ, কোনও মাদক নেই, এবং $800 জুয়া খেলেছে, কিছুই না নিয়ে চলে যাচ্ছে। আমি তাকে বলি যে আমি ধূমপান করছি না, ভাগাভাগি করছি না, সামনের দিকে, কিছুই করছি না আমি খুব বে"&amp;"শি কিছু করছি না। আমি স্বার্থপর হব, আর এতে আমার খারাপ লাগবে না। এটা আমার কাছে এতটাই যুক্তিসঙ্গত মনে হচ্ছে যে, যে কোনও বুদ্ধিমান ব্যক্তি জুয়া খেলা বন্ধ করে দেবে। এখন আমার ভালো বন্ধু, যাকে আমি খুব ভালোবাসি, সে বোকা, ভোলা নয়, বরং সে আসলে খুব যুক্তিবাদী এবং "&amp;"তার সাধারণ জ্ঞান আছে। জুয়ার ক্ষেত্রে ছাড়া।")</f>
        <v>এখানে IV মেথ আসক্ত, আমার মনে হয় যারা জুয়া খেলে তারা নির্বোধ বোকা এবং আমি বুঝতে পারছি না কেন এই লোকেরা শত শত এবং হাজার হাজার ডলার ডাস্টবিনে ফেলে দিতে পছন্দ করে যতক্ষণ না তাদের কাছে কোনও টাকা থাকে না এবং বারবার তা করেই যায়। এখন আমার মনে হয় মাদকাসক্তদের আসলে ভালো কারণ আছে। প্রথমত, আপনি এমন কিছুতে অর্থ ব্যয় করছেন যা আপনাকে উচ্ছ্বসিত করে এবং ভালো বোধ করে। আমি জুয়া খেলেছি তাই আমি বলতে পারি যে জুয়ার সাথে কোনও উচ্ছ্বসিত বা ভালো বোধ হয় না। প্রথমবার আমি এটি করার সময় $2 রেখেছিলাম এবং $17 দিয়ে বেরিয়ে এসেছিলাম, এবং আমার উচ্ছ্বসিত এবং ভালো অনুভূতি হয়েছিল কারণ আমি প্রায় $15 বিনামূল্যে পেয়েছিলাম। দ্বিতীয়বার আমি জুয়া খেলেছিলাম আমি $14 রেখে কোনও অর্থ প্রদান ছাড়াই বেরিয়ে এসেছিলাম, তাই যখন আমি প্রবেশ করি তখন 14 ডলার দালাল। এটি আমাকে এই যুক্তিসঙ্গত সিদ্ধান্তে নিয়ে যায় যে জুয়া বিনামূল্যে অর্থ প্রদান করে না এবং এটি বোকা এবং বোকা লোকদের জন্যও। আমি এই পোস্টটি লিখছি কারণ আমার ১২ বছরের সবচেয়ে ভালো বন্ধু মাদকাসক্ত এবং জুয়ায় আসক্ত, এবং সে এই সমস্ত টাকা একটি ডাস্টবিনে ফেলে দেয় এবং মেথের জন্য কখনও টাকা থাকে না এবং কেবল আশা করে যে আমি তার সাথে ক্রমাগত ভাগাভাগি করব এবং তারপর যখন আমার মেথ ফুরিয়ে যায় তখন অবশ্যই তার কাছে আমার জন্য কিছু থাকে না যা আমার মুখে কেবল একটি বড় "তোমাকে চোদো"। আচ্ছা, সে বেতন পেয়েছে, এবং আমি এখনও পাইনি এবং ভেঙে পড়েছিলাম, এবং আমি জিজ্ঞাসা করেছিলাম যে সে কত পেতে চায়, এবং সে বলেছিল যে সে কেবল $100 খরচ করতে চায়। যাই হোক, আমরা এটি করি, ভাগ করে নিই, এবং কয়েক দিন পরে যখন আমি বেতন পাই তখন আমি তাকে $50 দিই। ততক্ষণে আমাদের প্রত্যেকের অর্ধেক শেষ হয়ে গেছে, এবং আমি আমার স্বাভাবিক কোয়ার্টার (প্রায় $400) কিনছিলাম যাতে পরবর্তী বেতন পর্যন্ত আমার 2 সপ্তাহ চলে যায় যখন আমার বন্ধু ইতিমধ্যেই অসুস্থ, কোনও মাদক নেই, এবং $800 জুয়া খেলেছে, কিছুই না নিয়ে চলে যাচ্ছে। আমি তাকে বলি যে আমি ধূমপান করছি না, ভাগাভাগি করছি না, সামনের দিকে, কিছুই করছি না আমি খুব বেশি কিছু করছি না। আমি স্বার্থপর হব, আর এতে আমার খারাপ লাগবে না। এটা আমার কাছে এতটাই যুক্তিসঙ্গত মনে হচ্ছে যে, যে কোনও বুদ্ধিমান ব্যক্তি জুয়া খেলা বন্ধ করে দেবে। এখন আমার ভালো বন্ধু, যাকে আমি খুব ভালোবাসি, সে বোকা, ভোলা নয়, বরং সে আসলে খুব যুক্তিবাদী এবং তার সাধারণ জ্ঞান আছে। জুয়ার ক্ষেত্রে ছাড়া।</v>
      </c>
    </row>
    <row r="359" spans="1:3" ht="15" x14ac:dyDescent="0.25">
      <c r="A359" s="3" t="s">
        <v>360</v>
      </c>
      <c r="B359" s="3" t="s">
        <v>4</v>
      </c>
      <c r="C359" s="4" t="str">
        <f ca="1">IFERROR(__xludf.DUMMYFUNCTION("GOOGLETRANSLATE(A359, ""auto"", ""bn"")"),"আমার ৩০ বছর বয়সী ছেলে মেথের প্রতি মারাত্মকভাবে আসক্ত। তার সিজোএফেক্টিভ ডিসঅর্ডার এবং এডিএইচডিও আছে। মেথের আগে, সে খুব মেধাবী ছাত্র ছিল, কলেজে যাওয়া এবং মাদকমুক্ত ছিল। গত এক দশক ধরে, সে পুনর্বাসন কর্মসূচিতে, দীর্ঘমেয়াদী মনোরোগ বিশেষজ্ঞদের বাড়িতে এবং রাস"&amp;"্তায় যাতায়াত করেছে। সে এখন রাস্তায় থাকে, ব্যবহার করে এবং প্রতি তিন দিন অন্তর ঘরে ফিরে গোসল করে, পোশাক পরিবর্তন করে এবং খায় এবং আবারও তা করে। সে আমাকে কর্মক্ষেত্রে গাড়িতে ডাকে, আমার কাজে বারবার এসেছে, এবং গৃহহীন আসক্তদের জন্য শহরের কেন্দ্রস্থলে বিনামূ"&amp;"ল্যে সম্পদ থাকা সত্ত্বেও আমার উপর নির্ভর করে। আমি ক্রমাগত চাপে থাকি এবং মনে করি যে আমি আমার জীবনযাপন করতে পারছি না। আমি কি তাকে সাহায্য করতে পারি? যদি তাই হয়, তাহলে আমি কীভাবে কঠোর সীমানা তৈরি করতে পারি কিন্তু তাকে জানাতে পারি যে আমি তাকে ভালোবাসি এবং তা"&amp;"র যত্ন নিই।")</f>
        <v>আমার ৩০ বছর বয়সী ছেলে মেথের প্রতি মারাত্মকভাবে আসক্ত। তার সিজোএফেক্টিভ ডিসঅর্ডার এবং এডিএইচডিও আছে। মেথের আগে, সে খুব মেধাবী ছাত্র ছিল, কলেজে যাওয়া এবং মাদকমুক্ত ছিল। গত এক দশক ধরে, সে পুনর্বাসন কর্মসূচিতে, দীর্ঘমেয়াদী মনোরোগ বিশেষজ্ঞদের বাড়িতে এবং রাস্তায় যাতায়াত করেছে। সে এখন রাস্তায় থাকে, ব্যবহার করে এবং প্রতি তিন দিন অন্তর ঘরে ফিরে গোসল করে, পোশাক পরিবর্তন করে এবং খায় এবং আবারও তা করে। সে আমাকে কর্মক্ষেত্রে গাড়িতে ডাকে, আমার কাজে বারবার এসেছে, এবং গৃহহীন আসক্তদের জন্য শহরের কেন্দ্রস্থলে বিনামূল্যে সম্পদ থাকা সত্ত্বেও আমার উপর নির্ভর করে। আমি ক্রমাগত চাপে থাকি এবং মনে করি যে আমি আমার জীবনযাপন করতে পারছি না। আমি কি তাকে সাহায্য করতে পারি? যদি তাই হয়, তাহলে আমি কীভাবে কঠোর সীমানা তৈরি করতে পারি কিন্তু তাকে জানাতে পারি যে আমি তাকে ভালোবাসি এবং তার যত্ন নিই।</v>
      </c>
    </row>
    <row r="360" spans="1:3" ht="15" x14ac:dyDescent="0.25">
      <c r="A360" s="3" t="s">
        <v>361</v>
      </c>
      <c r="B360" s="3" t="s">
        <v>4</v>
      </c>
      <c r="C360" s="4" t="str">
        <f ca="1">IFERROR(__xludf.DUMMYFUNCTION("GOOGLETRANSLATE(A360, ""auto"", ""bn"")"),"আমার অতিরিক্ত ওজনের বোন এবং আমার ভয়ঙ্কর বন্ধুরা আমার আসক্তির সময় আমাকে ছেড়ে চলে গেছে। আমি ৪ মাস ধরে সুস্থ আছি এবং এখন তারা মজার আচরণ করছে। তারা এমন আচরণ করার চেষ্টা করছে যেন তারা সারাক্ষণ সেখানেই ছিল। আমার বোন কীভাবে তার ব্যর্থ প্রেমিকের প্রতি সহানুভূত"&amp;"ি বোধ করতে পারে যে সারাদিন ধূমপান করে কিন্তু তার ভাইয়ের প্রতি কিছুই অনুভব করে না যার রোগ আছে? আচ্ছা, যখন আমি শহরতলিতে একজন সুন্দরী স্ত্রীর সাথে সমৃদ্ধ হই, তখন আমার বোনকে আমার আশেপাশে থাকতে দেওয়া হবে না কারণ সে আমার সর্বনিম্ন স্তরে ছিল না?")</f>
        <v>আমার অতিরিক্ত ওজনের বোন এবং আমার ভয়ঙ্কর বন্ধুরা আমার আসক্তির সময় আমাকে ছেড়ে চলে গেছে। আমি ৪ মাস ধরে সুস্থ আছি এবং এখন তারা মজার আচরণ করছে। তারা এমন আচরণ করার চেষ্টা করছে যেন তারা সারাক্ষণ সেখানেই ছিল। আমার বোন কীভাবে তার ব্যর্থ প্রেমিকের প্রতি সহানুভূতি বোধ করতে পারে যে সারাদিন ধূমপান করে কিন্তু তার ভাইয়ের প্রতি কিছুই অনুভব করে না যার রোগ আছে? আচ্ছা, যখন আমি শহরতলিতে একজন সুন্দরী স্ত্রীর সাথে সমৃদ্ধ হই, তখন আমার বোনকে আমার আশেপাশে থাকতে দেওয়া হবে না কারণ সে আমার সর্বনিম্ন স্তরে ছিল না?</v>
      </c>
    </row>
    <row r="361" spans="1:3" ht="15" x14ac:dyDescent="0.25">
      <c r="A361" s="3" t="s">
        <v>362</v>
      </c>
      <c r="B361" s="3" t="s">
        <v>4</v>
      </c>
      <c r="C361" s="4" t="str">
        <f ca="1">IFERROR(__xludf.DUMMYFUNCTION("GOOGLETRANSLATE(A361, ""auto"", ""bn"")"),"আমি প্রায় এক মাস আগে এখানে লিখেছিলাম যে কীভাবে আমি আবার পরিমিত পরিমাণে মদ্যপান শুরু করার সিদ্ধান্ত নিয়েছি এবং সবাই যা বলেছে তা সত্ত্বেও আমি কীভাবে দৃঢ়ভাবে বিশ্বাস করি যে আমি তা করতে পারি। প্রেক্ষাপটের জন্য, আমি সেই গল্পটি পেস্ট করব, কিন্তু আপনি যদি এটি এ"&amp;"ড়িয়ে যান বা পছন্দ করেন তবে এটি এড়িয়ে যান, তাহলে আমি এই গল্পটি কোথায় আবার শুরু করব তার একটি স্পষ্ট ইঙ্গিত থাকবে। (প্রায় এক মাস আগে পূর্ববর্তী রেডডিট পোস্ট) ছেলে, ২১ বছর বয়সী এবং আসক্তির সমস্যাযুক্ত পরিবার থেকে এসেছে। হাই স্কুলে পার্টিতে এবং কখনও কখন"&amp;"ও সপ্তাহান্তে মদ্যপান শুরু করেছিলাম, সেই সময় এটি কোনও নিত্যদিনের সমস্যা হয়ে ওঠেনি। যখন আমি স্নাতক শেষ হওয়ার পর থেকে গাঁজা ধূমপান শুরু করি তখন থেকেই আমি বুঝতে পারি যে আমার আসক্তির সমস্যা রয়েছে কারণ আমি তখন থেকে প্রায় প্রতিদিন ধূমপান করি (এখন থেকে ৩ বছ"&amp;"র আগে) এবং তখন থেকে প্রায় প্রতিদিনই তাড়াহুড়ো করার চেষ্টা করেছি এবং ব্যর্থ হয়েছি। ২০২০ সালের ডিসেম্বরে উদ্বেগের কারণ আগাছা কমিয়ে মদ্যপান শুরু করেছিলাম। ওহ, ছেলে, আমি জীবনের এক দীর্ঘ যাত্রায় ছিলাম। এরপর যা ঘটেছিল তা হল জেল, দুর্দশা, হতাশা, সম্পর্কের স"&amp;"ম্পূর্ণ বিচ্ছেদ, অনুশোচনা, আর্থিক সমস্যা ইত্যাদি। মনে রাখবেন আমার কোনও বিষণ্ণতা বা অন্য কিছু ধরা পড়েনি। অ্যালকোহলের আগে আমার জীবনের প্রথম ২০ বছর ঠিকঠাক এবং সম্পূর্ণ স্বাভাবিক ছিল। আমি ৭ জনের একটি খুব ঘনিষ্ঠ পরিবার থেকে এসেছি (৩০ বছর বয়সী ২ জন বিবাহিত বা"&amp;"বা-মা এবং ৪ জন ভাইবোন যাদের সাথে আমি খুব ঘনিষ্ঠ) যা দেখায় যে এই মাদক কতটা অবিশ্বাস্যভাবে শক্তিশালী এবং এটি এমন কারোর উপরও কী প্রভাব ফেলতে পারে যারা ভালো অবস্থানে আছে। আমি যা করেছি এবং নিজের সাথে কী করছিলাম সে সম্পর্কে সর্বদা সচেতন ছিলাম, শুধু থামতে পারিন"&amp;"ি। ২০২০ সালের ডিসেম্বরে প্রতিদিন ২-৩টি লম্বা ক্যান বিয়ার পান করা থেকে ২০২১ সালের মে মাস নাগাদ আমি প্রতিদিন ১ লিটার ভদকা পান করেছি। একজন সাধারণ মদ্যপ তাদের ৪০ বছরের লড়াইয়ের সময় যা মোকাবেলা করতে পারত তা আমি মোটামুটিভাবে মোকাবেলা করেছি, কিন্তু ৫ মাসের মধ"&amp;"্যে তা ঠাসা হয়ে পড়েছিলাম। এটা হাস্যকর ছিল। ২০২১ সালের ১ জুন পুনর্বাসনে গিয়েছিলাম, তারপর থেকে পান করিনি। অর্থাৎ? ৫ দিন আগে পর্যন্ত। আমি নিজেকে এই লেবেলগুলি দিয়ে বিরক্ত এবং বিশ্বাস করি যে আমি আমার বাকি জীবন অ্যালকোহল পান করতে পারব না। আমি এমন একজন ব্যক্"&amp;"তি যে আসক্তি এবং এটি কীভাবে কাজ করে সে সম্পর্কে অত্যন্ত সচেতন, কারণ আমি সর্বদা এটি অধ্যয়ন করি এবং এটি কীভাবে কাজ করে, তাই আমি এই সিদ্ধান্তে পৌঁছেছি যে যদি আমি আমার জীবনে একটি ভাল অবস্থানে থাকি এবং স্থিতিশীল বোধ করি, তবে আমি পান করতে পারি। এবং সহজভাবে বলত"&amp;"ে গেলে, এতদূর, এত ভালো? আমি সেই ব্যক্তি যে বারে আমার বন্ধুর সাথে কথা বলছি এবং যখন সে আমাকে কিছু বলছে, আমি কেবল ভাবছি যে সে গত 10 মিনিট ধরে তার পানীয়তে চুমুক দেয়নি। ভাবছি কিভাবে? কেন? কারণ কনভো শুরু করার জন্য আমার প্রথম 3টি বিয়ার 5 মিনিটের মধ্যে শেষ হয়"&amp;"ে যেত। যারা তাদের পানীয় অর্ধেক ভর্তি করে বার থেকে বের হয় তাদের দ্বারা আমি মুগ্ধ, এটি আমার মস্তিষ্কে গণনা করা হয় না। সম্পর্কিত তাই না? অতএব, আমি এই জ্ঞানটি গ্রহণ করেছি, এবং এখন আমি এটি আমার জীবনযাত্রায় প্রয়োগ করছি। আমি 10 জানুয়ারী একটি বিয়ার পান করে"&amp;"ছি, বের হওয়ার সময় গ্লাসে কিছুটা রেখে দেওয়ার সিদ্ধান্ত নিয়েছি। 12 জানুয়ারী আরেকটি বিয়ার পান করেছি, আবার গ্লাসে কিছুটা রেখেছি। আজ রাতে ২টি বিয়ার পান করলাম, নিজেকে থামিয়ে আরও এগিয়ে যাওয়ার আগে। আমি জানি গতবার যা ঘটেছিল তার জন্য আমি নিজেকে ঝুঁকির মধ্"&amp;"যে ফেলছি, আমি কেবল বলতে চাইছি যে আমার ধারণা একজন ব্যক্তির মস্তিষ্কের অস্বাভাবিকতা (আসক্তির প্রবণতা) আছে, এটি করার জন্য অনেক ইচ্ছাশক্তির প্রয়োজন, কিন্তু এখন পর্যন্ত আমার মনে হচ্ছে আমি এটি করতে পারব। আমি বলছি না যে হঠাৎ করেই আমার আগের মতো আসক্তির প্রবণতা ন"&amp;"েই, শেষ চুমুক ছেড়ে চলে যেতে আমার ভিতরের সবকিছুই লেগেছে, এবং মদের দোকানে গিয়ে আরও কিছু না পেতে, কারণ আমি সত্যিই চেয়েছিলাম। তাই আমি মনে করি আমাদের জন্য 'আসক্তরা? যদি আপনি আবার পান করতে চান, তাহলে অবশ্যই আপনি পারেন কিন্তু এর একটি মূল্য দিতে হবে। এবং আমাদে"&amp;"র জন্য সেই মূল্য 'মদ্যপ?' এটি নিয়ন্ত্রণ করার জন্য একটি খুব, খুব, খুব শক্তিশালী ইচ্ছাশক্তি এবং মানসিকতা। আমাদের মধ্যে কেউ কেউ হয়তো এটি বহন করতে সক্ষম হবে না। আবার মদ্যপানকে উৎসাহিত করার উদ্দেশ্যে নয়, কেবল আমার চিন্তাভাবনা এবং অভিজ্ঞতা (গল্প এখানে পুনরায"&amp;"় শুরু) সেই গল্পে আমি যা বলেছি তা আমি দৃঢ়ভাবে বিশ্বাস করেছিলাম। এতে প্রায় এক সপ্তাহ সময় লেগেছিল এবং আমি যা দেখেছি তা হল, আমি দ্রুত আমার নীতিমালা এবং রুটিন সম্পর্কে কম চিন্তা করতে শুরু করেছি এবং প্রতি রাতে আমার পরিকল্পনার চেয়ে 1 টি বেশি বিয়ার খেতে শুর"&amp;"ু করেছি ইত্যাদি। এটা একেবারে আশ্চর্যজনক, কিন্তু এখন আমি বুঝতে পারছি। যদি আপনি পরিমিত পরিমাণে পান করতে না পারেন, তবে আমি এখন সত্যিই বিশ্বাস করি যে আপনি কখনই তা করবেন না। আমার একটি রোগ আছে, যেমন ডায়াবেটিসে আক্রান্ত ব্যক্তিদের এবং বেঁচে থাকার জন্য ইনসুলিনের"&amp;" প্রয়োজন হয়। আমার যা প্রয়োজন তা হল সম্পূর্ণ সংযম, এবং এটি আমাকে কষ্ট দেয় কিন্তু এই মুহুর্তে আমি কেবল সংযত থাকতে চাই। আমি অসংখ্য রাত ঈশ্বরের কাছে, মহাবিশ্বের কাছে, আপনি যা বিশ্বাস করেন তার কাছে প্রার্থনা করে কাটিয়েছি যাতে তিনি আমাকে এই রোগ থেকে মুক্তি"&amp;" দেন এবং আমাকে সংযত হতে দেন এবং পরের দিন কোনও পদার্থ না কিনেন, কিন্তু আমি এটি করি কারণ, আসলে, আসক্তি। এটা আমার জন্য এক ভয়াবহ যন্ত্রণা। যেমনটি আপনাদের সকলের জন্য যারা সাহায্য এবং সমর্থন করার জন্য এখানে আছেন। আমি আসলে এই সব লেখার ব্যাপারে খুব বেশি ভাবিনি ক"&amp;"িন্তু এখন আমি সত্যিই মাতাল (সঠিক বলতে গেলে দুটি ৭৫০ মিলি বোতল ভদকা) এবং আমি ভেবেছিলাম আমি এটাকে উড়িয়ে দেব কারণ এটি আমাকে আমার মাথা থেকে বের করে দিচ্ছে এবং আমি যা খুঁজছি তা হল ধারণা, প্রতিক্রিয়া, ভালোবাসা, শুধু কিছু। আমি জানি আমার এখনই ছেড়ে দেওয়া উচিত"&amp;" এবং আমি আগামীকাল আমার জীবনের প্রথম দিনটি আমার বাকি জীবনের জন্য নির্ধারণ করার পরিকল্পনা করেছি। যখন আপনার বয়স মাত্র ২১ এবং এই ভ্রান্ত ধারণা থাকে যে আপনার বাকি ২০ বছর পার্টি করা, মজা করা, যৌন মিলন করা, সর্বাধিক ডোপামিন নিঃসরণ ইত্যাদির জন্য আছে, তখন এটা সত্"&amp;"যিই কঠিন। আমার মনে হয় এখানে আমার মূল বার্তা এমন কারো জন্য যারা মদ্যপ, অথবা ডাক্তাররা যেমন বলেছেন, অ্যালকোহল ব্যবহারের ব্যাধি, আমরা কেবল মদ্যপান করতে পারি না। শুধু পারি না। যদি না আপনি জেলে যেতে, আপনার পরিবার, সমস্ত সম্পর্ক হারাতে, হতাশাগ্রস্ত এবং উদ্বিগ্"&amp;"ন হতে প্রস্তুত থাকেন ইত্যাদি। আমি আপনাকে অ্যালকোহল ভালোবাসি, কিন্তু আমি আপনাকে ঘৃণা করি।")</f>
        <v>আমি প্রায় এক মাস আগে এখানে লিখেছিলাম যে কীভাবে আমি আবার পরিমিত পরিমাণে মদ্যপান শুরু করার সিদ্ধান্ত নিয়েছি এবং সবাই যা বলেছে তা সত্ত্বেও আমি কীভাবে দৃঢ়ভাবে বিশ্বাস করি যে আমি তা করতে পারি। প্রেক্ষাপটের জন্য, আমি সেই গল্পটি পেস্ট করব, কিন্তু আপনি যদি এটি এড়িয়ে যান বা পছন্দ করেন তবে এটি এড়িয়ে যান, তাহলে আমি এই গল্পটি কোথায় আবার শুরু করব তার একটি স্পষ্ট ইঙ্গিত থাকবে। (প্রায় এক মাস আগে পূর্ববর্তী রেডডিট পোস্ট) ছেলে, ২১ বছর বয়সী এবং আসক্তির সমস্যাযুক্ত পরিবার থেকে এসেছে। হাই স্কুলে পার্টিতে এবং কখনও কখনও সপ্তাহান্তে মদ্যপান শুরু করেছিলাম, সেই সময় এটি কোনও নিত্যদিনের সমস্যা হয়ে ওঠেনি। যখন আমি স্নাতক শেষ হওয়ার পর থেকে গাঁজা ধূমপান শুরু করি তখন থেকেই আমি বুঝতে পারি যে আমার আসক্তির সমস্যা রয়েছে কারণ আমি তখন থেকে প্রায় প্রতিদিন ধূমপান করি (এখন থেকে ৩ বছর আগে) এবং তখন থেকে প্রায় প্রতিদিনই তাড়াহুড়ো করার চেষ্টা করেছি এবং ব্যর্থ হয়েছি। ২০২০ সালের ডিসেম্বরে উদ্বেগের কারণ আগাছা কমিয়ে মদ্যপান শুরু করেছিলাম। ওহ, ছেলে, আমি জীবনের এক দীর্ঘ যাত্রায় ছিলাম। এরপর যা ঘটেছিল তা হল জেল, দুর্দশা, হতাশা, সম্পর্কের সম্পূর্ণ বিচ্ছেদ, অনুশোচনা, আর্থিক সমস্যা ইত্যাদি। মনে রাখবেন আমার কোনও বিষণ্ণতা বা অন্য কিছু ধরা পড়েনি। অ্যালকোহলের আগে আমার জীবনের প্রথম ২০ বছর ঠিকঠাক এবং সম্পূর্ণ স্বাভাবিক ছিল। আমি ৭ জনের একটি খুব ঘনিষ্ঠ পরিবার থেকে এসেছি (৩০ বছর বয়সী ২ জন বিবাহিত বাবা-মা এবং ৪ জন ভাইবোন যাদের সাথে আমি খুব ঘনিষ্ঠ) যা দেখায় যে এই মাদক কতটা অবিশ্বাস্যভাবে শক্তিশালী এবং এটি এমন কারোর উপরও কী প্রভাব ফেলতে পারে যারা ভালো অবস্থানে আছে। আমি যা করেছি এবং নিজের সাথে কী করছিলাম সে সম্পর্কে সর্বদা সচেতন ছিলাম, শুধু থামতে পারিনি। ২০২০ সালের ডিসেম্বরে প্রতিদিন ২-৩টি লম্বা ক্যান বিয়ার পান করা থেকে ২০২১ সালের মে মাস নাগাদ আমি প্রতিদিন ১ লিটার ভদকা পান করেছি। একজন সাধারণ মদ্যপ তাদের ৪০ বছরের লড়াইয়ের সময় যা মোকাবেলা করতে পারত তা আমি মোটামুটিভাবে মোকাবেলা করেছি, কিন্তু ৫ মাসের মধ্যে তা ঠাসা হয়ে পড়েছিলাম। এটা হাস্যকর ছিল। ২০২১ সালের ১ জুন পুনর্বাসনে গিয়েছিলাম, তারপর থেকে পান করিনি। অর্থাৎ? ৫ দিন আগে পর্যন্ত। আমি নিজেকে এই লেবেলগুলি দিয়ে বিরক্ত এবং বিশ্বাস করি যে আমি আমার বাকি জীবন অ্যালকোহল পান করতে পারব না। আমি এমন একজন ব্যক্তি যে আসক্তি এবং এটি কীভাবে কাজ করে সে সম্পর্কে অত্যন্ত সচেতন, কারণ আমি সর্বদা এটি অধ্যয়ন করি এবং এটি কীভাবে কাজ করে, তাই আমি এই সিদ্ধান্তে পৌঁছেছি যে যদি আমি আমার জীবনে একটি ভাল অবস্থানে থাকি এবং স্থিতিশীল বোধ করি, তবে আমি পান করতে পারি। এবং সহজভাবে বলতে গেলে, এতদূর, এত ভালো? আমি সেই ব্যক্তি যে বারে আমার বন্ধুর সাথে কথা বলছি এবং যখন সে আমাকে কিছু বলছে, আমি কেবল ভাবছি যে সে গত 10 মিনিট ধরে তার পানীয়তে চুমুক দেয়নি। ভাবছি কিভাবে? কেন? কারণ কনভো শুরু করার জন্য আমার প্রথম 3টি বিয়ার 5 মিনিটের মধ্যে শেষ হয়ে যেত। যারা তাদের পানীয় অর্ধেক ভর্তি করে বার থেকে বের হয় তাদের দ্বারা আমি মুগ্ধ, এটি আমার মস্তিষ্কে গণনা করা হয় না। সম্পর্কিত তাই না? অতএব, আমি এই জ্ঞানটি গ্রহণ করেছি, এবং এখন আমি এটি আমার জীবনযাত্রায় প্রয়োগ করছি। আমি 10 জানুয়ারী একটি বিয়ার পান করেছি, বের হওয়ার সময় গ্লাসে কিছুটা রেখে দেওয়ার সিদ্ধান্ত নিয়েছি। 12 জানুয়ারী আরেকটি বিয়ার পান করেছি, আবার গ্লাসে কিছুটা রেখেছি। আজ রাতে ২টি বিয়ার পান করলাম, নিজেকে থামিয়ে আরও এগিয়ে যাওয়ার আগে। আমি জানি গতবার যা ঘটেছিল তার জন্য আমি নিজেকে ঝুঁকির মধ্যে ফেলছি, আমি কেবল বলতে চাইছি যে আমার ধারণা একজন ব্যক্তির মস্তিষ্কের অস্বাভাবিকতা (আসক্তির প্রবণতা) আছে, এটি করার জন্য অনেক ইচ্ছাশক্তির প্রয়োজন, কিন্তু এখন পর্যন্ত আমার মনে হচ্ছে আমি এটি করতে পারব। আমি বলছি না যে হঠাৎ করেই আমার আগের মতো আসক্তির প্রবণতা নেই, শেষ চুমুক ছেড়ে চলে যেতে আমার ভিতরের সবকিছুই লেগেছে, এবং মদের দোকানে গিয়ে আরও কিছু না পেতে, কারণ আমি সত্যিই চেয়েছিলাম। তাই আমি মনে করি আমাদের জন্য 'আসক্তরা? যদি আপনি আবার পান করতে চান, তাহলে অবশ্যই আপনি পারেন কিন্তু এর একটি মূল্য দিতে হবে। এবং আমাদের জন্য সেই মূল্য 'মদ্যপ?' এটি নিয়ন্ত্রণ করার জন্য একটি খুব, খুব, খুব শক্তিশালী ইচ্ছাশক্তি এবং মানসিকতা। আমাদের মধ্যে কেউ কেউ হয়তো এটি বহন করতে সক্ষম হবে না। আবার মদ্যপানকে উৎসাহিত করার উদ্দেশ্যে নয়, কেবল আমার চিন্তাভাবনা এবং অভিজ্ঞতা (গল্প এখানে পুনরায় শুরু) সেই গল্পে আমি যা বলেছি তা আমি দৃঢ়ভাবে বিশ্বাস করেছিলাম। এতে প্রায় এক সপ্তাহ সময় লেগেছিল এবং আমি যা দেখেছি তা হল, আমি দ্রুত আমার নীতিমালা এবং রুটিন সম্পর্কে কম চিন্তা করতে শুরু করেছি এবং প্রতি রাতে আমার পরিকল্পনার চেয়ে 1 টি বেশি বিয়ার খেতে শুরু করেছি ইত্যাদি। এটা একেবারে আশ্চর্যজনক, কিন্তু এখন আমি বুঝতে পারছি। যদি আপনি পরিমিত পরিমাণে পান করতে না পারেন, তবে আমি এখন সত্যিই বিশ্বাস করি যে আপনি কখনই তা করবেন না। আমার একটি রোগ আছে, যেমন ডায়াবেটিসে আক্রান্ত ব্যক্তিদের এবং বেঁচে থাকার জন্য ইনসুলিনের প্রয়োজন হয়। আমার যা প্রয়োজন তা হল সম্পূর্ণ সংযম, এবং এটি আমাকে কষ্ট দেয় কিন্তু এই মুহুর্তে আমি কেবল সংযত থাকতে চাই। আমি অসংখ্য রাত ঈশ্বরের কাছে, মহাবিশ্বের কাছে, আপনি যা বিশ্বাস করেন তার কাছে প্রার্থনা করে কাটিয়েছি যাতে তিনি আমাকে এই রোগ থেকে মুক্তি দেন এবং আমাকে সংযত হতে দেন এবং পরের দিন কোনও পদার্থ না কিনেন, কিন্তু আমি এটি করি কারণ, আসলে, আসক্তি। এটা আমার জন্য এক ভয়াবহ যন্ত্রণা। যেমনটি আপনাদের সকলের জন্য যারা সাহায্য এবং সমর্থন করার জন্য এখানে আছেন। আমি আসলে এই সব লেখার ব্যাপারে খুব বেশি ভাবিনি কিন্তু এখন আমি সত্যিই মাতাল (সঠিক বলতে গেলে দুটি ৭৫০ মিলি বোতল ভদকা) এবং আমি ভেবেছিলাম আমি এটাকে উড়িয়ে দেব কারণ এটি আমাকে আমার মাথা থেকে বের করে দিচ্ছে এবং আমি যা খুঁজছি তা হল ধারণা, প্রতিক্রিয়া, ভালোবাসা, শুধু কিছু। আমি জানি আমার এখনই ছেড়ে দেওয়া উচিত এবং আমি আগামীকাল আমার জীবনের প্রথম দিনটি আমার বাকি জীবনের জন্য নির্ধারণ করার পরিকল্পনা করেছি। যখন আপনার বয়স মাত্র ২১ এবং এই ভ্রান্ত ধারণা থাকে যে আপনার বাকি ২০ বছর পার্টি করা, মজা করা, যৌন মিলন করা, সর্বাধিক ডোপামিন নিঃসরণ ইত্যাদির জন্য আছে, তখন এটা সত্যিই কঠিন। আমার মনে হয় এখানে আমার মূল বার্তা এমন কারো জন্য যারা মদ্যপ, অথবা ডাক্তাররা যেমন বলেছেন, অ্যালকোহল ব্যবহারের ব্যাধি, আমরা কেবল মদ্যপান করতে পারি না। শুধু পারি না। যদি না আপনি জেলে যেতে, আপনার পরিবার, সমস্ত সম্পর্ক হারাতে, হতাশাগ্রস্ত এবং উদ্বিগ্ন হতে প্রস্তুত থাকেন ইত্যাদি। আমি আপনাকে অ্যালকোহল ভালোবাসি, কিন্তু আমি আপনাকে ঘৃণা করি।</v>
      </c>
    </row>
    <row r="362" spans="1:3" ht="15" x14ac:dyDescent="0.25">
      <c r="A362" s="3" t="s">
        <v>363</v>
      </c>
      <c r="B362" s="3" t="s">
        <v>4</v>
      </c>
      <c r="C362" s="4" t="str">
        <f ca="1">IFERROR(__xludf.DUMMYFUNCTION("GOOGLETRANSLATE(A362, ""auto"", ""bn"")"),"গত দশ বছর ধরে মাঝে মাঝে। আমার বয়স এখন ৩০। কোক না হলে বেলুন বা ঘুমের ওষুধ খাওয়াও নয়। জীবনে কৃতজ্ঞ থাকার মতো অনেক কিছু আছে কিন্তু আমি সবকিছু নষ্ট করে দিচ্ছি। আমি বিশ্বাস করি আমি একজন আসক্ত কিন্তু তারপর আমি সত্যিই মদ খেতে বা ছেড়ে দিতে পারি। তাছাড়া, আমি ছ"&amp;"য়বারের মতো একটি নিখুঁত রাত কাটাতে পারি কিন্তু মাঝে মাঝে আমার কোকেন খেতে ইচ্ছে করে। এর ফলে আমি দিনের পর দিন ধরে ব্যস্ত থাকি। আমি খুব হারিয়ে যাই। আমি মাঝে মাঝে মদ্যপান পছন্দ করি, কিন্তু আমি বুঝতে পারি যে আমার আসক্তির প্রবণতা আছে। তাছাড়া, আমি সবকিছু নষ্ট ক"&amp;"রে দিচ্ছি।")</f>
        <v>গত দশ বছর ধরে মাঝে মাঝে। আমার বয়স এখন ৩০। কোক না হলে বেলুন বা ঘুমের ওষুধ খাওয়াও নয়। জীবনে কৃতজ্ঞ থাকার মতো অনেক কিছু আছে কিন্তু আমি সবকিছু নষ্ট করে দিচ্ছি। আমি বিশ্বাস করি আমি একজন আসক্ত কিন্তু তারপর আমি সত্যিই মদ খেতে বা ছেড়ে দিতে পারি। তাছাড়া, আমি ছয়বারের মতো একটি নিখুঁত রাত কাটাতে পারি কিন্তু মাঝে মাঝে আমার কোকেন খেতে ইচ্ছে করে। এর ফলে আমি দিনের পর দিন ধরে ব্যস্ত থাকি। আমি খুব হারিয়ে যাই। আমি মাঝে মাঝে মদ্যপান পছন্দ করি, কিন্তু আমি বুঝতে পারি যে আমার আসক্তির প্রবণতা আছে। তাছাড়া, আমি সবকিছু নষ্ট করে দিচ্ছি।</v>
      </c>
    </row>
    <row r="363" spans="1:3" ht="15" x14ac:dyDescent="0.25">
      <c r="A363" s="3" t="s">
        <v>364</v>
      </c>
      <c r="B363" s="3" t="s">
        <v>4</v>
      </c>
      <c r="C363" s="4" t="str">
        <f ca="1">IFERROR(__xludf.DUMMYFUNCTION("GOOGLETRANSLATE(A363, ""auto"", ""bn"")"),"আমার বয়স মাত্র ২০ বছর, কিন্তু আমার জুয়ার নেশা প্রায় ৫ বছর আগে CSGO জুয়ার মাধ্যমে শুরু হয়েছিল (যদি তুমি এটা সম্পর্কে না জানো, তাহলে তুমি এটা দেখতে পারো)। ২০১৯ সালের দিকে ১ দিন আমি আমার সমস্ত টাকা, যা প্রায় ১০০০ ইউরো ছিল, ক্রিপ্টোতে বিনিয়োগ করেছিলাম কারণ আম"&amp;"ি এতে দৃঢ় বিশ্বাসী। আমি সবসময় নিজেকে বলতাম যে আমি কখনোই সেই টাকা স্পর্শ করব না। আচ্ছা, অনেক দিন ধরে আমি কম খরচে আমার জুয়ার নেশা ধরে রাখতে পারতাম। প্রতি মাসে আমি প্রায় ১৫০ ইউরো হারিয়েছিলাম যা গ্রহণযোগ্য ছিল। কিন্তু আমার সমস্যা আমার ধারণার চেয়েও বড় ছিল, "&amp;"আমি আরও বেশি করে খেলতে চাইতাম, ক্ষতির পিছনে ছুটতাম, ইত্যাদি।")</f>
        <v>আমার বয়স মাত্র ২০ বছর, কিন্তু আমার জুয়ার নেশা প্রায় ৫ বছর আগে CSGO জুয়ার মাধ্যমে শুরু হয়েছিল (যদি তুমি এটা সম্পর্কে না জানো, তাহলে তুমি এটা দেখতে পারো)। ২০১৯ সালের দিকে ১ দিন আমি আমার সমস্ত টাকা, যা প্রায় ১০০০ ইউরো ছিল, ক্রিপ্টোতে বিনিয়োগ করেছিলাম কারণ আমি এতে দৃঢ় বিশ্বাসী। আমি সবসময় নিজেকে বলতাম যে আমি কখনোই সেই টাকা স্পর্শ করব না। আচ্ছা, অনেক দিন ধরে আমি কম খরচে আমার জুয়ার নেশা ধরে রাখতে পারতাম। প্রতি মাসে আমি প্রায় ১৫০ ইউরো হারিয়েছিলাম যা গ্রহণযোগ্য ছিল। কিন্তু আমার সমস্যা আমার ধারণার চেয়েও বড় ছিল, আমি আরও বেশি করে খেলতে চাইতাম, ক্ষতির পিছনে ছুটতাম, ইত্যাদি।</v>
      </c>
    </row>
    <row r="364" spans="1:3" ht="15" x14ac:dyDescent="0.25">
      <c r="A364" s="3" t="s">
        <v>365</v>
      </c>
      <c r="B364" s="3" t="s">
        <v>4</v>
      </c>
      <c r="C364" s="4" t="str">
        <f ca="1">IFERROR(__xludf.DUMMYFUNCTION("GOOGLETRANSLATE(A364, ""auto"", ""bn"")"),"আমি মাত্র তিন সপ্তাহ ধরে (অ্যালকোহল থেকে) সুস্থ হয়েছি, তাই আমি জানি আমার এখনও অনেক পথ পাড়ি দিতে হবে। আমি টোটিপালমেট খাচ্ছি যা আসলে আগের সেই অক্ষম ক্ষুধা কমাতে সাহায্য করেছে যা আমাকে বারবার অসুস্থ করে তুলেছিল। আজ আমার মস্তিষ্কে পাদ দেওয়া হয়েছে এবং আজ সকা"&amp;"লে আমি এটি গ্রহণ করার কথা মনে করতে পারছি না কিনা তা নিশ্চিত ছিলাম না, তাই আমি সতর্ক থাকার এবং ডোজ দ্বিগুণ হওয়ার ভয়ে এটি গ্রহণ না করার সিদ্ধান্ত নিয়েছি। স্পষ্টতই আমি তা করিনি, কারণ এখন আমি পান করা ছাড়া আর কিছু ভাবতে পারছি না! আমি ঠিক আছি, আমি নিশ্চিত, ত"&amp;"বে আমি ভাবছি যে এই ধরণের ক্ষুধা কমে না যাওয়া এবং আমার ওষুধের প্রয়োজন না হওয়া পর্যন্ত আমাকে আর কতক্ষণ সুস্থ থাকতে হবে? আমি এখানে বসে কিছু করার ইচ্ছা করে ঘৃণা করি...কিছু...কিন্তু পারছি না কারণ আমার একমাত্র চিন্তা হল দোকান থেকে কিছু অ্যালকোহলযুক্ত জিনিস ক"&amp;"িনে আনা।")</f>
        <v>আমি মাত্র তিন সপ্তাহ ধরে (অ্যালকোহল থেকে) সুস্থ হয়েছি, তাই আমি জানি আমার এখনও অনেক পথ পাড়ি দিতে হবে। আমি টোটিপালমেট খাচ্ছি যা আসলে আগের সেই অক্ষম ক্ষুধা কমাতে সাহায্য করেছে যা আমাকে বারবার অসুস্থ করে তুলেছিল। আজ আমার মস্তিষ্কে পাদ দেওয়া হয়েছে এবং আজ সকালে আমি এটি গ্রহণ করার কথা মনে করতে পারছি না কিনা তা নিশ্চিত ছিলাম না, তাই আমি সতর্ক থাকার এবং ডোজ দ্বিগুণ হওয়ার ভয়ে এটি গ্রহণ না করার সিদ্ধান্ত নিয়েছি। স্পষ্টতই আমি তা করিনি, কারণ এখন আমি পান করা ছাড়া আর কিছু ভাবতে পারছি না! আমি ঠিক আছি, আমি নিশ্চিত, তবে আমি ভাবছি যে এই ধরণের ক্ষুধা কমে না যাওয়া এবং আমার ওষুধের প্রয়োজন না হওয়া পর্যন্ত আমাকে আর কতক্ষণ সুস্থ থাকতে হবে? আমি এখানে বসে কিছু করার ইচ্ছা করে ঘৃণা করি...কিছু...কিন্তু পারছি না কারণ আমার একমাত্র চিন্তা হল দোকান থেকে কিছু অ্যালকোহলযুক্ত জিনিস কিনে আনা।</v>
      </c>
    </row>
    <row r="365" spans="1:3" ht="15" x14ac:dyDescent="0.25">
      <c r="A365" s="3" t="s">
        <v>366</v>
      </c>
      <c r="B365" s="3" t="s">
        <v>4</v>
      </c>
      <c r="C365" s="4" t="str">
        <f ca="1">IFERROR(__xludf.DUMMYFUNCTION("GOOGLETRANSLATE(A365, ""auto"", ""bn"")"),"আমি আমার ফোনের প্রতি পুরোপুরি আসক্ত, আমি দিনে বেশ কয়েক ঘন্টা এটিতে ব্যয় করি। আমি আবার বিভিন্ন জিনিসে ফিরে যেতে চাই, কিন্তু আমার মনে হয় আমার ফোনে থাকা দরকার, আমি এতে আকর্ষণীয় কিছুও করি না। দয়া করে সাহায্য করুন।")</f>
        <v>আমি আমার ফোনের প্রতি পুরোপুরি আসক্ত, আমি দিনে বেশ কয়েক ঘন্টা এটিতে ব্যয় করি। আমি আবার বিভিন্ন জিনিসে ফিরে যেতে চাই, কিন্তু আমার মনে হয় আমার ফোনে থাকা দরকার, আমি এতে আকর্ষণীয় কিছুও করি না। দয়া করে সাহায্য করুন।</v>
      </c>
    </row>
    <row r="366" spans="1:3" ht="15" x14ac:dyDescent="0.25">
      <c r="A366" s="3" t="s">
        <v>367</v>
      </c>
      <c r="B366" s="3" t="s">
        <v>4</v>
      </c>
      <c r="C366" s="4" t="str">
        <f ca="1">IFERROR(__xludf.DUMMYFUNCTION("GOOGLETRANSLATE(A366, ""auto"", ""bn"")"),"২ বছর ধরে মদ্যপ ছিলাম, তারপর আমি আগাছা/হ্যাশ ব্যবহার শুরু করি এবং এটি আমাকে মদ্যপান বন্ধ করতে ""সাহায্য"" করেছে। হ্যাশে এতটাই অভ্যস্ত হয়ে পড়েছিলাম যে আরাম করার জন্য, খেতে বা ঘুমানোর জন্য আমার ""এটির প্রয়োজন"" ছিল। এখন ৩ বছরেরও বেশি সময় হয়ে গেছে। আমি "&amp;"কয়েকদিন ছাড়া থাকতে পারি কিন্তু এটুকুই। আমি জানি প্রত্যাহার দূর করতে খুব বেশি সাহায্য করার মতো কিছু নেই, তবে যেকোনো পরামর্শ পেলে কৃতজ্ঞ থাকব!")</f>
        <v>২ বছর ধরে মদ্যপ ছিলাম, তারপর আমি আগাছা/হ্যাশ ব্যবহার শুরু করি এবং এটি আমাকে মদ্যপান বন্ধ করতে "সাহায্য" করেছে। হ্যাশে এতটাই অভ্যস্ত হয়ে পড়েছিলাম যে আরাম করার জন্য, খেতে বা ঘুমানোর জন্য আমার "এটির প্রয়োজন" ছিল। এখন ৩ বছরেরও বেশি সময় হয়ে গেছে। আমি কয়েকদিন ছাড়া থাকতে পারি কিন্তু এটুকুই। আমি জানি প্রত্যাহার দূর করতে খুব বেশি সাহায্য করার মতো কিছু নেই, তবে যেকোনো পরামর্শ পেলে কৃতজ্ঞ থাকব!</v>
      </c>
    </row>
    <row r="367" spans="1:3" ht="15" x14ac:dyDescent="0.25">
      <c r="A367" s="3" t="s">
        <v>368</v>
      </c>
      <c r="B367" s="3" t="s">
        <v>4</v>
      </c>
      <c r="C367" s="4" t="str">
        <f ca="1">IFERROR(__xludf.DUMMYFUNCTION("GOOGLETRANSLATE(A367, ""auto"", ""bn"")"),"আমার বড় ভাই, ৪০ বছর বয়সী, এবং আরেক বড় ভাই, ৩৮ বছর বয়সী, উভয়েই আজীবন আসক্ত, উচ্চ বিদ্যালয়ের পর থেকেই। বড় ভাই হেরোইন এবং আফিমের নেশায় আসক্ত এবং সবসময় আমার মায়ের সাথেই থাকে, সম্প্রতি কয়েক বছর আগে মাঝে মাঝে মেথের নেশায় আসক্ত হয়ে পড়ে। অন্যজন সরাসরি উচ্চমাধ্যমি"&amp;"কে পড়ে যায় এবং আমার মায়ের সাথে কখনোই একই রকম সহানুভূতিশীল আচরণ করেনি। ৪০ বছর বয়সী এই ভদ্রলোক সম্পূর্ণরূপে আমার মায়ের উপর আর্থিকভাবে নির্ভরশীল, কোনও চাকরি করেননি এবং ৪-৫ বছর ধরে চাকরি করার চেষ্টাও করেননি। ৩৮ বছর বয়সী এই ভদ্রলোক কারাগারে আছেন। এটা আমাকে হতা"&amp;"শ করে কারণ আমার মা খুব একটা ভাড়া দিতে পারেন না, আমি নিজেকে কেবল জীবিকা নির্বাহের জন্য তাকে টাকা ধার দিই, এবং সে স্বীকার করতে অস্বীকার করে যে এর সবই ৪০ বছর বয়সী এই ভদ্রলোকের অতিরিক্ত খরচ এবং ৩৮ বছর বয়সী এই ভদ্রলোকের খাতা থেকে আসে। সে আমার চেয়ে বেশি আয় কর"&amp;"ে কিন্তু তার অর্থ ব্যবস্থাপনা খুবই খারাপ এবং সে সবসময় বেতন থেকে বেতনের চেক ধরে বেঁচে থাকে। ৪০ বছর বয়সী এই ভদ্রলোকটি তার বাড়িতে সবসময় স্বাগত এবং খুব কম অবদান রাখে। আরও খারাপ ব্যাপার হলো, সে আমাকে বারবার বলতে থাকে যে আমাদের মা কতটা বিষাক্ত এবং সে তাকে কতটা "&amp;"আটকে রাখে। তার মাদকাসক্তির কারণে সে বাইবেলের কিছু অংশ লিখে শার্পের অ্যাপার্টমেন্টে যখন সে উচ্ছ্বসিত থাকে তখন বাইবেলের দৃশ্য আঁকতে বাধ্য হয়। সে রেগে যায় এবং যদি শার্প এমন কিছু ক্ষেত্র প্রস্তাব করে যেখানে তার উন্নতি করা যেতে পারে, তাহলে তাকে সহিংসতার হুমক"&amp;"ি দেয় এবং ক্রমাগত বলে যে মাদক কোনও সমস্যা নয়। আমার পক্ষে তর্ক করা কঠিন কারণ তার জীবনের পছন্দগুলি কখনও এমন কোনও পরিণতির দিকে পরিচালিত করেনি যা সাধারণত আজীবন মাদকাসক্তির সাথে ঘটে। ৩৮ বছর বয়সী এই ব্যক্তি কখনও একই রকম সহনশীলতা দেখায়নি। সে রাস্তায় বাস করে"&amp;"ছে এবং তার অভ্যাসকে সমর্থন করার জন্য অপরাধ করেছে। ৪০ বছর বয়সী এই ব্যক্তিকে কখনও যে বিষয়গুলি নিয়ে চিন্তা করতে হয়নি। আমি যখন প্রায় ৮ বছর বয়সী ছিলাম, তখন থেকে আমরা পরিবার হিসেবে কেবল এই দুই ভাইয়ের একজনের কথা বলেছি এবং আমি (২৯) এতে ক্রমশ ক্লান্ত বোধ কর"&amp;"ছি। আমার মা আমাকে তাদের অ্যাপার্টমেন্টে আমন্ত্রণ জানাবেন (জানালার উপর চাদর ঝুলিয়ে এবং সর্বত্র শার্প লেখা) এবং এমন আচরণ করবেন যেন আমরা সবাই রাতের খাবার খাই এবং টিভি দেখি আমরা একসাথে ভান করতে পারি যেন সবকিছু স্বাভাবিক। অথবা যদি সে আমার বাড়িতে বা আমার অন্য"&amp;"ান্য ভাইদের (অ-আসক্ত) বাড়িতে আসে, সে মনে করে যে আমরা ৪০ বছরের সাথে স্বাচ্ছন্দ্য বোধ করছি না এটা অন্যায্য। এটা কেবল ভ্রান্তি বোধ করে। ৪০ বছরের মেয়েটি সবসময় বলে যে আমিই একমাত্র ব্যক্তি যার সাথে সে কথা বলতে পারে এবং বিশ্বাস করতে পারে এবং আমি একটি সহায়ক ভ"&amp;"ূমিকা পালন করার চেষ্টা করি/আস্তে তাকে সঠিক উপায়ে ঠেলে দিই। কিন্তু একটি নির্দিষ্ট সময়ে এই ধরণটি থামতে হয়। কথোপকথন সর্বদা তার চোখে মা কতটা বিষাক্ত, যা স্পষ্টতই আমি তাকে চাকরি পেতে এবং চলে যাওয়ার জন্য উৎসাহিত করার চেষ্টা করি, কিন্তু সে তা উড়িয়ে দেয় এব"&amp;"ং এমন আচরণ করে যেন তাকেই সেই ব্যক্তি যার পরিবর্তন করা উচিত এবং তার অদ্ভুত, ক্রমাগত পরিবর্তনশীল জীবনের লক্ষ্যগুলির প্রতি আরও উৎসাহিত হওয়া উচিত। তার অবস্থান এই ধারণা থেকে উদ্ভূত যে ""পরিবারগুলিকে সর্বদা একে অপরকে সমর্থন করা উচিত, তাদের সমস্যা নির্বিশেষে"" "&amp;"কিন্তু ভণ্ডামি এবং এই সত্যটি সে দেখতে পায় না যে সে কখনও কাউকে সমর্থন করেনি, এমনকি নিজেকেও। আমরা তিনজনের সাথেই হস্তক্ষেপের চেষ্টা করেছি, যার মধ্যে রয়েছে আমার মাকে বোঝানো যে তারা যেন মাদকাসক্তি বন্ধ করে। কিন্তু সে এটা সহ্য করতে পারছে না এবং সে নিশ্চিত যে "&amp;"৪০ বছর বয়সী ছেলেটি কোনও কঠিন প্রেম থেকে বেঁচে থাকার জন্য যথেষ্ট শক্তিশালী নয়। তার মনে, সে যখন মাদকাসক্তি বন্ধ করে দেবে তখনই সে ক্ষুধার্ত থাকবে অথবা অতিরিক্ত মাত্রায় মাদকাসক্তি করবে, তাই সে যা করছে তা করতেই থাকবে। তার উদ্দেশ্য, যদিও ভুল, তবুও সবসময় তাদ"&amp;"ের সাহায্য করা। সে ক্ষুধার্ত থাকবে এবং ঠান্ডায় বাস করবে, এবং যদি এর অর্থ হয় যে তারা উষ্ণ এবং খাওয়ানো হবে। আমি আটকা পড়ে আছি। যেন আমি নিজের জীবন নিয়ে এগিয়ে যেতে পারছি না। আমি শীঘ্রই বিয়ে করতে চাই এবং বাচ্চা নিতে চাই, কিন্তু আমি ভয় পাচ্ছি যে তাদের জী"&amp;"বনও কলঙ্কিত হয়ে যাবে। আমি শহর ছেড়ে চলে যেতে চাই, কিন্তু আমার প্রেমিকের এখানে একটি ভালো ক্যারিয়ার আছে এবং আমি যদি চলে যাই তবে আমার মনে হয় আমার মা ৪০ বছর বয়সী ছেলেমেয়েদের দ্বারা সম্পূর্ণরূপে গ্রাস হয়ে যাবে। তাছাড়া, আমি জানি না এখান থেকে কোথা থেকে যা"&amp;"ব। তাছাড়া, আমি বুঝতে পারি যে আসক্তি একটি রোগ। তাছাড়া, আমি মনে করি না এর সাথে জড়িত কেউ খারাপ ব্যক্তি। কিন্তু আজ পর্যন্ত আমার পুরো জীবন এই একটি মাত্র বিষয়কে ঘিরেই আবর্তিত হয়েছে, এবং এটি পরিবর্তন করার ক্ষমতা আমার নেই।")</f>
        <v>আমার বড় ভাই, ৪০ বছর বয়সী, এবং আরেক বড় ভাই, ৩৮ বছর বয়সী, উভয়েই আজীবন আসক্ত, উচ্চ বিদ্যালয়ের পর থেকেই। বড় ভাই হেরোইন এবং আফিমের নেশায় আসক্ত এবং সবসময় আমার মায়ের সাথেই থাকে, সম্প্রতি কয়েক বছর আগে মাঝে মাঝে মেথের নেশায় আসক্ত হয়ে পড়ে। অন্যজন সরাসরি উচ্চমাধ্যমিকে পড়ে যায় এবং আমার মায়ের সাথে কখনোই একই রকম সহানুভূতিশীল আচরণ করেনি। ৪০ বছর বয়সী এই ভদ্রলোক সম্পূর্ণরূপে আমার মায়ের উপর আর্থিকভাবে নির্ভরশীল, কোনও চাকরি করেননি এবং ৪-৫ বছর ধরে চাকরি করার চেষ্টাও করেননি। ৩৮ বছর বয়সী এই ভদ্রলোক কারাগারে আছেন। এটা আমাকে হতাশ করে কারণ আমার মা খুব একটা ভাড়া দিতে পারেন না, আমি নিজেকে কেবল জীবিকা নির্বাহের জন্য তাকে টাকা ধার দিই, এবং সে স্বীকার করতে অস্বীকার করে যে এর সবই ৪০ বছর বয়সী এই ভদ্রলোকের অতিরিক্ত খরচ এবং ৩৮ বছর বয়সী এই ভদ্রলোকের খাতা থেকে আসে। সে আমার চেয়ে বেশি আয় করে কিন্তু তার অর্থ ব্যবস্থাপনা খুবই খারাপ এবং সে সবসময় বেতন থেকে বেতনের চেক ধরে বেঁচে থাকে। ৪০ বছর বয়সী এই ভদ্রলোকটি তার বাড়িতে সবসময় স্বাগত এবং খুব কম অবদান রাখে। আরও খারাপ ব্যাপার হলো, সে আমাকে বারবার বলতে থাকে যে আমাদের মা কতটা বিষাক্ত এবং সে তাকে কতটা আটকে রাখে। তার মাদকাসক্তির কারণে সে বাইবেলের কিছু অংশ লিখে শার্পের অ্যাপার্টমেন্টে যখন সে উচ্ছ্বসিত থাকে তখন বাইবেলের দৃশ্য আঁকতে বাধ্য হয়। সে রেগে যায় এবং যদি শার্প এমন কিছু ক্ষেত্র প্রস্তাব করে যেখানে তার উন্নতি করা যেতে পারে, তাহলে তাকে সহিংসতার হুমকি দেয় এবং ক্রমাগত বলে যে মাদক কোনও সমস্যা নয়। আমার পক্ষে তর্ক করা কঠিন কারণ তার জীবনের পছন্দগুলি কখনও এমন কোনও পরিণতির দিকে পরিচালিত করেনি যা সাধারণত আজীবন মাদকাসক্তির সাথে ঘটে। ৩৮ বছর বয়সী এই ব্যক্তি কখনও একই রকম সহনশীলতা দেখায়নি। সে রাস্তায় বাস করেছে এবং তার অভ্যাসকে সমর্থন করার জন্য অপরাধ করেছে। ৪০ বছর বয়সী এই ব্যক্তিকে কখনও যে বিষয়গুলি নিয়ে চিন্তা করতে হয়নি। আমি যখন প্রায় ৮ বছর বয়সী ছিলাম, তখন থেকে আমরা পরিবার হিসেবে কেবল এই দুই ভাইয়ের একজনের কথা বলেছি এবং আমি (২৯) এতে ক্রমশ ক্লান্ত বোধ করছি। আমার মা আমাকে তাদের অ্যাপার্টমেন্টে আমন্ত্রণ জানাবেন (জানালার উপর চাদর ঝুলিয়ে এবং সর্বত্র শার্প লেখা) এবং এমন আচরণ করবেন যেন আমরা সবাই রাতের খাবার খাই এবং টিভি দেখি আমরা একসাথে ভান করতে পারি যেন সবকিছু স্বাভাবিক। অথবা যদি সে আমার বাড়িতে বা আমার অন্যান্য ভাইদের (অ-আসক্ত) বাড়িতে আসে, সে মনে করে যে আমরা ৪০ বছরের সাথে স্বাচ্ছন্দ্য বোধ করছি না এটা অন্যায্য। এটা কেবল ভ্রান্তি বোধ করে। ৪০ বছরের মেয়েটি সবসময় বলে যে আমিই একমাত্র ব্যক্তি যার সাথে সে কথা বলতে পারে এবং বিশ্বাস করতে পারে এবং আমি একটি সহায়ক ভূমিকা পালন করার চেষ্টা করি/আস্তে তাকে সঠিক উপায়ে ঠেলে দিই। কিন্তু একটি নির্দিষ্ট সময়ে এই ধরণটি থামতে হয়। কথোপকথন সর্বদা তার চোখে মা কতটা বিষাক্ত, যা স্পষ্টতই আমি তাকে চাকরি পেতে এবং চলে যাওয়ার জন্য উৎসাহিত করার চেষ্টা করি, কিন্তু সে তা উড়িয়ে দেয় এবং এমন আচরণ করে যেন তাকেই সেই ব্যক্তি যার পরিবর্তন করা উচিত এবং তার অদ্ভুত, ক্রমাগত পরিবর্তনশীল জীবনের লক্ষ্যগুলির প্রতি আরও উৎসাহিত হওয়া উচিত। তার অবস্থান এই ধারণা থেকে উদ্ভূত যে "পরিবারগুলিকে সর্বদা একে অপরকে সমর্থন করা উচিত, তাদের সমস্যা নির্বিশেষে" কিন্তু ভণ্ডামি এবং এই সত্যটি সে দেখতে পায় না যে সে কখনও কাউকে সমর্থন করেনি, এমনকি নিজেকেও। আমরা তিনজনের সাথেই হস্তক্ষেপের চেষ্টা করেছি, যার মধ্যে রয়েছে আমার মাকে বোঝানো যে তারা যেন মাদকাসক্তি বন্ধ করে। কিন্তু সে এটা সহ্য করতে পারছে না এবং সে নিশ্চিত যে ৪০ বছর বয়সী ছেলেটি কোনও কঠিন প্রেম থেকে বেঁচে থাকার জন্য যথেষ্ট শক্তিশালী নয়। তার মনে, সে যখন মাদকাসক্তি বন্ধ করে দেবে তখনই সে ক্ষুধার্ত থাকবে অথবা অতিরিক্ত মাত্রায় মাদকাসক্তি করবে, তাই সে যা করছে তা করতেই থাকবে। তার উদ্দেশ্য, যদিও ভুল, তবুও সবসময় তাদের সাহায্য করা। সে ক্ষুধার্ত থাকবে এবং ঠান্ডায় বাস করবে, এবং যদি এর অর্থ হয় যে তারা উষ্ণ এবং খাওয়ানো হবে। আমি আটকা পড়ে আছি। যেন আমি নিজের জীবন নিয়ে এগিয়ে যেতে পারছি না। আমি শীঘ্রই বিয়ে করতে চাই এবং বাচ্চা নিতে চাই, কিন্তু আমি ভয় পাচ্ছি যে তাদের জীবনও কলঙ্কিত হয়ে যাবে। আমি শহর ছেড়ে চলে যেতে চাই, কিন্তু আমার প্রেমিকের এখানে একটি ভালো ক্যারিয়ার আছে এবং আমি যদি চলে যাই তবে আমার মনে হয় আমার মা ৪০ বছর বয়সী ছেলেমেয়েদের দ্বারা সম্পূর্ণরূপে গ্রাস হয়ে যাবে। তাছাড়া, আমি জানি না এখান থেকে কোথা থেকে যাব। তাছাড়া, আমি বুঝতে পারি যে আসক্তি একটি রোগ। তাছাড়া, আমি মনে করি না এর সাথে জড়িত কেউ খারাপ ব্যক্তি। কিন্তু আজ পর্যন্ত আমার পুরো জীবন এই একটি মাত্র বিষয়কে ঘিরেই আবর্তিত হয়েছে, এবং এটি পরিবর্তন করার ক্ষমতা আমার নেই।</v>
      </c>
    </row>
    <row r="368" spans="1:3" ht="15" x14ac:dyDescent="0.25">
      <c r="A368" s="3" t="s">
        <v>369</v>
      </c>
      <c r="B368" s="3" t="s">
        <v>4</v>
      </c>
      <c r="C368" s="4" t="str">
        <f ca="1">IFERROR(__xludf.DUMMYFUNCTION("GOOGLETRANSLATE(A368, ""auto"", ""bn"")"),"আমার বয়স এখন ১৮, আর এটা শুরু হয়েছে ৪ মাস আগে, তারপর থেকে আমি ২১ জন এসকর্টের সাথে বাইরে গিয়েছি। গড়ে মাসে ৪ বার। আমি শুরু করেছিলাম যখন আমার কাকা আমাকে একরকম একটা মেয়ের সাথে থাকতে উৎসাহিত করেছিলেন যখন আমি তাকে জানালাম যে আমার বয়স ১৮ এবং কখনও কারো সাথে সম্পর্"&amp;"ক ছিল না। আমি সবসময় অনেক বাড়ি বদলি করেছি, এবং এর ফলে আমার পক্ষে কারো সাথে সম্পর্ক করা অসম্ভব হয়ে পড়ে, কারো সাথে প্রেম করার মতো বন্ধন এতটাই শক্তিশালী যে, আমি মূলত প্রতি ১ বছর অন্তর চলে যাই, এবং সবসময় একে অপরের থেকে অনেক দূরে চলে যাই। তাছাড়া, আমি আমার কাক"&amp;"ার সাথে কাজ করতে শুরু করি এবং আমার বেতনও আয় করি, যা আমার বয়সী কারো জন্য বেশ বেশি, অর্ধেকেরও বেশি পতিতাদের সাথে যায় এবং যাদের সাথে আমি আড্ডা দেই তারা সাধারণত অভিজাত মেয়ে, আমি পতিতালয় এবং নাইটক্লাব পছন্দ করি না, তাই আমি সবসময় তাদের বাইরে দেখা করি, আমি এক স"&amp;"প্তাহও এটা ছাড়া থাকতে পারি না। আর সবচেয়ে খারাপ ব্যাপার হলো আমি আসিও না, কারণ আমার বীর্যপাত দেরিতে হয়ে যায়। আর সবচেয়ে খারাপ ব্যাপার হলো (অন্তত আমার জন্য) আমি বুঝতে পেরেছিলাম যে আমি কখনো কাউকে চুমু খাইনি এবং এটা কিভাবে করব তা আমার কাছে সামান্যতম ধারণাও নেই।"&amp;" এই পুরো পরিস্থিতি আমার মাথা খারাপ করে দিচ্ছে।")</f>
        <v>আমার বয়স এখন ১৮, আর এটা শুরু হয়েছে ৪ মাস আগে, তারপর থেকে আমি ২১ জন এসকর্টের সাথে বাইরে গিয়েছি। গড়ে মাসে ৪ বার। আমি শুরু করেছিলাম যখন আমার কাকা আমাকে একরকম একটা মেয়ের সাথে থাকতে উৎসাহিত করেছিলেন যখন আমি তাকে জানালাম যে আমার বয়স ১৮ এবং কখনও কারো সাথে সম্পর্ক ছিল না। আমি সবসময় অনেক বাড়ি বদলি করেছি, এবং এর ফলে আমার পক্ষে কারো সাথে সম্পর্ক করা অসম্ভব হয়ে পড়ে, কারো সাথে প্রেম করার মতো বন্ধন এতটাই শক্তিশালী যে, আমি মূলত প্রতি ১ বছর অন্তর চলে যাই, এবং সবসময় একে অপরের থেকে অনেক দূরে চলে যাই। তাছাড়া, আমি আমার কাকার সাথে কাজ করতে শুরু করি এবং আমার বেতনও আয় করি, যা আমার বয়সী কারো জন্য বেশ বেশি, অর্ধেকেরও বেশি পতিতাদের সাথে যায় এবং যাদের সাথে আমি আড্ডা দেই তারা সাধারণত অভিজাত মেয়ে, আমি পতিতালয় এবং নাইটক্লাব পছন্দ করি না, তাই আমি সবসময় তাদের বাইরে দেখা করি, আমি এক সপ্তাহও এটা ছাড়া থাকতে পারি না। আর সবচেয়ে খারাপ ব্যাপার হলো আমি আসিও না, কারণ আমার বীর্যপাত দেরিতে হয়ে যায়। আর সবচেয়ে খারাপ ব্যাপার হলো (অন্তত আমার জন্য) আমি বুঝতে পেরেছিলাম যে আমি কখনো কাউকে চুমু খাইনি এবং এটা কিভাবে করব তা আমার কাছে সামান্যতম ধারণাও নেই। এই পুরো পরিস্থিতি আমার মাথা খারাপ করে দিচ্ছে।</v>
      </c>
    </row>
    <row r="369" spans="1:3" ht="15" x14ac:dyDescent="0.25">
      <c r="A369" s="3" t="s">
        <v>370</v>
      </c>
      <c r="B369" s="3" t="s">
        <v>4</v>
      </c>
      <c r="C369" s="4" t="str">
        <f ca="1">IFERROR(__xludf.DUMMYFUNCTION("GOOGLETRANSLATE(A369, ""auto"", ""bn"")"),"আমি আসলে ব্যর্থ হচ্ছি? এত কিছুর পরেও প্রথমবারের মতো আমি আশা হারিয়ে ফেলেছি। আমি আগেও সবসময় একটা উপায় খুঁজে পেয়েছি, কিন্তু এবার নয়। ব্যর্থতার স্বাদ এমনই। আমি এমন একটি নিষ্পাপ শিশু হতে চাই যাকে জীবনের এই নোংরা পথের সাথে কখনও পরিচয় করানো হয়নি। আমি আমার"&amp;" স্কুলের শেষ সেমিস্টার শেষ করছি এবং আত্ম-নাশকতা সর্বদা উপস্থিত। তাছাড়া, আমি এটা ঘৃণা করি। তাছাড়া, আমি এত চাকরি করা ঘৃণা করি। তাছাড়া, আমি আমার সিদ্ধান্ত ঘৃণা করি। আমার নাটকের জন্য ক্ষমা চাই। আমি অত্যন্ত উত্তেজিত এবং ভাগ্যক্রমে এত মাতাল যে আজ রাতে ঘুমাতে পা"&amp;"রি। আজ? সকাল ১০ টায় যখন আমার কিছু অর্জন করা উচিত ছিল। বিয়ারের জন্য শুভকামনা ২০। আমি কেবল আমার পথ পরিবর্তন করতে চাই এবং প্রায়শই আমি কীভাবে ...")</f>
        <v>আমি আসলে ব্যর্থ হচ্ছি? এত কিছুর পরেও প্রথমবারের মতো আমি আশা হারিয়ে ফেলেছি। আমি আগেও সবসময় একটা উপায় খুঁজে পেয়েছি, কিন্তু এবার নয়। ব্যর্থতার স্বাদ এমনই। আমি এমন একটি নিষ্পাপ শিশু হতে চাই যাকে জীবনের এই নোংরা পথের সাথে কখনও পরিচয় করানো হয়নি। আমি আমার স্কুলের শেষ সেমিস্টার শেষ করছি এবং আত্ম-নাশকতা সর্বদা উপস্থিত। তাছাড়া, আমি এটা ঘৃণা করি। তাছাড়া, আমি এত চাকরি করা ঘৃণা করি। তাছাড়া, আমি আমার সিদ্ধান্ত ঘৃণা করি। আমার নাটকের জন্য ক্ষমা চাই। আমি অত্যন্ত উত্তেজিত এবং ভাগ্যক্রমে এত মাতাল যে আজ রাতে ঘুমাতে পারি। আজ? সকাল ১০ টায় যখন আমার কিছু অর্জন করা উচিত ছিল। বিয়ারের জন্য শুভকামনা ২০। আমি কেবল আমার পথ পরিবর্তন করতে চাই এবং প্রায়শই আমি কীভাবে ...</v>
      </c>
    </row>
    <row r="370" spans="1:3" ht="15" x14ac:dyDescent="0.25">
      <c r="A370" s="3" t="s">
        <v>371</v>
      </c>
      <c r="B370" s="3" t="s">
        <v>4</v>
      </c>
      <c r="C370" s="4" t="str">
        <f ca="1">IFERROR(__xludf.DUMMYFUNCTION("GOOGLETRANSLATE(A370, ""auto"", ""bn"")"),"আমি গাঁজা ছেড়ে দিয়েছি, বেজোস/বড়ি ছেড়ে দিয়েছি, অ্যালকোহল ছেড়ে দিয়েছি। কিন্তু আমার শেষ এবং সম্ভবত সবচেয়ে কঠিন ওষুধ হল নিকোটিন কারণ এটি এত সহজে নেশাগ্রস্ত করার মতো একটি ওষুধ। আজ আমার প্রথম দিন, ঠিক এই মুহূর্তে আমি অবশেষে এটি ছেড়ে দিতে যাচ্ছি। আমি জা"&amp;"নি যে বেশিরভাগ মানুষ বলবে এটি আমার জন্য খুবই ভুল এবং আক্ষরিক অর্থেই আমার আসক্তির কথা বলা, কিন্তু শেষ সিগারেটটি কি কেবল একটি সিগারেট খাওয়া ঠিক হবে? যেন আমার শেষ বিদায়? নাকি এটি একটি খারাপ ধারণা। এটি অবশ্যই একটি খারাপ ধারণা, তবে আমি সত্যিই এই সঠিক বিদায় "&amp;"চাই। এটি কি কেবল আমার আসক্তির কথা বলা?")</f>
        <v>আমি গাঁজা ছেড়ে দিয়েছি, বেজোস/বড়ি ছেড়ে দিয়েছি, অ্যালকোহল ছেড়ে দিয়েছি। কিন্তু আমার শেষ এবং সম্ভবত সবচেয়ে কঠিন ওষুধ হল নিকোটিন কারণ এটি এত সহজে নেশাগ্রস্ত করার মতো একটি ওষুধ। আজ আমার প্রথম দিন, ঠিক এই মুহূর্তে আমি অবশেষে এটি ছেড়ে দিতে যাচ্ছি। আমি জানি যে বেশিরভাগ মানুষ বলবে এটি আমার জন্য খুবই ভুল এবং আক্ষরিক অর্থেই আমার আসক্তির কথা বলা, কিন্তু শেষ সিগারেটটি কি কেবল একটি সিগারেট খাওয়া ঠিক হবে? যেন আমার শেষ বিদায়? নাকি এটি একটি খারাপ ধারণা। এটি অবশ্যই একটি খারাপ ধারণা, তবে আমি সত্যিই এই সঠিক বিদায় চাই। এটি কি কেবল আমার আসক্তির কথা বলা?</v>
      </c>
    </row>
    <row r="371" spans="1:3" ht="15" x14ac:dyDescent="0.25">
      <c r="A371" s="3" t="s">
        <v>372</v>
      </c>
      <c r="B371" s="3" t="s">
        <v>4</v>
      </c>
      <c r="C371" s="4" t="str">
        <f ca="1">IFERROR(__xludf.DUMMYFUNCTION("GOOGLETRANSLATE(A371, ""auto"", ""bn"")"),"ঘুম থেকে উঠো। নিজেকে সম্পূর্ণরূপে কুকুরের মতো মনে হচ্ছে। DXM বড়ি খাও। মৃত্যুর কথা ভাবো এবং আমার ত্বকের নিচে পোকামাকড় হামাগুড়ি দিচ্ছে যখন আমার হৃদপিণ্ড আমার বুক থেকে বেরিয়ে আসছে যখন আমি অপেক্ষা করছিলাম যে এটি লাথি মারবে। DXM লাথি মারবে। কাজ, খাওয়া, দৈ"&amp;"নন্দিন কাজকর্ম করার সময় প্রায় 6 ঘন্টা ধরে একেবারে আশ্চর্যজনক এবং বিশ্বের উপরে অনুভব করছি। আরও খেতে ভুলে যাও কারণ আমি খুব আশ্চর্যজনক বোধ করি এবং আবার সম্পূর্ণরূপে কুকুরের মতো অনুভব করতে শুরু করি এবং বুঝতে পারি যে আমি দিনের বেশিরভাগ সময় মনে রাখি না। মৃত্"&amp;"যুর কথা ভাবো যখন পোকামাকড় আমার ত্বকের নিচে হামাগুড়ি দিচ্ছে এবং আমার হৃদপিণ্ড আমার বুক থেকে বেরিয়ে আসছে যখন আমি এটি লাথি মারবে জন্য অপেক্ষা করছি। শুয়ে পড়ো এবং কষ্ট পাও। এটি লাথি মারবে। আশ্চর্যজনক বোধ করো এবং আরও বেশি জিনিস করা শুরু করো অথবা খুব বেশি খ"&amp;"েয়েছি বলে খুব বেশি হাঁপিয়ে উঠো এবং কয়েক ঘন্টার জন্য বিচ্ছিন্ন হয়ে পড়ো। ঘুমাতে যাও এবং হয় আশ্চর্যজনক বোধ করো অথবা সম্পূর্ণরূপে কুকুরের মতো ঘুম থেকে উঠো। যদি আমি আশ্চর্যজনক বোধ করি তবে আমি জিনিস শেষ করে নাচ করি যতক্ষণ না আমি আবার একেবারে ভয়ঙ্কর বোধ ক"&amp;"রি এবং আমি আরও বেশি খেয়ে ফেলি। যদি আমি কুকুরের মতো অনুভব করি তবে আমি আরও বেশি খেয়ে ফেলি এবং অপেক্ষা করি যতক্ষণ না আমি লাথি মারে। যেভাবেই হোক, চক্রটি চলতে থাকে। দিনের পর দিন। কেন আমি এটা পোস্ট করছি বুঝতে পারছি না, আমার কাউকে বলা দরকার। আমার খুব খারাপ লাগ"&amp;"ছে আরএন, আর আমার এটা বুক থেকে নামিয়ে ফেলা দরকার ছিল।")</f>
        <v>ঘুম থেকে উঠো। নিজেকে সম্পূর্ণরূপে কুকুরের মতো মনে হচ্ছে। DXM বড়ি খাও। মৃত্যুর কথা ভাবো এবং আমার ত্বকের নিচে পোকামাকড় হামাগুড়ি দিচ্ছে যখন আমার হৃদপিণ্ড আমার বুক থেকে বেরিয়ে আসছে যখন আমি অপেক্ষা করছিলাম যে এটি লাথি মারবে। DXM লাথি মারবে। কাজ, খাওয়া, দৈনন্দিন কাজকর্ম করার সময় প্রায় 6 ঘন্টা ধরে একেবারে আশ্চর্যজনক এবং বিশ্বের উপরে অনুভব করছি। আরও খেতে ভুলে যাও কারণ আমি খুব আশ্চর্যজনক বোধ করি এবং আবার সম্পূর্ণরূপে কুকুরের মতো অনুভব করতে শুরু করি এবং বুঝতে পারি যে আমি দিনের বেশিরভাগ সময় মনে রাখি না। মৃত্যুর কথা ভাবো যখন পোকামাকড় আমার ত্বকের নিচে হামাগুড়ি দিচ্ছে এবং আমার হৃদপিণ্ড আমার বুক থেকে বেরিয়ে আসছে যখন আমি এটি লাথি মারবে জন্য অপেক্ষা করছি। শুয়ে পড়ো এবং কষ্ট পাও। এটি লাথি মারবে। আশ্চর্যজনক বোধ করো এবং আরও বেশি জিনিস করা শুরু করো অথবা খুব বেশি খেয়েছি বলে খুব বেশি হাঁপিয়ে উঠো এবং কয়েক ঘন্টার জন্য বিচ্ছিন্ন হয়ে পড়ো। ঘুমাতে যাও এবং হয় আশ্চর্যজনক বোধ করো অথবা সম্পূর্ণরূপে কুকুরের মতো ঘুম থেকে উঠো। যদি আমি আশ্চর্যজনক বোধ করি তবে আমি জিনিস শেষ করে নাচ করি যতক্ষণ না আমি আবার একেবারে ভয়ঙ্কর বোধ করি এবং আমি আরও বেশি খেয়ে ফেলি। যদি আমি কুকুরের মতো অনুভব করি তবে আমি আরও বেশি খেয়ে ফেলি এবং অপেক্ষা করি যতক্ষণ না আমি লাথি মারে। যেভাবেই হোক, চক্রটি চলতে থাকে। দিনের পর দিন। কেন আমি এটা পোস্ট করছি বুঝতে পারছি না, আমার কাউকে বলা দরকার। আমার খুব খারাপ লাগছে আরএন, আর আমার এটা বুক থেকে নামিয়ে ফেলা দরকার ছিল।</v>
      </c>
    </row>
    <row r="372" spans="1:3" ht="15" x14ac:dyDescent="0.25">
      <c r="A372" s="3" t="s">
        <v>373</v>
      </c>
      <c r="B372" s="3" t="s">
        <v>4</v>
      </c>
      <c r="C372" s="4" t="str">
        <f ca="1">IFERROR(__xludf.DUMMYFUNCTION("GOOGLETRANSLATE(A372, ""auto"", ""bn"")"),"গত বছর আমি বন্ধুদের সাথে ৩ বার চেষ্টা করেছি এবং আমার কখনও মনে হয়নি যে আমি আরও বেশি কিছু চাই। কিছু মানুষ কি এমন? মস্তিষ্ক জিনগতভাবে কিছু পদার্থের প্রতি আসক্ত, আবার অন্যরা তা করে না? অ্যালকোহল সম্পর্কে আমারও একই অনুভূতি হয়েছে। অথবা এমনও হতে পারে যে আমি বছ"&amp;"রের পর বছর ধরে আমার ADHD চিকিৎসার জন্য Adderall গ্রহণ করছি? Adderall-এর মাত্রা আমার অনুভূতির চেয়ে আলাদা ছিল না। পার্থক্য ছিল এটি অনেক বেশি তীব্র ছিল। হয়তো সে কারণেই?")</f>
        <v>গত বছর আমি বন্ধুদের সাথে ৩ বার চেষ্টা করেছি এবং আমার কখনও মনে হয়নি যে আমি আরও বেশি কিছু চাই। কিছু মানুষ কি এমন? মস্তিষ্ক জিনগতভাবে কিছু পদার্থের প্রতি আসক্ত, আবার অন্যরা তা করে না? অ্যালকোহল সম্পর্কে আমারও একই অনুভূতি হয়েছে। অথবা এমনও হতে পারে যে আমি বছরের পর বছর ধরে আমার ADHD চিকিৎসার জন্য Adderall গ্রহণ করছি? Adderall-এর মাত্রা আমার অনুভূতির চেয়ে আলাদা ছিল না। পার্থক্য ছিল এটি অনেক বেশি তীব্র ছিল। হয়তো সে কারণেই?</v>
      </c>
    </row>
    <row r="373" spans="1:3" ht="15" x14ac:dyDescent="0.25">
      <c r="A373" s="3" t="s">
        <v>374</v>
      </c>
      <c r="B373" s="3" t="s">
        <v>4</v>
      </c>
      <c r="C373" s="4" t="str">
        <f ca="1">IFERROR(__xludf.DUMMYFUNCTION("GOOGLETRANSLATE(A373, ""auto"", ""bn"")"),"আমার বয়স ১৭ বছর। সম্প্রতি আমি বুঝতে পেরেছি যে আমার একটা আসক্তিকর ব্যক্তিত্ব আছে। তাছাড়া, ডোপামিন সরবরাহকারী যেকোনো পদার্থ বা কার্যকলাপের প্রতি আমি তাৎক্ষণিকভাবে আসক্ত হয়ে পড়ি। তাছাড়া, আমি এতটাই তীব্রভাবে তাদের প্রতি আকৃষ্ট হতে শুরু করি যে এটিই একমাত্"&amp;"র জিনিস যা আমি ভাবতে পারি এবং পরবর্তীতে কখন এটি করব। অতীত এবং/অথবা বর্তমান আসক্তির একটি সংক্ষিপ্ত তালিকা এখানে দেওয়া হল (কমপক্ষে সবচেয়ে ধ্বংসাত্মক থেকে শুরু করে)। এড়িয়ে যেতে দ্বিধা করবেন না, শেষে সারসংক্ষেপ। খাবার এটি আমার জীবনের একমাত্র ধারাবাহিক আসক্"&amp;"তি। আমি প্রায় ১১ বছর বয়স থেকেই এটি করে আসছি। আমি স্থূল বা অন্য কিছু নই, তবে আমি চাই আমার শরীরে কী যায় তার উপর আমার নিয়ন্ত্রণ থাকুক এবং ওজন কমাতে আমার আপত্তি না থাকুক। আমি সেই শূন্যতা পূরণের জন্য এক বসায় ৪০০০ ক্যালোরি খেয়েছি, সাধারণত একদিন কঠোর বিধিন"&amp;"িষেধের পরে। তাছাড়া, আমি মনে করি অতিরিক্ত খাওয়ার মাধ্যমে আমি নিয়ন্ত্রণ ফিরে পাই। যাদের প্রতি আমি আকৃষ্ট হই তাদের প্রতি আমি একেবারেই আচ্ছন্ন হয়ে পড়ি, যা স্বাভাবিক, কিন্তু আমার মনে হয় আমি চরম পর্যায়ে আছি। সেই ব্যক্তির সাথে দেখা হওয়ার প্রথম সপ্তাহের ম"&amp;"ধ্যেই তারা সাধারণত আমার প্রতিটি চিন্তাভাবনা গ্রাস করে। তাই, আমার নিজের জন্য ডেটিং না করার কঠোর নীতি। দোকানপাট চুরি এটি স্বল্পস্থায়ী ছিল। আমি আগস্টে প্রথমবার এবং ডিসেম্বরে শেষবার এটি করেছি। আমি মনে করি এবং আশা করি এটিই শেষবার ছিল। সময় এবং পরে অ্যাড্রেনাল"&amp;"িনের তীব্রতা প্রতিরোধ করা অসহনীয় করে তুলেছিল। এবং এটি থেকে বেরিয়ে আসার সময়, ঠিক আছে, আমি সেই মুহূর্তে দেবতা ছাড়া আর কিছুই ছিলাম না। আমি বুঝতে পেরেছিলাম যে এটি একটি সমস্যা ছিল যখন আমি আমার মা, বাবা এবং বোনদের সাথে ছিলাম যখন আমি এটি করেছিলাম। আমি একটি ছ"&amp;"োট চুম্বক চুরি করেছিলাম। দোকান থেকে বেরিয়ে আসার পরে, অ্যাড্রেনালিনের উচ্চতা থাকা অবস্থায়, আমি আমার প্রতীকটি দেখাই। আমার মা আমাকে একপাশে টেনে নিয়েছিলেন এবং যথাযথভাবে আমাকে তিরস্কার করেছিলেন। আমি এই মুহূর্তে পাত্তা দিইনি কিন্তু পিছনের দিকে এটি ধ্বংসাত্মক"&amp;" ছিল। বেপরোয়া গাড়ি চালানো এটি এমন একটি জিনিস যা আমি না করার চেষ্টা করি কারণ আমি জানি যে এর ফলে অন্যরা আহত হতে পারে বা আরও খারাপ হতে পারে। আসক্তি সম্পর্কে মজার বিষয় হল যে এই মুহূর্তে আপনি অন্য কারও সম্পর্কে চিন্তা করেন না, ""উচ্চ?"" হল একমাত্র গুরুত্বপূ"&amp;"র্ণ জিনিস। আমি কখনোই এই ধরণের মানুষ ছিলাম না, আমি সবসময় ভালো আছি, আমি এখনও আছি, আমি কোমল, দয়ালু এবং চিন্তাশীল। কিন্তু যখন আমার প্রয়োজনীয় উচ্চতা পাওয়ার সুযোগ আসে তখন আমার ব্যক্তিত্বকে একপাশে ঠেলে দেওয়া হয়। এটা আমার জন্য ধ্বংসাত্মক কারণ আমি কারো ক্ষতি করত"&amp;"ে চাই না। আত্ম-ক্ষতি আমি নিশ্চিত নই যে এর অর্থ কী। আমি নিশ্চিত নই যে আমি অবচেতনভাবে মনে করি যে আমি ব্যথার যোগ্য, নাকি আমি নিয়ন্ত্রণ পছন্দ করি, নাকি রক্তের জন্য। আমি নিশ্চিত নই। এই ব্যথা খুব ক্ষণস্থায়ী ছিল কিন্তু যতক্ষণ স্থায়ী হয়েছিল ততক্ষণ তীব্র ছিল। "&amp;"প্রায় এক মাস ধরে আমি প্রতিদিন, কখনও কখনও দিনে একাধিকবার কেটে ফেলতাম। যখন আমি অতিরিক্ত খেয়ে ফেলতাম, যখন আমি অভিভূত হয়ে পড়তাম অথবা যখন আমি নিজেকে ঘৃণা করতাম তখন এটি আমার মুক্তি ছিল। আমি যখন দেশ জুড়ে উড়ে বেড়াতাম তখন আমার আতঙ্কের আক্রমণ হয়েছিল কারণ আম"&amp;"ি জানতাম যে আমি সেখানে থাকাকালীন কাটার কোনও উপায় থাকবে না। সেই দিনটি ছিল আমার দুই মাসেরও বেশি সময় ধরে পরিষ্কার থাকার প্রথম দিন। আমি তখন থেকে বাড়িতে এসেছি এবং সামান্য ইচ্ছা ছিল কিন্তু প্রতিরোধ করতে সক্ষম হয়েছি। আমি কেবল সঙ্গত কারণে কয়েকবার মদ্যপান করে"&amp;"ছি। হ্যাং ওভার মজার নয়। পরের দিন এর ফলে যে ব্যথা হবে তা সত্ত্বেও আমি এখনও এর জন্য আকুল। এটি আমাকে আমার নিজের থেকে আলাদা এক জগতে নিয়ে যায় যেখানে আমি চিন্তামুক্ত থাকতে পারি এবং এটি আশ্চর্যজনক, কিন্তু অস্বাস্থ্যকর। আমার মনে হয় যেন আমি আবার ছোট, আমি যা কি"&amp;"ছু করেছি তার আগে। আমার সবচেয়ে খারাপ দিক সম্ভবত মধ্যরাতে একা আমার ঘরে কোকের বোতল থেকে চুরি করা ভদকা পান করছিলাম। তখনই আমি বুঝতে পারলাম যে আমি নিয়ন্ত্রণের বাইরে চলে গেছি। আমার মনে হয় না আমি কখনও অ্যালকোহলে আসক্ত হয়ে পড়েছি, তবে আমার ইতিহাসের সাথে পরিচিত"&amp;" হওয়ার সম্ভাবনা অবশ্যই আছে। আগাছা এটি আত্ম-ক্ষতি এবং অ্যালকোহলের প্রভাবের সংমিশ্রণ। এটি একটি মুক্তি প্রদান করে কিন্তু আমি সত্যিই আসক্ত নই। আগাছা আমাকে মুক্তি দেয় না, একটি মুক্তি প্রদান করে। এটি আমার দৌড়ঝাঁপ মনকে শান্ত করে যাতে আমার শরীর তা ধরে রাখতে পা"&amp;"রে। যদি এটি বিনোদনমূলক হত তবে আমি আগাছার ব্যবহারকে উদ্বেগজনক মনে করতাম না, তবে এটি একটি মুক্তি এবং মোকাবেলা করার প্রক্রিয়া। এটি এটিকে অস্বাস্থ্যকর করে তোলে। সর্বোপরি, আমি স্পষ্ট করে বলতে চাই যে এটি প্রেসক্রিপশন দ্বারা। আমার ADHD আছে এবং আমি প্রতিদিন এটা "&amp;"খাই। ব্যাপারটা হল এর প্রভাবে আমি আচ্ছন্ন হয়ে পড়েছি। আপাতত আমি একজন ""স্বাভাবিক"" মানুষের মতো কাজ করতে পারছি এবং এটাই এমন কিছু যা আমি সবসময় কামনা করে আসছি। আমার মাথার ভেতরের যে কণ্ঠস্বর কখনও থামেনি তা অবশেষে থেমে গেছে, এবং ঈশ্বর, এটা যেন তাজা বাতাসের শ্"&amp;"বাস। আমার শরীরের কম্পন ধীর হয়ে যায় এবং আমি ভাবতে পারি। আজ চিকিৎসার কারণে আমাকে আমার অ্যাডেরাল ছেড়ে দিতে হয়েছিল এবং সারাদিন আমি নিজের কাছেই কান্নাকাটি করেছিলাম যে আমার এটি কতটা প্রয়োজন। আমি আসলে ক্লাসে কেঁদেছিলাম। অ্যাডেরাল আমার প্রভু এবং ত্রাণকর্তা ক"&amp;"িন্তু আমি আসক্ত। এশিয়ান এটিও একটি প্রেসক্রিপশন। যদিও এটি 2018 সাল থেকে। আমি পঙ্গু উদ্বেগে ভুগছিলাম এবং এটি আমার স্কুলের দিনটি পার করার জন্য প্রেসক্রাইব করা হয়েছিল। ব্যাপারটা হল আমার আর এটি গ্রহণ করার কথা নয়। কিন্তু মাঝে মাঝে আমি আনন্দের জন্য এটি গ্রহণ "&amp;"করি। আমি এটি মাত্র কয়েকবার করেছি কিন্তু এশিয়ান খেলার মতো কিছু নয়। আমি নিজেকে এটির জন্য আকুল হয়ে পড়েছি যখন অন্য কিছুই বিকল্প নয়। সারাংশ: আমি নিশ্চিত নই কেন আমি এটা পোস্ট করছি। আমি জানি এটা অনেক লম্বা, তাই যদি তুমি না পড়ে থাকো, তাহলে আমি অনেক কিছুর প"&amp;"্রতি কিছুটা আসক্ত। আমার মনে হয় প্রতিটি আসক্তি আগের আসক্তি থেকে মোকাবেলা করার একটি প্রক্রিয়া হিসেবে বিকশিত হয়েছিল, কিন্তু আমি নিশ্চিত নই। তাছাড়া, আমি জানি আমার ব্যথার মূলে যেতে হবে এবং কেন আমি এটা করি। তাছাড়া, আমার অনেক কিছু বের করার আছে। তাছাড়া, আমা"&amp;"র মনে হয় যে বেশ কিছু মানসিক রোগ আছে যার নির্ণয় প্রয়োজন। এবং আমার ভয়ঙ্কর শৈশব থেকে কাজ করার জন্য সম্ভবত কিছু তীব্র থেরাপির প্রয়োজন। এর মধ্যে বড় হওয়া এবং নিজেকে সবকিছু ফেলে দেওয়া দেখা ভয়ঙ্কর। আমি আশা করি এটি কাউকে সাহায্য করেছে।")</f>
        <v>আমার বয়স ১৭ বছর। সম্প্রতি আমি বুঝতে পেরেছি যে আমার একটা আসক্তিকর ব্যক্তিত্ব আছে। তাছাড়া, ডোপামিন সরবরাহকারী যেকোনো পদার্থ বা কার্যকলাপের প্রতি আমি তাৎক্ষণিকভাবে আসক্ত হয়ে পড়ি। তাছাড়া, আমি এতটাই তীব্রভাবে তাদের প্রতি আকৃষ্ট হতে শুরু করি যে এটিই একমাত্র জিনিস যা আমি ভাবতে পারি এবং পরবর্তীতে কখন এটি করব। অতীত এবং/অথবা বর্তমান আসক্তির একটি সংক্ষিপ্ত তালিকা এখানে দেওয়া হল (কমপক্ষে সবচেয়ে ধ্বংসাত্মক থেকে শুরু করে)। এড়িয়ে যেতে দ্বিধা করবেন না, শেষে সারসংক্ষেপ। খাবার এটি আমার জীবনের একমাত্র ধারাবাহিক আসক্তি। আমি প্রায় ১১ বছর বয়স থেকেই এটি করে আসছি। আমি স্থূল বা অন্য কিছু নই, তবে আমি চাই আমার শরীরে কী যায় তার উপর আমার নিয়ন্ত্রণ থাকুক এবং ওজন কমাতে আমার আপত্তি না থাকুক। আমি সেই শূন্যতা পূরণের জন্য এক বসায় ৪০০০ ক্যালোরি খেয়েছি, সাধারণত একদিন কঠোর বিধিনিষেধের পরে। তাছাড়া, আমি মনে করি অতিরিক্ত খাওয়ার মাধ্যমে আমি নিয়ন্ত্রণ ফিরে পাই। যাদের প্রতি আমি আকৃষ্ট হই তাদের প্রতি আমি একেবারেই আচ্ছন্ন হয়ে পড়ি, যা স্বাভাবিক, কিন্তু আমার মনে হয় আমি চরম পর্যায়ে আছি। সেই ব্যক্তির সাথে দেখা হওয়ার প্রথম সপ্তাহের মধ্যেই তারা সাধারণত আমার প্রতিটি চিন্তাভাবনা গ্রাস করে। তাই, আমার নিজের জন্য ডেটিং না করার কঠোর নীতি। দোকানপাট চুরি এটি স্বল্পস্থায়ী ছিল। আমি আগস্টে প্রথমবার এবং ডিসেম্বরে শেষবার এটি করেছি। আমি মনে করি এবং আশা করি এটিই শেষবার ছিল। সময় এবং পরে অ্যাড্রেনালিনের তীব্রতা প্রতিরোধ করা অসহনীয় করে তুলেছিল। এবং এটি থেকে বেরিয়ে আসার সময়, ঠিক আছে, আমি সেই মুহূর্তে দেবতা ছাড়া আর কিছুই ছিলাম না। আমি বুঝতে পেরেছিলাম যে এটি একটি সমস্যা ছিল যখন আমি আমার মা, বাবা এবং বোনদের সাথে ছিলাম যখন আমি এটি করেছিলাম। আমি একটি ছোট চুম্বক চুরি করেছিলাম। দোকান থেকে বেরিয়ে আসার পরে, অ্যাড্রেনালিনের উচ্চতা থাকা অবস্থায়, আমি আমার প্রতীকটি দেখাই। আমার মা আমাকে একপাশে টেনে নিয়েছিলেন এবং যথাযথভাবে আমাকে তিরস্কার করেছিলেন। আমি এই মুহূর্তে পাত্তা দিইনি কিন্তু পিছনের দিকে এটি ধ্বংসাত্মক ছিল। বেপরোয়া গাড়ি চালানো এটি এমন একটি জিনিস যা আমি না করার চেষ্টা করি কারণ আমি জানি যে এর ফলে অন্যরা আহত হতে পারে বা আরও খারাপ হতে পারে। আসক্তি সম্পর্কে মজার বিষয় হল যে এই মুহূর্তে আপনি অন্য কারও সম্পর্কে চিন্তা করেন না, "উচ্চ?" হল একমাত্র গুরুত্বপূর্ণ জিনিস। আমি কখনোই এই ধরণের মানুষ ছিলাম না, আমি সবসময় ভালো আছি, আমি এখনও আছি, আমি কোমল, দয়ালু এবং চিন্তাশীল। কিন্তু যখন আমার প্রয়োজনীয় উচ্চতা পাওয়ার সুযোগ আসে তখন আমার ব্যক্তিত্বকে একপাশে ঠেলে দেওয়া হয়। এটা আমার জন্য ধ্বংসাত্মক কারণ আমি কারো ক্ষতি করতে চাই না। আত্ম-ক্ষতি আমি নিশ্চিত নই যে এর অর্থ কী। আমি নিশ্চিত নই যে আমি অবচেতনভাবে মনে করি যে আমি ব্যথার যোগ্য, নাকি আমি নিয়ন্ত্রণ পছন্দ করি, নাকি রক্তের জন্য। আমি নিশ্চিত নই। এই ব্যথা খুব ক্ষণস্থায়ী ছিল কিন্তু যতক্ষণ স্থায়ী হয়েছিল ততক্ষণ তীব্র ছিল। প্রায় এক মাস ধরে আমি প্রতিদিন, কখনও কখনও দিনে একাধিকবার কেটে ফেলতাম। যখন আমি অতিরিক্ত খেয়ে ফেলতাম, যখন আমি অভিভূত হয়ে পড়তাম অথবা যখন আমি নিজেকে ঘৃণা করতাম তখন এটি আমার মুক্তি ছিল। আমি যখন দেশ জুড়ে উড়ে বেড়াতাম তখন আমার আতঙ্কের আক্রমণ হয়েছিল কারণ আমি জানতাম যে আমি সেখানে থাকাকালীন কাটার কোনও উপায় থাকবে না। সেই দিনটি ছিল আমার দুই মাসেরও বেশি সময় ধরে পরিষ্কার থাকার প্রথম দিন। আমি তখন থেকে বাড়িতে এসেছি এবং সামান্য ইচ্ছা ছিল কিন্তু প্রতিরোধ করতে সক্ষম হয়েছি। আমি কেবল সঙ্গত কারণে কয়েকবার মদ্যপান করেছি। হ্যাং ওভার মজার নয়। পরের দিন এর ফলে যে ব্যথা হবে তা সত্ত্বেও আমি এখনও এর জন্য আকুল। এটি আমাকে আমার নিজের থেকে আলাদা এক জগতে নিয়ে যায় যেখানে আমি চিন্তামুক্ত থাকতে পারি এবং এটি আশ্চর্যজনক, কিন্তু অস্বাস্থ্যকর। আমার মনে হয় যেন আমি আবার ছোট, আমি যা কিছু করেছি তার আগে। আমার সবচেয়ে খারাপ দিক সম্ভবত মধ্যরাতে একা আমার ঘরে কোকের বোতল থেকে চুরি করা ভদকা পান করছিলাম। তখনই আমি বুঝতে পারলাম যে আমি নিয়ন্ত্রণের বাইরে চলে গেছি। আমার মনে হয় না আমি কখনও অ্যালকোহলে আসক্ত হয়ে পড়েছি, তবে আমার ইতিহাসের সাথে পরিচিত হওয়ার সম্ভাবনা অবশ্যই আছে। আগাছা এটি আত্ম-ক্ষতি এবং অ্যালকোহলের প্রভাবের সংমিশ্রণ। এটি একটি মুক্তি প্রদান করে কিন্তু আমি সত্যিই আসক্ত নই। আগাছা আমাকে মুক্তি দেয় না, একটি মুক্তি প্রদান করে। এটি আমার দৌড়ঝাঁপ মনকে শান্ত করে যাতে আমার শরীর তা ধরে রাখতে পারে। যদি এটি বিনোদনমূলক হত তবে আমি আগাছার ব্যবহারকে উদ্বেগজনক মনে করতাম না, তবে এটি একটি মুক্তি এবং মোকাবেলা করার প্রক্রিয়া। এটি এটিকে অস্বাস্থ্যকর করে তোলে। সর্বোপরি, আমি স্পষ্ট করে বলতে চাই যে এটি প্রেসক্রিপশন দ্বারা। আমার ADHD আছে এবং আমি প্রতিদিন এটা খাই। ব্যাপারটা হল এর প্রভাবে আমি আচ্ছন্ন হয়ে পড়েছি। আপাতত আমি একজন "স্বাভাবিক" মানুষের মতো কাজ করতে পারছি এবং এটাই এমন কিছু যা আমি সবসময় কামনা করে আসছি। আমার মাথার ভেতরের যে কণ্ঠস্বর কখনও থামেনি তা অবশেষে থেমে গেছে, এবং ঈশ্বর, এটা যেন তাজা বাতাসের শ্বাস। আমার শরীরের কম্পন ধীর হয়ে যায় এবং আমি ভাবতে পারি। আজ চিকিৎসার কারণে আমাকে আমার অ্যাডেরাল ছেড়ে দিতে হয়েছিল এবং সারাদিন আমি নিজের কাছেই কান্নাকাটি করেছিলাম যে আমার এটি কতটা প্রয়োজন। আমি আসলে ক্লাসে কেঁদেছিলাম। অ্যাডেরাল আমার প্রভু এবং ত্রাণকর্তা কিন্তু আমি আসক্ত। এশিয়ান এটিও একটি প্রেসক্রিপশন। যদিও এটি 2018 সাল থেকে। আমি পঙ্গু উদ্বেগে ভুগছিলাম এবং এটি আমার স্কুলের দিনটি পার করার জন্য প্রেসক্রাইব করা হয়েছিল। ব্যাপারটা হল আমার আর এটি গ্রহণ করার কথা নয়। কিন্তু মাঝে মাঝে আমি আনন্দের জন্য এটি গ্রহণ করি। আমি এটি মাত্র কয়েকবার করেছি কিন্তু এশিয়ান খেলার মতো কিছু নয়। আমি নিজেকে এটির জন্য আকুল হয়ে পড়েছি যখন অন্য কিছুই বিকল্প নয়। সারাংশ: আমি নিশ্চিত নই কেন আমি এটা পোস্ট করছি। আমি জানি এটা অনেক লম্বা, তাই যদি তুমি না পড়ে থাকো, তাহলে আমি অনেক কিছুর প্রতি কিছুটা আসক্ত। আমার মনে হয় প্রতিটি আসক্তি আগের আসক্তি থেকে মোকাবেলা করার একটি প্রক্রিয়া হিসেবে বিকশিত হয়েছিল, কিন্তু আমি নিশ্চিত নই। তাছাড়া, আমি জানি আমার ব্যথার মূলে যেতে হবে এবং কেন আমি এটা করি। তাছাড়া, আমার অনেক কিছু বের করার আছে। তাছাড়া, আমার মনে হয় যে বেশ কিছু মানসিক রোগ আছে যার নির্ণয় প্রয়োজন। এবং আমার ভয়ঙ্কর শৈশব থেকে কাজ করার জন্য সম্ভবত কিছু তীব্র থেরাপির প্রয়োজন। এর মধ্যে বড় হওয়া এবং নিজেকে সবকিছু ফেলে দেওয়া দেখা ভয়ঙ্কর। আমি আশা করি এটি কাউকে সাহায্য করেছে।</v>
      </c>
    </row>
    <row r="374" spans="1:3" ht="15" x14ac:dyDescent="0.25">
      <c r="A374" s="3" t="s">
        <v>375</v>
      </c>
      <c r="B374" s="3" t="s">
        <v>4</v>
      </c>
      <c r="C374" s="4" t="str">
        <f ca="1">IFERROR(__xludf.DUMMYFUNCTION("GOOGLETRANSLATE(A374, ""auto"", ""bn"")"),"আমি যতই ব্যবহার শেষ করতে চাই, আমি তা করি না। যতই কারণ থাকুক না কেন বা অন্যরা যতই চায়, আমি এখনও থামতে চাই না। আমি মাতাল এবং মদ্যপ থাকতে পছন্দ করি। আমি চিন্তা না করতে বা অনুভব করতে পছন্দ করি না। তাছাড়া, আমি আমার DOC ব্যবহার করতে চাই না, তবে আমি অন্যান্য জি"&amp;"নিস ব্যবহার বন্ধ করতেও চাই না। তাছাড়া, আমি কাউকে বলতে পারি না কারণ আমি কেবল তাদের হতাশ করব এবং নিজের জন্য সবকিছু কঠিন করে তুলব। এই মুহূর্তে আমি কেবল একটি নতুন প্লাগ খুঁজে বের করার এবং অর্থ উপার্জনের চেষ্টা করছি। এবং সত্যি বলতে একবার আমি এটি বন্ধ করতে চাই"&amp;", আমি এতে সন্তুষ্ট থাকব।")</f>
        <v>আমি যতই ব্যবহার শেষ করতে চাই, আমি তা করি না। যতই কারণ থাকুক না কেন বা অন্যরা যতই চায়, আমি এখনও থামতে চাই না। আমি মাতাল এবং মদ্যপ থাকতে পছন্দ করি। আমি চিন্তা না করতে বা অনুভব করতে পছন্দ করি না। তাছাড়া, আমি আমার DOC ব্যবহার করতে চাই না, তবে আমি অন্যান্য জিনিস ব্যবহার বন্ধ করতেও চাই না। তাছাড়া, আমি কাউকে বলতে পারি না কারণ আমি কেবল তাদের হতাশ করব এবং নিজের জন্য সবকিছু কঠিন করে তুলব। এই মুহূর্তে আমি কেবল একটি নতুন প্লাগ খুঁজে বের করার এবং অর্থ উপার্জনের চেষ্টা করছি। এবং সত্যি বলতে একবার আমি এটি বন্ধ করতে চাই, আমি এতে সন্তুষ্ট থাকব।</v>
      </c>
    </row>
    <row r="375" spans="1:3" ht="15" x14ac:dyDescent="0.25">
      <c r="A375" s="3" t="s">
        <v>376</v>
      </c>
      <c r="B375" s="3" t="s">
        <v>4</v>
      </c>
      <c r="C375" s="4" t="str">
        <f ca="1">IFERROR(__xludf.DUMMYFUNCTION("GOOGLETRANSLATE(A375, ""auto"", ""bn"")"),"আমি আগে যৌন আসক্ত এবং মারিজুয়ানা উভয়ই আসক্ত ছিলাম, কিন্তু মারিজুয়ানা ছিল আমার পছন্দের প্রধান মাদক, এবং আমি এতে এতটাই আসক্ত ছিলাম যে আমি প্রতিদিন এক গ্রামেরও বেশি মোম ধূমপান করতাম যে আমার মায়া শুরু হয়ে যেত। তাছাড়া, আমি প্রতিদিন $75 এরও বেশি খরচ করতাম"&amp;"। একজন প্রতিবন্ধী ব্যক্তি হিসেবে এটি ছিল আমার পরিস্থিতি মোকাবেলা করার উপায়। আমার পছন্দের মাদক চিরতরে ত্যাগ করে আমি একেবারে নতুন ব্যক্তির মতো অনুভব করি। এটি আমাকে ধ্বংস করে দিয়েছে, এবং এটি ত্যাগ করাই আমার জন্য ভালো। আমিও যৌনতাকে মোকাবেলার একটি পদ্ধতি হিস"&amp;"েবে ব্যবহার করতাম, সব সময় অনেক লোকের সাথে ঘুমাতাম এবং এটি ছাড়া এত দীর্ঘ সময় কাটানোও আমার জন্য অবিশ্বাস্য। আমি হয়তো পুরোপুরি সোজা না কারণ আমি সম্প্রতি কেবল সামাজিকভাবে মদ্যপান শুরু করেছি, তবে আমি আমার জীবনে এমন কিছু রাখব না যা আমি অপব্যবহার করব। তাছাড়া"&amp;", আমি নতুন নিজেকে ভালোবাসি! যদিও সে এখনও এত ক্লান্ত।")</f>
        <v>আমি আগে যৌন আসক্ত এবং মারিজুয়ানা উভয়ই আসক্ত ছিলাম, কিন্তু মারিজুয়ানা ছিল আমার পছন্দের প্রধান মাদক, এবং আমি এতে এতটাই আসক্ত ছিলাম যে আমি প্রতিদিন এক গ্রামেরও বেশি মোম ধূমপান করতাম যে আমার মায়া শুরু হয়ে যেত। তাছাড়া, আমি প্রতিদিন $75 এরও বেশি খরচ করতাম। একজন প্রতিবন্ধী ব্যক্তি হিসেবে এটি ছিল আমার পরিস্থিতি মোকাবেলা করার উপায়। আমার পছন্দের মাদক চিরতরে ত্যাগ করে আমি একেবারে নতুন ব্যক্তির মতো অনুভব করি। এটি আমাকে ধ্বংস করে দিয়েছে, এবং এটি ত্যাগ করাই আমার জন্য ভালো। আমিও যৌনতাকে মোকাবেলার একটি পদ্ধতি হিসেবে ব্যবহার করতাম, সব সময় অনেক লোকের সাথে ঘুমাতাম এবং এটি ছাড়া এত দীর্ঘ সময় কাটানোও আমার জন্য অবিশ্বাস্য। আমি হয়তো পুরোপুরি সোজা না কারণ আমি সম্প্রতি কেবল সামাজিকভাবে মদ্যপান শুরু করেছি, তবে আমি আমার জীবনে এমন কিছু রাখব না যা আমি অপব্যবহার করব। তাছাড়া, আমি নতুন নিজেকে ভালোবাসি! যদিও সে এখনও এত ক্লান্ত।</v>
      </c>
    </row>
    <row r="376" spans="1:3" ht="15" x14ac:dyDescent="0.25">
      <c r="A376" s="3" t="s">
        <v>377</v>
      </c>
      <c r="B376" s="3" t="s">
        <v>4</v>
      </c>
      <c r="C376" s="4" t="str">
        <f ca="1">IFERROR(__xludf.DUMMYFUNCTION("GOOGLETRANSLATE(A376, ""auto"", ""bn"")"),"আমি প্রায় ২ বছর ধরে প্রতিদিন ধূমপান করে আসছিলাম এবং অবশেষে ধূমপান ত্যাগ করেছি কারণ এটি আমার জীবনের অবনতি ঘটাচ্ছিল এবং আমি বুঝতে পেরেছি যে এটি আমার মানসিক স্বাস্থ্যের উপর কতটা নেতিবাচক প্রভাব ফেলেছে। এই ধূমপান ত্যাগ করা এখন আমার জন্য খুবই কষ্টকর, বিশেষ করে"&amp;" ক্ষুধা না থাকা। যারা এই অভিজ্ঞতার মধ্য দিয়ে গেছেন তাদের কাছ থেকে কিছু ধারণা পাওয়া মাত্র।")</f>
        <v>আমি প্রায় ২ বছর ধরে প্রতিদিন ধূমপান করে আসছিলাম এবং অবশেষে ধূমপান ত্যাগ করেছি কারণ এটি আমার জীবনের অবনতি ঘটাচ্ছিল এবং আমি বুঝতে পেরেছি যে এটি আমার মানসিক স্বাস্থ্যের উপর কতটা নেতিবাচক প্রভাব ফেলেছে। এই ধূমপান ত্যাগ করা এখন আমার জন্য খুবই কষ্টকর, বিশেষ করে ক্ষুধা না থাকা। যারা এই অভিজ্ঞতার মধ্য দিয়ে গেছেন তাদের কাছ থেকে কিছু ধারণা পাওয়া মাত্র।</v>
      </c>
    </row>
    <row r="377" spans="1:3" ht="15" x14ac:dyDescent="0.25">
      <c r="A377" s="3" t="s">
        <v>378</v>
      </c>
      <c r="B377" s="3" t="s">
        <v>4</v>
      </c>
      <c r="C377" s="4" t="str">
        <f ca="1">IFERROR(__xludf.DUMMYFUNCTION("GOOGLETRANSLATE(A377, ""auto"", ""bn"")"),"যখন একজন আসক্ত ব্যক্তি শিক্ষার মতো আরও উৎপাদনশীল কিছুর প্রতি মাদকের প্রতি একই প্রবণতা এবং আকাঙ্ক্ষা ব্যবহার করে, তখন তারা কি একজন নিয়মিত সামাজিকভাবে গৃহীত ব্যক্তির তুলনায় বেশি প্রতিভাবান এবং সফল হওয়ার সম্ভাবনা বেশি?")</f>
        <v>যখন একজন আসক্ত ব্যক্তি শিক্ষার মতো আরও উৎপাদনশীল কিছুর প্রতি মাদকের প্রতি একই প্রবণতা এবং আকাঙ্ক্ষা ব্যবহার করে, তখন তারা কি একজন নিয়মিত সামাজিকভাবে গৃহীত ব্যক্তির তুলনায় বেশি প্রতিভাবান এবং সফল হওয়ার সম্ভাবনা বেশি?</v>
      </c>
    </row>
    <row r="378" spans="1:3" ht="15" x14ac:dyDescent="0.25">
      <c r="A378" s="3" t="s">
        <v>379</v>
      </c>
      <c r="B378" s="3" t="s">
        <v>4</v>
      </c>
      <c r="C378" s="4" t="str">
        <f ca="1">IFERROR(__xludf.DUMMYFUNCTION("GOOGLETRANSLATE(A378, ""auto"", ""bn"")"),"গত ২ বছর ধরে Vyvanse/Adderall খাওয়ার পর, উত্তেজক ওষুধ খাওয়ার পর আমি ৩ সপ্তাহ ধরে অস্থির। আজকের দিনটা সত্যিই কঠিন ছিল এবং যেহেতু আমি এগুলো খাওয়া বন্ধ করে দিয়েছি, তাই সপ্তাহে ১-২ দিন আমার মনে হয়, যদি আমি এগুলো গ্রহণ করতাম তাহলে এটা করা অনেক সহজ হত। আমি"&amp;" অলস, অপ্রস্তুত বোধ করছি এবং সেই অর্থে এটি কঠিন হয়ে পড়েছে। শুধু মুখ বন্ধ করে ভাবছি এবং ভালো বোধ করছি কিনা তা দেখার চেষ্টা করছি কিন্তু এখনই এটি দেখতে পাচ্ছি না।")</f>
        <v>গত ২ বছর ধরে Vyvanse/Adderall খাওয়ার পর, উত্তেজক ওষুধ খাওয়ার পর আমি ৩ সপ্তাহ ধরে অস্থির। আজকের দিনটা সত্যিই কঠিন ছিল এবং যেহেতু আমি এগুলো খাওয়া বন্ধ করে দিয়েছি, তাই সপ্তাহে ১-২ দিন আমার মনে হয়, যদি আমি এগুলো গ্রহণ করতাম তাহলে এটা করা অনেক সহজ হত। আমি অলস, অপ্রস্তুত বোধ করছি এবং সেই অর্থে এটি কঠিন হয়ে পড়েছে। শুধু মুখ বন্ধ করে ভাবছি এবং ভালো বোধ করছি কিনা তা দেখার চেষ্টা করছি কিন্তু এখনই এটি দেখতে পাচ্ছি না।</v>
      </c>
    </row>
    <row r="379" spans="1:3" ht="15" x14ac:dyDescent="0.25">
      <c r="A379" s="3" t="s">
        <v>380</v>
      </c>
      <c r="B379" s="3" t="s">
        <v>4</v>
      </c>
      <c r="C379" s="4" t="str">
        <f ca="1">IFERROR(__xludf.DUMMYFUNCTION("GOOGLETRANSLATE(A379, ""auto"", ""bn"")"),"কোক আর মেথ থেকে ডিটক্সিফিকেশন করার পর আমি খেতেই পারছি না আর আমি কি বারবার কাঁপছি। যেকোনো পরামর্শ পেলে অবশ্যই কৃতজ্ঞ থাকবো।")</f>
        <v>কোক আর মেথ থেকে ডিটক্সিফিকেশন করার পর আমি খেতেই পারছি না আর আমি কি বারবার কাঁপছি। যেকোনো পরামর্শ পেলে অবশ্যই কৃতজ্ঞ থাকবো।</v>
      </c>
    </row>
    <row r="380" spans="1:3" ht="15" x14ac:dyDescent="0.25">
      <c r="A380" s="3" t="s">
        <v>381</v>
      </c>
      <c r="B380" s="3" t="s">
        <v>4</v>
      </c>
      <c r="C380" s="4" t="str">
        <f ca="1">IFERROR(__xludf.DUMMYFUNCTION("GOOGLETRANSLATE(A380, ""auto"", ""bn"")"),"আমি একজন আসক্ত। আমি প্রায় ১০ বছর ধরে গাঁজা ধূমপান করছি। তাছাড়া, আমি এটা থেকে মুক্তি পাচ্ছি না। আমার জীবনের অর্ধেক সময় এবং মানুষ আমাকে কেবল মাদকের সাথে যুক্ত বলে মনে করে। আমি সত্যিই একজন পাথরখোর হিসেবে পরিচিত হতে থাকতে ক্লান্ত এবং ক্লান্ত, কিন্তু পেটের ব"&amp;"্যথা এবং ব্যথা কমাতেও আমি এই ওষুধটি ব্যবহার করি। আমি এটির সাথে লেগে থাকতে পারছি না। এটি ছাড়া আমি যে দীর্ঘ সময় কাটিয়েছি, আমার মনে হয় এক বা দুই মাস। আমি এটির সাথে লেগে থাকতে পারছি না। আমার মনে হচ্ছে আমার একজন স্পনসরের প্রয়োজন যিনি আমাকে গাঁজা এবং জীবনে"&amp;"র কথা ভুলে যেতে সাহায্য করবেন।")</f>
        <v>আমি একজন আসক্ত। আমি প্রায় ১০ বছর ধরে গাঁজা ধূমপান করছি। তাছাড়া, আমি এটা থেকে মুক্তি পাচ্ছি না। আমার জীবনের অর্ধেক সময় এবং মানুষ আমাকে কেবল মাদকের সাথে যুক্ত বলে মনে করে। আমি সত্যিই একজন পাথরখোর হিসেবে পরিচিত হতে থাকতে ক্লান্ত এবং ক্লান্ত, কিন্তু পেটের ব্যথা এবং ব্যথা কমাতেও আমি এই ওষুধটি ব্যবহার করি। আমি এটির সাথে লেগে থাকতে পারছি না। এটি ছাড়া আমি যে দীর্ঘ সময় কাটিয়েছি, আমার মনে হয় এক বা দুই মাস। আমি এটির সাথে লেগে থাকতে পারছি না। আমার মনে হচ্ছে আমার একজন স্পনসরের প্রয়োজন যিনি আমাকে গাঁজা এবং জীবনের কথা ভুলে যেতে সাহায্য করবেন।</v>
      </c>
    </row>
    <row r="381" spans="1:3" ht="15" x14ac:dyDescent="0.25">
      <c r="A381" s="3" t="s">
        <v>382</v>
      </c>
      <c r="B381" s="3" t="s">
        <v>4</v>
      </c>
      <c r="C381" s="4" t="str">
        <f ca="1">IFERROR(__xludf.DUMMYFUNCTION("GOOGLETRANSLATE(A381, ""auto"", ""bn"")"),"অবশেষে বুঝতে পারলাম আমি গেমিংয়ের প্রতি ভীষণ আসক্ত, যখন আমি ৩ দিন গেম খেলে ঘুমাইনি, তারপর ২ দিন ঘুমাই, তারপর বারবার করি।")</f>
        <v>অবশেষে বুঝতে পারলাম আমি গেমিংয়ের প্রতি ভীষণ আসক্ত, যখন আমি ৩ দিন গেম খেলে ঘুমাইনি, তারপর ২ দিন ঘুমাই, তারপর বারবার করি।</v>
      </c>
    </row>
    <row r="382" spans="1:3" ht="15" x14ac:dyDescent="0.25">
      <c r="A382" s="3" t="s">
        <v>383</v>
      </c>
      <c r="B382" s="3" t="s">
        <v>4</v>
      </c>
      <c r="C382" s="4" t="str">
        <f ca="1">IFERROR(__xludf.DUMMYFUNCTION("GOOGLETRANSLATE(A382, ""auto"", ""bn"")"),"আমি আমাদের সম্পর্ক নষ্ট করতে চাই না কিন্তু আমার ভয় হচ্ছে যদি সে বুঝতে পারে যে আমি আসক্তির সাথে লড়াই করছি, তাহলে সে পালিয়ে যাবে। আমি কি মিথ্যা বলি এবং গোপন রাখি? সম্পাদনা: আমি সবাই কী বলছে তা শুনতে পাচ্ছি। কিন্তু দেখো, আমরা এখনও আনুষ্ঠানিকভাবে প্রথম ডেট"&amp;"ে যাইনি। আমি লোকটিকে পছন্দ করি এবং আপাতত আমি কি এটা উপভোগ করছি? আমি এটা নিয়ে মিথ্যা বলব না, তবে একই সাথে আমি আমার সেই অংশটি ভাগ করে নেব না যতক্ষণ না আমি নিরাপদ এবং স্বাচ্ছন্দ্য বোধ করি।")</f>
        <v>আমি আমাদের সম্পর্ক নষ্ট করতে চাই না কিন্তু আমার ভয় হচ্ছে যদি সে বুঝতে পারে যে আমি আসক্তির সাথে লড়াই করছি, তাহলে সে পালিয়ে যাবে। আমি কি মিথ্যা বলি এবং গোপন রাখি? সম্পাদনা: আমি সবাই কী বলছে তা শুনতে পাচ্ছি। কিন্তু দেখো, আমরা এখনও আনুষ্ঠানিকভাবে প্রথম ডেটে যাইনি। আমি লোকটিকে পছন্দ করি এবং আপাতত আমি কি এটা উপভোগ করছি? আমি এটা নিয়ে মিথ্যা বলব না, তবে একই সাথে আমি আমার সেই অংশটি ভাগ করে নেব না যতক্ষণ না আমি নিরাপদ এবং স্বাচ্ছন্দ্য বোধ করি।</v>
      </c>
    </row>
    <row r="383" spans="1:3" ht="15" x14ac:dyDescent="0.25">
      <c r="A383" s="3" t="s">
        <v>384</v>
      </c>
      <c r="B383" s="3" t="s">
        <v>4</v>
      </c>
      <c r="C383" s="4" t="str">
        <f ca="1">IFERROR(__xludf.DUMMYFUNCTION("GOOGLETRANSLATE(A383, ""auto"", ""bn"")"),"সারাদিন কাজ করার পর সে তার অলস প্রেমিকের যত্ন নেবে কিন্তু যখন আমি মেথের অতিরিক্ত মাত্রা গ্রহণ করি তখন সে আমার প্রতি কোন সহানুভূতি দেখায়নি। ভেবেছিল আমি মানুষের চেয়ে কম। আমি দাঁতের স্বাস্থ্যবিধিতে এই ডিগ্রি অর্জন করব এবং একজন যত্নশীল মহিলার সাথে একটি সুন্"&amp;"দর জীবনযাপন করব। যখন আমার বোন দেখবে যে আমি ভালো আছি, তখন সে আমার জীবনে আসার চেষ্টা করবে এবং জীবনযাপন করার চেষ্টা করবে, সে সারাক্ষণ পাশে ছিল। আমি যখন আমার সবচেয়ে খারাপ অবস্থায় ছিলাম তখন সে আমার পাশে ছিল না, তাহলে আমি যখন আমার সেরা অবস্থায় থাকি তখন কেন ত"&amp;"াকে সেখানে থাকতে দেব?")</f>
        <v>সারাদিন কাজ করার পর সে তার অলস প্রেমিকের যত্ন নেবে কিন্তু যখন আমি মেথের অতিরিক্ত মাত্রা গ্রহণ করি তখন সে আমার প্রতি কোন সহানুভূতি দেখায়নি। ভেবেছিল আমি মানুষের চেয়ে কম। আমি দাঁতের স্বাস্থ্যবিধিতে এই ডিগ্রি অর্জন করব এবং একজন যত্নশীল মহিলার সাথে একটি সুন্দর জীবনযাপন করব। যখন আমার বোন দেখবে যে আমি ভালো আছি, তখন সে আমার জীবনে আসার চেষ্টা করবে এবং জীবনযাপন করার চেষ্টা করবে, সে সারাক্ষণ পাশে ছিল। আমি যখন আমার সবচেয়ে খারাপ অবস্থায় ছিলাম তখন সে আমার পাশে ছিল না, তাহলে আমি যখন আমার সেরা অবস্থায় থাকি তখন কেন তাকে সেখানে থাকতে দেব?</v>
      </c>
    </row>
    <row r="384" spans="1:3" ht="15" x14ac:dyDescent="0.25">
      <c r="A384" s="3" t="s">
        <v>385</v>
      </c>
      <c r="B384" s="3" t="s">
        <v>4</v>
      </c>
      <c r="C384" s="4" t="str">
        <f ca="1">IFERROR(__xludf.DUMMYFUNCTION("GOOGLETRANSLATE(A384, ""auto"", ""bn"")"),"আমি ভ্যাপিং-এ আসক্ত। আমার বয়স ২০ বছর, তাই এটা আর আমার জীবনে চাই না। দয়া করে পরামর্শ দিন। আমি এটা বন্ধ করতে মরিয়া।")</f>
        <v>আমি ভ্যাপিং-এ আসক্ত। আমার বয়স ২০ বছর, তাই এটা আর আমার জীবনে চাই না। দয়া করে পরামর্শ দিন। আমি এটা বন্ধ করতে মরিয়া।</v>
      </c>
    </row>
    <row r="385" spans="1:3" ht="15" x14ac:dyDescent="0.25">
      <c r="A385" s="3" t="s">
        <v>386</v>
      </c>
      <c r="B385" s="3" t="s">
        <v>4</v>
      </c>
      <c r="C385" s="4" t="str">
        <f ca="1">IFERROR(__xludf.DUMMYFUNCTION("GOOGLETRANSLATE(A385, ""auto"", ""bn"")"),"গত কয়েক বছর ধরে আমি মেসেঞ্জার এবং টেক্সটিং-এর প্রতি খুব আসক্ত। আমার কাছে পাঠানো প্রতিটি বার্তা এবং আমি যে তথ্য পেয়েছি তাতে অভিভূত হওয়া সত্ত্বেও, আমাকে উত্তর লিখতে হয়েছিল। এটি ছিল আমার কর্তব্য যা আমাকে পালন করতে হয়েছিল। অবশেষে, আমার এক মাস স্কুল ছাড়া"&amp;" আছে তাই আমি সিদ্ধান্ত নিয়েছি যে এটি মেসেঞ্জার ছাড়াই এক মাস থাকবে। এবং আমি দারুন বোধ করছি, আমি আরও বেশি উৎপাদনশীল, অবশেষে আমি আমার জীবনে এক মুহূর্ত নীরবতা কাটাতে সক্ষম হয়েছি, নিজের জন্য একটি মুহূর্ত। আমি নিজেকে কেবল আমার পিসিতে উত্তর লিখতে অনুমতি দিই, "&amp;"তাই আমি আমার জীবনের প্রতিটি মুহূর্ত অনলাইনে থাকি না। এটি সত্যিই আমার জন্য কাজ করে, সবকিছু অনেক ভালো। কথা হল, যখন আমি স্কুলে ফিরে যাই তখন আমার মেসেঞ্জার অ্যাকাউন্টে অ্যাক্সেসের প্রয়োজন হয়। আমি অনেক স্কুলের কার্যকলাপে ব্যস্ত থাকি এবং ভবনে থাকাকালীন আমাকে "&amp;"সর্বদা আপডেট থাকতে হয়। আমি উদ্বিগ্ন যে স্কুলে ফিরে গেলে আমাকে আরেকটি টেক্সটিং আসক্তির দিকে ঠেলে দেওয়া হবে, আমি তা চাই না। অন্যদিকে, আমি পদত্যাগ করতে এবং আমার স্কুলের দায়িত্বও ত্যাগ করতে চাই না। আমার কাছে কিছু একটা বের করার জন্য কয়েক সপ্তাহ সময় আছে, আ"&amp;"র আমি ভাবছি আপনার কাছে কি এমন কোন টিপস আছে যা আমাকে সাহায্য করতে পারে? আমি জানি এটা এই গ্রুপের অন্যান্য আসক্তির মতো গুরুতর কিছু নয়। তবুও আমি সত্যিই একটু সাহায্য করতে পারতাম। আমি সত্যিই কৃতজ্ঞ থাকব।")</f>
        <v>গত কয়েক বছর ধরে আমি মেসেঞ্জার এবং টেক্সটিং-এর প্রতি খুব আসক্ত। আমার কাছে পাঠানো প্রতিটি বার্তা এবং আমি যে তথ্য পেয়েছি তাতে অভিভূত হওয়া সত্ত্বেও, আমাকে উত্তর লিখতে হয়েছিল। এটি ছিল আমার কর্তব্য যা আমাকে পালন করতে হয়েছিল। অবশেষে, আমার এক মাস স্কুল ছাড়া আছে তাই আমি সিদ্ধান্ত নিয়েছি যে এটি মেসেঞ্জার ছাড়াই এক মাস থাকবে। এবং আমি দারুন বোধ করছি, আমি আরও বেশি উৎপাদনশীল, অবশেষে আমি আমার জীবনে এক মুহূর্ত নীরবতা কাটাতে সক্ষম হয়েছি, নিজের জন্য একটি মুহূর্ত। আমি নিজেকে কেবল আমার পিসিতে উত্তর লিখতে অনুমতি দিই, তাই আমি আমার জীবনের প্রতিটি মুহূর্ত অনলাইনে থাকি না। এটি সত্যিই আমার জন্য কাজ করে, সবকিছু অনেক ভালো। কথা হল, যখন আমি স্কুলে ফিরে যাই তখন আমার মেসেঞ্জার অ্যাকাউন্টে অ্যাক্সেসের প্রয়োজন হয়। আমি অনেক স্কুলের কার্যকলাপে ব্যস্ত থাকি এবং ভবনে থাকাকালীন আমাকে সর্বদা আপডেট থাকতে হয়। আমি উদ্বিগ্ন যে স্কুলে ফিরে গেলে আমাকে আরেকটি টেক্সটিং আসক্তির দিকে ঠেলে দেওয়া হবে, আমি তা চাই না। অন্যদিকে, আমি পদত্যাগ করতে এবং আমার স্কুলের দায়িত্বও ত্যাগ করতে চাই না। আমার কাছে কিছু একটা বের করার জন্য কয়েক সপ্তাহ সময় আছে, আর আমি ভাবছি আপনার কাছে কি এমন কোন টিপস আছে যা আমাকে সাহায্য করতে পারে? আমি জানি এটা এই গ্রুপের অন্যান্য আসক্তির মতো গুরুতর কিছু নয়। তবুও আমি সত্যিই একটু সাহায্য করতে পারতাম। আমি সত্যিই কৃতজ্ঞ থাকব।</v>
      </c>
    </row>
    <row r="386" spans="1:3" ht="15" x14ac:dyDescent="0.25">
      <c r="A386" s="3" t="s">
        <v>387</v>
      </c>
      <c r="B386" s="3" t="s">
        <v>4</v>
      </c>
      <c r="C386" s="4" t="str">
        <f ca="1">IFERROR(__xludf.DUMMYFUNCTION("GOOGLETRANSLATE(A386, ""auto"", ""bn"")"),"আমি ৩ বছর ধরে মাঝারি মাত্রার কেটামিন আসক্ত, ৩ বছর ধরে প্রতিদিন ২০০-৬০০ মিলিগ্রাম ডোজ এবং তারপর ৩ বছর ধরে। আমি টানা ৬ সপ্তাহ ধরে কে বাদ দিয়েছিলাম এবং তারপর দুবার ব্যবহার করেছিলাম ৭ সপ্তাহ ধরে সম্পূর্ণ টি টোটাল হয়ে যাওয়ার আগে, কোনও পানীয় বা মাদকদ্রব্য প"&amp;"ান করিনি, তারপর ক্রিসমাসে আমি কয়েকটি বিয়ার খেয়েছিলাম (অ্যালকোহলের কোনও সমস্যা ছিল না) এবং আবার ২ সপ্তাহ ধরে প্রতিদিন কেটামিনও ব্যবহার করেছিলাম। তারপর আমি আবার বন্ধ করে দিয়েছিলাম, শেষবার ব্যবহারের পর থেকে আমার এখন ৪ সপ্তাহ হয়ে গেছে, কিন্তু আমার কিছুই "&amp;"মনে হচ্ছে না, আমি আবেগগতভাবে অসাড়, আমি উত্তেজিত হই না, আমি আমার ভবিষ্যৎ সম্পর্কে আশাবাদী নই, আমার মনে হয় আমি কেবল উপস্থিত এবং এই মুহূর্তে, করছি এবং মজাদার জিনিসগুলির চিন্তাভাবনা আমাকে কোনও আনন্দ দেয় না, আমি বিশ্বাস করি এটিকে অ্যানহেডোনিক বলা হয়? আমি আ"&amp;"বার কতক্ষণ অনুভব করব?")</f>
        <v>আমি ৩ বছর ধরে মাঝারি মাত্রার কেটামিন আসক্ত, ৩ বছর ধরে প্রতিদিন ২০০-৬০০ মিলিগ্রাম ডোজ এবং তারপর ৩ বছর ধরে। আমি টানা ৬ সপ্তাহ ধরে কে বাদ দিয়েছিলাম এবং তারপর দুবার ব্যবহার করেছিলাম ৭ সপ্তাহ ধরে সম্পূর্ণ টি টোটাল হয়ে যাওয়ার আগে, কোনও পানীয় বা মাদকদ্রব্য পান করিনি, তারপর ক্রিসমাসে আমি কয়েকটি বিয়ার খেয়েছিলাম (অ্যালকোহলের কোনও সমস্যা ছিল না) এবং আবার ২ সপ্তাহ ধরে প্রতিদিন কেটামিনও ব্যবহার করেছিলাম। তারপর আমি আবার বন্ধ করে দিয়েছিলাম, শেষবার ব্যবহারের পর থেকে আমার এখন ৪ সপ্তাহ হয়ে গেছে, কিন্তু আমার কিছুই মনে হচ্ছে না, আমি আবেগগতভাবে অসাড়, আমি উত্তেজিত হই না, আমি আমার ভবিষ্যৎ সম্পর্কে আশাবাদী নই, আমার মনে হয় আমি কেবল উপস্থিত এবং এই মুহূর্তে, করছি এবং মজাদার জিনিসগুলির চিন্তাভাবনা আমাকে কোনও আনন্দ দেয় না, আমি বিশ্বাস করি এটিকে অ্যানহেডোনিক বলা হয়? আমি আবার কতক্ষণ অনুভব করব?</v>
      </c>
    </row>
    <row r="387" spans="1:3" ht="15" x14ac:dyDescent="0.25">
      <c r="A387" s="3" t="s">
        <v>388</v>
      </c>
      <c r="B387" s="3" t="s">
        <v>4</v>
      </c>
      <c r="C387" s="4" t="str">
        <f ca="1">IFERROR(__xludf.DUMMYFUNCTION("GOOGLETRANSLATE(A387, ""auto"", ""bn"")"),"আমার পরিবার অনেক আর্থিক সমস্যার মধ্য দিয়ে যাচ্ছে। মহামারীর কারণে আমার বাবা চাকরি হারিয়েছেন এবং আমাদের অবস্থা ইতিমধ্যেই যে খারাপ ছিল তার উপরে আমার ভাইদের অবস্থা ছিল। কয়েক মাস আগে তাকে হাসপাতালে ভর্তি করা হয়েছিল এবং অবশেষে তার টাইপ ১ ডায়াবেটিস ধরা পড়ে,"&amp;" তাই আমাদের বেশিরভাগ খরচ চলে যায় তার ওষুধ, তার জন্য স্বাস্থ্যকর খাবার ইত্যাদির পিছনে। তার বয়স ত্রিশের কোঠার মাঝামাঝি এবং এখনও সে নিজের কাগজপত্র তৈরি করতে পারে না বা নিজের দুপুরের খাবার নিজে বানাতে পারে না। আমার মাকে রাত জেগে থাকতে হয়, দিনের জন্য খাবার "&amp;"তৈরি করতে হয়, যা ASF কে বিরক্ত করে। সে সবসময় উত্তেজিত থাকে, কখনও নিজের যত্ন নেয় না, এবং আমার মাকে একরকমভাবে শিশু করে তোলে। একটা সময় ছিল যখন আমি ভেবেছিলাম সে আত্মহত্যা করবে কারণ সে হাসপাতাল থেকে ছাড়া পাওয়ার পরেও তার স্বাস্থ্যের বিষয়ে মোটেও চিন্তা কর"&amp;"বে না। সে কেবল তার ঘরে বসে গাঁজা খায় - যা তার আক্ষরিক অর্থেই করা উচিত নয় - এবং ভিডিও গেম খেলে। কোন চিন্তা নেই, এবং পৃথিবীর কোন চিন্তা নেই। আর হ্যাঁ, তার চাকরি আছে, কিন্তু সে তার বেশিরভাগ টাকা গাঁজার পেছনে খরচ করে, আমি অনুমান করছি। বাকিটা তার ওষুধের পেছন"&amp;"েই যায়। আমি আসলে জানি না কী করব। আমি এখনও হাই-স্কুলে পড়ি (১৫ ডিগ্রি ফারেনহাইট), এবং আমার বাড়ির পরিস্থিতির সাথে মিলিত পড়াশোনার চাপ আমাকে মাঝে মাঝে হাল ছেড়ে দিতে বাধ্য করে। আমার মনের প্রতিটি সমাধানই এমনভাবে শেষ হয়ে যায় যে আমার ভাই আর কখনও চিন্তা করে "&amp;"না। আমি ক্লান্ত, আমার মা ক্লান্ত, এবং আমার বাবা ক্লান্ত থাকলে আমি ভাবি কিন্তু সে না থাকলে আমিও চাই না। আমি আমার ভাইকে সাহায্য করতে চাই, কিন্তু মনে হচ্ছে সে নিজেকে সাহায্য করতে চায় না। TL;DR - আমার ভাইয়েরা টাইপ ১ ডায়াবেটিসে আক্রান্ত গাঁজা আসক্ত এবং তার "&amp;"স্বাস্থ্যের কোনও যত্ন নেয় না। আমি তাকে কীভাবে সাহায্য করতে পারি? সে কি কোনও কানাডিয়ান মাদকাসক্তি প্রোগ্রামে যেতে পারে? উৎসাহ এবং সমর্থনের কথাও কাজ করবে-- যদি আমি সম্পূর্ণ সৎ হই।")</f>
        <v>আমার পরিবার অনেক আর্থিক সমস্যার মধ্য দিয়ে যাচ্ছে। মহামারীর কারণে আমার বাবা চাকরি হারিয়েছেন এবং আমাদের অবস্থা ইতিমধ্যেই যে খারাপ ছিল তার উপরে আমার ভাইদের অবস্থা ছিল। কয়েক মাস আগে তাকে হাসপাতালে ভর্তি করা হয়েছিল এবং অবশেষে তার টাইপ ১ ডায়াবেটিস ধরা পড়ে, তাই আমাদের বেশিরভাগ খরচ চলে যায় তার ওষুধ, তার জন্য স্বাস্থ্যকর খাবার ইত্যাদির পিছনে। তার বয়স ত্রিশের কোঠার মাঝামাঝি এবং এখনও সে নিজের কাগজপত্র তৈরি করতে পারে না বা নিজের দুপুরের খাবার নিজে বানাতে পারে না। আমার মাকে রাত জেগে থাকতে হয়, দিনের জন্য খাবার তৈরি করতে হয়, যা ASF কে বিরক্ত করে। সে সবসময় উত্তেজিত থাকে, কখনও নিজের যত্ন নেয় না, এবং আমার মাকে একরকমভাবে শিশু করে তোলে। একটা সময় ছিল যখন আমি ভেবেছিলাম সে আত্মহত্যা করবে কারণ সে হাসপাতাল থেকে ছাড়া পাওয়ার পরেও তার স্বাস্থ্যের বিষয়ে মোটেও চিন্তা করবে না। সে কেবল তার ঘরে বসে গাঁজা খায় - যা তার আক্ষরিক অর্থেই করা উচিত নয় - এবং ভিডিও গেম খেলে। কোন চিন্তা নেই, এবং পৃথিবীর কোন চিন্তা নেই। আর হ্যাঁ, তার চাকরি আছে, কিন্তু সে তার বেশিরভাগ টাকা গাঁজার পেছনে খরচ করে, আমি অনুমান করছি। বাকিটা তার ওষুধের পেছনেই যায়। আমি আসলে জানি না কী করব। আমি এখনও হাই-স্কুলে পড়ি (১৫ ডিগ্রি ফারেনহাইট), এবং আমার বাড়ির পরিস্থিতির সাথে মিলিত পড়াশোনার চাপ আমাকে মাঝে মাঝে হাল ছেড়ে দিতে বাধ্য করে। আমার মনের প্রতিটি সমাধানই এমনভাবে শেষ হয়ে যায় যে আমার ভাই আর কখনও চিন্তা করে না। আমি ক্লান্ত, আমার মা ক্লান্ত, এবং আমার বাবা ক্লান্ত থাকলে আমি ভাবি কিন্তু সে না থাকলে আমিও চাই না। আমি আমার ভাইকে সাহায্য করতে চাই, কিন্তু মনে হচ্ছে সে নিজেকে সাহায্য করতে চায় না। TL;DR - আমার ভাইয়েরা টাইপ ১ ডায়াবেটিসে আক্রান্ত গাঁজা আসক্ত এবং তার স্বাস্থ্যের কোনও যত্ন নেয় না। আমি তাকে কীভাবে সাহায্য করতে পারি? সে কি কোনও কানাডিয়ান মাদকাসক্তি প্রোগ্রামে যেতে পারে? উৎসাহ এবং সমর্থনের কথাও কাজ করবে-- যদি আমি সম্পূর্ণ সৎ হই।</v>
      </c>
    </row>
    <row r="388" spans="1:3" ht="15" x14ac:dyDescent="0.25">
      <c r="A388" s="3" t="s">
        <v>389</v>
      </c>
      <c r="B388" s="3" t="s">
        <v>4</v>
      </c>
      <c r="C388" s="4" t="str">
        <f ca="1">IFERROR(__xludf.DUMMYFUNCTION("GOOGLETRANSLATE(A388, ""auto"", ""bn"")"),"আমি জানি এটা শুনতে হাস্যকর মনে হচ্ছে, কিন্তু আমার সোশ্যাল মিডিয়ার প্রতি একটা আসক্তি আছে। আমি অ্যাপগুলো মুছে ফেলার চেষ্টা করেছি, ক্রোম অ্যাপে ব্লক করেছি, টাইমার সেট করেছি, কম্পিউটারে ব্লক করেছি। তাছাড়া, আমি বারবার অ্যাপগুলো সীমাবদ্ধ করার চেষ্টা করেছি এবং"&amp;" বারবার ব্যবহার করছি। সম্প্রতি আমি এক মাসের ছুটি নিয়েছি এবং এটি আসলে কাজ করেনি। তাই আমি একটি নতুন পদ্ধতি চেষ্টা করেছি যেখানে আমি প্রথমেই নতুনত্বটি সীমাবদ্ধ করি না এবং মুছে ফেলার চেষ্টা করছি। আমি এতে কত সময় ব্যয় করছি (দিনে ৭ ঘন্টা) তা নিয়ে আমার প্রচুর "&amp;"লজ্জা হচ্ছে। কিন্তু এটি ক্রমশ কমছে। আমি আর মুছে ফেলা এবং পুনরায় ডাউনলোড করার চক্রে ফিরে যেতে চাই না। আমি একটি দীর্ঘমেয়াদী সমাধান চাই। কেউ কি একই জিনিসের মধ্য দিয়ে গেছেন! দয়া করে আমার ধারণা দরকার!!")</f>
        <v>আমি জানি এটা শুনতে হাস্যকর মনে হচ্ছে, কিন্তু আমার সোশ্যাল মিডিয়ার প্রতি একটা আসক্তি আছে। আমি অ্যাপগুলো মুছে ফেলার চেষ্টা করেছি, ক্রোম অ্যাপে ব্লক করেছি, টাইমার সেট করেছি, কম্পিউটারে ব্লক করেছি। তাছাড়া, আমি বারবার অ্যাপগুলো সীমাবদ্ধ করার চেষ্টা করেছি এবং বারবার ব্যবহার করছি। সম্প্রতি আমি এক মাসের ছুটি নিয়েছি এবং এটি আসলে কাজ করেনি। তাই আমি একটি নতুন পদ্ধতি চেষ্টা করেছি যেখানে আমি প্রথমেই নতুনত্বটি সীমাবদ্ধ করি না এবং মুছে ফেলার চেষ্টা করছি। আমি এতে কত সময় ব্যয় করছি (দিনে ৭ ঘন্টা) তা নিয়ে আমার প্রচুর লজ্জা হচ্ছে। কিন্তু এটি ক্রমশ কমছে। আমি আর মুছে ফেলা এবং পুনরায় ডাউনলোড করার চক্রে ফিরে যেতে চাই না। আমি একটি দীর্ঘমেয়াদী সমাধান চাই। কেউ কি একই জিনিসের মধ্য দিয়ে গেছেন! দয়া করে আমার ধারণা দরকার!!</v>
      </c>
    </row>
    <row r="389" spans="1:3" ht="15" x14ac:dyDescent="0.25">
      <c r="A389" s="3" t="s">
        <v>390</v>
      </c>
      <c r="B389" s="3" t="s">
        <v>4</v>
      </c>
      <c r="C389" s="4" t="str">
        <f ca="1">IFERROR(__xludf.DUMMYFUNCTION("GOOGLETRANSLATE(A389, ""auto"", ""bn"")"),"কয়েক মাস আগে আমি সিদ্ধান্ত নিলাম যে একটা ড্যাব পেন কিনবো এবং কার্ট ধূমপান শুরু করবো। আমার ধূমপানের নেশা ছিল কিন্তু কার্ট ধূমপান নয়। যেহেতু আমি আমার প্রথমটি কিনেছি, তাই প্রতিদিন যখনই একটি শেষ হয়ে যায় এবং তৃষ্ণার্ত হয়ে যাই তখনই আমি কিনছি। আমার বাড়িতে "&amp;"একা থাকাকালীন পরিবারের বাকি সদস্যরা কর্মক্ষেত্রে/স্কুলে থাকে। যখন কলমটি ভেঙে যায়, তখন আমি তাৎক্ষণিকভাবে USB তারের পদ্ধতি অনুসরণ করি। আমার একটি চাকরি আছে এবং আমি কি আমার জীবন সঠিকভাবে শুরু করার চেষ্টা করছি? কিন্তু এখন আমার অবস্থা ভয়াবহ উদ্বেগ এবং বিষণ্ণত"&amp;"ার কারণ হয়ে দাঁড়ায়, এবং ADHD মানসিকতা থাকা কেবল তৃষ্ণাকে আরও তীব্র করে তোলে এবং মোকাবেলা করা কঠিন করে তোলে কারণ আমি কখনও কোনও কিছুর প্রতি আসক্তির সাথে লড়াই করিনি। হাই স্কুল পর্যন্ত আমার একটি স্বাভাবিক এবং উপভোগ্য সামাজিক জীবন ছিল, কিন্তু এখন পর্যন্ত আ"&amp;"মি আরও অনেক কিছু আলাদা করে রাখি এবং মনে করি যে আমি যখন আরও বেশি কিছু করতে পারতাম তখন উচ্চ ASF পাওয়ার জন্য বসে বসে নিজেকে বোঝা মনে করছি।")</f>
        <v>কয়েক মাস আগে আমি সিদ্ধান্ত নিলাম যে একটা ড্যাব পেন কিনবো এবং কার্ট ধূমপান শুরু করবো। আমার ধূমপানের নেশা ছিল কিন্তু কার্ট ধূমপান নয়। যেহেতু আমি আমার প্রথমটি কিনেছি, তাই প্রতিদিন যখনই একটি শেষ হয়ে যায় এবং তৃষ্ণার্ত হয়ে যাই তখনই আমি কিনছি। আমার বাড়িতে একা থাকাকালীন পরিবারের বাকি সদস্যরা কর্মক্ষেত্রে/স্কুলে থাকে। যখন কলমটি ভেঙে যায়, তখন আমি তাৎক্ষণিকভাবে USB তারের পদ্ধতি অনুসরণ করি। আমার একটি চাকরি আছে এবং আমি কি আমার জীবন সঠিকভাবে শুরু করার চেষ্টা করছি? কিন্তু এখন আমার অবস্থা ভয়াবহ উদ্বেগ এবং বিষণ্ণতার কারণ হয়ে দাঁড়ায়, এবং ADHD মানসিকতা থাকা কেবল তৃষ্ণাকে আরও তীব্র করে তোলে এবং মোকাবেলা করা কঠিন করে তোলে কারণ আমি কখনও কোনও কিছুর প্রতি আসক্তির সাথে লড়াই করিনি। হাই স্কুল পর্যন্ত আমার একটি স্বাভাবিক এবং উপভোগ্য সামাজিক জীবন ছিল, কিন্তু এখন পর্যন্ত আমি আরও অনেক কিছু আলাদা করে রাখি এবং মনে করি যে আমি যখন আরও বেশি কিছু করতে পারতাম তখন উচ্চ ASF পাওয়ার জন্য বসে বসে নিজেকে বোঝা মনে করছি।</v>
      </c>
    </row>
    <row r="390" spans="1:3" ht="15" x14ac:dyDescent="0.25">
      <c r="A390" s="3" t="s">
        <v>391</v>
      </c>
      <c r="B390" s="3" t="s">
        <v>4</v>
      </c>
      <c r="C390" s="4" t="str">
        <f ca="1">IFERROR(__xludf.DUMMYFUNCTION("GOOGLETRANSLATE(A390, ""auto"", ""bn"")"),"হাই স্কুলে পড়ার সময় বন্ধুদের সাথে মাতাল অবস্থায় সামাজিকভাবে ব্যথানাশক ওষুধ খাওয়া শুরু করেছিলাম। যখন আমি কোনও মেয়েকে বাড়িতে নিয়ে আসতাম তখন এটি একটি বিশাল সুবিধা ছিল ;)। ১০ বছর দ্রুত এগিয়ে যান এবং আমি ২ সপ্তাহের বেশি চাকরি করতে পারিনি। আমার অভ্যাস ব"&amp;"জায় রাখার জন্য আমি পরিবার এবং বন্ধুদের কাছ থেকে চুরি করেছি। (আমি দিনে ২-৩টি খোলা ৪০ এবং কয়েকটি ৩০ সেকেন্ডের সুবিধা করতাম) এটি সত্যিই ব্যয়বহুল ছিল। আমি অনেক সেতু পুড়িয়েছি এবং মূল্যবান সম্পর্ক হারিয়েছি। ২ বছর পরে এবং এখন আমার সিডিএল আছে এবং প্রায় ২ ব"&amp;"ছর ধরে একই চাকরিতে নিযুক্ত আছি। পরবর্তী বেতনের দিনে আমার এখনও প্রচুর টাকা বাকি আছে। আমি যা চুরি করেছি তার বেশিরভাগই নগদ মূল্যে ফেরত দিয়েছি। কিন্তু, এটা জানা কঠিন যে পরিবার এখনও পারিবারিক সমাবেশে আমার উপর নজর রাখে। আমি এখনও আমার সম্পর্কে ফিসফিসানি শুনতে প"&amp;"াই। আমার নিজের বাড়ি আছে, ২টি গাড়ি আছে, ২টি বাচ্চা আছে এবং আমি কেবল আমার আয় দিয়ে আমার পরিবারকে ভরণপোষণ করছি কিন্তু যখন আমি শুনি এবং তাদের করতে দেখি তখন এটি আমাকে ধ্বংস করে দেয়। আমি কী করতে পারি, যাতে তারা বুঝতে পারে যে এটা আর আমি নই, অথবা তারা যা বলছে"&amp;" তা ভুলে যাওয়ার কোনও উপায় আছে?")</f>
        <v>হাই স্কুলে পড়ার সময় বন্ধুদের সাথে মাতাল অবস্থায় সামাজিকভাবে ব্যথানাশক ওষুধ খাওয়া শুরু করেছিলাম। যখন আমি কোনও মেয়েকে বাড়িতে নিয়ে আসতাম তখন এটি একটি বিশাল সুবিধা ছিল ;)। ১০ বছর দ্রুত এগিয়ে যান এবং আমি ২ সপ্তাহের বেশি চাকরি করতে পারিনি। আমার অভ্যাস বজায় রাখার জন্য আমি পরিবার এবং বন্ধুদের কাছ থেকে চুরি করেছি। (আমি দিনে ২-৩টি খোলা ৪০ এবং কয়েকটি ৩০ সেকেন্ডের সুবিধা করতাম) এটি সত্যিই ব্যয়বহুল ছিল। আমি অনেক সেতু পুড়িয়েছি এবং মূল্যবান সম্পর্ক হারিয়েছি। ২ বছর পরে এবং এখন আমার সিডিএল আছে এবং প্রায় ২ বছর ধরে একই চাকরিতে নিযুক্ত আছি। পরবর্তী বেতনের দিনে আমার এখনও প্রচুর টাকা বাকি আছে। আমি যা চুরি করেছি তার বেশিরভাগই নগদ মূল্যে ফেরত দিয়েছি। কিন্তু, এটা জানা কঠিন যে পরিবার এখনও পারিবারিক সমাবেশে আমার উপর নজর রাখে। আমি এখনও আমার সম্পর্কে ফিসফিসানি শুনতে পাই। আমার নিজের বাড়ি আছে, ২টি গাড়ি আছে, ২টি বাচ্চা আছে এবং আমি কেবল আমার আয় দিয়ে আমার পরিবারকে ভরণপোষণ করছি কিন্তু যখন আমি শুনি এবং তাদের করতে দেখি তখন এটি আমাকে ধ্বংস করে দেয়। আমি কী করতে পারি, যাতে তারা বুঝতে পারে যে এটা আর আমি নই, অথবা তারা যা বলছে তা ভুলে যাওয়ার কোনও উপায় আছে?</v>
      </c>
    </row>
    <row r="391" spans="1:3" ht="15" x14ac:dyDescent="0.25">
      <c r="A391" s="3" t="s">
        <v>392</v>
      </c>
      <c r="B391" s="3" t="s">
        <v>4</v>
      </c>
      <c r="C391" s="4" t="str">
        <f ca="1">IFERROR(__xludf.DUMMYFUNCTION("GOOGLETRANSLATE(A391, ""auto"", ""bn"")"),"আমার নাম কনর এবং আমার বয়স কয়েক সপ্তাহের মধ্যে ১৯, ২০। আমার এক বন্ধু আছে যে ৭/৮ বছর ধরে আমার সবচেয়ে ভালো বন্ধু। তার জীবন খুবই কঠিন ছিল, তার পরিবার একজন মদ্যপ বাবা এবং মায়ের সাথে ভেঙে পড়েছে, যিনি কাজও করতে পারেন না। ১৬ বছর বয়স থেকেই সে স্কুলে যায়নি কারণ"&amp;" তার মানসিক স্বাস্থ্য সমস্যা, আমি বছরের পর বছর ধরে তাকে সাহায্য করার জন্য যথাসাধ্য চেষ্টা করেছি। MDMA, লিরিক্স, সিগারেট, গাঁজা এবং ঘুমের ট্যাবলেট সহ আসক্তির সাথে তার কঠিন সময় কেটেছে যা সে অতিরিক্ত পরিমাণে গ্রহণ করেছিল। সে বড়ি খেতে সক্ষম হয়েছে তবে এখন স"&amp;"ে প্রতিদিন অ্যালকোহল ব্যবহার করে এবং নিয়মিত গাঁজা খায়। তার সব বন্ধুরা তার জন্য সেরা ছাড়া আর কিছুই চায়নি, তাকে পোশাক দিত, তাকে জিনিসপত্র কিনে দিত এবং তাকে খেলাধুলায় ফিরে আসার জন্য অনুপ্রাণিত করার চেষ্টা করত, যেমন সে সত্যিই অসাধারণ ছিল। এবং কেউ কখনও বিন"&amp;"িময়ে কিছু চায়নি বা আশা করেনি। সে ক্ষমা চাইতে তার অক্ষমতা প্রকাশ করেছে এবং খুব কমই লোকেদের ধন্যবাদ জানায়। সে অতীতেও বলেছে যে সে কীভাবে ""মানচিত্র থেকে বেরিয়ে যেতে"" চায়? আর নতুন বন্ধু বানানো ইত্যাদি। মূলত আমরা তার জন্য যা কিছু করেছি তার জন্য আমাদের সক"&amp;"লকে অপমান করা। সে হিংস্র হতে পারে, এবং মাদকাসক্ত থাকাকালীন ডাকাতির মতো অপরাধমূলক কাজ করেছে। (খারাপ জনতাকে প্রভাবিত করার চেষ্টা করা)। সে কোনও উচ্চাকাঙ্ক্ষা দেখায় না, কখনও চাকরিতে টিকে থাকেনি এবং কোনওভাবে এর কোনওটিই তার দোষ নয়, সে নতুন চাকরি পেতেও অস্বীকা"&amp;"র করে। কোনও ব্যাংক অ্যাকাউন্ট নেই, পাসপোর্ট নেই, কিছুই নেই। যখন সে মদ্যপান করে এবং উচ্চস্বরে কথা বলে তখন কারও প্রতি শ্রদ্ধা নেই এবং সবাই তাকে এড়িয়ে যায় কারণ আমরা জানি সে কীভাবে প্রতিক্রিয়া জানাবে। সম্প্রতি তার ভাই তাকে চুপ থাকতে বলেছে কারণ আমি ধরে নিচ"&amp;"্ছি সে উচ্চস্বরে কথা বলছে, এবং সে তাকে ধাক্কা দিতে শুরু করে এবং তার চোখে ঘুষি মারতে শুরু করে এবং তার ম্যাডামকে ধাক্কা দেয়। আমি কেবল তাকে ছেড়ে যেতে চাই কারণ আমি মনে করি সে একজন পরাজিত কারণ এবং আমি তার জন্য আমার যথাসাধ্য চেষ্টা করেছি এবং বিশ্বাস করি না যে"&amp;" সে কখনও পরিবর্তন হবে। আমার কী করা উচিত??")</f>
        <v>আমার নাম কনর এবং আমার বয়স কয়েক সপ্তাহের মধ্যে ১৯, ২০। আমার এক বন্ধু আছে যে ৭/৮ বছর ধরে আমার সবচেয়ে ভালো বন্ধু। তার জীবন খুবই কঠিন ছিল, তার পরিবার একজন মদ্যপ বাবা এবং মায়ের সাথে ভেঙে পড়েছে, যিনি কাজও করতে পারেন না। ১৬ বছর বয়স থেকেই সে স্কুলে যায়নি কারণ তার মানসিক স্বাস্থ্য সমস্যা, আমি বছরের পর বছর ধরে তাকে সাহায্য করার জন্য যথাসাধ্য চেষ্টা করেছি। MDMA, লিরিক্স, সিগারেট, গাঁজা এবং ঘুমের ট্যাবলেট সহ আসক্তির সাথে তার কঠিন সময় কেটেছে যা সে অতিরিক্ত পরিমাণে গ্রহণ করেছিল। সে বড়ি খেতে সক্ষম হয়েছে তবে এখন সে প্রতিদিন অ্যালকোহল ব্যবহার করে এবং নিয়মিত গাঁজা খায়। তার সব বন্ধুরা তার জন্য সেরা ছাড়া আর কিছুই চায়নি, তাকে পোশাক দিত, তাকে জিনিসপত্র কিনে দিত এবং তাকে খেলাধুলায় ফিরে আসার জন্য অনুপ্রাণিত করার চেষ্টা করত, যেমন সে সত্যিই অসাধারণ ছিল। এবং কেউ কখনও বিনিময়ে কিছু চায়নি বা আশা করেনি। সে ক্ষমা চাইতে তার অক্ষমতা প্রকাশ করেছে এবং খুব কমই লোকেদের ধন্যবাদ জানায়। সে অতীতেও বলেছে যে সে কীভাবে "মানচিত্র থেকে বেরিয়ে যেতে" চায়? আর নতুন বন্ধু বানানো ইত্যাদি। মূলত আমরা তার জন্য যা কিছু করেছি তার জন্য আমাদের সকলকে অপমান করা। সে হিংস্র হতে পারে, এবং মাদকাসক্ত থাকাকালীন ডাকাতির মতো অপরাধমূলক কাজ করেছে। (খারাপ জনতাকে প্রভাবিত করার চেষ্টা করা)। সে কোনও উচ্চাকাঙ্ক্ষা দেখায় না, কখনও চাকরিতে টিকে থাকেনি এবং কোনওভাবে এর কোনওটিই তার দোষ নয়, সে নতুন চাকরি পেতেও অস্বীকার করে। কোনও ব্যাংক অ্যাকাউন্ট নেই, পাসপোর্ট নেই, কিছুই নেই। যখন সে মদ্যপান করে এবং উচ্চস্বরে কথা বলে তখন কারও প্রতি শ্রদ্ধা নেই এবং সবাই তাকে এড়িয়ে যায় কারণ আমরা জানি সে কীভাবে প্রতিক্রিয়া জানাবে। সম্প্রতি তার ভাই তাকে চুপ থাকতে বলেছে কারণ আমি ধরে নিচ্ছি সে উচ্চস্বরে কথা বলছে, এবং সে তাকে ধাক্কা দিতে শুরু করে এবং তার চোখে ঘুষি মারতে শুরু করে এবং তার ম্যাডামকে ধাক্কা দেয়। আমি কেবল তাকে ছেড়ে যেতে চাই কারণ আমি মনে করি সে একজন পরাজিত কারণ এবং আমি তার জন্য আমার যথাসাধ্য চেষ্টা করেছি এবং বিশ্বাস করি না যে সে কখনও পরিবর্তন হবে। আমার কী করা উচিত??</v>
      </c>
    </row>
    <row r="392" spans="1:3" ht="15" x14ac:dyDescent="0.25">
      <c r="A392" s="3" t="s">
        <v>393</v>
      </c>
      <c r="B392" s="3" t="s">
        <v>4</v>
      </c>
      <c r="C392" s="4" t="str">
        <f ca="1">IFERROR(__xludf.DUMMYFUNCTION("GOOGLETRANSLATE(A392, ""auto"", ""bn"")"),"আমি (২৯ মিলিয়ন) একজন অ্যালকোহল, ক্লোনোপিন (৬ বছর ধরে মাদকাসক্ত) এবং আগাছা (৭ বছর ধরে মাদকাসক্ত) আসক্ত। ২২ বছর বয়স থেকেই আমি কোনও মহিলাকে ছাড়া করিনি, এমনকি কোনও সম্পর্ক, ক্যাজুয়াল বা সিরিয়াস, উভয় ক্ষেত্রেই। তাছাড়া, আমি আমার শেষ সম্পর্ক থেকে বেরিয়ে "&amp;"এসেছি এবং তাৎক্ষণিকভাবে নিজেকে নতুন কিছু নিয়ে ভাবতে শুরু করেছি। তাছাড়া, আমি বুঝতে পারছি যে আমি আসলে কোনও কিছুরই পরোয়া করি না। তাছাড়া, আমি একটি ব্যবসা শুরু করছি, কিন্তু এটি আসলে কেবল আরও অর্থ উপার্জনের উদ্দেশ্যে, যাতে আমি উচ্চমানের মহিলাদের আকর্ষণ করতে"&amp;" পারি। তাছাড়া, আমি তুলনামূলকভাবে সুদর্শন, লম্বা এবং সমৃদ্ধ, তাই আমি মহিলাদের আকর্ষণ করতে এবং ধরে রাখতে এর উপর নির্ভর করতে সক্ষম হয়েছি যদিও আমি প্রায় ভেঙে পড়েছি এবং মহিলাদের সাথে বসবাস এবং ডেট করার জন্য আমার ন্যূনতম মজুরি থেকে বেঁচে আছি। তাছাড়া, আমি আ"&amp;"সলে জানি না কীভাবে এটি মোকাবেলা করতে হবে। যারা আমি এখনও এটি ব্যাখ্যা করি তারা আমাকে বলে যে আমি একজন সুস্থ হয়ে ওঠা মাদকাসক্ত তারা আমাকে বলে যে এটি কেবল মানবিক স্বভাব। আমার মনে হয় যদি আমার পাশে একজন সত্যিকারের সহায়ক নারী এবং একটি সুস্থ সম্পর্ক থাকতো, তাহ"&amp;"লে আমি খুশি হতে পারতাম এবং অন্যান্য লক্ষ্য অর্জন করতে পারতাম। আমার যৌন আকর্ষণ অবিশ্বাস্যভাবে অপ্রতিরোধ্য। উদাহরণস্বরূপ, যখন আমি ঘুরে বেড়াই, এবং আমি একজন সেক্সি মহিলাকে দেখি, তখন আমাকে প্রায় দোকান ছেড়ে যেতে হয়, এবং মাঝে মাঝে তাড়াহুড়ো করে চলে যাই, এবং"&amp;" যখন আমি আমার গাড়িতে পৌঁছাই তখন আমি সাধারণত হাঁপাই এবং নিজের সাথে খুব জোরে চিৎকার করি, ""ওএমএফজি, সে এত গরম ছিল!"" আমি সম্প্রতি খাবারের আসক্তি কাটিয়ে উঠেছি, যেন সত্যিই তা কাটিয়ে উঠেছে। এখন, আমি খাবার সম্পর্কেও ভাবি না এবং কখনও কখনও আমার খাবারও শেষ করি "&amp;"না যা আগের থেকে বিশাল পরিবর্তন। আমি কখনও কোনও প্রোগ্রামে কাজ করিনি, তবে আমি অনেক স্ব-সহায়ক বই পড়েছি, যার মধ্যে রয়েছে আবেগগত বুদ্ধিমত্তা। আমি জানি কিভাবে আমার আসক্তি নিয়ে কাজ করতে হয়, কিন্তু আমি জানি না কিভাবে এটি নির্ধারণ করতে হয় কোনটি সমস্যাযুক্ত এ"&amp;"বং কোনটি নয় - কোনটি আসক্তি এবং কোনটি নয়। তদুপরি, আমি মনে করি আমি মানুষের স্বভাব কী এবং আসক্তি কী তা খুঁজে বের করার চেষ্টা করছি যেমন মানুষ বলে। স্বপ্নের মানুষটির সাথে দেখা করে জীবন কাটানো কি স্বাভাবিক? যেমন জীবনে যেকোনো কিছু অর্জন করার ব্যাপারে আমি মোটেও"&amp;" চিন্তিত নই (আমি কিছুটা নিহিলিস্ট, বিশ্বাস করি যে আসলে কিছুই গুরুত্বপূর্ণ নয়) শুধু একজন সুপার সেক্সি মহিলা আমার পাশে থাকলে। তাহলে, আমি সম্ভবত অন্য কিছু নিয়ে কাজ করতাম যদি এটি নিরাপদ হত এবং শুধুমাত্র আমি সন্তুষ্ট থাকতাম।")</f>
        <v>আমি (২৯ মিলিয়ন) একজন অ্যালকোহল, ক্লোনোপিন (৬ বছর ধরে মাদকাসক্ত) এবং আগাছা (৭ বছর ধরে মাদকাসক্ত) আসক্ত। ২২ বছর বয়স থেকেই আমি কোনও মহিলাকে ছাড়া করিনি, এমনকি কোনও সম্পর্ক, ক্যাজুয়াল বা সিরিয়াস, উভয় ক্ষেত্রেই। তাছাড়া, আমি আমার শেষ সম্পর্ক থেকে বেরিয়ে এসেছি এবং তাৎক্ষণিকভাবে নিজেকে নতুন কিছু নিয়ে ভাবতে শুরু করেছি। তাছাড়া, আমি বুঝতে পারছি যে আমি আসলে কোনও কিছুরই পরোয়া করি না। তাছাড়া, আমি একটি ব্যবসা শুরু করছি, কিন্তু এটি আসলে কেবল আরও অর্থ উপার্জনের উদ্দেশ্যে, যাতে আমি উচ্চমানের মহিলাদের আকর্ষণ করতে পারি। তাছাড়া, আমি তুলনামূলকভাবে সুদর্শন, লম্বা এবং সমৃদ্ধ, তাই আমি মহিলাদের আকর্ষণ করতে এবং ধরে রাখতে এর উপর নির্ভর করতে সক্ষম হয়েছি যদিও আমি প্রায় ভেঙে পড়েছি এবং মহিলাদের সাথে বসবাস এবং ডেট করার জন্য আমার ন্যূনতম মজুরি থেকে বেঁচে আছি। তাছাড়া, আমি আসলে জানি না কীভাবে এটি মোকাবেলা করতে হবে। যারা আমি এখনও এটি ব্যাখ্যা করি তারা আমাকে বলে যে আমি একজন সুস্থ হয়ে ওঠা মাদকাসক্ত তারা আমাকে বলে যে এটি কেবল মানবিক স্বভাব। আমার মনে হয় যদি আমার পাশে একজন সত্যিকারের সহায়ক নারী এবং একটি সুস্থ সম্পর্ক থাকতো, তাহলে আমি খুশি হতে পারতাম এবং অন্যান্য লক্ষ্য অর্জন করতে পারতাম। আমার যৌন আকর্ষণ অবিশ্বাস্যভাবে অপ্রতিরোধ্য। উদাহরণস্বরূপ, যখন আমি ঘুরে বেড়াই, এবং আমি একজন সেক্সি মহিলাকে দেখি, তখন আমাকে প্রায় দোকান ছেড়ে যেতে হয়, এবং মাঝে মাঝে তাড়াহুড়ো করে চলে যাই, এবং যখন আমি আমার গাড়িতে পৌঁছাই তখন আমি সাধারণত হাঁপাই এবং নিজের সাথে খুব জোরে চিৎকার করি, "ওএমএফজি, সে এত গরম ছিল!" আমি সম্প্রতি খাবারের আসক্তি কাটিয়ে উঠেছি, যেন সত্যিই তা কাটিয়ে উঠেছে। এখন, আমি খাবার সম্পর্কেও ভাবি না এবং কখনও কখনও আমার খাবারও শেষ করি না যা আগের থেকে বিশাল পরিবর্তন। আমি কখনও কোনও প্রোগ্রামে কাজ করিনি, তবে আমি অনেক স্ব-সহায়ক বই পড়েছি, যার মধ্যে রয়েছে আবেগগত বুদ্ধিমত্তা। আমি জানি কিভাবে আমার আসক্তি নিয়ে কাজ করতে হয়, কিন্তু আমি জানি না কিভাবে এটি নির্ধারণ করতে হয় কোনটি সমস্যাযুক্ত এবং কোনটি নয় - কোনটি আসক্তি এবং কোনটি নয়। তদুপরি, আমি মনে করি আমি মানুষের স্বভাব কী এবং আসক্তি কী তা খুঁজে বের করার চেষ্টা করছি যেমন মানুষ বলে। স্বপ্নের মানুষটির সাথে দেখা করে জীবন কাটানো কি স্বাভাবিক? যেমন জীবনে যেকোনো কিছু অর্জন করার ব্যাপারে আমি মোটেও চিন্তিত নই (আমি কিছুটা নিহিলিস্ট, বিশ্বাস করি যে আসলে কিছুই গুরুত্বপূর্ণ নয়) শুধু একজন সুপার সেক্সি মহিলা আমার পাশে থাকলে। তাহলে, আমি সম্ভবত অন্য কিছু নিয়ে কাজ করতাম যদি এটি নিরাপদ হত এবং শুধুমাত্র আমি সন্তুষ্ট থাকতাম।</v>
      </c>
    </row>
    <row r="393" spans="1:3" ht="15" x14ac:dyDescent="0.25">
      <c r="A393" s="3" t="s">
        <v>394</v>
      </c>
      <c r="B393" s="3" t="s">
        <v>4</v>
      </c>
      <c r="C393" s="4" t="str">
        <f ca="1">IFERROR(__xludf.DUMMYFUNCTION("GOOGLETRANSLATE(A393, ""auto"", ""bn"")"),"২০১৫ সালের এপ্রিল থেকে আমি সুস্থ। আমার পছন্দের ওষুধ ছিল অক্সিকোডোন। বছরের পর বছর ধরে এটা আমার মাথায় আসেনি। কয়েক সপ্তাহ আগে আমার মেয়েটি বেশ আহত হয়েছিল। তারা প্রতি ৪ ঘন্টা অন্তর ৫ মিলিগ্রাম অক্সি লিখে দেয়, আমি তার বড়ির বোতল খুলে তাকে ওষুধ দেই কারণ সে পা"&amp;"রছিল না। প্রতিবারই আমি ভেতর থেকে কাঁপছিলাম, অতীতের স্মৃতি মনে করে আমার শরীরে ভেসে আসা স্মৃতিচারণ। অবশ্যই, আমি তার ওষুধ খাব না কারণ সে পাশের ঘরে কাঁদছে? এটা আর আমার কথা নয়। দীর্ঘ ২ সপ্তাহ ধরে। আমি আমার সংযম বজায় রেখেছি। আজ রাতে তার আলমারিতে ৩.৫টি বড়ি পড়"&amp;"ে আছে। সে আর খাচ্ছে না। সেই বোকা কমলা বোতলটি যেন মর্ডোরের চোখের মতো আমাকে ডাকছে। আমি জানি নেশা সারাজীবনের জন্য। তাই আজ রাতে আমি একটা গভীর শ্বাস নেব এবং মনে করব গত ৭ বছর কতটা ভালো কেটেছে, আমাকে ডাক্তারদের কাছে মিথ্যা বলতে হয়নি, গ্যাং সদস্যদের সাথে মোকাবিল"&amp;"া করতে হয়নি বা ওষুধের ক্যাবিনেট থেকে চুরি করতে হয়নি। আমি খুব গভীর নিঃশ্বাস নেব এবং মনে করব কিভাবে আমি নির্যাতন বন্ধ করার পর থেকে বিয়ে করেছি, একটি বাড়ি কিনেছি এবং নিখুঁত চাকরি করেছি। আমি আরও একটি গভীর নিঃশ্বাস নেব এবং আমার স্ত্রীকে জাগিয়ে ব্যাখ্যা করব"&amp;" যে আমি লড়াই করছি, এবং আমাদের এগুলি থেকে মুক্তি পেতে হবে। কেউ একবার আমাকে বলেছিল যে আমি একদিন ঘুম থেকে উঠব এবং আকাশ আরও নীল হবে। এটি ছিল এবং এখনও সত্য। আমি ভাবিনি যে কখনও কখনও আকাশ ভারী এবং অন্ধকার বোধ করবে। তবুও? প্রতিটি দিনই মূল্যবান।")</f>
        <v>২০১৫ সালের এপ্রিল থেকে আমি সুস্থ। আমার পছন্দের ওষুধ ছিল অক্সিকোডোন। বছরের পর বছর ধরে এটা আমার মাথায় আসেনি। কয়েক সপ্তাহ আগে আমার মেয়েটি বেশ আহত হয়েছিল। তারা প্রতি ৪ ঘন্টা অন্তর ৫ মিলিগ্রাম অক্সি লিখে দেয়, আমি তার বড়ির বোতল খুলে তাকে ওষুধ দেই কারণ সে পারছিল না। প্রতিবারই আমি ভেতর থেকে কাঁপছিলাম, অতীতের স্মৃতি মনে করে আমার শরীরে ভেসে আসা স্মৃতিচারণ। অবশ্যই, আমি তার ওষুধ খাব না কারণ সে পাশের ঘরে কাঁদছে? এটা আর আমার কথা নয়। দীর্ঘ ২ সপ্তাহ ধরে। আমি আমার সংযম বজায় রেখেছি। আজ রাতে তার আলমারিতে ৩.৫টি বড়ি পড়ে আছে। সে আর খাচ্ছে না। সেই বোকা কমলা বোতলটি যেন মর্ডোরের চোখের মতো আমাকে ডাকছে। আমি জানি নেশা সারাজীবনের জন্য। তাই আজ রাতে আমি একটা গভীর শ্বাস নেব এবং মনে করব গত ৭ বছর কতটা ভালো কেটেছে, আমাকে ডাক্তারদের কাছে মিথ্যা বলতে হয়নি, গ্যাং সদস্যদের সাথে মোকাবিলা করতে হয়নি বা ওষুধের ক্যাবিনেট থেকে চুরি করতে হয়নি। আমি খুব গভীর নিঃশ্বাস নেব এবং মনে করব কিভাবে আমি নির্যাতন বন্ধ করার পর থেকে বিয়ে করেছি, একটি বাড়ি কিনেছি এবং নিখুঁত চাকরি করেছি। আমি আরও একটি গভীর নিঃশ্বাস নেব এবং আমার স্ত্রীকে জাগিয়ে ব্যাখ্যা করব যে আমি লড়াই করছি, এবং আমাদের এগুলি থেকে মুক্তি পেতে হবে। কেউ একবার আমাকে বলেছিল যে আমি একদিন ঘুম থেকে উঠব এবং আকাশ আরও নীল হবে। এটি ছিল এবং এখনও সত্য। আমি ভাবিনি যে কখনও কখনও আকাশ ভারী এবং অন্ধকার বোধ করবে। তবুও? প্রতিটি দিনই মূল্যবান।</v>
      </c>
    </row>
    <row r="394" spans="1:3" ht="15" x14ac:dyDescent="0.25">
      <c r="A394" s="3" t="s">
        <v>395</v>
      </c>
      <c r="B394" s="3" t="s">
        <v>4</v>
      </c>
      <c r="C394" s="4" t="str">
        <f ca="1">IFERROR(__xludf.DUMMYFUNCTION("GOOGLETRANSLATE(A394, ""auto"", ""bn"")"),"আমার বয়স এখন ২০ এর কোঠায়, আর আমি ৩ বছর ধরে আইস ব্যবহার করছি এবং এক বছর ধরে আইস ব্যবহার করছি। তবে আমাকে নতুন কিছু চেষ্টা করার সুযোগ দেওয়া হয়েছে, সাবক্সোন, আমি আগে কখনও ওপিওয়েড গ্রহণ করিনি, এমনকি খুব বেশি পছন্দ করি না বা ডাউনও করি না। আমি কি আশা করব? আমাকে"&amp;" বলা হয়েছিল যে এটি বরফ এবং কোকের মিশ্রণের মতো একই রকম অনুভূতি হতে পারে, এটাই আমার প্রিয় কম্বো। হা হা হা, নাক ডাকো, না জিভের নিচে রেখে দাও? এটা শুরু হতে কতক্ষণ সময় লাগে? আমি ইতিমধ্যেই কেবল একটি বড়ির টুকরো খাচ্ছি, আমাকে কোনও ওডি বা অন্য কিছু নিয়ে চিন্তা"&amp;" করতে হবে না?")</f>
        <v>আমার বয়স এখন ২০ এর কোঠায়, আর আমি ৩ বছর ধরে আইস ব্যবহার করছি এবং এক বছর ধরে আইস ব্যবহার করছি। তবে আমাকে নতুন কিছু চেষ্টা করার সুযোগ দেওয়া হয়েছে, সাবক্সোন, আমি আগে কখনও ওপিওয়েড গ্রহণ করিনি, এমনকি খুব বেশি পছন্দ করি না বা ডাউনও করি না। আমি কি আশা করব? আমাকে বলা হয়েছিল যে এটি বরফ এবং কোকের মিশ্রণের মতো একই রকম অনুভূতি হতে পারে, এটাই আমার প্রিয় কম্বো। হা হা হা, নাক ডাকো, না জিভের নিচে রেখে দাও? এটা শুরু হতে কতক্ষণ সময় লাগে? আমি ইতিমধ্যেই কেবল একটি বড়ির টুকরো খাচ্ছি, আমাকে কোনও ওডি বা অন্য কিছু নিয়ে চিন্তা করতে হবে না?</v>
      </c>
    </row>
    <row r="395" spans="1:3" ht="15" x14ac:dyDescent="0.25">
      <c r="A395" s="3" t="s">
        <v>396</v>
      </c>
      <c r="B395" s="3" t="s">
        <v>4</v>
      </c>
      <c r="C395" s="4" t="str">
        <f ca="1">IFERROR(__xludf.DUMMYFUNCTION("GOOGLETRANSLATE(A395, ""auto"", ""bn"")"),"প্রথমেই স্থানীয় মাছের কাছে ক্ষমা চাই কারণ তোমরা সবাই রোলিনের মতো নিয়মিত বিষ খাওয়ার চেষ্টা করছো!!!! গত সপ্তাহে আমি মেথ ছেড়ে দিতে চাইছিলাম। কিন্তু আমি বোকা ছিলাম এবং এক ""বন্ধু"" এর কাছ থেকে কিছু গ্রহণ করেছিলাম (হ্যাঁ, ঠিক আছে, কোন বন্ধু তোমাদের জীবনে বিষ"&amp;" ফিরিয়ে আনবে?)। গতকাল এবং আজ আমি আবারও এটির উপর নির্ভরশীল হয়ে পড়েছিলাম। কিন্তু যখন আমি এই বিষ এবং অন্য সবার গল্প পড়ে খুব বেশি উত্তেজিত ছিলাম, টুইক করছিলাম, তখন আমি বুঝতে পেরেছিলাম..... আমার সত্যিই এই বিষের দরকার নেই। এই বিষ বিষ। তাই আমি গিয়ে ব্যাগিটি "&amp;"নিলাম এবং সেই পরিমাণ বিষটি ড্রেনে ফেলে দিলাম। এটি প্রায় ২ গ্রাম মূল্যের ছিল তাই এক টনও নয়, বরং কিছুক্ষণের জন্য যথেষ্ট পরিমাণে কিনেছিলাম। না! আমি আগামী কয়েক দিন এটি চুষতে প্রস্তুত। সৌভাগ্যক্রমে আমি পুনরায় বিষের মধ্যে কয়েক দিন শান্ত ছিলাম কিন্তু এবার আ"&amp;"মি এটি কাটিয়ে উঠেছি। মাদকের সাথে সম্পর্কিত সবকিছুর মাধ্যমে, শুধু গাঁজা ছাড়া, কারণ, সবারই একটা জিনিস আছে (দয়া করে এখানে গাঁজার গুণাবলী নিয়ে বিতর্ক করতে আসিনি, এটা আমার পছন্দ, এবং আমি এটা এভাবেই রাখব) যাই হোক, আমি আপনাদের সকলকে ধন্যবাদ জানাতে চাই যে আমা"&amp;"কে মৌলিকভাবে সঠিক এবং স্বাস্থ্যকর সিদ্ধান্ত নিতে রাজি করানোর জন্য। আমার জীবনে এই ধরণের জিনিসের সত্যিই কোনও প্রয়োজন নেই। আমি সত্যিই মুগ্ধ যে স্ফটিকের নেশাগ্রস্ত অবস্থায় আমার নিজের সাথে কী করছি তা বুঝতে এবং ""এই বাজে কথা"" বলার জন্য আমার ভাল বুদ্ধি এবং ইচ"&amp;"্ছাশক্তি ছিল। সত্যি বলতে, স্ফটিক সম্পর্কে আমার কখনও এই ধরণের চিন্তাভাবনা ছিল না, তাই আমি এই পুনরুত্থানকে ইতিবাচক দৃষ্টিকোণ থেকে দেখি। এটি ইতিবাচক কারণ এমনকি দ্রুত নীচের দিকে ক্রমশ ছড়িয়ে পড়া পুনরুত্থানের মাঝেও, কিছু ক্লিক হয়েছিল, এবং এমনকি এর তীব্রতার "&amp;"মধ্যেও, আমি কেবল নিজের সাথে কী করছি তা বুঝতেই সক্ষম হয়েছিলাম না, বরং এর বিরুদ্ধে পদক্ষেপও নিতে পেরেছিলাম!")</f>
        <v>প্রথমেই স্থানীয় মাছের কাছে ক্ষমা চাই কারণ তোমরা সবাই রোলিনের মতো নিয়মিত বিষ খাওয়ার চেষ্টা করছো!!!! গত সপ্তাহে আমি মেথ ছেড়ে দিতে চাইছিলাম। কিন্তু আমি বোকা ছিলাম এবং এক "বন্ধু" এর কাছ থেকে কিছু গ্রহণ করেছিলাম (হ্যাঁ, ঠিক আছে, কোন বন্ধু তোমাদের জীবনে বিষ ফিরিয়ে আনবে?)। গতকাল এবং আজ আমি আবারও এটির উপর নির্ভরশীল হয়ে পড়েছিলাম। কিন্তু যখন আমি এই বিষ এবং অন্য সবার গল্প পড়ে খুব বেশি উত্তেজিত ছিলাম, টুইক করছিলাম, তখন আমি বুঝতে পেরেছিলাম..... আমার সত্যিই এই বিষের দরকার নেই। এই বিষ বিষ। তাই আমি গিয়ে ব্যাগিটি নিলাম এবং সেই পরিমাণ বিষটি ড্রেনে ফেলে দিলাম। এটি প্রায় ২ গ্রাম মূল্যের ছিল তাই এক টনও নয়, বরং কিছুক্ষণের জন্য যথেষ্ট পরিমাণে কিনেছিলাম। না! আমি আগামী কয়েক দিন এটি চুষতে প্রস্তুত। সৌভাগ্যক্রমে আমি পুনরায় বিষের মধ্যে কয়েক দিন শান্ত ছিলাম কিন্তু এবার আমি এটি কাটিয়ে উঠেছি। মাদকের সাথে সম্পর্কিত সবকিছুর মাধ্যমে, শুধু গাঁজা ছাড়া, কারণ, সবারই একটা জিনিস আছে (দয়া করে এখানে গাঁজার গুণাবলী নিয়ে বিতর্ক করতে আসিনি, এটা আমার পছন্দ, এবং আমি এটা এভাবেই রাখব) যাই হোক, আমি আপনাদের সকলকে ধন্যবাদ জানাতে চাই যে আমাকে মৌলিকভাবে সঠিক এবং স্বাস্থ্যকর সিদ্ধান্ত নিতে রাজি করানোর জন্য। আমার জীবনে এই ধরণের জিনিসের সত্যিই কোনও প্রয়োজন নেই। আমি সত্যিই মুগ্ধ যে স্ফটিকের নেশাগ্রস্ত অবস্থায় আমার নিজের সাথে কী করছি তা বুঝতে এবং "এই বাজে কথা" বলার জন্য আমার ভাল বুদ্ধি এবং ইচ্ছাশক্তি ছিল। সত্যি বলতে, স্ফটিক সম্পর্কে আমার কখনও এই ধরণের চিন্তাভাবনা ছিল না, তাই আমি এই পুনরুত্থানকে ইতিবাচক দৃষ্টিকোণ থেকে দেখি। এটি ইতিবাচক কারণ এমনকি দ্রুত নীচের দিকে ক্রমশ ছড়িয়ে পড়া পুনরুত্থানের মাঝেও, কিছু ক্লিক হয়েছিল, এবং এমনকি এর তীব্রতার মধ্যেও, আমি কেবল নিজের সাথে কী করছি তা বুঝতেই সক্ষম হয়েছিলাম না, বরং এর বিরুদ্ধে পদক্ষেপও নিতে পেরেছিলাম!</v>
      </c>
    </row>
    <row r="396" spans="1:3" ht="15" x14ac:dyDescent="0.25">
      <c r="A396" s="3" t="s">
        <v>397</v>
      </c>
      <c r="B396" s="3" t="s">
        <v>4</v>
      </c>
      <c r="C396" s="4" t="str">
        <f ca="1">IFERROR(__xludf.DUMMYFUNCTION("GOOGLETRANSLATE(A396, ""auto"", ""bn"")"),"২ বছর ৫ মাস ধরে আমি সুস্থ আছি এবং প্রতিদিন ভাবছি যে আগের মতো কঠিন কাজগুলো আবারও করবো। এখন আমি কেবল গাঁজা, পানীয় এবং সিগারেট খাই কিন্তু এগুলো সম্প্রতি আত্ম-ধ্বংসাত্মক প্রক্রিয়া হয়ে উঠছে যার ফলে আমি সবসময় আরও শক্তিশালী কিছু যোগ করতে চাই, আমি খুব ভয় পাচ"&amp;"্ছি।")</f>
        <v>২ বছর ৫ মাস ধরে আমি সুস্থ আছি এবং প্রতিদিন ভাবছি যে আগের মতো কঠিন কাজগুলো আবারও করবো। এখন আমি কেবল গাঁজা, পানীয় এবং সিগারেট খাই কিন্তু এগুলো সম্প্রতি আত্ম-ধ্বংসাত্মক প্রক্রিয়া হয়ে উঠছে যার ফলে আমি সবসময় আরও শক্তিশালী কিছু যোগ করতে চাই, আমি খুব ভয় পাচ্ছি।</v>
      </c>
    </row>
    <row r="397" spans="1:3" ht="15" x14ac:dyDescent="0.25">
      <c r="A397" s="3" t="s">
        <v>398</v>
      </c>
      <c r="B397" s="3" t="s">
        <v>4</v>
      </c>
      <c r="C397" s="4" t="str">
        <f ca="1">IFERROR(__xludf.DUMMYFUNCTION("GOOGLETRANSLATE(A397, ""auto"", ""bn"")"),"গত কয়েক মাস ধরে (যেমন অনেকেরই এই কঠিন সময়ে &lt;3) নানাবিধ কষ্ট সহ্য করেও, আমি আসক্তি (কোকেন, কেটামিন, অ্যালকোহল), একাকীত্ব, বিষণ্ণতা এবং আত্ম-সন্দেহের সাথে লড়াই করেছি। আমি তিনজনের মধ্যে (২২, ২০, ১৭) বড় এবং আমার বিশ্বাস করার কারণ আছে যে আমি একজন মদ্যপ (যা"&amp;" খুবই অস্পষ্ট)। যার ফলে, আমি মদ্যপান করি এবং ফলস্বরূপ প্রচুর পরিমাণে মাদক গ্রহণ করি। আমি দুটি ভিন্ন সময় অঞ্চলে (এশিয়া, আফ্রিকা) দুটি চাকরি করি এবং আমার ভাইবোনদের ভরণপোষণের জন্য মোটামুটি ভালো পারিশ্রমিক পাই। আমার ভাইবোনদের প্রতি আমার সম্মানিত ""রুটি জয়"&amp;""" সমর্থন, আমার বর্তমান পরিস্থিতির ফল। তিনি বর্তমানে সর্বোচ্চ ১৫ বছরের কারাদণ্ডের সাথে বিচারাধীন, এবং আমি অত্যন্ত উদ্বিগ্ন যে যদি পরিস্থিতি ঠিকভাবে কাজ না করে (যেহেতু তাকে ভুলভাবে দোষী সাব্যস্ত করা হয়েছিল) তবে বিষ্ঠা সত্যিই ফ্যানের উপর আঘাত করতে পারে। এব"&amp;"ং আমি নিজেকে খনন করব খননের গভীরে।")</f>
        <v>গত কয়েক মাস ধরে (যেমন অনেকেরই এই কঠিন সময়ে &lt;3) নানাবিধ কষ্ট সহ্য করেও, আমি আসক্তি (কোকেন, কেটামিন, অ্যালকোহল), একাকীত্ব, বিষণ্ণতা এবং আত্ম-সন্দেহের সাথে লড়াই করেছি। আমি তিনজনের মধ্যে (২২, ২০, ১৭) বড় এবং আমার বিশ্বাস করার কারণ আছে যে আমি একজন মদ্যপ (যা খুবই অস্পষ্ট)। যার ফলে, আমি মদ্যপান করি এবং ফলস্বরূপ প্রচুর পরিমাণে মাদক গ্রহণ করি। আমি দুটি ভিন্ন সময় অঞ্চলে (এশিয়া, আফ্রিকা) দুটি চাকরি করি এবং আমার ভাইবোনদের ভরণপোষণের জন্য মোটামুটি ভালো পারিশ্রমিক পাই। আমার ভাইবোনদের প্রতি আমার সম্মানিত "রুটি জয়" সমর্থন, আমার বর্তমান পরিস্থিতির ফল। তিনি বর্তমানে সর্বোচ্চ ১৫ বছরের কারাদণ্ডের সাথে বিচারাধীন, এবং আমি অত্যন্ত উদ্বিগ্ন যে যদি পরিস্থিতি ঠিকভাবে কাজ না করে (যেহেতু তাকে ভুলভাবে দোষী সাব্যস্ত করা হয়েছিল) তবে বিষ্ঠা সত্যিই ফ্যানের উপর আঘাত করতে পারে। এবং আমি নিজেকে খনন করব খননের গভীরে।</v>
      </c>
    </row>
    <row r="398" spans="1:3" ht="15" x14ac:dyDescent="0.25">
      <c r="A398" s="3" t="s">
        <v>399</v>
      </c>
      <c r="B398" s="3" t="s">
        <v>4</v>
      </c>
      <c r="C398" s="4" t="str">
        <f ca="1">IFERROR(__xludf.DUMMYFUNCTION("GOOGLETRANSLATE(A398, ""auto"", ""bn"")"),"আমি নাইট্রাস অক্সাইডে আসক্ত। এটাও তেমন কিছু নয়। আমার নিজস্ব ট্যাঙ্ক আছে এবং আমি এটা করা বন্ধ করতে পারছি না। আমি প্রতিদিন এর উপর প্রায় ১০০টি অপচয় করি, এমনকি আমি কয়েকদিন ধরে এটা করিনি। কিন্তু যখন আমার কাছে এটা থাকে না তখন আমার সত্যিই খারাপ লাগে যেন আমার এটা"&amp;"র প্রয়োজন, যেন এটা আমার দুশ্চিন্তা দূর করে। তোমরা কীভাবে এটার সাথে মানিয়ে নিও / আমি কীভাবে এটার সাথে মানিয়ে নেব, এটা খুব কঠিন, এবং প্রত্যাহার করাটাও খারাপ লাগে।")</f>
        <v>আমি নাইট্রাস অক্সাইডে আসক্ত। এটাও তেমন কিছু নয়। আমার নিজস্ব ট্যাঙ্ক আছে এবং আমি এটা করা বন্ধ করতে পারছি না। আমি প্রতিদিন এর উপর প্রায় ১০০টি অপচয় করি, এমনকি আমি কয়েকদিন ধরে এটা করিনি। কিন্তু যখন আমার কাছে এটা থাকে না তখন আমার সত্যিই খারাপ লাগে যেন আমার এটার প্রয়োজন, যেন এটা আমার দুশ্চিন্তা দূর করে। তোমরা কীভাবে এটার সাথে মানিয়ে নিও / আমি কীভাবে এটার সাথে মানিয়ে নেব, এটা খুব কঠিন, এবং প্রত্যাহার করাটাও খারাপ লাগে।</v>
      </c>
    </row>
    <row r="399" spans="1:3" ht="15" x14ac:dyDescent="0.25">
      <c r="A399" s="3" t="s">
        <v>400</v>
      </c>
      <c r="B399" s="3" t="s">
        <v>4</v>
      </c>
      <c r="C399" s="4" t="str">
        <f ca="1">IFERROR(__xludf.DUMMYFUNCTION("GOOGLETRANSLATE(A399, ""auto"", ""bn"")"),"৩৯ বছর বয়সী এক বোনের সাথে ডেটিং চলছে যে গত ২৪ বছর ধরে কাজ করার সময় সারাদিন গাঁজা খায় এবং ভিডিও গেম খেলে। সবসময় চাপে থাকে এবং এশিয়ানকে ঘুম পাড়িয়ে রাখতে হয়। পরামর্শ? আমার বোন তার পরিবারের একমাত্র উপার্জনক্ষম ব্যক্তি। সে সারাদিন কাজ করে এবং তারপর তার"&amp;" প্রেমিককে তার থালা এনে দেয়। সে আক্ষরিক অর্থেই এই লোকটির দাসত্বে বাস করছে, এবং সে সবসময় চাপে থাকে। আমি তাকে বলার চেষ্টা করি যে এটি বেঁচে থাকার সঠিক উপায় নয়, কিন্তু সে কখনও স্বীকার করে না যে কোনও মহিলা যখন পরিবর্তন চাইবে তখন কোনও সমস্যা আছে। সে যা করছে"&amp;" তা স্বাভাবিক নয়। আমি কীভাবে তাকে বোঝাব যে তার সুস্থতার জন্য পরিবর্তন প্রয়োজন? আমার মনে হয় বেজোস তার মাথার সাথে তালগোল পাকিয়েছে এবং যদি সে একজন ভালো ছেলের সাথে থাকত, তাহলে তাকে তা মেনে নিতে হত না।")</f>
        <v>৩৯ বছর বয়সী এক বোনের সাথে ডেটিং চলছে যে গত ২৪ বছর ধরে কাজ করার সময় সারাদিন গাঁজা খায় এবং ভিডিও গেম খেলে। সবসময় চাপে থাকে এবং এশিয়ানকে ঘুম পাড়িয়ে রাখতে হয়। পরামর্শ? আমার বোন তার পরিবারের একমাত্র উপার্জনক্ষম ব্যক্তি। সে সারাদিন কাজ করে এবং তারপর তার প্রেমিককে তার থালা এনে দেয়। সে আক্ষরিক অর্থেই এই লোকটির দাসত্বে বাস করছে, এবং সে সবসময় চাপে থাকে। আমি তাকে বলার চেষ্টা করি যে এটি বেঁচে থাকার সঠিক উপায় নয়, কিন্তু সে কখনও স্বীকার করে না যে কোনও মহিলা যখন পরিবর্তন চাইবে তখন কোনও সমস্যা আছে। সে যা করছে তা স্বাভাবিক নয়। আমি কীভাবে তাকে বোঝাব যে তার সুস্থতার জন্য পরিবর্তন প্রয়োজন? আমার মনে হয় বেজোস তার মাথার সাথে তালগোল পাকিয়েছে এবং যদি সে একজন ভালো ছেলের সাথে থাকত, তাহলে তাকে তা মেনে নিতে হত না।</v>
      </c>
    </row>
    <row r="400" spans="1:3" ht="15" x14ac:dyDescent="0.25">
      <c r="A400" s="3" t="s">
        <v>401</v>
      </c>
      <c r="B400" s="3" t="s">
        <v>4</v>
      </c>
      <c r="C400" s="4" t="str">
        <f ca="1">IFERROR(__xludf.DUMMYFUNCTION("GOOGLETRANSLATE(A400, ""auto"", ""bn"")"),"আমি (২৩ বছর বয়সী) ১৪ বছর বয়স থেকেই একজন আসক্ত। বেজোস-এর সাথে শুরু করে আমাকে কোডিন প্রেসক্রাইব করা হয়েছিল এবং আমার মা সেখানেই পড়ে থাকতেন। পরিবার এবং বন্ধুদের ৪ জন মারা যাওয়ার পর, এবং একটি গাড়ি দুর্ঘটনায় আমার মস্তিষ্কের ক্ষতি এবং গুরুতর PTSD হওয়ার প"&amp;"র, আমি ফেন্টানাইল এবং হেরোইন ব্যবহার শুরু করি। এটা প্রায় দুই বছর আগের কথা। আগস্টে, আমি নিজেকে পুনর্বাসনে পরীক্ষা করেছিলাম কারণ আমার ডিলার আমাকে ছিনতাই করেছিল এবং সত্যি বলতে, আমি অন্য কোনও ডিলার খুঁজে পাইনি এবং টাকা তোলা সহ্য করতে পারিনি। আমি তাদের বলেছিল"&amp;"াম যে আমি একজন আসক্ত হিসেবে জীবনযাপন করতে করতে ক্লান্ত হয়ে পড়েছি, কিন্তু এটা মিথ্যা ছিল। আমার পরিবারের কোনও ধারণা ছিল না যে আমি একজন আসক্ত। সত্যি বলতে। যখন আমার মা জানতে পারলেন যে আমি পুনর্বাসনে আছি, তখন তিনি জিজ্ঞাসা করেছিলেন যে এটি অ্যাডেরাল নাকি অন্য"&amp;" কিছু। আমি ৮ সপ্তাহ সেখানে ছিলাম, এবং তারা আমাকে সাবক্সোন দিয়েছিল। আমার ছাড়ার সময়, আমি ঠিক তখনই পুনরায় অসুস্থ হতে চেয়েছিলাম। তারা আমাকে যা করতে বলেছিল এবং সর্বোচ্চ চেষ্টা করার পরেও আমার আর ভালো লাগছিল না। ধ্যান, প্রার্থনা (যদিও উচ্চতর শক্তিতে বিশ্বাস"&amp;" না করে), রাতের পর্যালোচনা, আমার চতুর্থ পদক্ষেপ। আমি প্রার্থনার বৃত্ত এবং সবকিছুতেই যৌনসঙ্গম করতাম। আমি সত্যিই ঈশ্বরকে খুঁজে বের করার চেষ্টা করতাম। তাই আমি মূলত তিন মাস ধরে এটি ব্যবহার করেই ছিলাম। আমার সাবক্সোন নিচ্ছিলাম, আমার অ্যাপয়েন্টমেন্টে যাচ্ছিলাম।"&amp;" আমি এমন কোনও মিটিং খুঁজে পাইনি যা আমার পছন্দ হয়েছিল, কেবল ৫৫+ বছরের বেশি বয়সীদের হাঁটার দূরত্বে। তারা আমাকে বলেছিল যে আমার বয়সীদের সাথে আমার এমন একটি মিটিং খুঁজে বের করা উচিত। আমি আত্মহত্যা করতে শুরু করেছিলাম। গত সপ্তাহে, আমাকে ফেসবুকে কিছু ফেন্টানিল "&amp;"দেওয়া হয়েছিল, এবং এখন আমি আবার সেবন করছি। আমি অপরাধবোধ করছি, কিন্তু আমি আর শান্ত থাকার যন্ত্রণা সহ্য করতে পারছি না। গত রাতে আমার মা আমাকে জড়িয়ে ধরে বললেন যে তিনি আমার জন্য গর্বিত। আমি জানি আমি যেখানে শুরু করেছিলাম ঠিক সেখানেই ফিরে এসেছি, এবং আমার আরও "&amp;"যত্ন নেওয়া উচিত তবে মূলত, আমি স্বস্তি বোধ করি। অপরাধবোধ, লজ্জা, তবে বেশিরভাগ ক্ষেত্রেই স্বস্তি।")</f>
        <v>আমি (২৩ বছর বয়সী) ১৪ বছর বয়স থেকেই একজন আসক্ত। বেজোস-এর সাথে শুরু করে আমাকে কোডিন প্রেসক্রাইব করা হয়েছিল এবং আমার মা সেখানেই পড়ে থাকতেন। পরিবার এবং বন্ধুদের ৪ জন মারা যাওয়ার পর, এবং একটি গাড়ি দুর্ঘটনায় আমার মস্তিষ্কের ক্ষতি এবং গুরুতর PTSD হওয়ার পর, আমি ফেন্টানাইল এবং হেরোইন ব্যবহার শুরু করি। এটা প্রায় দুই বছর আগের কথা। আগস্টে, আমি নিজেকে পুনর্বাসনে পরীক্ষা করেছিলাম কারণ আমার ডিলার আমাকে ছিনতাই করেছিল এবং সত্যি বলতে, আমি অন্য কোনও ডিলার খুঁজে পাইনি এবং টাকা তোলা সহ্য করতে পারিনি। আমি তাদের বলেছিলাম যে আমি একজন আসক্ত হিসেবে জীবনযাপন করতে করতে ক্লান্ত হয়ে পড়েছি, কিন্তু এটা মিথ্যা ছিল। আমার পরিবারের কোনও ধারণা ছিল না যে আমি একজন আসক্ত। সত্যি বলতে। যখন আমার মা জানতে পারলেন যে আমি পুনর্বাসনে আছি, তখন তিনি জিজ্ঞাসা করেছিলেন যে এটি অ্যাডেরাল নাকি অন্য কিছু। আমি ৮ সপ্তাহ সেখানে ছিলাম, এবং তারা আমাকে সাবক্সোন দিয়েছিল। আমার ছাড়ার সময়, আমি ঠিক তখনই পুনরায় অসুস্থ হতে চেয়েছিলাম। তারা আমাকে যা করতে বলেছিল এবং সর্বোচ্চ চেষ্টা করার পরেও আমার আর ভালো লাগছিল না। ধ্যান, প্রার্থনা (যদিও উচ্চতর শক্তিতে বিশ্বাস না করে), রাতের পর্যালোচনা, আমার চতুর্থ পদক্ষেপ। আমি প্রার্থনার বৃত্ত এবং সবকিছুতেই যৌনসঙ্গম করতাম। আমি সত্যিই ঈশ্বরকে খুঁজে বের করার চেষ্টা করতাম। তাই আমি মূলত তিন মাস ধরে এটি ব্যবহার করেই ছিলাম। আমার সাবক্সোন নিচ্ছিলাম, আমার অ্যাপয়েন্টমেন্টে যাচ্ছিলাম। আমি এমন কোনও মিটিং খুঁজে পাইনি যা আমার পছন্দ হয়েছিল, কেবল ৫৫+ বছরের বেশি বয়সীদের হাঁটার দূরত্বে। তারা আমাকে বলেছিল যে আমার বয়সীদের সাথে আমার এমন একটি মিটিং খুঁজে বের করা উচিত। আমি আত্মহত্যা করতে শুরু করেছিলাম। গত সপ্তাহে, আমাকে ফেসবুকে কিছু ফেন্টানিল দেওয়া হয়েছিল, এবং এখন আমি আবার সেবন করছি। আমি অপরাধবোধ করছি, কিন্তু আমি আর শান্ত থাকার যন্ত্রণা সহ্য করতে পারছি না। গত রাতে আমার মা আমাকে জড়িয়ে ধরে বললেন যে তিনি আমার জন্য গর্বিত। আমি জানি আমি যেখানে শুরু করেছিলাম ঠিক সেখানেই ফিরে এসেছি, এবং আমার আরও যত্ন নেওয়া উচিত তবে মূলত, আমি স্বস্তি বোধ করি। অপরাধবোধ, লজ্জা, তবে বেশিরভাগ ক্ষেত্রেই স্বস্তি।</v>
      </c>
    </row>
    <row r="401" spans="1:3" ht="15" x14ac:dyDescent="0.25">
      <c r="A401" s="3" t="s">
        <v>402</v>
      </c>
      <c r="B401" s="3" t="s">
        <v>4</v>
      </c>
      <c r="C401" s="4" t="str">
        <f ca="1">IFERROR(__xludf.DUMMYFUNCTION("GOOGLETRANSLATE(A401, ""auto"", ""bn"")"),"আমার ফোন, কম্পিউটার এবং সঙ্গীতের কারণে আমি যে হাইপারস্টিমুলেশনের সম্মুখীন হই, তাতে আমি ভীষণভাবে আসক্ত। আমি সারাদিন ধরে গুগল, উইকিপিডিয়া এবং রেডিট ব্রাউজ করতে পারি, সকাল থেকে রাত পর্যন্ত গান শুনতে পারি, কারণ এটি আমাকে আসক্তিকর শক্তি বৃদ্ধি করে। তাছাড়া, আ"&amp;"মার ঘনত্বের ভয়াবহ সমস্যা এবং সম্ভবত ADHD সমস্যা রয়েছে, কারণ আমি ঘন্টার পর ঘন্টা আমার ঘরে ঘুরে বেড়াই, এমন কল্পনা নিয়ে ভাবি যা আমাকে সেই শক্তি দেয়। তাছাড়া, বসে বসে মনোযোগ দিতে আমার খুব কষ্ট হয়। যখনই আমি থামার চেষ্টা করি, তখন সত্যিই আমি কতটা স্বাধীন, "&amp;"আমি কতটা কাজ করতে পারি এবং আসলে আমার কাছে কতটা সময় আছে তা জানতে ভয় পাই। এটি আমাকে যেকোনো কিছু করার জন্য কম উৎসাহিত করে এবং আমার ম্যাট্রিক্সে ফিরে যেতে আগ্রহী করে তোলে।")</f>
        <v>আমার ফোন, কম্পিউটার এবং সঙ্গীতের কারণে আমি যে হাইপারস্টিমুলেশনের সম্মুখীন হই, তাতে আমি ভীষণভাবে আসক্ত। আমি সারাদিন ধরে গুগল, উইকিপিডিয়া এবং রেডিট ব্রাউজ করতে পারি, সকাল থেকে রাত পর্যন্ত গান শুনতে পারি, কারণ এটি আমাকে আসক্তিকর শক্তি বৃদ্ধি করে। তাছাড়া, আমার ঘনত্বের ভয়াবহ সমস্যা এবং সম্ভবত ADHD সমস্যা রয়েছে, কারণ আমি ঘন্টার পর ঘন্টা আমার ঘরে ঘুরে বেড়াই, এমন কল্পনা নিয়ে ভাবি যা আমাকে সেই শক্তি দেয়। তাছাড়া, বসে বসে মনোযোগ দিতে আমার খুব কষ্ট হয়। যখনই আমি থামার চেষ্টা করি, তখন সত্যিই আমি কতটা স্বাধীন, আমি কতটা কাজ করতে পারি এবং আসলে আমার কাছে কতটা সময় আছে তা জানতে ভয় পাই। এটি আমাকে যেকোনো কিছু করার জন্য কম উৎসাহিত করে এবং আমার ম্যাট্রিক্সে ফিরে যেতে আগ্রহী করে তোলে।</v>
      </c>
    </row>
    <row r="402" spans="1:3" ht="15" x14ac:dyDescent="0.25">
      <c r="A402" s="3" t="s">
        <v>403</v>
      </c>
      <c r="B402" s="3" t="s">
        <v>4</v>
      </c>
      <c r="C402" s="4" t="str">
        <f ca="1">IFERROR(__xludf.DUMMYFUNCTION("GOOGLETRANSLATE(A402, ""auto"", ""bn"")"),"আজ আমি আগে পোস্ট করেছিলাম যে আমার বাগদত্তা কীভাবে তার ক্লোনোপিন অনেক বেশি গ্রহণ করেছে এবং একটু আপডেট দিতে চেয়েছিলাম। তার মা আজ এসে আমাকে সাহায্য করতে পেরেছেন। আমাদের ২ বছরের সন্তান বাড়িতে থাকার পর থেকে তিনি তাকে আমার জন্য হাসপাতালে নিয়ে গেছেন। আমি খুব "&amp;"বেশি কিছু শুনিনি, তবে কিছু তরল পান করানো এবং পর্যবেক্ষণের পর সে অনেক ভালো হয়ে উঠছে। সে মূলত যখনই পারে তখনই বিশ্রাম নিচ্ছে, অবশ্যই ভালো বোধ করছে না। সে এখনও কিছুটা সুস্থ এবং আমি সত্যিই তার সাথে কথা বলতে পারছি না তবে তার মা এবং একজন নার্স আমাকে খবর রাখছেন।"&amp;" আমি সত্যিই আশা করছি যে সে চিকিৎসা চালিয়ে যাবে। আমি খুব নার্ভাস এবং চিন্তিত যে সে আমার উপর এত রাগ করবে কারণ সে আমাকে বারবার বলত যে তাকে হাসপাতালে নিয়ে যাওয়া আমার পক্ষে সবচেয়ে খারাপ কাজ হবে। তাহলে দেখা যাক কী হয়? আমি খুশি যে সে এখন একটি নিরাপদ, পর্যবে"&amp;"ক্ষণ পরিবেশে আছে যেখানে আমি জানি তার যত্ন নেওয়া হবে। আসক্তির সাথে লড়াই করা এমন একজনের প্রেমে পড়া খুবই কঠিন এবং ক্লান্তিকর, কিন্তু মানসিক স্বাস্থ্যের সমস্যার কারণে যখন আমি হতাশ ছিলাম তখন সে আমার উপর হাল ছেড়ে দেয়নি, তাই আমি তার উপর হাল ছেড়ে দিতে চাই ন"&amp;"া। আমি জানি সে সুস্থ হয়ে উঠবে, এবং আমি জানি যে আসক্তি কেবল কালো এবং সাদা নয়। আমার প্রথম পোস্টের শুরুতে যারা আমাকে সাহায্য করেছেন এবং আমার সাথে যোগাযোগ করেছেন তাদের প্রত্যেককে ধন্যবাদ, আমি সত্যিই আপনাদের সকলকে যথেষ্ট ধন্যবাদ জানাতে পারছি না। আপনারা সকলেই"&amp;" আপনাদের নিজস্ব অনন্য উপায়ে আমাকে সাহায্য করেছেন এবং এর জন্য আমি কৃতজ্ঞ।")</f>
        <v>আজ আমি আগে পোস্ট করেছিলাম যে আমার বাগদত্তা কীভাবে তার ক্লোনোপিন অনেক বেশি গ্রহণ করেছে এবং একটু আপডেট দিতে চেয়েছিলাম। তার মা আজ এসে আমাকে সাহায্য করতে পেরেছেন। আমাদের ২ বছরের সন্তান বাড়িতে থাকার পর থেকে তিনি তাকে আমার জন্য হাসপাতালে নিয়ে গেছেন। আমি খুব বেশি কিছু শুনিনি, তবে কিছু তরল পান করানো এবং পর্যবেক্ষণের পর সে অনেক ভালো হয়ে উঠছে। সে মূলত যখনই পারে তখনই বিশ্রাম নিচ্ছে, অবশ্যই ভালো বোধ করছে না। সে এখনও কিছুটা সুস্থ এবং আমি সত্যিই তার সাথে কথা বলতে পারছি না তবে তার মা এবং একজন নার্স আমাকে খবর রাখছেন। আমি সত্যিই আশা করছি যে সে চিকিৎসা চালিয়ে যাবে। আমি খুব নার্ভাস এবং চিন্তিত যে সে আমার উপর এত রাগ করবে কারণ সে আমাকে বারবার বলত যে তাকে হাসপাতালে নিয়ে যাওয়া আমার পক্ষে সবচেয়ে খারাপ কাজ হবে। তাহলে দেখা যাক কী হয়? আমি খুশি যে সে এখন একটি নিরাপদ, পর্যবেক্ষণ পরিবেশে আছে যেখানে আমি জানি তার যত্ন নেওয়া হবে। আসক্তির সাথে লড়াই করা এমন একজনের প্রেমে পড়া খুবই কঠিন এবং ক্লান্তিকর, কিন্তু মানসিক স্বাস্থ্যের সমস্যার কারণে যখন আমি হতাশ ছিলাম তখন সে আমার উপর হাল ছেড়ে দেয়নি, তাই আমি তার উপর হাল ছেড়ে দিতে চাই না। আমি জানি সে সুস্থ হয়ে উঠবে, এবং আমি জানি যে আসক্তি কেবল কালো এবং সাদা নয়। আমার প্রথম পোস্টের শুরুতে যারা আমাকে সাহায্য করেছেন এবং আমার সাথে যোগাযোগ করেছেন তাদের প্রত্যেককে ধন্যবাদ, আমি সত্যিই আপনাদের সকলকে যথেষ্ট ধন্যবাদ জানাতে পারছি না। আপনারা সকলেই আপনাদের নিজস্ব অনন্য উপায়ে আমাকে সাহায্য করেছেন এবং এর জন্য আমি কৃতজ্ঞ।</v>
      </c>
    </row>
    <row r="403" spans="1:3" ht="15" x14ac:dyDescent="0.25">
      <c r="A403" s="3" t="s">
        <v>404</v>
      </c>
      <c r="B403" s="3" t="s">
        <v>4</v>
      </c>
      <c r="C403" s="4" t="str">
        <f ca="1">IFERROR(__xludf.DUMMYFUNCTION("GOOGLETRANSLATE(A403, ""auto"", ""bn"")"),"আমি আবার অ্যাডেরাল-এ আসক্ত হয়ে পড়ি, আর আমি জানি এটার প্রতি আসক্ত হওয়া বোকামি, কিন্তু এটা আমার জিনিস। আমি এটা পছন্দ করি। এটা আমাকে খুব ভালো বোধ করায়। আমি এটা অল্প সময়ের জন্য করিনি কারণ আমি এই মেয়ের সাথে ডেটিং শুরু করেছি, সে অসাধারণ এবং আমি তার সাথে সত্য"&amp;"িই খুশি, তাই আমি এটা করিনি। কিন্তু এখন, আমি এখানে বসে খারাপ বোধ করছি। আমি এটা ঘৃণা করি।")</f>
        <v>আমি আবার অ্যাডেরাল-এ আসক্ত হয়ে পড়ি, আর আমি জানি এটার প্রতি আসক্ত হওয়া বোকামি, কিন্তু এটা আমার জিনিস। আমি এটা পছন্দ করি। এটা আমাকে খুব ভালো বোধ করায়। আমি এটা অল্প সময়ের জন্য করিনি কারণ আমি এই মেয়ের সাথে ডেটিং শুরু করেছি, সে অসাধারণ এবং আমি তার সাথে সত্যিই খুশি, তাই আমি এটা করিনি। কিন্তু এখন, আমি এখানে বসে খারাপ বোধ করছি। আমি এটা ঘৃণা করি।</v>
      </c>
    </row>
    <row r="404" spans="1:3" ht="15" x14ac:dyDescent="0.25">
      <c r="A404" s="3" t="s">
        <v>405</v>
      </c>
      <c r="B404" s="3" t="s">
        <v>4</v>
      </c>
      <c r="C404" s="4" t="str">
        <f ca="1">IFERROR(__xludf.DUMMYFUNCTION("GOOGLETRANSLATE(A404, ""auto"", ""bn"")"),"আমার বাড়িতে কোকেন বলে মনে হচ্ছে এমন কিছু খুঁজে পেয়েছি। আমার বাবা-মায়ের সাথে থাকি, আমি জানি যে তাদের মধ্যে কেউ এটা করছে না, তাই অন্যজনকে ছোট করে ফেলতে হবে। আমি কিছু ব্যাগ এবং অর্ধেক কাটা একটি স্ট্র পেয়েছি। আমি জানি না এখান থেকে কোথায় যাব। তাছাড়া, আমি"&amp;" নিশ্চিত যে তাদের স্বামী জানে না, এবং আমিই একমাত্র। আমার কি তাদের সাথে এই বিষয়ে আলতো করে কথা বলা উচিত? আমি কেবল আটকে আছি এবং সত্যিই জানি না কী করব। আপনার পরামর্শের প্রশংসা করা হবে।")</f>
        <v>আমার বাড়িতে কোকেন বলে মনে হচ্ছে এমন কিছু খুঁজে পেয়েছি। আমার বাবা-মায়ের সাথে থাকি, আমি জানি যে তাদের মধ্যে কেউ এটা করছে না, তাই অন্যজনকে ছোট করে ফেলতে হবে। আমি কিছু ব্যাগ এবং অর্ধেক কাটা একটি স্ট্র পেয়েছি। আমি জানি না এখান থেকে কোথায় যাব। তাছাড়া, আমি নিশ্চিত যে তাদের স্বামী জানে না, এবং আমিই একমাত্র। আমার কি তাদের সাথে এই বিষয়ে আলতো করে কথা বলা উচিত? আমি কেবল আটকে আছি এবং সত্যিই জানি না কী করব। আপনার পরামর্শের প্রশংসা করা হবে।</v>
      </c>
    </row>
    <row r="405" spans="1:3" ht="15" x14ac:dyDescent="0.25">
      <c r="A405" s="3" t="s">
        <v>406</v>
      </c>
      <c r="B405" s="3" t="s">
        <v>4</v>
      </c>
      <c r="C405" s="4" t="str">
        <f ca="1">IFERROR(__xludf.DUMMYFUNCTION("GOOGLETRANSLATE(A405, ""auto"", ""bn"")"),"সম্প্রতি জানতে পারলাম আমার বয়ফ্রেন্ড একজন মাদকাসক্ত এবং আমি কী করব বা কীভাবে আচরণ করব তা জানি না। সে আর আমার সাথে খুব একটা কথা বলে না। একে অপরের সাথে দেখা করতে পারে না। সাহায্য গ্রহণ করবে না। ভাড়াটে। আমি দূর থেকে তাকে দেখতে দেখতে ভেতরে ভেতরে মরে যাচ্ছি।"&amp;" সে নিজেকে ভয়ঙ্কর মানুষদের সাথে ঘিরে রেখেছে, আমি প্রতি রাতে কাঁদি। এটা কি কখনও ভালো হবে? আমি কি বোকা যে আমি চারপাশে থাকতে চাই?")</f>
        <v>সম্প্রতি জানতে পারলাম আমার বয়ফ্রেন্ড একজন মাদকাসক্ত এবং আমি কী করব বা কীভাবে আচরণ করব তা জানি না। সে আর আমার সাথে খুব একটা কথা বলে না। একে অপরের সাথে দেখা করতে পারে না। সাহায্য গ্রহণ করবে না। ভাড়াটে। আমি দূর থেকে তাকে দেখতে দেখতে ভেতরে ভেতরে মরে যাচ্ছি। সে নিজেকে ভয়ঙ্কর মানুষদের সাথে ঘিরে রেখেছে, আমি প্রতি রাতে কাঁদি। এটা কি কখনও ভালো হবে? আমি কি বোকা যে আমি চারপাশে থাকতে চাই?</v>
      </c>
    </row>
    <row r="406" spans="1:3" ht="15" x14ac:dyDescent="0.25">
      <c r="A406" s="3" t="s">
        <v>407</v>
      </c>
      <c r="B406" s="3" t="s">
        <v>4</v>
      </c>
      <c r="C406" s="4" t="str">
        <f ca="1">IFERROR(__xludf.DUMMYFUNCTION("GOOGLETRANSLATE(A406, ""auto"", ""bn"")"),"এটা স্বীকার করা আমার জন্য খুবই কঠিন, কিন্তু আমার পর্ন আসক্তি আছে এবং আমার সত্যিই সাহায্যের প্রয়োজন, আমি নিজের কাজের জন্য অপরাধী এবং বিরক্ত বোধ করি! আমার বয়স মাত্র ১৭ এবং এটি ইতিমধ্যেই আমার জীবন এবং আমার চিন্তাভাবনাকে প্রভাবিত করেছে। আমি জানি অনলাইনে সাহ"&amp;"ায্য খোঁজা বোকামি কারণ আমি IRL স্বীকার করতে ভয় পাই, আমি কারো সাথে এটি সম্পর্কে কথা বলতে পারি না IRL কারণ আমি ভয় পাই যে লোকেরা আমাকে কী ভাবছে, আমি কী ভাবি এবং অনুভব করি তা নিয়ন্ত্রণ করতে পারি না, আমার সত্যিই সাহায্যের প্রয়োজন...! এটি আমার পড়াশোনার উপর"&amp;"ও প্রভাব ফেলছে... আমি এই অ্যাকাউন্টটি মুছে ফেলতে পারি কারণ আমি আমার ভিতরে যে অপরাধবোধ অনুভব করি তা প্রকাশ করে, আমি আমার সেরাটা চেষ্টা করছি... আমার মেয়েদের সম্মান করা উচিত এবং আমার দিকে সেভাবে তাকানো উচিত নয়... আমি একজন ভয়ানক মানুষ, এবং এর জন্য আমি দুঃখ"&amp;"িত, পড়ার জন্য ধন্যবাদ, আমি এত বোকা যে এই সব টাইপ করছি।")</f>
        <v>এটা স্বীকার করা আমার জন্য খুবই কঠিন, কিন্তু আমার পর্ন আসক্তি আছে এবং আমার সত্যিই সাহায্যের প্রয়োজন, আমি নিজের কাজের জন্য অপরাধী এবং বিরক্ত বোধ করি! আমার বয়স মাত্র ১৭ এবং এটি ইতিমধ্যেই আমার জীবন এবং আমার চিন্তাভাবনাকে প্রভাবিত করেছে। আমি জানি অনলাইনে সাহায্য খোঁজা বোকামি কারণ আমি IRL স্বীকার করতে ভয় পাই, আমি কারো সাথে এটি সম্পর্কে কথা বলতে পারি না IRL কারণ আমি ভয় পাই যে লোকেরা আমাকে কী ভাবছে, আমি কী ভাবি এবং অনুভব করি তা নিয়ন্ত্রণ করতে পারি না, আমার সত্যিই সাহায্যের প্রয়োজন...! এটি আমার পড়াশোনার উপরও প্রভাব ফেলছে... আমি এই অ্যাকাউন্টটি মুছে ফেলতে পারি কারণ আমি আমার ভিতরে যে অপরাধবোধ অনুভব করি তা প্রকাশ করে, আমি আমার সেরাটা চেষ্টা করছি... আমার মেয়েদের সম্মান করা উচিত এবং আমার দিকে সেভাবে তাকানো উচিত নয়... আমি একজন ভয়ানক মানুষ, এবং এর জন্য আমি দুঃখিত, পড়ার জন্য ধন্যবাদ, আমি এত বোকা যে এই সব টাইপ করছি।</v>
      </c>
    </row>
    <row r="407" spans="1:3" ht="15" x14ac:dyDescent="0.25">
      <c r="A407" s="3" t="s">
        <v>408</v>
      </c>
      <c r="B407" s="3" t="s">
        <v>4</v>
      </c>
      <c r="C407" s="4" t="str">
        <f ca="1">IFERROR(__xludf.DUMMYFUNCTION("GOOGLETRANSLATE(A407, ""auto"", ""bn"")"),"আমি আমার বন্ধুকে নিয়ে খুব চিন্তিত। তাকে সারা বলে ডাকি। সে সবসময় ধূমপান করে এবং মানসিক চাপের সাথে লড়াই করার জন্য তার আরও অনেক আসক্তির প্রবণতা রয়েছে। গত বছর সে কোকেন এবং অ্যালকোহলের সংমিশ্রণ আবিষ্কার করেছে। আমি সবসময় এটি ঘৃণা করি কিন্তু আমি কখনও মন্তব্য"&amp;" করিনি কারণ আমি জানি না যে কীভাবে তাকে আরও দূরে ঠেলে না দিয়ে এটির সাথে মোকাবিলা করা যায়। সম্প্রতি কোকেন তাকে এমন পরিস্থিতিতে ফেলেছে যেখানে আমি বেশ অসম্মানিত বোধ করি। সারা মনে করে না যে তার কোনও আসক্তি থাকতে পারে, এবং সে এটিকে ""অভ্যাস"" বলে। যতদূর জানি "&amp;"সে কেবল মাতাল অবস্থায় এটি করে, কিন্তু তার এমন একটি রাত ছিল যেখানে সে অতিরিক্ত কাজ করার কারণে প্রায় আত্মহত্যা করেছিল। সে আর কখনও এটি না করার শপথ করেছিল, কিন্তু তারপর গত সপ্তাহে তাকে একটি ক্লাবে এটির প্রস্তাব দেওয়া হয়েছিল এবং ""আমার সামনে এটি থাকলে সে ন"&amp;"া বলতে পারে না?""। সে সেই সময় স্বীকারও করেছিল যে তার মনে হয়েছিল যে এটি তার প্রয়োজন। আমি নিশ্চিত নই যে এটি আসক্তি হিসাবে শ্রেণীবদ্ধ কিনা কারণ সে যখন শান্ত থাকে তখন সে এটি করে না? আমি কেবল জানি না কী করতে হবে")</f>
        <v>আমি আমার বন্ধুকে নিয়ে খুব চিন্তিত। তাকে সারা বলে ডাকি। সে সবসময় ধূমপান করে এবং মানসিক চাপের সাথে লড়াই করার জন্য তার আরও অনেক আসক্তির প্রবণতা রয়েছে। গত বছর সে কোকেন এবং অ্যালকোহলের সংমিশ্রণ আবিষ্কার করেছে। আমি সবসময় এটি ঘৃণা করি কিন্তু আমি কখনও মন্তব্য করিনি কারণ আমি জানি না যে কীভাবে তাকে আরও দূরে ঠেলে না দিয়ে এটির সাথে মোকাবিলা করা যায়। সম্প্রতি কোকেন তাকে এমন পরিস্থিতিতে ফেলেছে যেখানে আমি বেশ অসম্মানিত বোধ করি। সারা মনে করে না যে তার কোনও আসক্তি থাকতে পারে, এবং সে এটিকে "অভ্যাস" বলে। যতদূর জানি সে কেবল মাতাল অবস্থায় এটি করে, কিন্তু তার এমন একটি রাত ছিল যেখানে সে অতিরিক্ত কাজ করার কারণে প্রায় আত্মহত্যা করেছিল। সে আর কখনও এটি না করার শপথ করেছিল, কিন্তু তারপর গত সপ্তাহে তাকে একটি ক্লাবে এটির প্রস্তাব দেওয়া হয়েছিল এবং "আমার সামনে এটি থাকলে সে না বলতে পারে না?"। সে সেই সময় স্বীকারও করেছিল যে তার মনে হয়েছিল যে এটি তার প্রয়োজন। আমি নিশ্চিত নই যে এটি আসক্তি হিসাবে শ্রেণীবদ্ধ কিনা কারণ সে যখন শান্ত থাকে তখন সে এটি করে না? আমি কেবল জানি না কী করতে হবে</v>
      </c>
    </row>
    <row r="408" spans="1:3" ht="15" x14ac:dyDescent="0.25">
      <c r="A408" s="3" t="s">
        <v>409</v>
      </c>
      <c r="B408" s="3" t="s">
        <v>4</v>
      </c>
      <c r="C408" s="4" t="str">
        <f ca="1">IFERROR(__xludf.DUMMYFUNCTION("GOOGLETRANSLATE(A408, ""auto"", ""bn"")"),"আমার মেরুদণ্ডের সংক্রমণের কারণে আমি বর্তমানে হাসপাতালে আছি। যখন আমাকে একটি সেকেন্ডারি হাসপাতালে নিয়ে যাওয়া হচ্ছিল, তখন ব্যথা কমানোর জন্য আমাকে ফেন্টানিলের একটি ডোজ দেওয়া হয়েছিল। আমি আগেও মাদকাসক্তির সাথে লড়াই করেছি এবং প্রায় এক বছর ধরে সুস্থ ছিলাম, "&amp;"কিন্তু যে মুহূর্তে ফেন্টানিল আমার জীবনে সবচেয়ে ভালো অনুভূতি অনুভব করেছে। মনে হচ্ছিল যেন ঈশ্বর আমাকে জড়িয়ে ধরছেন, আমি এই মুহূর্তে একজন অত্যন্ত অসুস্থ ব্যক্তি যেখানে আমি কোনও ব্যথা বা দুঃখ অনুভব করছি না, কেবল উষ্ণতা এবং শান্তি এমন একটি অনুভূতি যা এড়াতে "&amp;"পারি না। আমি এর বিপদ সম্পর্কে কথা বলা জিনিসগুলি দেখার এবং শোনার চেষ্টা করেছি, কিন্তু আমার মস্তিষ্ক এটি সম্পর্কে চিন্তা করা বন্ধ করতে পারছি না এবং কীভাবে কিছুতে হাত দেব। আমার মস্তিষ্ক এমন কিছু পরিকল্পনা করছে যা আমি জানি আমাকে ধ্বংস করবে এবং আমি জানি না কিভ"&amp;"াবে নিজেকে বাঁচাবো। আমি কেবল একটি শিশু এবং ভয় পাচ্ছি যে যদি আমি এই তাগিদকে অস্বীকার করতে না পারি তবে আমার জীবন কী পরিণতি পেতে পারে।")</f>
        <v>আমার মেরুদণ্ডের সংক্রমণের কারণে আমি বর্তমানে হাসপাতালে আছি। যখন আমাকে একটি সেকেন্ডারি হাসপাতালে নিয়ে যাওয়া হচ্ছিল, তখন ব্যথা কমানোর জন্য আমাকে ফেন্টানিলের একটি ডোজ দেওয়া হয়েছিল। আমি আগেও মাদকাসক্তির সাথে লড়াই করেছি এবং প্রায় এক বছর ধরে সুস্থ ছিলাম, কিন্তু যে মুহূর্তে ফেন্টানিল আমার জীবনে সবচেয়ে ভালো অনুভূতি অনুভব করেছে। মনে হচ্ছিল যেন ঈশ্বর আমাকে জড়িয়ে ধরছেন, আমি এই মুহূর্তে একজন অত্যন্ত অসুস্থ ব্যক্তি যেখানে আমি কোনও ব্যথা বা দুঃখ অনুভব করছি না, কেবল উষ্ণতা এবং শান্তি এমন একটি অনুভূতি যা এড়াতে পারি না। আমি এর বিপদ সম্পর্কে কথা বলা জিনিসগুলি দেখার এবং শোনার চেষ্টা করেছি, কিন্তু আমার মস্তিষ্ক এটি সম্পর্কে চিন্তা করা বন্ধ করতে পারছি না এবং কীভাবে কিছুতে হাত দেব। আমার মস্তিষ্ক এমন কিছু পরিকল্পনা করছে যা আমি জানি আমাকে ধ্বংস করবে এবং আমি জানি না কিভাবে নিজেকে বাঁচাবো। আমি কেবল একটি শিশু এবং ভয় পাচ্ছি যে যদি আমি এই তাগিদকে অস্বীকার করতে না পারি তবে আমার জীবন কী পরিণতি পেতে পারে।</v>
      </c>
    </row>
    <row r="409" spans="1:3" ht="15" x14ac:dyDescent="0.25">
      <c r="A409" s="3" t="s">
        <v>410</v>
      </c>
      <c r="B409" s="3" t="s">
        <v>4</v>
      </c>
      <c r="C409" s="4" t="str">
        <f ca="1">IFERROR(__xludf.DUMMYFUNCTION("GOOGLETRANSLATE(A409, ""auto"", ""bn"")"),"তুমি যা চাও, আমার কাছে তেমন কিছু নেই। শুধু ভালোবাসো। কিন্তু আমি তোমার কাছে কখনোই টিনের কাজ করা ওষুধের চেয়ে বেশি মূল্যবান হব না। আর যখন তুমি আমার কাছে সাহায্য চাইবে, কারণ তুমি সুস্থ হতে চাও? আমি তোমাকে সাহায্য করার জন্য যথাসাধ্য চেষ্টা করি। কারণ আমি তোমাক"&amp;"ে ভালোবাসি। আর তোমার সংগ্রাম দেখতে আমার ঘৃণা হয়। কিন্তু নিষ্ঠুর বিড়ম্বনা হলো এটা তোমাকে আবার সুস্থ করে তোলে না। এটা তোমাকে কেবল অসুস্থ করে তোলে। আর যত বেশি আমি তোমাকে সুস্থ হতে সাহায্য করি, তত বেশি আমি তোমাকে মরতে সাহায্য করি। আর যখন আমি তোমাকে বলি যে আ"&amp;"মি তোমাকে ভালোবাসতে চাই। তুমি আমাকে দোষারোপ করো কেন আমরা একে অপরকে ভালোবাসতে পারি না। কিন্তু তুমি আসলে বলতে চাও যে তুমি আমাকে ভালোবাসতে পারো না? কারণ যতক্ষণ তুমি ফয়েলের উপাসনা করো, তুমি কখনোই সেই ভালোবাসা অন্যকে দিতে পারবে না। যত বেশি তুমি চাও। তুমি আমাক"&amp;"ে যত বেশি ভালোবাসো, তোমার উচ্চাকাঙ্ক্ষা তত বেশি। আর যখন তুমি বলো যে আমরা কাজ করব না তার কারণ আমার কারণে। তুমি শুধু আমাকে আঘাত করতে ভয় পাও। আর তুমি প্রক্ষেপ করছো। কারণ তুমি জানো আমার সাথে থাকা মানে শান্ত থাকা।")</f>
        <v>তুমি যা চাও, আমার কাছে তেমন কিছু নেই। শুধু ভালোবাসো। কিন্তু আমি তোমার কাছে কখনোই টিনের কাজ করা ওষুধের চেয়ে বেশি মূল্যবান হব না। আর যখন তুমি আমার কাছে সাহায্য চাইবে, কারণ তুমি সুস্থ হতে চাও? আমি তোমাকে সাহায্য করার জন্য যথাসাধ্য চেষ্টা করি। কারণ আমি তোমাকে ভালোবাসি। আর তোমার সংগ্রাম দেখতে আমার ঘৃণা হয়। কিন্তু নিষ্ঠুর বিড়ম্বনা হলো এটা তোমাকে আবার সুস্থ করে তোলে না। এটা তোমাকে কেবল অসুস্থ করে তোলে। আর যত বেশি আমি তোমাকে সুস্থ হতে সাহায্য করি, তত বেশি আমি তোমাকে মরতে সাহায্য করি। আর যখন আমি তোমাকে বলি যে আমি তোমাকে ভালোবাসতে চাই। তুমি আমাকে দোষারোপ করো কেন আমরা একে অপরকে ভালোবাসতে পারি না। কিন্তু তুমি আসলে বলতে চাও যে তুমি আমাকে ভালোবাসতে পারো না? কারণ যতক্ষণ তুমি ফয়েলের উপাসনা করো, তুমি কখনোই সেই ভালোবাসা অন্যকে দিতে পারবে না। যত বেশি তুমি চাও। তুমি আমাকে যত বেশি ভালোবাসো, তোমার উচ্চাকাঙ্ক্ষা তত বেশি। আর যখন তুমি বলো যে আমরা কাজ করব না তার কারণ আমার কারণে। তুমি শুধু আমাকে আঘাত করতে ভয় পাও। আর তুমি প্রক্ষেপ করছো। কারণ তুমি জানো আমার সাথে থাকা মানে শান্ত থাকা।</v>
      </c>
    </row>
    <row r="410" spans="1:3" ht="15" x14ac:dyDescent="0.25">
      <c r="A410" s="3" t="s">
        <v>411</v>
      </c>
      <c r="B410" s="3" t="s">
        <v>4</v>
      </c>
      <c r="C410" s="4" t="str">
        <f ca="1">IFERROR(__xludf.DUMMYFUNCTION("GOOGLETRANSLATE(A410, ""auto"", ""bn"")"),"আমি ২০১১ সাল থেকে পর্ন দেখছি, এবং সম্প্রতি আমার মনে হয় এটা আমাকে এমনভাবে আকৃষ্ট করেছে যা আমি কল্পনাও করতে পারিনি। আমি আর স্বাভাবিকভাবে উত্তেজিত বা ""উত্তেজিত"" হই না? বরং, আমার সবসময়ই ভালো বোধ করার জন্য হস্তমৈথুন করার এই অসুস্থ, বাধ্যতামূলক তাড়না থাকে।"&amp;" কিন্তু এর সাথে কোনও প্রকৃত আনন্দের সম্পর্ক নেই। এটি আর মোটেও আনন্দদায়ক নয়, এটি কেবল একটি অদ্ভুত জিনিসের মতো মনে হয় যা আমাকে করতে হবে। স্বাভাবিকভাবেই এটি আমাকে আরও বেশি হতাশাগ্রস্ত এবং আত্মহত্যাপ্রবণ করে তুলেছে। একই সমস্যায় আক্রান্ত কাউকে খুঁজে পাইনি।"&amp;" আমি ২৪/৭ এতটাই বেদনাদায়ক এবং অদ্ভুত বোধ করি, যেন আমার নিয়মিত আনন্দ এবং যৌনতা এই অত্যন্ত তীব্র, অসুস্থ তাড়না দ্বারা প্রতিস্থাপিত হয়েছে। আত্মহত্যার কথা ভাবছি। আমি কিছুই বুঝতে পারছি না।")</f>
        <v>আমি ২০১১ সাল থেকে পর্ন দেখছি, এবং সম্প্রতি আমার মনে হয় এটা আমাকে এমনভাবে আকৃষ্ট করেছে যা আমি কল্পনাও করতে পারিনি। আমি আর স্বাভাবিকভাবে উত্তেজিত বা "উত্তেজিত" হই না? বরং, আমার সবসময়ই ভালো বোধ করার জন্য হস্তমৈথুন করার এই অসুস্থ, বাধ্যতামূলক তাড়না থাকে। কিন্তু এর সাথে কোনও প্রকৃত আনন্দের সম্পর্ক নেই। এটি আর মোটেও আনন্দদায়ক নয়, এটি কেবল একটি অদ্ভুত জিনিসের মতো মনে হয় যা আমাকে করতে হবে। স্বাভাবিকভাবেই এটি আমাকে আরও বেশি হতাশাগ্রস্ত এবং আত্মহত্যাপ্রবণ করে তুলেছে। একই সমস্যায় আক্রান্ত কাউকে খুঁজে পাইনি। আমি ২৪/৭ এতটাই বেদনাদায়ক এবং অদ্ভুত বোধ করি, যেন আমার নিয়মিত আনন্দ এবং যৌনতা এই অত্যন্ত তীব্র, অসুস্থ তাড়না দ্বারা প্রতিস্থাপিত হয়েছে। আত্মহত্যার কথা ভাবছি। আমি কিছুই বুঝতে পারছি না।</v>
      </c>
    </row>
    <row r="411" spans="1:3" ht="15" x14ac:dyDescent="0.25">
      <c r="A411" s="3" t="s">
        <v>412</v>
      </c>
      <c r="B411" s="3" t="s">
        <v>4</v>
      </c>
      <c r="C411" s="4" t="str">
        <f ca="1">IFERROR(__xludf.DUMMYFUNCTION("GOOGLETRANSLATE(A411, ""auto"", ""bn"")"),"ঠিক আছে, এটা আমার ব্যক্তিগত মতামত, তাই আমি শুধু এটাই বলব, আমার মনে হয় আইভারমেকটিন হর্স পেস্টের বাজে কথা বিপজ্জনক এবং বাজে কথা। আমার মা একজন নার্স, আমার সবচেয়ে ভালো বন্ধু একজন নার্স, এবং আমার আরেক ঘনিষ্ঠ বন্ধু একজন পিএইচডি বিজ্ঞানী, এবং তারা সকলেই একমত য"&amp;"ে এটি খারাপ, তাই আমি তাদের উপর বিশ্বাস করি। কিন্তু, আমি কেন বুঝতে পারি যে হাস্যকর বাজে কথা শরীরের জন্য খারাপ, কিন্তু মেথামফেটামিন ভিন্ন। আসলে তা নয়। আমি এমন কোনও চিকিৎসা পেশাদারের কথা ভাবতে পারি না যিনি কখনও একজন রোগীকে মেথ ব্যবহারের পরামর্শ দেবেন যেমনটি"&amp;" আমি, এবং আমি নিশ্চিত যে আপনারা যারা এটি পড়ছেন তাদের বেশিরভাগই অতীতে এটি ব্যবহার করবেন বা ব্যবহার করেছেন। আসক্তি বুদ্ধিমত্তা বা শিক্ষার অভাব বা অন্য কিছুর কারণে সৃষ্ট কোনও রোগ নয়, এটি তার থেকে আলাদা। দেখুন আমি অবশ্যই একজন বিজ্ঞানী বা চিকিৎসা পেশাদার নই।"&amp;" তবে আমার মনে হয় আমি এখানে কিছু একটার উপর নির্ভরশীল!")</f>
        <v>ঠিক আছে, এটা আমার ব্যক্তিগত মতামত, তাই আমি শুধু এটাই বলব, আমার মনে হয় আইভারমেকটিন হর্স পেস্টের বাজে কথা বিপজ্জনক এবং বাজে কথা। আমার মা একজন নার্স, আমার সবচেয়ে ভালো বন্ধু একজন নার্স, এবং আমার আরেক ঘনিষ্ঠ বন্ধু একজন পিএইচডি বিজ্ঞানী, এবং তারা সকলেই একমত যে এটি খারাপ, তাই আমি তাদের উপর বিশ্বাস করি। কিন্তু, আমি কেন বুঝতে পারি যে হাস্যকর বাজে কথা শরীরের জন্য খারাপ, কিন্তু মেথামফেটামিন ভিন্ন। আসলে তা নয়। আমি এমন কোনও চিকিৎসা পেশাদারের কথা ভাবতে পারি না যিনি কখনও একজন রোগীকে মেথ ব্যবহারের পরামর্শ দেবেন যেমনটি আমি, এবং আমি নিশ্চিত যে আপনারা যারা এটি পড়ছেন তাদের বেশিরভাগই অতীতে এটি ব্যবহার করবেন বা ব্যবহার করেছেন। আসক্তি বুদ্ধিমত্তা বা শিক্ষার অভাব বা অন্য কিছুর কারণে সৃষ্ট কোনও রোগ নয়, এটি তার থেকে আলাদা। দেখুন আমি অবশ্যই একজন বিজ্ঞানী বা চিকিৎসা পেশাদার নই। তবে আমার মনে হয় আমি এখানে কিছু একটার উপর নির্ভরশীল!</v>
      </c>
    </row>
    <row r="412" spans="1:3" ht="15" x14ac:dyDescent="0.25">
      <c r="A412" s="3" t="s">
        <v>413</v>
      </c>
      <c r="B412" s="3" t="s">
        <v>4</v>
      </c>
      <c r="C412" s="4" t="str">
        <f ca="1">IFERROR(__xludf.DUMMYFUNCTION("GOOGLETRANSLATE(A412, ""auto"", ""bn"")"),"আমার একজন পরিচিত ব্যক্তি সম্প্রতি বাক্যে শব্দের ক্রম মিশ্রিত করা শুরু করেছেন, অথবা এমন শব্দ যোগ করেছেন যা খাপ খায় না। আমি বেশিরভাগ বিনোদনমূলক ওষুধ জানি, যদিও ফার্মা সম্পর্কে কম। আর আমি একটু চিন্তিত। তাই, প্রিয় আসক্ত মৌমাছির মন, তুমি যা জানো তা আমাকে বলো।")</f>
        <v>আমার একজন পরিচিত ব্যক্তি সম্প্রতি বাক্যে শব্দের ক্রম মিশ্রিত করা শুরু করেছেন, অথবা এমন শব্দ যোগ করেছেন যা খাপ খায় না। আমি বেশিরভাগ বিনোদনমূলক ওষুধ জানি, যদিও ফার্মা সম্পর্কে কম। আর আমি একটু চিন্তিত। তাই, প্রিয় আসক্ত মৌমাছির মন, তুমি যা জানো তা আমাকে বলো।</v>
      </c>
    </row>
    <row r="413" spans="1:3" ht="15" x14ac:dyDescent="0.25">
      <c r="A413" s="3" t="s">
        <v>414</v>
      </c>
      <c r="B413" s="3" t="s">
        <v>4</v>
      </c>
      <c r="C413" s="4" t="str">
        <f ca="1">IFERROR(__xludf.DUMMYFUNCTION("GOOGLETRANSLATE(A413, ""auto"", ""bn"")"),"আমার বাগদত্তা গতকাল সারাদিনে অনেক বেশি ক্লোনোপিন খেয়েছে এবং গত রাতে সে এতটাই বেশি মাত্রায় ছিল যে সে ভোর ৩টায় আমাদের বাড়ি থেকে বেরিয়ে যেতে চাইছিল। তার কথা বলার ক্ষমতা খুব খারাপ, ধীরে ধীরে ভালো হচ্ছে কিন্তু তবুও গালিগালাজ করছে। সে সব জায়গায় হোঁচট খাচ্ছে, স"&amp;"ে স্নান করেছে এবং দুবার পড়ে গেছে। গত রাতে সে আমার প্রতি আক্রমণাত্মক ছিল কারণ আমি তাকে সোফায় শুইয়ে দিতে চাইছিলাম, এবং সে আমার উপর এতটাই রেগে গিয়েছিল যে আমি তাকে দরজা খুলতে দিইনি কারণ সে ভেবেছিল তার বাবা আমাদের বাড়িতে আছেন, ভোর ৪টায়! তাছাড়া, সে গত রাতে নিজ"&amp;"ের উপরও প্রস্রাব করেছে, সে এলোমেলো বাজে কথা বলছে যার কোনও মানে হয় না। আমি ৯১১ নম্বরে ফোন করতে খুব ভয় পাচ্ছি কারণ আমি জানি তার মেজাজ এখনই খারাপ, সে পেশাদারদের সাথে ঝগড়া করবে। সে এখনই কাজের জন্য প্রস্তুত হওয়ার চেষ্টা করছে এবং আমি তাকে বাড়িতে রাখার জন্য য"&amp;"থাসাধ্য চেষ্টা করছি কারণ আমি চাই না যে সে কোনও দুর্ঘটনার শিকার হোক। আমি জানি না কী করব। (এটা প্রথমবার নয়)। দয়া করে, কোন পরামর্শ, কিছু?")</f>
        <v>আমার বাগদত্তা গতকাল সারাদিনে অনেক বেশি ক্লোনোপিন খেয়েছে এবং গত রাতে সে এতটাই বেশি মাত্রায় ছিল যে সে ভোর ৩টায় আমাদের বাড়ি থেকে বেরিয়ে যেতে চাইছিল। তার কথা বলার ক্ষমতা খুব খারাপ, ধীরে ধীরে ভালো হচ্ছে কিন্তু তবুও গালিগালাজ করছে। সে সব জায়গায় হোঁচট খাচ্ছে, সে স্নান করেছে এবং দুবার পড়ে গেছে। গত রাতে সে আমার প্রতি আক্রমণাত্মক ছিল কারণ আমি তাকে সোফায় শুইয়ে দিতে চাইছিলাম, এবং সে আমার উপর এতটাই রেগে গিয়েছিল যে আমি তাকে দরজা খুলতে দিইনি কারণ সে ভেবেছিল তার বাবা আমাদের বাড়িতে আছেন, ভোর ৪টায়! তাছাড়া, সে গত রাতে নিজের উপরও প্রস্রাব করেছে, সে এলোমেলো বাজে কথা বলছে যার কোনও মানে হয় না। আমি ৯১১ নম্বরে ফোন করতে খুব ভয় পাচ্ছি কারণ আমি জানি তার মেজাজ এখনই খারাপ, সে পেশাদারদের সাথে ঝগড়া করবে। সে এখনই কাজের জন্য প্রস্তুত হওয়ার চেষ্টা করছে এবং আমি তাকে বাড়িতে রাখার জন্য যথাসাধ্য চেষ্টা করছি কারণ আমি চাই না যে সে কোনও দুর্ঘটনার শিকার হোক। আমি জানি না কী করব। (এটা প্রথমবার নয়)। দয়া করে, কোন পরামর্শ, কিছু?</v>
      </c>
    </row>
    <row r="414" spans="1:3" ht="15" x14ac:dyDescent="0.25">
      <c r="A414" s="3" t="s">
        <v>415</v>
      </c>
      <c r="B414" s="3" t="s">
        <v>4</v>
      </c>
      <c r="C414" s="4" t="str">
        <f ca="1">IFERROR(__xludf.DUMMYFUNCTION("GOOGLETRANSLATE(A414, ""auto"", ""bn"")"),"প্রায় দুই মাস আগে আমি জুয়ার খেলায় খুব দ্রুত নেমে পড়ি। মাঝেমধ্যেই ফুটবল বাজি খেলতে আমার ভালো লাগে। কিন্তু ২০২১ সালের অক্টোবরে নেদারল্যান্ডসে অনলাইন জুয়া বৈধ হয়ে যায়। স্পষ্ট করে বলতে গেলে, আমি আগে কখনও আসল ক্যাসিনোতে যাইনি। কিন্তু অনলাইন ক্যাসিনোগুলো আমার জ"&amp;"ন্য ম্যান কেভ চেয়ারে বসে জুয়া খেলা সহজ করে তুলেছে। ফ্রি অনলাইন গেমে আমি সবসময় ব্ল্যাকজ্যাক পছন্দ করতাম। তাই আমি এটাই স্থির করেছিলাম। আমি ছোট (৩০ ইউরো) শুরু করেছিলাম। শুরুটা বেশ ভালো ছিল এবং তারপর ভাবলাম: 'যদি আমি ৩০ ইউরোকে ৯০ ইউরোতে পরিণত করতে পারি, তাহলে"&amp;" ১০০ ইউরোকে ৩০০ এ পরিণত করতে পারব'। আচ্ছা বন্ধুরা, দেখা যাচ্ছে আমি ভুল ছিলাম। মোট কথা, আমি ৩ সপ্তাহের মধ্যে ১৫০০ থেকে ২০০০ ইউরো নষ্ট করেছি। একটা নির্দিষ্ট সময়ে এটা আমার মনকে পুরোপুরি দখল করে নিয়েছে। বিশেষ করে যখন ব্যক্তিগত জীবন বা কর্মজীবনের ঝামেলা খারাপ "&amp;"হয়, তখন আমার জুয়া খেলার ইচ্ছা জাগে। এটা ছিল আমার অনুভূতিকে এড়িয়ে যাওয়ার একটা উপায়। দেখা যাচ্ছে এটা আমার আরও খারাপ বোধ করারও একটা উপায় ছিল। আমার মন সবসময় ২১ নম্বরটা নিয়েই ব্যস্ত থাকত। দিনের বেলায় যখন ধীর গতির ছিল তখনও আমি কর্মক্ষেত্রে জুয়া খেলতাম। আমার মেজ"&amp;"াজ পুরোপুরি জেতা বা হারানোর উপর নির্ভরশীল ছিল। এখন যদি আমি পিছনে ফিরে তাকাই, তাহলে বুঝতে পারব এটা কতটা ভয়াবহ ছিল। আমার মনে আছে আমি সম্পূর্ণ বিষণ্ণ বোধ করছিলাম। এক সময় আমি ভেবেছিলাম: 'যথেষ্ট হয়েছে' এবং জানতে পারলাম যে আমাদের জাতীয় জুয়া কমিশনের মাধ্যমে আমি "&amp;"নিজেকে বাদ দিতে পারি। এটি সত্যিই আমার জন্য সবকিছু ধ্বংস করে দিয়েছে। জুয়া খেলার আর কোনও উপায় নেই (কিছুটা অবৈধ জিনিস ছাড়া)। আজ কর্মক্ষেত্রে আমার দিনটা খারাপ কেটেছে এবং আমি একজোড়া রাণীর জন্য আকুল ছিলাম। কিন্তু কঠিন দিনের মুখোমুখি হওয়ার এটাই উপায় নয়। এর মধ্য"&amp;" দিয়ে কাজ করো এবং জিনিসপত্র এড়িয়ে যেও না। সত্যিই পরীক্ষা করে দেখো তুমি নিজেকে ক্যাসিনো/অনলাইন ক্যাসিনো থেকে নিষিদ্ধ করতে পারো কিনা। এটা একটা বড় পদক্ষেপ, কিন্তু ঠান্ডা মাথায় থাকাই হলো উপায়। তোমার পছন্দের অন্য কিছু খুঁজে বের করো, বাদ্যযন্ত্র বাজাতে শিখো, ব"&amp;"্যায়ামে যোগ দাও, নাটকের দলে যোগ দাও। আসলেই কিছু, কিন্তু আমার মতো ডোপামিন জম্বি হও না।")</f>
        <v>প্রায় দুই মাস আগে আমি জুয়ার খেলায় খুব দ্রুত নেমে পড়ি। মাঝেমধ্যেই ফুটবল বাজি খেলতে আমার ভালো লাগে। কিন্তু ২০২১ সালের অক্টোবরে নেদারল্যান্ডসে অনলাইন জুয়া বৈধ হয়ে যায়। স্পষ্ট করে বলতে গেলে, আমি আগে কখনও আসল ক্যাসিনোতে যাইনি। কিন্তু অনলাইন ক্যাসিনোগুলো আমার জন্য ম্যান কেভ চেয়ারে বসে জুয়া খেলা সহজ করে তুলেছে। ফ্রি অনলাইন গেমে আমি সবসময় ব্ল্যাকজ্যাক পছন্দ করতাম। তাই আমি এটাই স্থির করেছিলাম। আমি ছোট (৩০ ইউরো) শুরু করেছিলাম। শুরুটা বেশ ভালো ছিল এবং তারপর ভাবলাম: 'যদি আমি ৩০ ইউরোকে ৯০ ইউরোতে পরিণত করতে পারি, তাহলে ১০০ ইউরোকে ৩০০ এ পরিণত করতে পারব'। আচ্ছা বন্ধুরা, দেখা যাচ্ছে আমি ভুল ছিলাম। মোট কথা, আমি ৩ সপ্তাহের মধ্যে ১৫০০ থেকে ২০০০ ইউরো নষ্ট করেছি। একটা নির্দিষ্ট সময়ে এটা আমার মনকে পুরোপুরি দখল করে নিয়েছে। বিশেষ করে যখন ব্যক্তিগত জীবন বা কর্মজীবনের ঝামেলা খারাপ হয়, তখন আমার জুয়া খেলার ইচ্ছা জাগে। এটা ছিল আমার অনুভূতিকে এড়িয়ে যাওয়ার একটা উপায়। দেখা যাচ্ছে এটা আমার আরও খারাপ বোধ করারও একটা উপায় ছিল। আমার মন সবসময় ২১ নম্বরটা নিয়েই ব্যস্ত থাকত। দিনের বেলায় যখন ধীর গতির ছিল তখনও আমি কর্মক্ষেত্রে জুয়া খেলতাম। আমার মেজাজ পুরোপুরি জেতা বা হারানোর উপর নির্ভরশীল ছিল। এখন যদি আমি পিছনে ফিরে তাকাই, তাহলে বুঝতে পারব এটা কতটা ভয়াবহ ছিল। আমার মনে আছে আমি সম্পূর্ণ বিষণ্ণ বোধ করছিলাম। এক সময় আমি ভেবেছিলাম: 'যথেষ্ট হয়েছে' এবং জানতে পারলাম যে আমাদের জাতীয় জুয়া কমিশনের মাধ্যমে আমি নিজেকে বাদ দিতে পারি। এটি সত্যিই আমার জন্য সবকিছু ধ্বংস করে দিয়েছে। জুয়া খেলার আর কোনও উপায় নেই (কিছুটা অবৈধ জিনিস ছাড়া)। আজ কর্মক্ষেত্রে আমার দিনটা খারাপ কেটেছে এবং আমি একজোড়া রাণীর জন্য আকুল ছিলাম। কিন্তু কঠিন দিনের মুখোমুখি হওয়ার এটাই উপায় নয়। এর মধ্য দিয়ে কাজ করো এবং জিনিসপত্র এড়িয়ে যেও না। সত্যিই পরীক্ষা করে দেখো তুমি নিজেকে ক্যাসিনো/অনলাইন ক্যাসিনো থেকে নিষিদ্ধ করতে পারো কিনা। এটা একটা বড় পদক্ষেপ, কিন্তু ঠান্ডা মাথায় থাকাই হলো উপায়। তোমার পছন্দের অন্য কিছু খুঁজে বের করো, বাদ্যযন্ত্র বাজাতে শিখো, ব্যায়ামে যোগ দাও, নাটকের দলে যোগ দাও। আসলেই কিছু, কিন্তু আমার মতো ডোপামিন জম্বি হও না।</v>
      </c>
    </row>
    <row r="415" spans="1:3" ht="15" x14ac:dyDescent="0.25">
      <c r="A415" s="3" t="s">
        <v>416</v>
      </c>
      <c r="B415" s="3" t="s">
        <v>4</v>
      </c>
      <c r="C415" s="4" t="str">
        <f ca="1">IFERROR(__xludf.DUMMYFUNCTION("GOOGLETRANSLATE(A415, ""auto"", ""bn"")"),"গত ৯ বছর ধরে যৌনতা / পর্ন / সেক্সটিং-এর প্রতি আমার একটা ধ্বংসাত্মক আসক্তি আছে, যা ১৫-২৪ বছর ধরে আমার জীবনকে ধ্বংস করে দিয়েছে। এটা মূলত আমার জীবনকে ধ্বংস করে দিয়েছে এবং সবকিছু ভারসাম্যহীন করে দিয়েছে। আমি জানি না কীভাবে সংযত থাকতে হয়। আমি ৩ বছর ধরে ১২-প"&amp;"দক্ষেপের মিটিংয়ে যাচ্ছি, কমপক্ষে ৩ বার দশম ধাপ পর্যন্ত কাজ করেছি, প্রচুর থেরাপি, বিভিন্ন ওষুধ, বই। মূলত আমি সংযত থাকার বিষয়ে কোনও ধারণা পাইনি এবং এটিই আমার শেষ সুযোগ। এই একমাত্র সুযোগ যখন আমি এইরকম সুযোগ পাচ্ছি এবং সত্যি বলতে, আমার মনে হয় না আমার মধ্যে"&amp;" আর কোনও রিল্যাপস আছে কারণ শেষটি আমাকে ২ মাসের এক চক্রের মধ্যে ফেলেছে যেখানে আমি এই সেমিস্টারে কলেজ ছেড়েছি এবং অনেক সম্পর্ক ভেঙে ফেলেছি। আমি খারাপ কাজ করেছি, যৌনতার জন্য মহিলাদের আবেগগতভাবে ব্যবহার করেছি, আমার আসক্তির জন্য প্রিয়জনদের মানসিকভাবে নির্যাতন"&amp;" করেছি, মানসিকভাবে খারাপ অবস্থায় থাকাকালীন আমি এমন কিছু বলেছিলাম যা আমি বলতে চাইনি।")</f>
        <v>গত ৯ বছর ধরে যৌনতা / পর্ন / সেক্সটিং-এর প্রতি আমার একটা ধ্বংসাত্মক আসক্তি আছে, যা ১৫-২৪ বছর ধরে আমার জীবনকে ধ্বংস করে দিয়েছে। এটা মূলত আমার জীবনকে ধ্বংস করে দিয়েছে এবং সবকিছু ভারসাম্যহীন করে দিয়েছে। আমি জানি না কীভাবে সংযত থাকতে হয়। আমি ৩ বছর ধরে ১২-পদক্ষেপের মিটিংয়ে যাচ্ছি, কমপক্ষে ৩ বার দশম ধাপ পর্যন্ত কাজ করেছি, প্রচুর থেরাপি, বিভিন্ন ওষুধ, বই। মূলত আমি সংযত থাকার বিষয়ে কোনও ধারণা পাইনি এবং এটিই আমার শেষ সুযোগ। এই একমাত্র সুযোগ যখন আমি এইরকম সুযোগ পাচ্ছি এবং সত্যি বলতে, আমার মনে হয় না আমার মধ্যে আর কোনও রিল্যাপস আছে কারণ শেষটি আমাকে ২ মাসের এক চক্রের মধ্যে ফেলেছে যেখানে আমি এই সেমিস্টারে কলেজ ছেড়েছি এবং অনেক সম্পর্ক ভেঙে ফেলেছি। আমি খারাপ কাজ করেছি, যৌনতার জন্য মহিলাদের আবেগগতভাবে ব্যবহার করেছি, আমার আসক্তির জন্য প্রিয়জনদের মানসিকভাবে নির্যাতন করেছি, মানসিকভাবে খারাপ অবস্থায় থাকাকালীন আমি এমন কিছু বলেছিলাম যা আমি বলতে চাইনি।</v>
      </c>
    </row>
    <row r="416" spans="1:3" ht="15" x14ac:dyDescent="0.25">
      <c r="A416" s="3" t="s">
        <v>417</v>
      </c>
      <c r="B416" s="3" t="s">
        <v>4</v>
      </c>
      <c r="C416" s="4" t="str">
        <f ca="1">IFERROR(__xludf.DUMMYFUNCTION("GOOGLETRANSLATE(A416, ""auto"", ""bn"")"),"গত কয়েক বছর ধরে আমার কোকেনের অভ্যাসটা বেশ ধারাবাহিক। এর ফলে সম্পর্ক নষ্ট হয়ে গেছে, বাবা-মাকে কষ্ট হয়েছে ইত্যাদি। আমার ব্যাংক অ্যাকাউন্টের খরচ ১৫,০০০ ডলার থেকে কমে এখন ২০০ ডলারে দাঁড়িয়েছে। অক্টোবরের শুরুতে আমি বাবা-মাকে আমার সমস্যার কথা বলেছিলাম। তাছা"&amp;"ড়া, আমি আমার কাজটা পরিষ্কার করার জন্য খুব চেষ্টা করেছিলাম। এটা অনেক কঠিন ছিল এবং আমি খুব দুর্বল বোধ করছি। আমার বাবা ডিসেম্বরে মারা গেছেন, এবং তারপর থেকে আমি খারাপ অবস্থায় আছি। আমি খুব রেগে আছি, একা এবং এতটাই অভিভূত। গত কয়েক মাস ধরে জীবন এতটাই খারাপ যে "&amp;"টাইপ করা আমার পক্ষে অনেক কঠিন। এখন ভোর ৩:৪৫ মিনিট, আমি পুরো সপ্তাহান্তে খুব কষ্ট করেছি। আমার হৃদয় ব্যাথা করছে, এবং আমি শেষ ব্যাগ থেকে নেমে আসছি। আমি আবার কাজ থেকে ফোন করেছি। আমি বারবার খারাপ করছি, এবং আমি এতে খুব ক্লান্ত। তাছাড়া, আমি আর এই ব্যক্তি হতে চ"&amp;"াই না। তাছাড়া, আমাকে আমার মা এবং বাড়ির যত্ন নিতে হবে যেমনটা আমার বাবা আমাকে করতে বলেছিলেন, এবং যদি আমি আত্ম-ধ্বংস চালিয়ে যাই তবে আমি তা করতে পারব না।")</f>
        <v>গত কয়েক বছর ধরে আমার কোকেনের অভ্যাসটা বেশ ধারাবাহিক। এর ফলে সম্পর্ক নষ্ট হয়ে গেছে, বাবা-মাকে কষ্ট হয়েছে ইত্যাদি। আমার ব্যাংক অ্যাকাউন্টের খরচ ১৫,০০০ ডলার থেকে কমে এখন ২০০ ডলারে দাঁড়িয়েছে। অক্টোবরের শুরুতে আমি বাবা-মাকে আমার সমস্যার কথা বলেছিলাম। তাছাড়া, আমি আমার কাজটা পরিষ্কার করার জন্য খুব চেষ্টা করেছিলাম। এটা অনেক কঠিন ছিল এবং আমি খুব দুর্বল বোধ করছি। আমার বাবা ডিসেম্বরে মারা গেছেন, এবং তারপর থেকে আমি খারাপ অবস্থায় আছি। আমি খুব রেগে আছি, একা এবং এতটাই অভিভূত। গত কয়েক মাস ধরে জীবন এতটাই খারাপ যে টাইপ করা আমার পক্ষে অনেক কঠিন। এখন ভোর ৩:৪৫ মিনিট, আমি পুরো সপ্তাহান্তে খুব কষ্ট করেছি। আমার হৃদয় ব্যাথা করছে, এবং আমি শেষ ব্যাগ থেকে নেমে আসছি। আমি আবার কাজ থেকে ফোন করেছি। আমি বারবার খারাপ করছি, এবং আমি এতে খুব ক্লান্ত। তাছাড়া, আমি আর এই ব্যক্তি হতে চাই না। তাছাড়া, আমাকে আমার মা এবং বাড়ির যত্ন নিতে হবে যেমনটা আমার বাবা আমাকে করতে বলেছিলেন, এবং যদি আমি আত্ম-ধ্বংস চালিয়ে যাই তবে আমি তা করতে পারব না।</v>
      </c>
    </row>
    <row r="417" spans="1:3" ht="15" x14ac:dyDescent="0.25">
      <c r="A417" s="3" t="s">
        <v>418</v>
      </c>
      <c r="B417" s="3" t="s">
        <v>4</v>
      </c>
      <c r="C417" s="4" t="str">
        <f ca="1">IFERROR(__xludf.DUMMYFUNCTION("GOOGLETRANSLATE(A417, ""auto"", ""bn"")"),"প্রায় ৯০ দিন পর আবার আমার সঙ্গীর সাথে দেখা হয়, আমার কেটামিন আসক্তি ছেড়ে দিতে চাওয়ার মাঝেই... আমি শুরুতে কয়েকবার মিথ্যা বলেছিলাম এবং যখন আমি তার সাথে ছিলাম তখন তার পিছনেই মিথ্যা বলতাম, এবং সে সবসময় জানতে পারত। সে অতীতে মিথ্যা বলার লোকদের সাথে ডেট করত এবং প"&amp;"্রায় পাশে থাকত না, কিন্তু আমি সুস্থ হয়ে অক্টোবরে সুস্থ হয়ে উঠি। গত সপ্তাহে এসেছিলাম অন্যান্য ওষুধের সাহায্যে যখন সে ঘুমাচ্ছিল তখন আমি আবারও সেরে ফেলি, এবং সে হঠাৎ জেগে উঠে আমাকে দেখতে পেল। পরের দিন সে আমাকে ছেড়ে চলে গেল। তারপর থেকে আমি সুস্থ থাকতে পেরেছি,"&amp;" কিন্তু লজ্জা আমাকে ভেঙে ফেলছে। আবার মিটিংয়ে যেতে শুরু করেছে এবং এটি সাহায্য করছে। আমি খুব দুঃখিত কারণ আমাদের সম্পর্ক অসাধারণভাবে চলছিল যতক্ষণ না আমি শক্তিহীন ছিলাম। শক্তিশালী থাকার আশা করছি।")</f>
        <v>প্রায় ৯০ দিন পর আবার আমার সঙ্গীর সাথে দেখা হয়, আমার কেটামিন আসক্তি ছেড়ে দিতে চাওয়ার মাঝেই... আমি শুরুতে কয়েকবার মিথ্যা বলেছিলাম এবং যখন আমি তার সাথে ছিলাম তখন তার পিছনেই মিথ্যা বলতাম, এবং সে সবসময় জানতে পারত। সে অতীতে মিথ্যা বলার লোকদের সাথে ডেট করত এবং প্রায় পাশে থাকত না, কিন্তু আমি সুস্থ হয়ে অক্টোবরে সুস্থ হয়ে উঠি। গত সপ্তাহে এসেছিলাম অন্যান্য ওষুধের সাহায্যে যখন সে ঘুমাচ্ছিল তখন আমি আবারও সেরে ফেলি, এবং সে হঠাৎ জেগে উঠে আমাকে দেখতে পেল। পরের দিন সে আমাকে ছেড়ে চলে গেল। তারপর থেকে আমি সুস্থ থাকতে পেরেছি, কিন্তু লজ্জা আমাকে ভেঙে ফেলছে। আবার মিটিংয়ে যেতে শুরু করেছে এবং এটি সাহায্য করছে। আমি খুব দুঃখিত কারণ আমাদের সম্পর্ক অসাধারণভাবে চলছিল যতক্ষণ না আমি শক্তিহীন ছিলাম। শক্তিশালী থাকার আশা করছি।</v>
      </c>
    </row>
    <row r="418" spans="1:3" ht="15" x14ac:dyDescent="0.25">
      <c r="A418" s="3" t="s">
        <v>419</v>
      </c>
      <c r="B418" s="3" t="s">
        <v>4</v>
      </c>
      <c r="C418" s="4" t="str">
        <f ca="1">IFERROR(__xludf.DUMMYFUNCTION("GOOGLETRANSLATE(A418, ""auto"", ""bn"")"),"কেউ কি আমাকে সাহায্য করতে পারেন এবং এমন কাউকে জিজ্ঞাসা করার জন্য চিন্তাশীল/আলোচনামূলক প্রশ্ন দিতে পারেন যিনি পরিবারের মাদকাসক্ত সদস্যের সাথে আচরণ করছেন?")</f>
        <v>কেউ কি আমাকে সাহায্য করতে পারেন এবং এমন কাউকে জিজ্ঞাসা করার জন্য চিন্তাশীল/আলোচনামূলক প্রশ্ন দিতে পারেন যিনি পরিবারের মাদকাসক্ত সদস্যের সাথে আচরণ করছেন?</v>
      </c>
    </row>
    <row r="419" spans="1:3" ht="15" x14ac:dyDescent="0.25">
      <c r="A419" s="3" t="s">
        <v>420</v>
      </c>
      <c r="B419" s="3" t="s">
        <v>4</v>
      </c>
      <c r="C419" s="4" t="str">
        <f ca="1">IFERROR(__xludf.DUMMYFUNCTION("GOOGLETRANSLATE(A419, ""auto"", ""bn"")"),"একদিন সকালে আমি গোর দেখার ছুটি নিচ্ছি। আর কখনও গোর দেখার চেষ্টা করছি না। আমি ৯ বছর বয়স থেকেই এটি দেখছি। দয়া করে আমাকে সাহায্য করুন।")</f>
        <v>একদিন সকালে আমি গোর দেখার ছুটি নিচ্ছি। আর কখনও গোর দেখার চেষ্টা করছি না। আমি ৯ বছর বয়স থেকেই এটি দেখছি। দয়া করে আমাকে সাহায্য করুন।</v>
      </c>
    </row>
    <row r="420" spans="1:3" ht="15" x14ac:dyDescent="0.25">
      <c r="A420" s="3" t="s">
        <v>421</v>
      </c>
      <c r="B420" s="3" t="s">
        <v>4</v>
      </c>
      <c r="C420" s="4" t="str">
        <f ca="1">IFERROR(__xludf.DUMMYFUNCTION("GOOGLETRANSLATE(A420, ""auto"", ""bn"")"),"আমার থেরাপিস্ট আমাকে বলছিলেন যে নালট্রেক্সোন মেথ আসক্তদের (আমি জানি না এটি কি কেবল মেথ ব্যবহারকারী নাকি এটি কোনও মাদকদ্রব্য) ঋতুস্রাবের লোভ সামলাতে সাহায্য করে নাকি কোনও মাসিক না হয়? শুধু জানতে চেয়েছিলাম যে কেউ কি বিশেষ করে মেথের লোভ সামলাতে এটি ব্যবহার"&amp;" করেছেন কিনা অথবা যদি কোনও অন্তর্দৃষ্টি থাকে তবে তা দুর্দান্ত হবে।")</f>
        <v>আমার থেরাপিস্ট আমাকে বলছিলেন যে নালট্রেক্সোন মেথ আসক্তদের (আমি জানি না এটি কি কেবল মেথ ব্যবহারকারী নাকি এটি কোনও মাদকদ্রব্য) ঋতুস্রাবের লোভ সামলাতে সাহায্য করে নাকি কোনও মাসিক না হয়? শুধু জানতে চেয়েছিলাম যে কেউ কি বিশেষ করে মেথের লোভ সামলাতে এটি ব্যবহার করেছেন কিনা অথবা যদি কোনও অন্তর্দৃষ্টি থাকে তবে তা দুর্দান্ত হবে।</v>
      </c>
    </row>
    <row r="421" spans="1:3" ht="15" x14ac:dyDescent="0.25">
      <c r="A421" s="3" t="s">
        <v>422</v>
      </c>
      <c r="B421" s="3" t="s">
        <v>4</v>
      </c>
      <c r="C421" s="4" t="str">
        <f ca="1">IFERROR(__xludf.DUMMYFUNCTION("GOOGLETRANSLATE(A421, ""auto"", ""bn"")"),"ঠিক আছে, এটা একটু বোকামি লাগছে, কিন্তু আমি মিনেসোটার ছোট্ট লালচে শহর থেকে মিনিয়াপোলিসে চলে এসেছি বেশিরভাগ অ্যালকোহল থেকে মুক্তি পেতে। গতকালই আমি ১০ মাস ক্লিন উদযাপন করেছি, এবং আজ যাই হোক না কেন, স্থানীয় হিপস্টার কো-অপ মার্কেটপ্লেসে গিয়েছিলাম একটি হিমায"&amp;"়িত পিৎজা, কয়েকটি এনার্জি ড্রিংক এবং অন্যান্য নন-অ্যালকোহলযুক্ত পানীয় কিনতে। আমি রেডনেকভিলে পাওয়া যাবে না বলে মনে করার চেষ্টা করছিলাম, এবং আমি ধরে নিয়েছিলাম যে মিনেসোটার কোনও নন-অ্যালকোহল স্টোর যেখানে আপনি কেবল একটি নির্দিষ্ট মদের দোকানে মদ বিক্রি করতে"&amp;" পারেন সেখানে অ্যালকোহল থাকবে না এবং যদি তা হয়, তবে অন্তত আমার পরিচয়পত্র চাওয়া হবে। তাছাড়া, আমি রাস্পবেরি কম্বুচার কিছু এলোমেলো ক্যান নিলাম যা সম্পর্কে আমি খুব কম জানি, হিপ্পিরা সবসময় এটি নিয়ে উচ্ছ্বসিত থাকে এবং এটি জুসের পাশে ছিল। আমি আমার শান্ত ঘর"&amp;"ের সভায় বসে এটি খুলে একটি চুমুক দিচ্ছি এবং অ্যালকোহলের খুব পরিচিত স্বাদ আমার ঠোঁট স্পর্শ করছে এবং আমি তৎক্ষণাৎ ক্যানটি খুঁজতে শুরু করি যে এতে ""অ্যালকোহলের পরিমাণ"" আছে কিনা? তাছাড়া, আমি সিঙ্কের কাছে ছুটে যাই এবং অল্প কিছু চুমুক দেওয়ার পর ড্রেনে ঢেলে দেই"&amp;", কিন্তু ঘটনাক্রমে, অ্যালকোহল মিশ্রিত কিছু একটা চুমুক দিয়ে ফেলেছিলাম এবং আমি নিশ্চিত নই যে কীভাবে এটিকে যোগ্য করে তুলব। আমার বাড়ির ম্যানেজার এটাকে খুব একটা বড় ব্যাপার মনে করেননি, কিন্তু পুরো অগ্নিপরীক্ষা দেখে আমি এখনও ভয় পাচ্ছি। এটা কি আমার ঘড়ি রিসেট কর"&amp;"ে?")</f>
        <v>ঠিক আছে, এটা একটু বোকামি লাগছে, কিন্তু আমি মিনেসোটার ছোট্ট লালচে শহর থেকে মিনিয়াপোলিসে চলে এসেছি বেশিরভাগ অ্যালকোহল থেকে মুক্তি পেতে। গতকালই আমি ১০ মাস ক্লিন উদযাপন করেছি, এবং আজ যাই হোক না কেন, স্থানীয় হিপস্টার কো-অপ মার্কেটপ্লেসে গিয়েছিলাম একটি হিমায়িত পিৎজা, কয়েকটি এনার্জি ড্রিংক এবং অন্যান্য নন-অ্যালকোহলযুক্ত পানীয় কিনতে। আমি রেডনেকভিলে পাওয়া যাবে না বলে মনে করার চেষ্টা করছিলাম, এবং আমি ধরে নিয়েছিলাম যে মিনেসোটার কোনও নন-অ্যালকোহল স্টোর যেখানে আপনি কেবল একটি নির্দিষ্ট মদের দোকানে মদ বিক্রি করতে পারেন সেখানে অ্যালকোহল থাকবে না এবং যদি তা হয়, তবে অন্তত আমার পরিচয়পত্র চাওয়া হবে। তাছাড়া, আমি রাস্পবেরি কম্বুচার কিছু এলোমেলো ক্যান নিলাম যা সম্পর্কে আমি খুব কম জানি, হিপ্পিরা সবসময় এটি নিয়ে উচ্ছ্বসিত থাকে এবং এটি জুসের পাশে ছিল। আমি আমার শান্ত ঘরের সভায় বসে এটি খুলে একটি চুমুক দিচ্ছি এবং অ্যালকোহলের খুব পরিচিত স্বাদ আমার ঠোঁট স্পর্শ করছে এবং আমি তৎক্ষণাৎ ক্যানটি খুঁজতে শুরু করি যে এতে "অ্যালকোহলের পরিমাণ" আছে কিনা? তাছাড়া, আমি সিঙ্কের কাছে ছুটে যাই এবং অল্প কিছু চুমুক দেওয়ার পর ড্রেনে ঢেলে দেই, কিন্তু ঘটনাক্রমে, অ্যালকোহল মিশ্রিত কিছু একটা চুমুক দিয়ে ফেলেছিলাম এবং আমি নিশ্চিত নই যে কীভাবে এটিকে যোগ্য করে তুলব। আমার বাড়ির ম্যানেজার এটাকে খুব একটা বড় ব্যাপার মনে করেননি, কিন্তু পুরো অগ্নিপরীক্ষা দেখে আমি এখনও ভয় পাচ্ছি। এটা কি আমার ঘড়ি রিসেট করে?</v>
      </c>
    </row>
    <row r="422" spans="1:3" ht="15" x14ac:dyDescent="0.25">
      <c r="A422" s="3" t="s">
        <v>423</v>
      </c>
      <c r="B422" s="3" t="s">
        <v>4</v>
      </c>
      <c r="C422" s="4" t="str">
        <f ca="1">IFERROR(__xludf.DUMMYFUNCTION("GOOGLETRANSLATE(A422, ""auto"", ""bn"")"),"৩০ এবং ১০০ দিন মেথ থেকে মুক্ত। শরৎকালে দাঁতের স্বাস্থ্যবিধির জন্য আবার স্কুলে যাব। আমার মা তার উত্তরাধিকারসূত্রে যে বাড়িতে দিয়েছিলেন, সেখানে আমি একা থাকি। আমার পরিবার সবসময়ই দরিদ্র এবং কর্মহীন ছিল, সবসময় চিৎকার করত, চিৎকার করত এবং ক্রিসমাসে ঘর ধ্বংস ক"&amp;"রত। আমি একজন সুন্দরী মহিলার সাথে একটি সমৃদ্ধ জীবনযাপন করতে চাই। আমি জীবনযাত্রায় অভ্যস্ত, কিন্তু আমি এটি পরিবর্তন করার জন্য কঠোর পরিশ্রম করছি। পরামর্শ?")</f>
        <v>৩০ এবং ১০০ দিন মেথ থেকে মুক্ত। শরৎকালে দাঁতের স্বাস্থ্যবিধির জন্য আবার স্কুলে যাব। আমার মা তার উত্তরাধিকারসূত্রে যে বাড়িতে দিয়েছিলেন, সেখানে আমি একা থাকি। আমার পরিবার সবসময়ই দরিদ্র এবং কর্মহীন ছিল, সবসময় চিৎকার করত, চিৎকার করত এবং ক্রিসমাসে ঘর ধ্বংস করত। আমি একজন সুন্দরী মহিলার সাথে একটি সমৃদ্ধ জীবনযাপন করতে চাই। আমি জীবনযাত্রায় অভ্যস্ত, কিন্তু আমি এটি পরিবর্তন করার জন্য কঠোর পরিশ্রম করছি। পরামর্শ?</v>
      </c>
    </row>
    <row r="423" spans="1:3" ht="15" x14ac:dyDescent="0.25">
      <c r="A423" s="3" t="s">
        <v>424</v>
      </c>
      <c r="B423" s="3" t="s">
        <v>4</v>
      </c>
      <c r="C423" s="4" t="str">
        <f ca="1">IFERROR(__xludf.DUMMYFUNCTION("GOOGLETRANSLATE(A423, ""auto"", ""bn"")"),"আমি মারি আইম ৭৩ দিন ধরে সুস্থ, এবং আমার মনে হচ্ছে আমি আবার অসুস্থ হয়ে পড়ব। আমি সত্যিই কারণটি লিখতে চেয়েছিলাম, যাতে এটি ইন্টারনেটের গভীরে কোথাও রেকর্ড করা থাকে। এটি সব শুরু হয়েছিল যখন আমার বন্ধু আমাকে ব্লো করার সাথে পরিচয় করিয়ে দিয়েছিল, এবং আমার BPD"&amp;" আছে - তাই যদি আপনি সেই সময়ে আমার প্রিয় ব্যক্তি হন, আমরা একসাথে। আমার বন্ধু বাইপোলার তাই সে আমার আগেই রেললাইন থেকে উড়ে গিয়েছিল, সঠিক চিকিৎসা পেয়েছিল এবং সবকিছু, তার জন্য খুব গর্বিত। কিন্তু আমি সবেমাত্র শুরু করছিলাম। এটি কিছুটা চূড়ান্ত হয়েছিল যখন আম"&amp;"ার বন্ধুদের প্রেমিক (একজন মাদক ব্যবসায়ী) 2021 সালের গ্রীষ্মে আমাদের বন্ধুদের দলকে একীভূত করেছিল। আমি পাগল FOMO হয়ে গিয়েছিলাম, মহামারী শুরু হওয়ার সাথে সাথে আমি 18 বছর বয়সে, আমি কখনও ক্লাবিং বা পার্টিতে পাগলের মতো যাইনি... আমি সামাজিক এবং একাডেমিক উভয়"&amp;" দিক থেকেই খুব পিছিয়ে বোধ করতাম। তদুপরি, আমি কেবল খুব খারাপভাবে ধরার চেষ্টা করেছিলাম। এবং আমার বন্ধুদের প্রেমিক (আসুন তাকে এনোক বলি) আমার হৃদয় তৃপ্তি সহকারে আমাকে তুষার বিক্রি করত। শীঘ্রই সে আমাকে বিনামূল্যে জিনিসপত্র দিতে শুরু করবে... কয়েক মাস পর, হনো"&amp;"ক এবং তার মেয়ে সম্পর্কের কথা খুলে দেয়, এবং হনোক সেভেনকে দেখতে শুরু করে (আমি জানি এটি একটি ছেলের নাম কিন্তু বিশ্বাস করুন SEV একটি মেয়ে)। সেভেন এবং আমি দেখা করি যখন হনোক আমাকে ধূমপান থেকে মুক্তি দেওয়ার প্রস্তাব দেয়, এই মুহুর্তে আমি আমার নিজের শহরে থাকি"&amp;", এবং দেখা গেল যে আমি এবং SEV একই স্কুলে পড়ি। আমরা খুব ভালোভাবে কথা বলেছি, কিন্তু হনোক আমাকে এবং SEV কে বলার চেষ্টা করে যে সে আমাকে আর মাদক দেবে না। আমি পরে জানতে পারব যে হনোক ভালো দেখানোর জন্য কিছু বলবে, কিন্তু খুব কমই বাস্তবে তা মেনে নেবে। আমি এবং SEV "&amp;"ডেটিং শুরু করি - যেন এর কোনও ভালো পরিণতি হতে পারে - কারণ হনোকও তার সাথে ডেটিং করছিল এবং হনোক তখন আমার সবচেয়ে ভালো বন্ধু ছিল। হ্যালো অগোছালো হতে চলেছে। ২০২১ সালের অক্টোবরের মাঝামাঝি আমি আবার প্রেমে পড়ি, হনোক আমাকে বিনামূল্যে এক টুকরো তুষার দেয়। সেভেন হত"&amp;"বাক হয়ে যায়, আমাকে আলটিমেটাম দেয়। এই মুহুর্তে আমি আমার আসক্তিকে ন্যায্যতা দিচ্ছিলাম, তাই আমি কোনওভাবে তা থেকে বেরিয়ে এলাম। অবশেষে সেভেন হনোকের সাথে সম্পর্ক ছিন্ন করে এবং তারপর আমার (সে দুপুরের খাবারের সময় হনোকের সাথে দেখা করার সৌজন্য দেখিয়েছিল, কিন্"&amp;"তু টেক্সটের মাধ্যমে আমার সম্পর্ক ভেঙে যায়), আমি হনোককে বিষয়টি সম্পর্কে বলি। এটি সোমবার রাত, আমি মাতাল। হনোক মাত্র কয়েকদিন মানসিক ওয়ার্ডে কাটিয়েছে, আমাকে কিছু না বলে আমার জায়গায় চলে গেছে। অবশ্যই, আমরা যৌনসঙ্গম করেছি। মাদারফাদারটি এই পুরো সময় আমার প"&amp;"্রতি অনুভূতি পোষণ করেছিল, এবং আমার দুর্বলতা এবং মাতাল হওয়ার কথা শুনে, সে ""আমাকে সান্ত্বনা দেওয়ার"" সুযোগে লাফিয়ে ওঠে। যদিও হনোক এবং তার বান্ধবী খোলাখুলিভাবে কথা বলছিলেন, তারা সম্মত হয়েছিল যে আমি সীমার বাইরে ছিলাম, এবং এটি আনুষ্ঠানিকভাবে প্রতারণা ছিল।"&amp;" হনোক ক্লাসে যাওয়ার সময় তার বান্ধবীকে সত্য বলতে রাজি হয়। আমি আতঙ্কিত, ক্লাসে যাওয়ার পথে আমার বমি আসে, আমি ক্লাস তাড়াতাড়ি ছেড়ে যাই কারণ আমি খুব বেশি বাইরে এবং হনোক এখনও আমার অ্যাপার্টমেন্টে ছিল। আমি তাকে বলি আমার কিছু জায়গা দরকার - এবং সে বলে যে সে"&amp;" গাড়ি চালাতে যাচ্ছে। আর নিশ্চয়ই সে নিখোঁজ থাকে: সে তিন দিন ধরে নিখোঁজ থাকে। এই সময় আমি সাইক ওয়ার্ডের কথা জানতে পারি, তার মা কেমো শুরু করার কথা (হ্যাঁ, সে তার মায়ের কেমো শুরু করার সময় তার গাড়ি চুরি করেছিল, আমি এটা বানাতে পারছি না)। সবাই ভেবেছিল সে মারা "&amp;"গেছে। হনোকের আত্মহত্যার চিন্তাভাবনার ইতিহাস ছিল। তার মা আমাকে মেসেজ করে, আর আমি জানতে পারি সে নিখোঁজ, আর আমার মনে হয় ""হে ঈশ্বর, সে আমার জন্যই মারা গেছে, আমাকে একটা শেষকৃত্যে যেতে হবে এবং ভান করতে হবে যে আমি জানি না কেন সে আত্মহত্যা করেছে""। আর আমি বুঝতে "&amp;"পারলাম আমার কী করতে হবে... আমি তার বান্ধবীকে সত্যটা বলি। কয়েকদিন পরে পুলিশ তাকে খুঁজে পায়, এবং তার শুধু বলতে হয়েছিল ""আমি শুরু করিনি"" তার প্রেমিকাকে তার প্রয়োজনীয় সকল তথ্য দেওয়ার জন্য। স্পষ্টতই আমি আমার দুই ঘনিষ্ঠ বন্ধুকে হারিয়েছি। যদিও তারা এখনও একসাথ"&amp;"ে আছে। ওহ, আর আমি পরিষ্কার হওয়ার পর, আমি সেভেনের সাথে বন্ধুত্ব ধরে রাখতে পেরেছিলাম, কিন্তু আমি বারবার বুঝতে পেরেছিলাম - জেনেছিলাম যে সে এখনও হনোকের বন্ধু। এবার আমার পালা ছিল তাকে আলটিমেটাম দেওয়ার, সে অথবা আমি। সে তাকে বেছে নিয়েছে। এখন আমি সবচেয়ে খারাপ সম"&amp;"য়টা কাটিয়েছি। এখন এত কিছুর পরেও আমি আবারও অসুস্থ হওয়ার কথা ভাবি কিভাবে?? আচ্ছা, এত কিছুর পরেও আমি স্কুল ছেড়ে দিয়েছিলাম, কারণ আমার মাথা ঠিকঠাক কাজ করছিল না, এবং আমাকে আবার আমার বাবা-মায়ের বাড়িতে ফিরে যেতে হয়েছিল। ২০২০ সালের মার্চ থেকে দুই বছর পর, কিন্তু আম"&amp;"ি বারবার একই দিনগুলো অনুভব করছি, এবং পরের বছর আমার জন্য এই টারটারিয়ান মহাকাশ অপেক্ষা করছে। হয়তো যদি আমি আবার অসুস্থ হই, তাহলে আমি নিজেকে প্রমাণ করব যে হনোক যে ক্ষতি করেছেন তা অপূরণীয়। ক্ষমার অযোগ্য। যেন পুনরায় অসুস্থ হয়ে আমি তাদের উপর প্রতিশোধ নিচ্ছি যা"&amp;"রা আমাকে আঘাত করেছে। আমার জন্য সবকিছুই চলছে কিন্তু, আমি বেঁচে থাকতে খুব ভয় পাচ্ছি।")</f>
        <v>আমি মারি আইম ৭৩ দিন ধরে সুস্থ, এবং আমার মনে হচ্ছে আমি আবার অসুস্থ হয়ে পড়ব। আমি সত্যিই কারণটি লিখতে চেয়েছিলাম, যাতে এটি ইন্টারনেটের গভীরে কোথাও রেকর্ড করা থাকে। এটি সব শুরু হয়েছিল যখন আমার বন্ধু আমাকে ব্লো করার সাথে পরিচয় করিয়ে দিয়েছিল, এবং আমার BPD আছে - তাই যদি আপনি সেই সময়ে আমার প্রিয় ব্যক্তি হন, আমরা একসাথে। আমার বন্ধু বাইপোলার তাই সে আমার আগেই রেললাইন থেকে উড়ে গিয়েছিল, সঠিক চিকিৎসা পেয়েছিল এবং সবকিছু, তার জন্য খুব গর্বিত। কিন্তু আমি সবেমাত্র শুরু করছিলাম। এটি কিছুটা চূড়ান্ত হয়েছিল যখন আমার বন্ধুদের প্রেমিক (একজন মাদক ব্যবসায়ী) 2021 সালের গ্রীষ্মে আমাদের বন্ধুদের দলকে একীভূত করেছিল। আমি পাগল FOMO হয়ে গিয়েছিলাম, মহামারী শুরু হওয়ার সাথে সাথে আমি 18 বছর বয়সে, আমি কখনও ক্লাবিং বা পার্টিতে পাগলের মতো যাইনি... আমি সামাজিক এবং একাডেমিক উভয় দিক থেকেই খুব পিছিয়ে বোধ করতাম। তদুপরি, আমি কেবল খুব খারাপভাবে ধরার চেষ্টা করেছিলাম। এবং আমার বন্ধুদের প্রেমিক (আসুন তাকে এনোক বলি) আমার হৃদয় তৃপ্তি সহকারে আমাকে তুষার বিক্রি করত। শীঘ্রই সে আমাকে বিনামূল্যে জিনিসপত্র দিতে শুরু করবে... কয়েক মাস পর, হনোক এবং তার মেয়ে সম্পর্কের কথা খুলে দেয়, এবং হনোক সেভেনকে দেখতে শুরু করে (আমি জানি এটি একটি ছেলের নাম কিন্তু বিশ্বাস করুন SEV একটি মেয়ে)। সেভেন এবং আমি দেখা করি যখন হনোক আমাকে ধূমপান থেকে মুক্তি দেওয়ার প্রস্তাব দেয়, এই মুহুর্তে আমি আমার নিজের শহরে থাকি, এবং দেখা গেল যে আমি এবং SEV একই স্কুলে পড়ি। আমরা খুব ভালোভাবে কথা বলেছি, কিন্তু হনোক আমাকে এবং SEV কে বলার চেষ্টা করে যে সে আমাকে আর মাদক দেবে না। আমি পরে জানতে পারব যে হনোক ভালো দেখানোর জন্য কিছু বলবে, কিন্তু খুব কমই বাস্তবে তা মেনে নেবে। আমি এবং SEV ডেটিং শুরু করি - যেন এর কোনও ভালো পরিণতি হতে পারে - কারণ হনোকও তার সাথে ডেটিং করছিল এবং হনোক তখন আমার সবচেয়ে ভালো বন্ধু ছিল। হ্যালো অগোছালো হতে চলেছে। ২০২১ সালের অক্টোবরের মাঝামাঝি আমি আবার প্রেমে পড়ি, হনোক আমাকে বিনামূল্যে এক টুকরো তুষার দেয়। সেভেন হতবাক হয়ে যায়, আমাকে আলটিমেটাম দেয়। এই মুহুর্তে আমি আমার আসক্তিকে ন্যায্যতা দিচ্ছিলাম, তাই আমি কোনওভাবে তা থেকে বেরিয়ে এলাম। অবশেষে সেভেন হনোকের সাথে সম্পর্ক ছিন্ন করে এবং তারপর আমার (সে দুপুরের খাবারের সময় হনোকের সাথে দেখা করার সৌজন্য দেখিয়েছিল, কিন্তু টেক্সটের মাধ্যমে আমার সম্পর্ক ভেঙে যায়), আমি হনোককে বিষয়টি সম্পর্কে বলি। এটি সোমবার রাত, আমি মাতাল। হনোক মাত্র কয়েকদিন মানসিক ওয়ার্ডে কাটিয়েছে, আমাকে কিছু না বলে আমার জায়গায় চলে গেছে। অবশ্যই, আমরা যৌনসঙ্গম করেছি। মাদারফাদারটি এই পুরো সময় আমার প্রতি অনুভূতি পোষণ করেছিল, এবং আমার দুর্বলতা এবং মাতাল হওয়ার কথা শুনে, সে "আমাকে সান্ত্বনা দেওয়ার" সুযোগে লাফিয়ে ওঠে। যদিও হনোক এবং তার বান্ধবী খোলাখুলিভাবে কথা বলছিলেন, তারা সম্মত হয়েছিল যে আমি সীমার বাইরে ছিলাম, এবং এটি আনুষ্ঠানিকভাবে প্রতারণা ছিল। হনোক ক্লাসে যাওয়ার সময় তার বান্ধবীকে সত্য বলতে রাজি হয়। আমি আতঙ্কিত, ক্লাসে যাওয়ার পথে আমার বমি আসে, আমি ক্লাস তাড়াতাড়ি ছেড়ে যাই কারণ আমি খুব বেশি বাইরে এবং হনোক এখনও আমার অ্যাপার্টমেন্টে ছিল। আমি তাকে বলি আমার কিছু জায়গা দরকার - এবং সে বলে যে সে গাড়ি চালাতে যাচ্ছে। আর নিশ্চয়ই সে নিখোঁজ থাকে: সে তিন দিন ধরে নিখোঁজ থাকে। এই সময় আমি সাইক ওয়ার্ডের কথা জানতে পারি, তার মা কেমো শুরু করার কথা (হ্যাঁ, সে তার মায়ের কেমো শুরু করার সময় তার গাড়ি চুরি করেছিল, আমি এটা বানাতে পারছি না)। সবাই ভেবেছিল সে মারা গেছে। হনোকের আত্মহত্যার চিন্তাভাবনার ইতিহাস ছিল। তার মা আমাকে মেসেজ করে, আর আমি জানতে পারি সে নিখোঁজ, আর আমার মনে হয় "হে ঈশ্বর, সে আমার জন্যই মারা গেছে, আমাকে একটা শেষকৃত্যে যেতে হবে এবং ভান করতে হবে যে আমি জানি না কেন সে আত্মহত্যা করেছে"। আর আমি বুঝতে পারলাম আমার কী করতে হবে... আমি তার বান্ধবীকে সত্যটা বলি। কয়েকদিন পরে পুলিশ তাকে খুঁজে পায়, এবং তার শুধু বলতে হয়েছিল "আমি শুরু করিনি" তার প্রেমিকাকে তার প্রয়োজনীয় সকল তথ্য দেওয়ার জন্য। স্পষ্টতই আমি আমার দুই ঘনিষ্ঠ বন্ধুকে হারিয়েছি। যদিও তারা এখনও একসাথে আছে। ওহ, আর আমি পরিষ্কার হওয়ার পর, আমি সেভেনের সাথে বন্ধুত্ব ধরে রাখতে পেরেছিলাম, কিন্তু আমি বারবার বুঝতে পেরেছিলাম - জেনেছিলাম যে সে এখনও হনোকের বন্ধু। এবার আমার পালা ছিল তাকে আলটিমেটাম দেওয়ার, সে অথবা আমি। সে তাকে বেছে নিয়েছে। এখন আমি সবচেয়ে খারাপ সময়টা কাটিয়েছি। এখন এত কিছুর পরেও আমি আবারও অসুস্থ হওয়ার কথা ভাবি কিভাবে?? আচ্ছা, এত কিছুর পরেও আমি স্কুল ছেড়ে দিয়েছিলাম, কারণ আমার মাথা ঠিকঠাক কাজ করছিল না, এবং আমাকে আবার আমার বাবা-মায়ের বাড়িতে ফিরে যেতে হয়েছিল। ২০২০ সালের মার্চ থেকে দুই বছর পর, কিন্তু আমি বারবার একই দিনগুলো অনুভব করছি, এবং পরের বছর আমার জন্য এই টারটারিয়ান মহাকাশ অপেক্ষা করছে। হয়তো যদি আমি আবার অসুস্থ হই, তাহলে আমি নিজেকে প্রমাণ করব যে হনোক যে ক্ষতি করেছেন তা অপূরণীয়। ক্ষমার অযোগ্য। যেন পুনরায় অসুস্থ হয়ে আমি তাদের উপর প্রতিশোধ নিচ্ছি যারা আমাকে আঘাত করেছে। আমার জন্য সবকিছুই চলছে কিন্তু, আমি বেঁচে থাকতে খুব ভয় পাচ্ছি।</v>
      </c>
    </row>
    <row r="424" spans="1:3" ht="15" x14ac:dyDescent="0.25">
      <c r="A424" s="3" t="s">
        <v>425</v>
      </c>
      <c r="B424" s="3" t="s">
        <v>4</v>
      </c>
      <c r="C424" s="4" t="str">
        <f ca="1">IFERROR(__xludf.DUMMYFUNCTION("GOOGLETRANSLATE(A424, ""auto"", ""bn"")"),"আমার মায়ের মাদকাসক্তির কারণে আমার ভেতরে ভেতরে মরে যাওয়ার অনুভূতি হচ্ছে। আমার বয়স পনেরো এবং আমি আমার দাদা-দাদির সাথে থাকি, কারণ আমার বাবা-মা মাদকাসক্ত ছিলেন। আমার বাবা এখন পরিষ্কার-পরিচ্ছন্নতা করেন কিন্তু মা এখনও আমার জীবন থেকে দূরে এবং আসক্ত। সে আমাকে জান"&amp;"তে চায়, কিন্তু আমার দাদি তা করতে দেন না। এছাড়াও, আমি আমার মায়ের ইউটিউব চ্যানেলটি খুঁজে পেয়েছি যেখানে সে ভিডিও গেম খেলে আমি তাকে বেনামে উৎসাহিত করি। কিন্তু তার কথাবার্তা এবং আচরণ শুনে আমার মন খারাপ হয়। আমি শুধু চাই সে যেন সুস্থ হয়। আমার একটি ছোট বোন আছে য"&amp;"ে এখন পালিত যত্নে আছে কারণ আমার মা তার জন্য এটা করতেও পারেনি। আমি খুব অসহায় বোধ করছি এবং সবাই আমাকে তার উপর হাল ছেড়ে দিতে বলছে, কিন্তু আমি চাই না। আমি মদ্যপান শুরু করতে প্রলুব্ধ কারণ এটি এই অন্তহীন দুঃখকে ঢাকতে সাহায্য করবে। আমি খুব হারিয়ে গেছি।")</f>
        <v>আমার মায়ের মাদকাসক্তির কারণে আমার ভেতরে ভেতরে মরে যাওয়ার অনুভূতি হচ্ছে। আমার বয়স পনেরো এবং আমি আমার দাদা-দাদির সাথে থাকি, কারণ আমার বাবা-মা মাদকাসক্ত ছিলেন। আমার বাবা এখন পরিষ্কার-পরিচ্ছন্নতা করেন কিন্তু মা এখনও আমার জীবন থেকে দূরে এবং আসক্ত। সে আমাকে জানতে চায়, কিন্তু আমার দাদি তা করতে দেন না। এছাড়াও, আমি আমার মায়ের ইউটিউব চ্যানেলটি খুঁজে পেয়েছি যেখানে সে ভিডিও গেম খেলে আমি তাকে বেনামে উৎসাহিত করি। কিন্তু তার কথাবার্তা এবং আচরণ শুনে আমার মন খারাপ হয়। আমি শুধু চাই সে যেন সুস্থ হয়। আমার একটি ছোট বোন আছে যে এখন পালিত যত্নে আছে কারণ আমার মা তার জন্য এটা করতেও পারেনি। আমি খুব অসহায় বোধ করছি এবং সবাই আমাকে তার উপর হাল ছেড়ে দিতে বলছে, কিন্তু আমি চাই না। আমি মদ্যপান শুরু করতে প্রলুব্ধ কারণ এটি এই অন্তহীন দুঃখকে ঢাকতে সাহায্য করবে। আমি খুব হারিয়ে গেছি।</v>
      </c>
    </row>
    <row r="425" spans="1:3" ht="15" x14ac:dyDescent="0.25">
      <c r="A425" s="3" t="s">
        <v>426</v>
      </c>
      <c r="B425" s="3" t="s">
        <v>4</v>
      </c>
      <c r="C425" s="4" t="str">
        <f ca="1">IFERROR(__xludf.DUMMYFUNCTION("GOOGLETRANSLATE(A425, ""auto"", ""bn"")"),"ধূসর হতাশার অনুভূতি কি চলে যায়? বরফের জন্য ১০০ দিন পরিষ্কার এবং কিছুই আকর্ষণীয় মনে হয় না। এই অনুভূতি কখন চলে যায় যাতে আমি আবার জীবন উপভোগ করার ইচ্ছা ফিরে পেতে পারি? প্রচুর স্বাস্থ্যকর বিশ্রাম, ব্যায়াম এবং ভাল খাবার পাচ্ছি কিন্তু শূন্যতা অনুভব করছি। এ"&amp;"টি কি আরও ভালো হয়ে ওঠে এবং জীবন কতটা দুর্দান্ত হতে পারে?")</f>
        <v>ধূসর হতাশার অনুভূতি কি চলে যায়? বরফের জন্য ১০০ দিন পরিষ্কার এবং কিছুই আকর্ষণীয় মনে হয় না। এই অনুভূতি কখন চলে যায় যাতে আমি আবার জীবন উপভোগ করার ইচ্ছা ফিরে পেতে পারি? প্রচুর স্বাস্থ্যকর বিশ্রাম, ব্যায়াম এবং ভাল খাবার পাচ্ছি কিন্তু শূন্যতা অনুভব করছি। এটি কি আরও ভালো হয়ে ওঠে এবং জীবন কতটা দুর্দান্ত হতে পারে?</v>
      </c>
    </row>
    <row r="426" spans="1:3" ht="15" x14ac:dyDescent="0.25">
      <c r="A426" s="3" t="s">
        <v>427</v>
      </c>
      <c r="B426" s="3" t="s">
        <v>4</v>
      </c>
      <c r="C426" s="4" t="str">
        <f ca="1">IFERROR(__xludf.DUMMYFUNCTION("GOOGLETRANSLATE(A426, ""auto"", ""bn"")"),"প্রসঙ্গ: আমার বয়স ২৬ বছর। কাগজে কলমে, আমি সফল এবং একটি দুর্দান্ত কোম্পানি চালাই যা সম্ভবত আমাকে ভালো অর্থ উপার্জন করবে এবং একটি ভালো জীবনযাপন করবে। ১৮ বছর বয়স থেকেই আমি একজন প্রচণ্ড জুয়ার আসক্ত। অল্প বয়সে, দীর্ঘ সময় ধরে ছয় অঙ্কের মতো, প্রচুর টাকা জি"&amp;"তে আমি অভিশপ্ত ছিলাম এবং ভাবতাম যে আমি একজন পেশাদার। আমি চেয়েছিলাম আমার জীবন হয় পেশাদার ক্রীড়া বাজি অথবা আমার ক্রীড়া বাজি দক্ষতার উপর ভিত্তি করে বিশ্লেষণ হোক। তাছাড়া, আমি এর ভিত্তিতে একটি শীর্ষ বিশ্ববিদ্যালয়ে আমার মেজর বেছে নিয়েছিলাম এবং এমনকি কলেজে"&amp;"র অধ্যাপকদের অনুরোধে বড় ক্লাসে উপস্থাপনা করেছিলাম যে আমি জুয়া খেলায় কতটা ভালো তা নিয়ে। কলেজ শেষ হওয়ার পর আমি কেবল লক্ষ লক্ষ ডলারই হেরে যাইনি এবং নিঃস্ব হয়ে গিয়েছিলাম, বরং আমি একজন বুকিও ছিলাম যে নিজের বইয়ের বিরুদ্ধে বাজি ধরত এবং হাজার হাজার ডলার ঋ"&amp;"ণের জন্য তীব্র জনতার সাথে জড়িত লোকদের দ্বারা হুমকির মুখে পড়েছিলাম। আমি তাদের সাথে কঠোর পরিশ্রম করেছি, যাদের আমি যত্ন করেছিলাম তাদের হুমকির মুখে ফেলে তাদের কল্যাণ ঝুঁকির মুখে ফেলেছি, এবং অবশেষে তারা আমাকে একা ছেড়ে দিয়েছে কারণ ২০১৭ সালে আমি যে ব্যবসা শু"&amp;"রু করেছিলাম তার প্রকৃতি তাদের জন্য আমার পিছনে ছুটতে ঝুঁকিপূর্ণ করে তুলেছিল। সেই বছরগুলিতে, আমি শত শত এবং লক্ষ লক্ষ ডলার জুয়া হেরেছি। আমি ক্রিপ্টোকারেন্সিতে প্রাথমিক বিনিয়োগকারী ছিলাম এবং প্রায় একচেটিয়াভাবে ক্রিপ্টো দিয়ে বাজি ধরতাম। এটি গুরুত্বপূর্ণ ন"&amp;"য়, তবে বর্তমান মূল্যের সেই ক্ষতিগুলি সহজেই $10 মিলিয়ন বিটকয়েনের, সম্ভবত আরও বেশি। রেডডিটে গেমস্টপ উন্মাদনা আমাকে চুষে নেওয়ার পরে আমি 2018-2021 পর্যন্ত প্রায় তিন বছরের পরিষ্কার সময় কাটিয়েছি। ভেবেছিলাম আমি কেবল কয়েক দিনের দ্রুত ট্রেড করব, তরঙ্গে চড়"&amp;"ে বেরিয়ে যাব। আমার ব্যাংক অ্যাকাউন্টে $70,000 পর্যন্ত কষ্টার্জিত অর্থ ছিল, এটি এখন পর্যন্ত সেরা ছিল, আমি জুয়া খেলার এত দিন পরে যে আমি নিশ্চিত হয়েছিলাম যে এটি অতীতের জিনিস, এবং আমার ""খেলার জন্য কিছু গ্র্যান্ড ছিল""। GameStop-এর একটা ট্রেড, আর আমি কিছু "&amp;"বুঝে ওঠার আগেই আমি এক মাসে ৫০ বা ৬০ গ্র্যান্ড হারিয়ে ফেলেছিলাম (আমি বুঝতে পেরেছিলাম যে আমার ME ক্ষতি বেশ দ্রুতই হয়েছে, সেই কাল্টে যোগ দিচ্ছি না, ২০-৩০ গ্র্যান্ড বেশি স্পোর্টস বেটিং হেরে গেছে) এবং আবার আগের অবস্থায় ফিরে এসেছি। এই করুণ পুনরাবৃত্তির কারণে"&amp;" আমি আবার আগাছা ধূমপান এবং মাদক গ্রহণ শুরু করি। আমার ক্যানাবিনয়েড হাইপারেমেসিস সিনড্রোম নামক আগাছার প্রতি মারাত্মক অ্যালার্জি আছে যেখানে আগাছা আক্ষরিক অর্থেই আপনাকে মেরে ফেলতে পারে। তিন মাস ধরে আগাছা এবং অন্যান্য অনেক ওষুধ সেবনের পর, আমার সমস্ত টাকা হারা"&amp;"নোর হতাশায় পরিশ্রম করার পর, আমি নিজেকে পুনর্বাসনে পরীক্ষা করেছিলাম এবং ১০ জুলাই ২০২১ সালে সুস্থ হয়ে উঠেছিলাম। গত সপ্তাহান্তে দ্রুত এগিয়ে চলুন। গত মাসে আমার জুয়ার কিছুটা ল্যাপস হয়েছে, যেমন এখানে সেখানে কয়েকশ হারানো। মূলত ভাগ্যবান হওয়ার চেষ্টা করে এব"&amp;"ং আমার ব্যাংক অ্যাকাউন্টে কিছু গ্র্যান্ড জমা করার জন্য সচেতনভাবে মাঝে মাঝে লম্বা শট নিচ্ছি। ২০১৯-২০২১ সাল পর্যন্ত একটি সুন্দর NYC অ্যাপার্টমেন্টে থাকার পর, আমি আমার বাবা-মায়ের সাথে থাকি। আমি আগস্ট থেকে এখানে আছি। তাছাড়া, আমি অবশেষে এমন একটা পরিস্থিতির মধ"&amp;"্যে পড়ছি যেখানে আমি ব্রুকলিনের কিছু (যদিও খারাপ) অ্যাপার্টমেন্ট দেখছি। তাছাড়া, আমার মনে হয় এটা আমাকে উত্তেজিত করেছে এবং শুক্রবার আমি একটি বিটকয়েন স্পট বুকে $500 জমা করেছি। তাছাড়া, আমি 2 দিনের মধ্যে প্রায় 15টি বাজিতে $500 কে $5000 এ রূপান্তর করেছি। তাছাড়"&amp;"া, আমি প্রতিবার জিতে একটি গ্র্যান্ড তুলেছি, নিজেকে বলেছি যে এটি জুয়া দেবতার আমার জন্য শেষ উপহার, এবং যতক্ষণ না উত্তেজনা শেষ হয় ততক্ষণ আমি ভারী হয়ে যাব। একবার আমি একটি বাজি হেরে গেলে, আমি নিজেকে প্রতিশ্রুতি দিয়েছিলাম, আমি এই নতুন পাওয়া টাকাটি আমার ব্যাংক"&amp;" অ্যাকাউন্টে রাখব এবং এটিকে একটি ক্যারিয়ার বলব। আমি ভুলে গেছি যে তুমি আর না ওঠা পর্যন্ত থামবে না। 24 ঘন্টা আগে আমার $5,700 বেড়ে গিয়েছিল। গত এক বছরে আমি যে পরিস্থিতির মুখোমুখি হয়েছি, সেটা জীবন বদলে দেওয়ার মতো। আমি এর মধ্যে $3,500 আমার ব্যাংক অ্যাকাউন্"&amp;"টে তুলেছিলাম। গত রাতে অস্ট্রেলিয়ান ওপেন চ্যাম্পিয়নশিপে আমি $২,২০০ দিয়েছিলাম, এবং ছয় ঘন্টার এক ম্যাচে নৃশংসভাবে হেরে গিয়েছিলাম যা আমাকে পূর্ব সময় সকাল ৯ টা পর্যন্ত জেগে থাকতে সাহায্য করেছিল। তাছাড়া, আমি প্রায় ২০ মিনিট আমার কথা রাখতে পেরেছিলাম। এরপর"&amp;" আমি জানতাম যে আমি হাওড়ার শেষ ম্যাচের জন্য $৫০০ আবার সাইটে রেখেছিলাম। এরপর আমি জানি যে এটি আরও একটি দুর্দান্ত কারণ সেই বাজি হেরে গেছে। এরপর আমি জানি যে এটি আরও একটি দুর্দান্ত জিনিস। এবং এখন আমরা এখানে, ২৪ ঘন্টা পরে, এবং আমার ব্যাংক অ্যাকাউন্ট প্রায় শূন্"&amp;"য। আমি নিজের জন্য খুব লজ্জিত কারণ আমার মনে হয় যে আমি আমার বছরের পর বছর ধরে জ্ঞানী হওয়ার জন্য এই পাঠগুলি থেকে যথেষ্ট শিখেছি। এবং এটি আমাকে প্রায় নিজের জন্য শোক করতে বাধ্য করে যেন আমার মস্তিষ্কে এমন কিছু ভেঙে গেছে যা কখনও ঠিক হবে না। মাদকের কারণে আমার সং"&amp;"যম বজায় রেখে আমি ঠিক আছি (আমার বাবা-মায়ের সাথে একটি ছোট বাড়িতে থাকা যারা আমার সমস্যা সম্পর্কে জানেন সাহায্য করে), কিন্তু আমি অবিশ্বাস্যভাবে হতাশাগ্রস্ত এবং নিজের উপর রাগান্বিত। আমি আমার বাবা-মায়ের সাথে থাকার লজ্জা থেকে আরও কয়েক মাস নিজেকে কিনেছি, আমা"&amp;"র নিজের জায়গায় যেতে না পেরে। যদিও অনেকেই আমাকে সফল এবং এমনকি অনুপ্রেরণামূলক হিসেবে দেখে কারণ আমি আমার ঘনিষ্ঠ বন্ধুবান্ধব এবং পরিবার ছাড়া সকলের কাছ থেকে আমার ত্রুটিগুলি লুকিয়ে রাখি এবং কিছুটা জনসাধারণের কাছেও পরিচিত, আমি এখন নিজের দিকে তাকাই এবং আমার দ"&amp;"েখা সবচেয়ে বড় ক্ষতিগ্রস্থ ব্যক্তিত্বকে দেখতে পাই।")</f>
        <v>প্রসঙ্গ: আমার বয়স ২৬ বছর। কাগজে কলমে, আমি সফল এবং একটি দুর্দান্ত কোম্পানি চালাই যা সম্ভবত আমাকে ভালো অর্থ উপার্জন করবে এবং একটি ভালো জীবনযাপন করবে। ১৮ বছর বয়স থেকেই আমি একজন প্রচণ্ড জুয়ার আসক্ত। অল্প বয়সে, দীর্ঘ সময় ধরে ছয় অঙ্কের মতো, প্রচুর টাকা জিতে আমি অভিশপ্ত ছিলাম এবং ভাবতাম যে আমি একজন পেশাদার। আমি চেয়েছিলাম আমার জীবন হয় পেশাদার ক্রীড়া বাজি অথবা আমার ক্রীড়া বাজি দক্ষতার উপর ভিত্তি করে বিশ্লেষণ হোক। তাছাড়া, আমি এর ভিত্তিতে একটি শীর্ষ বিশ্ববিদ্যালয়ে আমার মেজর বেছে নিয়েছিলাম এবং এমনকি কলেজের অধ্যাপকদের অনুরোধে বড় ক্লাসে উপস্থাপনা করেছিলাম যে আমি জুয়া খেলায় কতটা ভালো তা নিয়ে। কলেজ শেষ হওয়ার পর আমি কেবল লক্ষ লক্ষ ডলারই হেরে যাইনি এবং নিঃস্ব হয়ে গিয়েছিলাম, বরং আমি একজন বুকিও ছিলাম যে নিজের বইয়ের বিরুদ্ধে বাজি ধরত এবং হাজার হাজার ডলার ঋণের জন্য তীব্র জনতার সাথে জড়িত লোকদের দ্বারা হুমকির মুখে পড়েছিলাম। আমি তাদের সাথে কঠোর পরিশ্রম করেছি, যাদের আমি যত্ন করেছিলাম তাদের হুমকির মুখে ফেলে তাদের কল্যাণ ঝুঁকির মুখে ফেলেছি, এবং অবশেষে তারা আমাকে একা ছেড়ে দিয়েছে কারণ ২০১৭ সালে আমি যে ব্যবসা শুরু করেছিলাম তার প্রকৃতি তাদের জন্য আমার পিছনে ছুটতে ঝুঁকিপূর্ণ করে তুলেছিল। সেই বছরগুলিতে, আমি শত শত এবং লক্ষ লক্ষ ডলার জুয়া হেরেছি। আমি ক্রিপ্টোকারেন্সিতে প্রাথমিক বিনিয়োগকারী ছিলাম এবং প্রায় একচেটিয়াভাবে ক্রিপ্টো দিয়ে বাজি ধরতাম। এটি গুরুত্বপূর্ণ নয়, তবে বর্তমান মূল্যের সেই ক্ষতিগুলি সহজেই $10 মিলিয়ন বিটকয়েনের, সম্ভবত আরও বেশি। রেডডিটে গেমস্টপ উন্মাদনা আমাকে চুষে নেওয়ার পরে আমি 2018-2021 পর্যন্ত প্রায় তিন বছরের পরিষ্কার সময় কাটিয়েছি। ভেবেছিলাম আমি কেবল কয়েক দিনের দ্রুত ট্রেড করব, তরঙ্গে চড়ে বেরিয়ে যাব। আমার ব্যাংক অ্যাকাউন্টে $70,000 পর্যন্ত কষ্টার্জিত অর্থ ছিল, এটি এখন পর্যন্ত সেরা ছিল, আমি জুয়া খেলার এত দিন পরে যে আমি নিশ্চিত হয়েছিলাম যে এটি অতীতের জিনিস, এবং আমার "খেলার জন্য কিছু গ্র্যান্ড ছিল"। GameStop-এর একটা ট্রেড, আর আমি কিছু বুঝে ওঠার আগেই আমি এক মাসে ৫০ বা ৬০ গ্র্যান্ড হারিয়ে ফেলেছিলাম (আমি বুঝতে পেরেছিলাম যে আমার ME ক্ষতি বেশ দ্রুতই হয়েছে, সেই কাল্টে যোগ দিচ্ছি না, ২০-৩০ গ্র্যান্ড বেশি স্পোর্টস বেটিং হেরে গেছে) এবং আবার আগের অবস্থায় ফিরে এসেছি। এই করুণ পুনরাবৃত্তির কারণে আমি আবার আগাছা ধূমপান এবং মাদক গ্রহণ শুরু করি। আমার ক্যানাবিনয়েড হাইপারেমেসিস সিনড্রোম নামক আগাছার প্রতি মারাত্মক অ্যালার্জি আছে যেখানে আগাছা আক্ষরিক অর্থেই আপনাকে মেরে ফেলতে পারে। তিন মাস ধরে আগাছা এবং অন্যান্য অনেক ওষুধ সেবনের পর, আমার সমস্ত টাকা হারানোর হতাশায় পরিশ্রম করার পর, আমি নিজেকে পুনর্বাসনে পরীক্ষা করেছিলাম এবং ১০ জুলাই ২০২১ সালে সুস্থ হয়ে উঠেছিলাম। গত সপ্তাহান্তে দ্রুত এগিয়ে চলুন। গত মাসে আমার জুয়ার কিছুটা ল্যাপস হয়েছে, যেমন এখানে সেখানে কয়েকশ হারানো। মূলত ভাগ্যবান হওয়ার চেষ্টা করে এবং আমার ব্যাংক অ্যাকাউন্টে কিছু গ্র্যান্ড জমা করার জন্য সচেতনভাবে মাঝে মাঝে লম্বা শট নিচ্ছি। ২০১৯-২০২১ সাল পর্যন্ত একটি সুন্দর NYC অ্যাপার্টমেন্টে থাকার পর, আমি আমার বাবা-মায়ের সাথে থাকি। আমি আগস্ট থেকে এখানে আছি। তাছাড়া, আমি অবশেষে এমন একটা পরিস্থিতির মধ্যে পড়ছি যেখানে আমি ব্রুকলিনের কিছু (যদিও খারাপ) অ্যাপার্টমেন্ট দেখছি। তাছাড়া, আমার মনে হয় এটা আমাকে উত্তেজিত করেছে এবং শুক্রবার আমি একটি বিটকয়েন স্পট বুকে $500 জমা করেছি। তাছাড়া, আমি 2 দিনের মধ্যে প্রায় 15টি বাজিতে $500 কে $5000 এ রূপান্তর করেছি। তাছাড়া, আমি প্রতিবার জিতে একটি গ্র্যান্ড তুলেছি, নিজেকে বলেছি যে এটি জুয়া দেবতার আমার জন্য শেষ উপহার, এবং যতক্ষণ না উত্তেজনা শেষ হয় ততক্ষণ আমি ভারী হয়ে যাব। একবার আমি একটি বাজি হেরে গেলে, আমি নিজেকে প্রতিশ্রুতি দিয়েছিলাম, আমি এই নতুন পাওয়া টাকাটি আমার ব্যাংক অ্যাকাউন্টে রাখব এবং এটিকে একটি ক্যারিয়ার বলব। আমি ভুলে গেছি যে তুমি আর না ওঠা পর্যন্ত থামবে না। 24 ঘন্টা আগে আমার $5,700 বেড়ে গিয়েছিল। গত এক বছরে আমি যে পরিস্থিতির মুখোমুখি হয়েছি, সেটা জীবন বদলে দেওয়ার মতো। আমি এর মধ্যে $3,500 আমার ব্যাংক অ্যাকাউন্টে তুলেছিলাম। গত রাতে অস্ট্রেলিয়ান ওপেন চ্যাম্পিয়নশিপে আমি $২,২০০ দিয়েছিলাম, এবং ছয় ঘন্টার এক ম্যাচে নৃশংসভাবে হেরে গিয়েছিলাম যা আমাকে পূর্ব সময় সকাল ৯ টা পর্যন্ত জেগে থাকতে সাহায্য করেছিল। তাছাড়া, আমি প্রায় ২০ মিনিট আমার কথা রাখতে পেরেছিলাম। এরপর আমি জানতাম যে আমি হাওড়ার শেষ ম্যাচের জন্য $৫০০ আবার সাইটে রেখেছিলাম। এরপর আমি জানি যে এটি আরও একটি দুর্দান্ত কারণ সেই বাজি হেরে গেছে। এরপর আমি জানি যে এটি আরও একটি দুর্দান্ত জিনিস। এবং এখন আমরা এখানে, ২৪ ঘন্টা পরে, এবং আমার ব্যাংক অ্যাকাউন্ট প্রায় শূন্য। আমি নিজের জন্য খুব লজ্জিত কারণ আমার মনে হয় যে আমি আমার বছরের পর বছর ধরে জ্ঞানী হওয়ার জন্য এই পাঠগুলি থেকে যথেষ্ট শিখেছি। এবং এটি আমাকে প্রায় নিজের জন্য শোক করতে বাধ্য করে যেন আমার মস্তিষ্কে এমন কিছু ভেঙে গেছে যা কখনও ঠিক হবে না। মাদকের কারণে আমার সংযম বজায় রেখে আমি ঠিক আছি (আমার বাবা-মায়ের সাথে একটি ছোট বাড়িতে থাকা যারা আমার সমস্যা সম্পর্কে জানেন সাহায্য করে), কিন্তু আমি অবিশ্বাস্যভাবে হতাশাগ্রস্ত এবং নিজের উপর রাগান্বিত। আমি আমার বাবা-মায়ের সাথে থাকার লজ্জা থেকে আরও কয়েক মাস নিজেকে কিনেছি, আমার নিজের জায়গায় যেতে না পেরে। যদিও অনেকেই আমাকে সফল এবং এমনকি অনুপ্রেরণামূলক হিসেবে দেখে কারণ আমি আমার ঘনিষ্ঠ বন্ধুবান্ধব এবং পরিবার ছাড়া সকলের কাছ থেকে আমার ত্রুটিগুলি লুকিয়ে রাখি এবং কিছুটা জনসাধারণের কাছেও পরিচিত, আমি এখন নিজের দিকে তাকাই এবং আমার দেখা সবচেয়ে বড় ক্ষতিগ্রস্থ ব্যক্তিত্বকে দেখতে পাই।</v>
      </c>
    </row>
    <row r="427" spans="1:3" ht="15" x14ac:dyDescent="0.25">
      <c r="A427" s="3" t="s">
        <v>428</v>
      </c>
      <c r="B427" s="3" t="s">
        <v>4</v>
      </c>
      <c r="C427" s="4" t="str">
        <f ca="1">IFERROR(__xludf.DUMMYFUNCTION("GOOGLETRANSLATE(A427, ""auto"", ""bn"")"),"সমবয়সীদের প্রভাব, অযৌক্তিক চিন্তাভাবনা এবং অ্যাডভেঞ্চারের প্রয়োজন হলো কিশোর-কিশোরীদের বৈশিষ্ট্য। আপনি আপনার কিশোর-কিশোরীকে অপ্রাপ্তবয়স্ক মদ্যপান এবং অ্যালকোহলের আসক্তি থেকে বিরত রাখতে পারেন।")</f>
        <v>সমবয়সীদের প্রভাব, অযৌক্তিক চিন্তাভাবনা এবং অ্যাডভেঞ্চারের প্রয়োজন হলো কিশোর-কিশোরীদের বৈশিষ্ট্য। আপনি আপনার কিশোর-কিশোরীকে অপ্রাপ্তবয়স্ক মদ্যপান এবং অ্যালকোহলের আসক্তি থেকে বিরত রাখতে পারেন।</v>
      </c>
    </row>
    <row r="428" spans="1:3" ht="15" x14ac:dyDescent="0.25">
      <c r="A428" s="3" t="s">
        <v>429</v>
      </c>
      <c r="B428" s="3" t="s">
        <v>4</v>
      </c>
      <c r="C428" s="4" t="str">
        <f ca="1">IFERROR(__xludf.DUMMYFUNCTION("GOOGLETRANSLATE(A428, ""auto"", ""bn"")"),"আমি জানি না এটা অনুমোদিত কিনা। কিন্তু আমি একজন সুস্থ হয়ে ওঠা আসক্ত এবং আমার গল্প শেয়ার করার জন্য আমি একটি Subreddit তৈরি করেছি। যদি আপনারা আমার মাদক/অ্যালকোহল পুনরুদ্ধার পৃষ্ঠাটি পড়তে এবং যোগদান করতে আগ্রহী হন, তাহলে দয়া করে আমাকে জানান! আমি একটি সম্প"&amp;"্রদায় তৈরি করতে চাই এবং মানুষ একে অপরকে সাহায্য করতে চাই।")</f>
        <v>আমি জানি না এটা অনুমোদিত কিনা। কিন্তু আমি একজন সুস্থ হয়ে ওঠা আসক্ত এবং আমার গল্প শেয়ার করার জন্য আমি একটি Subreddit তৈরি করেছি। যদি আপনারা আমার মাদক/অ্যালকোহল পুনরুদ্ধার পৃষ্ঠাটি পড়তে এবং যোগদান করতে আগ্রহী হন, তাহলে দয়া করে আমাকে জানান! আমি একটি সম্প্রদায় তৈরি করতে চাই এবং মানুষ একে অপরকে সাহায্য করতে চাই।</v>
      </c>
    </row>
    <row r="429" spans="1:3" ht="15" x14ac:dyDescent="0.25">
      <c r="A429" s="3" t="s">
        <v>430</v>
      </c>
      <c r="B429" s="3" t="s">
        <v>4</v>
      </c>
      <c r="C429" s="4" t="str">
        <f ca="1">IFERROR(__xludf.DUMMYFUNCTION("GOOGLETRANSLATE(A429, ""auto"", ""bn"")"),"সবাইকে হ্যালো, আমি জানতে চাই, আমরা প্রথমবারের মতো কী আমাদের আসক্ত হতে বাধ্য করে? যদি আমরা এর উত্তর পেতে পারি, তাহলে আমরা সমাধান খুঁজে পেতে পারি। আমি ৪ বছর পর ১৪ দিন ধরে গাঁজা সেবন ছেড়ে দেওয়ার চেষ্টা করব। সম্ভবত আমি প্রশ্নের উত্তর দিতে পারব।")</f>
        <v>সবাইকে হ্যালো, আমি জানতে চাই, আমরা প্রথমবারের মতো কী আমাদের আসক্ত হতে বাধ্য করে? যদি আমরা এর উত্তর পেতে পারি, তাহলে আমরা সমাধান খুঁজে পেতে পারি। আমি ৪ বছর পর ১৪ দিন ধরে গাঁজা সেবন ছেড়ে দেওয়ার চেষ্টা করব। সম্ভবত আমি প্রশ্নের উত্তর দিতে পারব।</v>
      </c>
    </row>
    <row r="430" spans="1:3" ht="15" x14ac:dyDescent="0.25">
      <c r="A430" s="3" t="s">
        <v>431</v>
      </c>
      <c r="B430" s="3" t="s">
        <v>4</v>
      </c>
      <c r="C430" s="4" t="str">
        <f ca="1">IFERROR(__xludf.DUMMYFUNCTION("GOOGLETRANSLATE(A430, ""auto"", ""bn"")"),"আশা করি, যারা একই রকম অভিজ্ঞতার মধ্য দিয়ে গেছেন, তারা কিছু দৃষ্টিভঙ্গি দিতে পারবেন। অনেক সময়, আপনি লোকেদের ""আমি কেবল সেই আনন্দ এবং সুখ অনুভব করতে চাই যা আমি ব্যবহার শুরু করার আগে পেয়েছিলাম"" বা ""আমি যখন পুনরায় মাদকাসক্তি শুরু করার আগে ফিরে যাই, যখন "&amp;"আমি খুব খুশি এবং আনন্দিত ছিলাম"" এই বিষয়ে কথা বলতে দেখবেন। আমি এর সাথে মোটেও সম্পর্কিত নই। আমার কাছে, সত্যিকার অর্থে একমাত্র সত্যিকারের, একেবারে আশ্চর্যজনক সুখ যা আমি কখনও অনুভব করেছি তা হল মাদকের মাধ্যমে। অন্য সবকিছু, পারিবারিক স্মৃতি, বন্ধুদের সাথে সময"&amp;"়, তুলনা করার মতো নয়। আমি 2 বছর ধরে এখানে এবং সেখানে পুনরায় মাদকাসক্তির সাথে ""সেরে ওঠার পথে"" আছি। বর্তমানে একটি হাফ-ওয়ে বাড়িতে থাকি এবং কয়েক মাস পরে আমার বাবা-মায়ের কাছে চলে যাই যাতে আমি একটি অ্যাপার্টমেন্টের জন্য অর্থ সঞ্চয় করতে পারি। এর পরে, আম"&amp;"ার পরিকল্পনা হল কেবল কাজ করা, বাড়িতে এসে গাঁজা ধূমপান করা, এবং ধুয়ে ফেলা এবং পুনরাবৃত্তি করা। মাদক গ্রহণ ছাড়াও আমি যে জিনিসগুলি উপভোগ করি তা হল ভিডিও গেম, পৌত্তলিক আধ্যাত্মিকতা এবং ভারী ধাতব সঙ্গীত বাজানো/লেখা, খ্রিস্টান হাফওয়ে বাড়িতে আমি যে সমস্ত জি"&amp;"নিসের প্রতি ভ্রুকুটি করি, সেই সমস্ত জিনিস যা আমার বাবা-মাও ভ্রুকুটি করে। এর ফলে আমার জন্য একই রকম আগ্রহের মানুষদের খুঁজে বের করা খুবই বিব্রতকর হয়ে ওঠে, কারণ হাউস ম্যানেজার এবং আমার বাবা-মা আমার আগ্রহ সম্পর্কে জানতে চাইবেন এবং আমাকে তা থেকে বিরত রাখবেন। ত"&amp;"াই, আমি যতটা সম্ভব আমার ঘরে থাকার চেষ্টা করি এবং কারও সাথে যোগাযোগ না করি। যদি আমি একদিনে অন্য কাউকে একটি কথাও না বলেই চলতে পারি, তাহলে আমি এটিকে একটি বিজয় বলে মনে করি। আমি অন্তর্মুখী না বহির্মুখী তা আমার কোনও ধারণা নেই, তবে আমি সত্যিই আর সুস্থ হয়ে ওঠা "&amp;"মানুষের সাথে থাকা সহ্য করতে পারি না, একই কথা বারবার বারবার বারবার বারবার বলছি - রুম থেকে উদ্ধৃতি, অসম্প্রদায়িক খ্রিস্টীয় উক্তি, একটি অসম্পূর্ণ ঘরে থাকার সুযোগ পেয়ে তারা কতটা ধন্য তা নিয়ে কথা বলছি। আমার আগে খুব উচ্চাকাঙ্ক্ষা ছিল, কিন্তু আমি বুঝতে পেরেছ"&amp;"ি যে এগুলি সবই বাজে কথা। ৩ মাস ধরে প্রতিদিন ধ্যান করতে, আধ্যাত্মিক সাহিত্য পড়তে এবং বুদ্ধিবৃত্তিকভাবে উদ্দীপক কথোপকথনে লিপ্ত হতে আমার যা যা ক্ষমতা ছিল, তা সবই লেগে গেল, কিন্তু এক বাটি আগাছার মতো স্বস্তি এবং সুখ এখনও পাইনি। আমি থেরাপি চেষ্টা করেছি; আমার প"&amp;"ায়ের আঙ্গুলগুলো আবার ডুবিয়ে দেওয়ার পরিকল্পনা করছি, কিন্তু থেরাপিস্টের পছন্দের জন্য আমার উদ্বেগ এবং চাহিদা আমাকে আমার আসল রাগ, অনৈতিকতা এবং হতাশা প্রকাশ করতে বাধা দেয়, তাই আমি তাদের সাথে এক ঘন্টার জন্য ঘরে আত্ম-বিশ্লেষণ করি এবং একটি ওয়ার্কশিট পাই যা আ"&amp;"মি খুব কমই পূরণ করি। সত্যি বলতে, আমি চাই যে কেউ আমার প্রতিটি ঘৃণ্য, ঘৃণ্য চিন্তাভাবনা শুনে এবং আমার সবচেয়ে খারাপ দিকটি দেখার পরে আমার চোখের দিকে তাকিয়ে বলবে, ""আমি তোমাকে ভালোবাসি এবং তোমার চারপাশে থাকতে পছন্দ করি।"" তার চেয়েও বেশি, আমি তাদের বিশ্বাস ক"&amp;"রতে সক্ষম হতে চাই। এই পোস্টটি এখন একটি অপ্রস্তুত পোস্টে পরিণত হয়েছে, তাই আমি এর জন্য ক্ষমা চাইছি। আশা করি কেউ এটি দেখবে এবং সম্পর্ক স্থাপন করতে পারবে এবং আমাকে কিছু নির্দেশনা দেবে। আপনি কীভাবে একটি শান্ত জীবন কামনা করতে শুরু করবেন যখন আপনার জানা একমাত্র "&amp;"সুখ হল মাদক এবং অ্যালকোহল?")</f>
        <v>আশা করি, যারা একই রকম অভিজ্ঞতার মধ্য দিয়ে গেছেন, তারা কিছু দৃষ্টিভঙ্গি দিতে পারবেন। অনেক সময়, আপনি লোকেদের "আমি কেবল সেই আনন্দ এবং সুখ অনুভব করতে চাই যা আমি ব্যবহার শুরু করার আগে পেয়েছিলাম" বা "আমি যখন পুনরায় মাদকাসক্তি শুরু করার আগে ফিরে যাই, যখন আমি খুব খুশি এবং আনন্দিত ছিলাম" এই বিষয়ে কথা বলতে দেখবেন। আমি এর সাথে মোটেও সম্পর্কিত নই। আমার কাছে, সত্যিকার অর্থে একমাত্র সত্যিকারের, একেবারে আশ্চর্যজনক সুখ যা আমি কখনও অনুভব করেছি তা হল মাদকের মাধ্যমে। অন্য সবকিছু, পারিবারিক স্মৃতি, বন্ধুদের সাথে সময়, তুলনা করার মতো নয়। আমি 2 বছর ধরে এখানে এবং সেখানে পুনরায় মাদকাসক্তির সাথে "সেরে ওঠার পথে" আছি। বর্তমানে একটি হাফ-ওয়ে বাড়িতে থাকি এবং কয়েক মাস পরে আমার বাবা-মায়ের কাছে চলে যাই যাতে আমি একটি অ্যাপার্টমেন্টের জন্য অর্থ সঞ্চয় করতে পারি। এর পরে, আমার পরিকল্পনা হল কেবল কাজ করা, বাড়িতে এসে গাঁজা ধূমপান করা, এবং ধুয়ে ফেলা এবং পুনরাবৃত্তি করা। মাদক গ্রহণ ছাড়াও আমি যে জিনিসগুলি উপভোগ করি তা হল ভিডিও গেম, পৌত্তলিক আধ্যাত্মিকতা এবং ভারী ধাতব সঙ্গীত বাজানো/লেখা, খ্রিস্টান হাফওয়ে বাড়িতে আমি যে সমস্ত জিনিসের প্রতি ভ্রুকুটি করি, সেই সমস্ত জিনিস যা আমার বাবা-মাও ভ্রুকুটি করে। এর ফলে আমার জন্য একই রকম আগ্রহের মানুষদের খুঁজে বের করা খুবই বিব্রতকর হয়ে ওঠে, কারণ হাউস ম্যানেজার এবং আমার বাবা-মা আমার আগ্রহ সম্পর্কে জানতে চাইবেন এবং আমাকে তা থেকে বিরত রাখবেন। তাই, আমি যতটা সম্ভব আমার ঘরে থাকার চেষ্টা করি এবং কারও সাথে যোগাযোগ না করি। যদি আমি একদিনে অন্য কাউকে একটি কথাও না বলেই চলতে পারি, তাহলে আমি এটিকে একটি বিজয় বলে মনে করি। আমি অন্তর্মুখী না বহির্মুখী তা আমার কোনও ধারণা নেই, তবে আমি সত্যিই আর সুস্থ হয়ে ওঠা মানুষের সাথে থাকা সহ্য করতে পারি না, একই কথা বারবার বারবার বারবার বারবার বলছি - রুম থেকে উদ্ধৃতি, অসম্প্রদায়িক খ্রিস্টীয় উক্তি, একটি অসম্পূর্ণ ঘরে থাকার সুযোগ পেয়ে তারা কতটা ধন্য তা নিয়ে কথা বলছি। আমার আগে খুব উচ্চাকাঙ্ক্ষা ছিল, কিন্তু আমি বুঝতে পেরেছি যে এগুলি সবই বাজে কথা। ৩ মাস ধরে প্রতিদিন ধ্যান করতে, আধ্যাত্মিক সাহিত্য পড়তে এবং বুদ্ধিবৃত্তিকভাবে উদ্দীপক কথোপকথনে লিপ্ত হতে আমার যা যা ক্ষমতা ছিল, তা সবই লেগে গেল, কিন্তু এক বাটি আগাছার মতো স্বস্তি এবং সুখ এখনও পাইনি। আমি থেরাপি চেষ্টা করেছি; আমার পায়ের আঙ্গুলগুলো আবার ডুবিয়ে দেওয়ার পরিকল্পনা করছি, কিন্তু থেরাপিস্টের পছন্দের জন্য আমার উদ্বেগ এবং চাহিদা আমাকে আমার আসল রাগ, অনৈতিকতা এবং হতাশা প্রকাশ করতে বাধা দেয়, তাই আমি তাদের সাথে এক ঘন্টার জন্য ঘরে আত্ম-বিশ্লেষণ করি এবং একটি ওয়ার্কশিট পাই যা আমি খুব কমই পূরণ করি। সত্যি বলতে, আমি চাই যে কেউ আমার প্রতিটি ঘৃণ্য, ঘৃণ্য চিন্তাভাবনা শুনে এবং আমার সবচেয়ে খারাপ দিকটি দেখার পরে আমার চোখের দিকে তাকিয়ে বলবে, "আমি তোমাকে ভালোবাসি এবং তোমার চারপাশে থাকতে পছন্দ করি।" তার চেয়েও বেশি, আমি তাদের বিশ্বাস করতে সক্ষম হতে চাই। এই পোস্টটি এখন একটি অপ্রস্তুত পোস্টে পরিণত হয়েছে, তাই আমি এর জন্য ক্ষমা চাইছি। আশা করি কেউ এটি দেখবে এবং সম্পর্ক স্থাপন করতে পারবে এবং আমাকে কিছু নির্দেশনা দেবে। আপনি কীভাবে একটি শান্ত জীবন কামনা করতে শুরু করবেন যখন আপনার জানা একমাত্র সুখ হল মাদক এবং অ্যালকোহল?</v>
      </c>
    </row>
    <row r="431" spans="1:3" ht="15" x14ac:dyDescent="0.25">
      <c r="A431" s="3" t="s">
        <v>432</v>
      </c>
      <c r="B431" s="3" t="s">
        <v>4</v>
      </c>
      <c r="C431" s="4" t="str">
        <f ca="1">IFERROR(__xludf.DUMMYFUNCTION("GOOGLETRANSLATE(A431, ""auto"", ""bn"")"),"আমার বয়স ১৮ এবং আমার বিএডি আছে। আমি অতিরিক্ত মদ্যপান করি এবং তারপর সীমিত করি, আর আমি আসলে জানি না কিভাবে নিজেকে থামাবো। তাছাড়া, আমার ভালো-মন্দ মাসিক হয়েছে, কিন্তু আমি কখনো খাবারের সাথে শান্তি স্থাপন করতে পারিনি। তাছাড়া, আমি একটা খারাপ সময়ের মধ্য দিয়ে"&amp;" যাচ্ছি, এবং এটি এক মাস ধরে চলে আসছে। তাছাড়া, আমি অতিরিক্ত মদ্যপান বন্ধ করতে পারছি না, এবং সবকিছু প্রায় ভেঙে পড়ছে। তাছাড়া, আমি পড়াশোনা করতে পারছি না, আমার কোন বন্ধু নেই, এবং আমার পরিবার আমাকে প্রায় পরিত্যাগ করছে, আমাকে পাগল বলছে এবং সাহায্য করার চেষ"&amp;"্টা করছে না। তাছাড়া, আমি সত্যিই জানি না আর কী করব। তাছাড়া, আমি তিন-চার বছর ধরে বিছানায় শুয়ে আছি। তাছাড়া, আমি ভয় পাচ্ছি যে আমি এত মোটা হয়ে যাব যে লোকেরা আমাকে অপমান করতে শুরু করবে, অথবা তারা আমার বন্ধু হবে না।")</f>
        <v>আমার বয়স ১৮ এবং আমার বিএডি আছে। আমি অতিরিক্ত মদ্যপান করি এবং তারপর সীমিত করি, আর আমি আসলে জানি না কিভাবে নিজেকে থামাবো। তাছাড়া, আমার ভালো-মন্দ মাসিক হয়েছে, কিন্তু আমি কখনো খাবারের সাথে শান্তি স্থাপন করতে পারিনি। তাছাড়া, আমি একটা খারাপ সময়ের মধ্য দিয়ে যাচ্ছি, এবং এটি এক মাস ধরে চলে আসছে। তাছাড়া, আমি অতিরিক্ত মদ্যপান বন্ধ করতে পারছি না, এবং সবকিছু প্রায় ভেঙে পড়ছে। তাছাড়া, আমি পড়াশোনা করতে পারছি না, আমার কোন বন্ধু নেই, এবং আমার পরিবার আমাকে প্রায় পরিত্যাগ করছে, আমাকে পাগল বলছে এবং সাহায্য করার চেষ্টা করছে না। তাছাড়া, আমি সত্যিই জানি না আর কী করব। তাছাড়া, আমি তিন-চার বছর ধরে বিছানায় শুয়ে আছি। তাছাড়া, আমি ভয় পাচ্ছি যে আমি এত মোটা হয়ে যাব যে লোকেরা আমাকে অপমান করতে শুরু করবে, অথবা তারা আমার বন্ধু হবে না।</v>
      </c>
    </row>
    <row r="432" spans="1:3" ht="15" x14ac:dyDescent="0.25">
      <c r="A432" s="3" t="s">
        <v>433</v>
      </c>
      <c r="B432" s="3" t="s">
        <v>4</v>
      </c>
      <c r="C432" s="4" t="str">
        <f ca="1">IFERROR(__xludf.DUMMYFUNCTION("GOOGLETRANSLATE(A432, ""auto"", ""bn"")"),"তাই শুরুতেই বলতে গেলে, এখানে অনেকের মতো আমারও একটা চরম আসক্তিকর ব্যক্তিত্ব আছে। আমি আক্ষরিক অর্থেই মানসিক/শারীরিকভাবে এমন যেকোনো পদার্থের প্রতি আসক্ত হয়ে পড়তে পারি যা আমাকে আমার মাথা থেকে বের করে দেয়। বিশেষ করে যদি এটি বৈধ হয়, লুকানো সহজ হয়, অথবা কাউ"&amp;"ন্টার (বেনজিন) এর উপরে থাকে। এটা খুবই দুঃখজনক। গত ২ বছরে আমি ট্র্যাভারটাইনের ভয়াবহ আসক্তি কাটিয়ে উঠেছি। আমার মেয়ের জন্মের দিন থেকেই আমি ঠান্ডা মাথার মাদকাসক্তি ছেড়ে দিয়েছি। (তার বয়স এখন ৮ মাস) আমি প্রতিদিন দৌড়াতে শুরু করেছি, স্বাস্থ্যকর খাবার খেতে "&amp;"শুরু করেছি এবং খুব নিয়মানুবর্তিতায় জীবনযাপন করছি। আমি প্রায় ৭ মাস ধরে খুশি ছিলাম। কিন্তু এখন আমি বেনজিনের সাথে হোঁচট খেয়েছি... আমি এক মাস ধরে এই কাজ করছি, এবং আমি অনুভব করছি যে এর নখর ঢুকে যাচ্ছে। আমার একটি পরিবার আছে... দুটি বাচ্চা এবং একজন স্ত্রী..."&amp;" তাছাড়া, আমি একটি অত্যন্ত উচ্চ চাপের চাকরি করি যা প্রায়শই আমার সবকিছু কেড়ে নেয়। তাছাড়া, আমার প্রশ্ন হল আমি কেন এমন? কেন আমি ক্রমাগত এই প্রয়োজন অনুভব করি যে আমি মাথা থেকে বেরিয়ে যাই? এটা কি শৈশবের ট্রমা? IDK। আমি হারিয়ে গেছি। যেকোনো পরামর্শের জন্য "&amp;"কৃতজ্ঞ।")</f>
        <v>তাই শুরুতেই বলতে গেলে, এখানে অনেকের মতো আমারও একটা চরম আসক্তিকর ব্যক্তিত্ব আছে। আমি আক্ষরিক অর্থেই মানসিক/শারীরিকভাবে এমন যেকোনো পদার্থের প্রতি আসক্ত হয়ে পড়তে পারি যা আমাকে আমার মাথা থেকে বের করে দেয়। বিশেষ করে যদি এটি বৈধ হয়, লুকানো সহজ হয়, অথবা কাউন্টার (বেনজিন) এর উপরে থাকে। এটা খুবই দুঃখজনক। গত ২ বছরে আমি ট্র্যাভারটাইনের ভয়াবহ আসক্তি কাটিয়ে উঠেছি। আমার মেয়ের জন্মের দিন থেকেই আমি ঠান্ডা মাথার মাদকাসক্তি ছেড়ে দিয়েছি। (তার বয়স এখন ৮ মাস) আমি প্রতিদিন দৌড়াতে শুরু করেছি, স্বাস্থ্যকর খাবার খেতে শুরু করেছি এবং খুব নিয়মানুবর্তিতায় জীবনযাপন করছি। আমি প্রায় ৭ মাস ধরে খুশি ছিলাম। কিন্তু এখন আমি বেনজিনের সাথে হোঁচট খেয়েছি... আমি এক মাস ধরে এই কাজ করছি, এবং আমি অনুভব করছি যে এর নখর ঢুকে যাচ্ছে। আমার একটি পরিবার আছে... দুটি বাচ্চা এবং একজন স্ত্রী... তাছাড়া, আমি একটি অত্যন্ত উচ্চ চাপের চাকরি করি যা প্রায়শই আমার সবকিছু কেড়ে নেয়। তাছাড়া, আমার প্রশ্ন হল আমি কেন এমন? কেন আমি ক্রমাগত এই প্রয়োজন অনুভব করি যে আমি মাথা থেকে বেরিয়ে যাই? এটা কি শৈশবের ট্রমা? IDK। আমি হারিয়ে গেছি। যেকোনো পরামর্শের জন্য কৃতজ্ঞ।</v>
      </c>
    </row>
    <row r="433" spans="1:3" ht="15" x14ac:dyDescent="0.25">
      <c r="A433" s="3" t="s">
        <v>434</v>
      </c>
      <c r="B433" s="3" t="s">
        <v>4</v>
      </c>
      <c r="C433" s="4" t="str">
        <f ca="1">IFERROR(__xludf.DUMMYFUNCTION("GOOGLETRANSLATE(A433, ""auto"", ""bn"")"),"ভালো ওষুধ বা খারাপ ওষুধ বলে কিছু নেই। এমন একটি রাসায়নিক আছে যা ভালোও নয়, খারাপও নয়, এটি কেবল বিদ্যমান, হয় আমরা এটি তৈরি করেছি অথবা এটি প্রকৃতিতে বিদ্যমান, এবং তারপরে পদার্থের সাথে মানুষের সম্পর্কই সমস্যা।")</f>
        <v>ভালো ওষুধ বা খারাপ ওষুধ বলে কিছু নেই। এমন একটি রাসায়নিক আছে যা ভালোও নয়, খারাপও নয়, এটি কেবল বিদ্যমান, হয় আমরা এটি তৈরি করেছি অথবা এটি প্রকৃতিতে বিদ্যমান, এবং তারপরে পদার্থের সাথে মানুষের সম্পর্কই সমস্যা।</v>
      </c>
    </row>
    <row r="434" spans="1:3" ht="15" x14ac:dyDescent="0.25">
      <c r="A434" s="3" t="s">
        <v>435</v>
      </c>
      <c r="B434" s="3" t="s">
        <v>4</v>
      </c>
      <c r="C434" s="4" t="str">
        <f ca="1">IFERROR(__xludf.DUMMYFUNCTION("GOOGLETRANSLATE(A434, ""auto"", ""bn"")"),"আমার বলতেই হবে যে, আমার কাজ হলো ওয়ালগ্রিনসের বাইরে দাঁড়িয়ে অপরিচিতদের কাছে তোমার ""ডায়াবেটিসের"" জন্য সিরিঞ্জ কিনতে বলা? কারণ তুমি ""তোমার প্রেসক্রিপশন হারিয়ে ফেলেছো, আর তোমার পরিচয়পত্র নেই?""। সত্যি বলতে, গত রাতে একটা খারাপ এলাকার বাস স্টপে তুমি অজ"&amp;"্ঞান হয়ে গিয়েছিলে এবং কেউ তোমার ব্যাগটা নিয়ে গিয়েছিলো এবং তোমার পরিচয়পত্র সহ তোমার মানিব্যাগটা তোমার ব্যাগেই ছিল। কিন্তু ভাগ্যক্রমে তোমার মাদকাসক্ত ছিল এবং তোমার পকেটে কিছু ডলার ছিল যা তুমি হাতড়ে বেড়িয়েছিলে এবং সকালটা পার করার জন্য যথেষ্ট ছিল।")</f>
        <v>আমার বলতেই হবে যে, আমার কাজ হলো ওয়ালগ্রিনসের বাইরে দাঁড়িয়ে অপরিচিতদের কাছে তোমার "ডায়াবেটিসের" জন্য সিরিঞ্জ কিনতে বলা? কারণ তুমি "তোমার প্রেসক্রিপশন হারিয়ে ফেলেছো, আর তোমার পরিচয়পত্র নেই?"। সত্যি বলতে, গত রাতে একটা খারাপ এলাকার বাস স্টপে তুমি অজ্ঞান হয়ে গিয়েছিলে এবং কেউ তোমার ব্যাগটা নিয়ে গিয়েছিলো এবং তোমার পরিচয়পত্র সহ তোমার মানিব্যাগটা তোমার ব্যাগেই ছিল। কিন্তু ভাগ্যক্রমে তোমার মাদকাসক্ত ছিল এবং তোমার পকেটে কিছু ডলার ছিল যা তুমি হাতড়ে বেড়িয়েছিলে এবং সকালটা পার করার জন্য যথেষ্ট ছিল।</v>
      </c>
    </row>
    <row r="435" spans="1:3" ht="15" x14ac:dyDescent="0.25">
      <c r="A435" s="3" t="s">
        <v>436</v>
      </c>
      <c r="B435" s="3" t="s">
        <v>4</v>
      </c>
      <c r="C435" s="4" t="str">
        <f ca="1">IFERROR(__xludf.DUMMYFUNCTION("GOOGLETRANSLATE(A435, ""auto"", ""bn"")"),"আমার মনে হয় যদি আমি কোন আসক্তি কাটিয়ে উঠতে পারি, তাহলে আমার যেকোনো কিছু কাটিয়ে ওঠার ক্ষমতা আছে, যেমন আমার পছন্দের ডিগ্রি অর্জন করা এবং একজন সুন্দরী মহিলার সাথে দেখা করা। যদি আমি এই আসক্তি কাটিয়ে উঠতে পারি, তাহলে আমার লক্ষ্যে পৌঁছানোর জন্য যথেষ্ট শক্তি"&amp;"শালী হব। আসক্তি কি সাধারণ মানুষের চেয়ে কাটিয়ে ওঠা কঠিন এবং এটি কি আপনাকে আরও শক্তিশালী করে তুলেছে?")</f>
        <v>আমার মনে হয় যদি আমি কোন আসক্তি কাটিয়ে উঠতে পারি, তাহলে আমার যেকোনো কিছু কাটিয়ে ওঠার ক্ষমতা আছে, যেমন আমার পছন্দের ডিগ্রি অর্জন করা এবং একজন সুন্দরী মহিলার সাথে দেখা করা। যদি আমি এই আসক্তি কাটিয়ে উঠতে পারি, তাহলে আমার লক্ষ্যে পৌঁছানোর জন্য যথেষ্ট শক্তিশালী হব। আসক্তি কি সাধারণ মানুষের চেয়ে কাটিয়ে ওঠা কঠিন এবং এটি কি আপনাকে আরও শক্তিশালী করে তুলেছে?</v>
      </c>
    </row>
    <row r="436" spans="1:3" ht="15" x14ac:dyDescent="0.25">
      <c r="A436" s="3" t="s">
        <v>437</v>
      </c>
      <c r="B436" s="3" t="s">
        <v>4</v>
      </c>
      <c r="C436" s="4" t="str">
        <f ca="1">IFERROR(__xludf.DUMMYFUNCTION("GOOGLETRANSLATE(A436, ""auto"", ""bn"")"),"আমার বয়স ২৪ বছর (আমার জন্মদিন আগামীকাল) এবং প্রায় ৬ বছর ধরে আমি আরোগ্য লাভের চেষ্টা করছি। আমি কীভাবে এটি করেছি সে সম্পর্কে একটি ভিডিও পোস্ট করেছি এবং আমার অভিজ্ঞতার ভিডিও পোস্ট করতে থাকব।")</f>
        <v>আমার বয়স ২৪ বছর (আমার জন্মদিন আগামীকাল) এবং প্রায় ৬ বছর ধরে আমি আরোগ্য লাভের চেষ্টা করছি। আমি কীভাবে এটি করেছি সে সম্পর্কে একটি ভিডিও পোস্ট করেছি এবং আমার অভিজ্ঞতার ভিডিও পোস্ট করতে থাকব।</v>
      </c>
    </row>
    <row r="437" spans="1:3" ht="15" x14ac:dyDescent="0.25">
      <c r="A437" s="3" t="s">
        <v>438</v>
      </c>
      <c r="B437" s="3" t="s">
        <v>4</v>
      </c>
      <c r="C437" s="4" t="str">
        <f ca="1">IFERROR(__xludf.DUMMYFUNCTION("GOOGLETRANSLATE(A437, ""auto"", ""bn"")"),"এই সাবরেডিটে যদি এটা মেনে নেওয়া যায়, আমি জানি না কী করব। আমি কয়েক মাস ধরে এই লোকটির সাথে ডেটিং করছি, আর সে ৩ বছর ধরে মানসিকভাবে অসুস্থ ছিল, এই সপ্তাহের শুরুতে সে আবার অসুস্থ হয়ে পড়ে, আর আমি জানি না কিভাবে তাকে সাহায্য করবো। যেদিন সে আবার অসুস্থ হয়ে পড়ে, স"&amp;"েদিন আমাদের পরিকল্পনা ছিল কিন্তু ৪৮ ঘন্টা ধরে তার সাথে কোন যোগাযোগ হয়নি, বারবার ফোন কল, টেক্সট এবং তাকে ধরার চেষ্টা করার পর, তাই আমি তার বাড়িওয়ালাকে তার খোঁজ নিতে তার বাড়িতে যাই, কিন্তু সে দরজায় কড়া নাড়লেও সে কোনও উত্তর দিচ্ছিল না। প্রায় ৩ দিন ধরে চিন্তি"&amp;"ত অসুস্থ থাকার পর আমি আমার বক্তৃতায় গিয়েছিলাম, আর সে আমাকে মেসেজ করে জানায় যে সে আবার অসুস্থ হয়ে পড়েছে, আর এমন ভাব দেখায় যেন এটা কোনও বড় ব্যাপার নয়। আমি আমার সহায়তা দেওয়ার চেষ্টা করেছি এবং তাকে কিছু খাবার দেওয়ার, গোসল করানোর, মুখে মাস্ক লাগানোর এবং ""নিজে"&amp;"র যত্ন নেওয়ার"" চেষ্টা করেছি, এমন কিছু করার জন্য তাকে চাপ দেওয়ার চেষ্টা করছিলাম না যা সে করতে চায় না, আমি আমার সহায়তা দিয়েছিলাম এবং সে আমার সাথে ভিন্ন আচরণ করছে। সে আমাকে বারবার বলে যে সে আড্ডা দিতে চায় না, সে আমার মেসেজগুলো উপেক্ষা করে কিন্তু সোশ্যাল "&amp;"মিডিয়ায় সক্রিয় থাকবে, এই ধরণের জিনিস। আমি জানি না তাকে আর কীভাবে সমর্থন করব, বিশেষ করে যদি সে আমাকে অনুমতি না দেয়। তার আশেপাশে কোনও পরিবার নেই, অবস্থানের দিক থেকে এবং সে তাদের সাথে মোটেও ঘনিষ্ঠ নয়, তার কেবল কয়েকজন বন্ধু আছে, যদি তা হয়। সে তার স্বাভ"&amp;"াবিক কাজ করছে, এবং সে বলেছে যে সে এখনও আমার সাথে থাকতে চায় এবং সে আমার যত্ন নেয় কিন্তু সে স্পষ্টতই আমাকে উপেক্ষা করছে। আমি তার সাথে মদ্যপানের মতো কিছু না করার চেষ্টা করি (আমি যা করি তা খুব কমই মদ্যপান এবং ধূমপান করি) কিন্তু সে গাঁজা ঘৃণা করে, কিন্তু শ্র"&amp;"দ্ধার বশবর্তী হয়ে আমি যখন তার সাথে থাকি তখন তা না করার চেষ্টা করি। আমি আর কী করতে পারি?")</f>
        <v>এই সাবরেডিটে যদি এটা মেনে নেওয়া যায়, আমি জানি না কী করব। আমি কয়েক মাস ধরে এই লোকটির সাথে ডেটিং করছি, আর সে ৩ বছর ধরে মানসিকভাবে অসুস্থ ছিল, এই সপ্তাহের শুরুতে সে আবার অসুস্থ হয়ে পড়ে, আর আমি জানি না কিভাবে তাকে সাহায্য করবো। যেদিন সে আবার অসুস্থ হয়ে পড়ে, সেদিন আমাদের পরিকল্পনা ছিল কিন্তু ৪৮ ঘন্টা ধরে তার সাথে কোন যোগাযোগ হয়নি, বারবার ফোন কল, টেক্সট এবং তাকে ধরার চেষ্টা করার পর, তাই আমি তার বাড়িওয়ালাকে তার খোঁজ নিতে তার বাড়িতে যাই, কিন্তু সে দরজায় কড়া নাড়লেও সে কোনও উত্তর দিচ্ছিল না। প্রায় ৩ দিন ধরে চিন্তিত অসুস্থ থাকার পর আমি আমার বক্তৃতায় গিয়েছিলাম, আর সে আমাকে মেসেজ করে জানায় যে সে আবার অসুস্থ হয়ে পড়েছে, আর এমন ভাব দেখায় যেন এটা কোনও বড় ব্যাপার নয়। আমি আমার সহায়তা দেওয়ার চেষ্টা করেছি এবং তাকে কিছু খাবার দেওয়ার, গোসল করানোর, মুখে মাস্ক লাগানোর এবং "নিজের যত্ন নেওয়ার" চেষ্টা করেছি, এমন কিছু করার জন্য তাকে চাপ দেওয়ার চেষ্টা করছিলাম না যা সে করতে চায় না, আমি আমার সহায়তা দিয়েছিলাম এবং সে আমার সাথে ভিন্ন আচরণ করছে। সে আমাকে বারবার বলে যে সে আড্ডা দিতে চায় না, সে আমার মেসেজগুলো উপেক্ষা করে কিন্তু সোশ্যাল মিডিয়ায় সক্রিয় থাকবে, এই ধরণের জিনিস। আমি জানি না তাকে আর কীভাবে সমর্থন করব, বিশেষ করে যদি সে আমাকে অনুমতি না দেয়। তার আশেপাশে কোনও পরিবার নেই, অবস্থানের দিক থেকে এবং সে তাদের সাথে মোটেও ঘনিষ্ঠ নয়, তার কেবল কয়েকজন বন্ধু আছে, যদি তা হয়। সে তার স্বাভাবিক কাজ করছে, এবং সে বলেছে যে সে এখনও আমার সাথে থাকতে চায় এবং সে আমার যত্ন নেয় কিন্তু সে স্পষ্টতই আমাকে উপেক্ষা করছে। আমি তার সাথে মদ্যপানের মতো কিছু না করার চেষ্টা করি (আমি যা করি তা খুব কমই মদ্যপান এবং ধূমপান করি) কিন্তু সে গাঁজা ঘৃণা করে, কিন্তু শ্রদ্ধার বশবর্তী হয়ে আমি যখন তার সাথে থাকি তখন তা না করার চেষ্টা করি। আমি আর কী করতে পারি?</v>
      </c>
    </row>
    <row r="438" spans="1:3" ht="15" x14ac:dyDescent="0.25">
      <c r="A438" s="3" t="s">
        <v>439</v>
      </c>
      <c r="B438" s="3" t="s">
        <v>4</v>
      </c>
      <c r="C438" s="4" t="str">
        <f ca="1">IFERROR(__xludf.DUMMYFUNCTION("GOOGLETRANSLATE(A438, ""auto"", ""bn"")"),"আমি খুব বেশি সৎ পর্যালোচনা খুঁজে পাচ্ছি না। ব্যক্তিগত অভিজ্ঞতা থেকে তথ্য খুঁজছি! কোথায় এবং কেমন ছিল। যত বিস্তারিত জানা যাবে তত ভালো। নির্দিষ্ট চিকিৎসা কেন্দ্র সম্পর্কে জিজ্ঞাসা করতে পারব কিনা তা নিশ্চিত নই।")</f>
        <v>আমি খুব বেশি সৎ পর্যালোচনা খুঁজে পাচ্ছি না। ব্যক্তিগত অভিজ্ঞতা থেকে তথ্য খুঁজছি! কোথায় এবং কেমন ছিল। যত বিস্তারিত জানা যাবে তত ভালো। নির্দিষ্ট চিকিৎসা কেন্দ্র সম্পর্কে জিজ্ঞাসা করতে পারব কিনা তা নিশ্চিত নই।</v>
      </c>
    </row>
    <row r="439" spans="1:3" ht="15" x14ac:dyDescent="0.25">
      <c r="A439" s="3" t="s">
        <v>440</v>
      </c>
      <c r="B439" s="3" t="s">
        <v>4</v>
      </c>
      <c r="C439" s="4" t="str">
        <f ca="1">IFERROR(__xludf.DUMMYFUNCTION("GOOGLETRANSLATE(A439, ""auto"", ""bn"")"),"আমি অ্যালকোহল এবং হেরোইনের প্রতি আসক্ত, ৮৫/৮৭ দিন ধরে আমি দুটোই থেকে মুক্ত, কিন্তু আমি গাঁজা ব্যবহার করছি এবং বড়ি খাওয়ার কথা ভাবছি। আমি প্রতিদিন মাদক ব্যবহার বা মদ্যপান পছন্দ করি না, এটি কীভাবে সবকিছু নষ্ট করে দেয় তা আমি পছন্দ করি না এবং আমি অসুস্থ হতে"&amp;" পছন্দ করি না, এবং আমি দুর্বল হতে পছন্দ করি না, তবে আমি এখনও সম্পূর্ণরূপে থামাতে চাই না। তদুপরি, আমি কিছু খাওয়া বন্ধ করতে চাই না, এমনকি যদি তা অ্যালকোহল বা আমার DOC নাও হয় তবে আমি অন্যান্য জিনিস খেতে চাই এবং আমি এখনও থামাতে চাই না। তদুপরি, আমি মাতাল থাক"&amp;"তে পছন্দ করি, যদিও এর পরিণতি আমার পছন্দ। তদুপরি, আমি জানি না যে আমি কখনই এমন পর্যায়ে পৌঁছাতে পারব যখন আমি আনুষ্ঠানিকভাবে এটি দিয়ে কাজ শেষ করব।")</f>
        <v>আমি অ্যালকোহল এবং হেরোইনের প্রতি আসক্ত, ৮৫/৮৭ দিন ধরে আমি দুটোই থেকে মুক্ত, কিন্তু আমি গাঁজা ব্যবহার করছি এবং বড়ি খাওয়ার কথা ভাবছি। আমি প্রতিদিন মাদক ব্যবহার বা মদ্যপান পছন্দ করি না, এটি কীভাবে সবকিছু নষ্ট করে দেয় তা আমি পছন্দ করি না এবং আমি অসুস্থ হতে পছন্দ করি না, এবং আমি দুর্বল হতে পছন্দ করি না, তবে আমি এখনও সম্পূর্ণরূপে থামাতে চাই না। তদুপরি, আমি কিছু খাওয়া বন্ধ করতে চাই না, এমনকি যদি তা অ্যালকোহল বা আমার DOC নাও হয় তবে আমি অন্যান্য জিনিস খেতে চাই এবং আমি এখনও থামাতে চাই না। তদুপরি, আমি মাতাল থাকতে পছন্দ করি, যদিও এর পরিণতি আমার পছন্দ। তদুপরি, আমি জানি না যে আমি কখনই এমন পর্যায়ে পৌঁছাতে পারব যখন আমি আনুষ্ঠানিকভাবে এটি দিয়ে কাজ শেষ করব।</v>
      </c>
    </row>
    <row r="440" spans="1:3" ht="15" x14ac:dyDescent="0.25">
      <c r="A440" s="3" t="s">
        <v>441</v>
      </c>
      <c r="B440" s="3" t="s">
        <v>4</v>
      </c>
      <c r="C440" s="4" t="str">
        <f ca="1">IFERROR(__xludf.DUMMYFUNCTION("GOOGLETRANSLATE(A440, ""auto"", ""bn"")"),"বন্ধুরা, আজ সকালে আমার ব্যক্তিগত সবচেয়ে বড় জয় পেয়েছি এবং আমি আপনাদের সাথে শেয়ার করতে খুবই আগ্রহী। আমি বছরের পর বছর ধরে আমার আসক্তির সাথে লড়াই করে আসছি, সবার মতোই কিছু ভালো এবং খারাপ সপ্তাহ। এই সপ্তাহটা কঠিন ছিল, কিন্তু আমি তা কাটিয়ে উঠেছি, তবে আজ সকালে আম"&amp;"ার ঘুম ভেঙে গেল মাসের মধ্যে সবচেয়ে তীব্র তাগিদে। আমি বারবার নেশার কাছাকাছি ছিলাম কিন্তু শেষ মুহূর্তে, আমি ভাবলাম এটাকে বাজে কথা বলি এবং শহরে চলে যাই এবং এখন সকালের কফি খেতে খেতে এই পোস্টটি লিখি। আমি এখন নিজের এবং আমার সঙ্গীর জন্য কিছু জিনিস কেনার পরিকল্পন"&amp;"া করছি, যে টাকা দিয়ে অভিনয়ের জন্য খরচ করা যেত। এটা হয়তো বিশাল পরিকল্পনার একটি ছোট জয় বলে মনে হতে পারে, কিন্তু এই জয় আমার কাছে অপ্রীতিকর মনে হচ্ছে। যাই হোক, এটা আমার পোস্ট, আমি আশা করি এটি আজকের সংগ্রামরত কিছু লোককে অন্তত অনুপ্রাণিত করবে। যুদ্ধে জয়ী হওয়া"&amp;"র অনুভূতি অভিনয়ের অনুভূতির চেয়ে অনেক ভালো।")</f>
        <v>বন্ধুরা, আজ সকালে আমার ব্যক্তিগত সবচেয়ে বড় জয় পেয়েছি এবং আমি আপনাদের সাথে শেয়ার করতে খুবই আগ্রহী। আমি বছরের পর বছর ধরে আমার আসক্তির সাথে লড়াই করে আসছি, সবার মতোই কিছু ভালো এবং খারাপ সপ্তাহ। এই সপ্তাহটা কঠিন ছিল, কিন্তু আমি তা কাটিয়ে উঠেছি, তবে আজ সকালে আমার ঘুম ভেঙে গেল মাসের মধ্যে সবচেয়ে তীব্র তাগিদে। আমি বারবার নেশার কাছাকাছি ছিলাম কিন্তু শেষ মুহূর্তে, আমি ভাবলাম এটাকে বাজে কথা বলি এবং শহরে চলে যাই এবং এখন সকালের কফি খেতে খেতে এই পোস্টটি লিখি। আমি এখন নিজের এবং আমার সঙ্গীর জন্য কিছু জিনিস কেনার পরিকল্পনা করছি, যে টাকা দিয়ে অভিনয়ের জন্য খরচ করা যেত। এটা হয়তো বিশাল পরিকল্পনার একটি ছোট জয় বলে মনে হতে পারে, কিন্তু এই জয় আমার কাছে অপ্রীতিকর মনে হচ্ছে। যাই হোক, এটা আমার পোস্ট, আমি আশা করি এটি আজকের সংগ্রামরত কিছু লোককে অন্তত অনুপ্রাণিত করবে। যুদ্ধে জয়ী হওয়ার অনুভূতি অভিনয়ের অনুভূতির চেয়ে অনেক ভালো।</v>
      </c>
    </row>
    <row r="441" spans="1:3" ht="15" x14ac:dyDescent="0.25">
      <c r="A441" s="3" t="s">
        <v>442</v>
      </c>
      <c r="B441" s="3" t="s">
        <v>4</v>
      </c>
      <c r="C441" s="4" t="str">
        <f ca="1">IFERROR(__xludf.DUMMYFUNCTION("GOOGLETRANSLATE(A441, ""auto"", ""bn"")"),"আমি F(25) &amp;; M (27) আমাদের সম্পর্কের 1 বছর হয়ে গেছে, এখন বিয়ের 2 মাস হয়ে গেছে, কিন্তু তার হেরোইন ক্যাম্প ছিল; 7 বছর ধরে কোকেনের সমস্যা ছিল, সে আমাকে বলেছিল যে সে 2 বছর ধরে সুস্থ। আমরা যখন একসাথে থাকতাম তখন সে দুপুর থেকে প্রতিদিন মদ্যপান করত এবং জলের বো"&amp;"তলে অ্যালকোহল লুকিয়ে রাখত, মাঝে মাঝে তার নিঃশ্বাস থেকে পোড়া রাসায়নিকের মতো গন্ধ আসত, আমি তাকে বারবার জিজ্ঞাসা করেছিলাম যে সে কী ধূমপান করত, ইত্যাদি। সে আমাকে কখনও সত্য বলেনি, সে কিছু Xanaxও খেয়েছিল, এবং সে হেরোইন আসক্তির জন্য তার ওপিওয়েড চিকিৎসাও পান"&amp;" করছিল (Methadone 180)। আমি তাকে প্রতিদিন সুস্থ থাকার জন্য অনুরোধ করছিলাম, আমি একই জায়গায় উভয় বাহুতে লাল বিন্দুও পেয়েছি, তাই আমি নিশ্চিত ছিলাম যে তাকে আবার ইনজেকশন দেওয়া হয়েছিল (সে প্রায় 100 বার অস্বীকার করেছিল) যতক্ষণ না আমি তাকে বলি যে আমি আমার দ"&amp;"েশে ফিরে যেতে চাই কারণ পরিস্থিতি আমাকে খুব অস্থির এবং হতাশাগ্রস্ত করে তুলছিল। তার মা তাকে 5 দিনের জন্য একটি ডিটক্স সেন্টারে যেতে রাজি করান। কিন্তু যখন সে ক্লিনিকের ভেতরে ছিল, আমি অ্যাপার্টমেন্টে একা ছিলাম, তখন আমার মানসিক অবস্থা খারাপ হয়ে পড়েছিল। আমি আম"&amp;"ার পরিবারকে ফোন করে তাদের জানালাম যে কী ঘটছে। তারা আমাকে বলল যে এই সম্পর্কের ক্ষেত্রে আমার অনেক কষ্ট হবে এবং এটা নরক হতে চলেছে এবং এই সম্পর্কে থাকা আমার জন্য মোটেও ভালো হবে না। তাই আমি আমার দেশে ফিরে বিমানে করে গেলাম? আমি কেবল তার জন্যই আমেরিকায় ছিলাম এব"&amp;"ং ভেবেছিলাম আমাদের বিয়েটা সুখের হবে?? আমি তার সাথে ফিরে যেতে চাই, সে আমাকে প্রতিশ্রুতি দিচ্ছে যে সে বদলে যাবে, কিন্তু আমি তাকে বিশ্বাস করি না ?? এছাড়াও, সে এবং তার মা আমাকে হতাশ করার চেষ্টা করছে কারণ আমি অতীতে অ্যান্টিডিপ্রেসেন্টস খেয়েছি এবং তারা আমাকে"&amp;" বলছে যে আমি খুব অস্থির :(আমার মনে হয় আমার তার সাথে থাকা উচিত কারণ আমিও পাগল, এবং কোনও মাদক বা অ্যালকোহল খাই না?")</f>
        <v>আমি F(25) &amp;; M (27) আমাদের সম্পর্কের 1 বছর হয়ে গেছে, এখন বিয়ের 2 মাস হয়ে গেছে, কিন্তু তার হেরোইন ক্যাম্প ছিল; 7 বছর ধরে কোকেনের সমস্যা ছিল, সে আমাকে বলেছিল যে সে 2 বছর ধরে সুস্থ। আমরা যখন একসাথে থাকতাম তখন সে দুপুর থেকে প্রতিদিন মদ্যপান করত এবং জলের বোতলে অ্যালকোহল লুকিয়ে রাখত, মাঝে মাঝে তার নিঃশ্বাস থেকে পোড়া রাসায়নিকের মতো গন্ধ আসত, আমি তাকে বারবার জিজ্ঞাসা করেছিলাম যে সে কী ধূমপান করত, ইত্যাদি। সে আমাকে কখনও সত্য বলেনি, সে কিছু Xanaxও খেয়েছিল, এবং সে হেরোইন আসক্তির জন্য তার ওপিওয়েড চিকিৎসাও পান করছিল (Methadone 180)। আমি তাকে প্রতিদিন সুস্থ থাকার জন্য অনুরোধ করছিলাম, আমি একই জায়গায় উভয় বাহুতে লাল বিন্দুও পেয়েছি, তাই আমি নিশ্চিত ছিলাম যে তাকে আবার ইনজেকশন দেওয়া হয়েছিল (সে প্রায় 100 বার অস্বীকার করেছিল) যতক্ষণ না আমি তাকে বলি যে আমি আমার দেশে ফিরে যেতে চাই কারণ পরিস্থিতি আমাকে খুব অস্থির এবং হতাশাগ্রস্ত করে তুলছিল। তার মা তাকে 5 দিনের জন্য একটি ডিটক্স সেন্টারে যেতে রাজি করান। কিন্তু যখন সে ক্লিনিকের ভেতরে ছিল, আমি অ্যাপার্টমেন্টে একা ছিলাম, তখন আমার মানসিক অবস্থা খারাপ হয়ে পড়েছিল। আমি আমার পরিবারকে ফোন করে তাদের জানালাম যে কী ঘটছে। তারা আমাকে বলল যে এই সম্পর্কের ক্ষেত্রে আমার অনেক কষ্ট হবে এবং এটা নরক হতে চলেছে এবং এই সম্পর্কে থাকা আমার জন্য মোটেও ভালো হবে না। তাই আমি আমার দেশে ফিরে বিমানে করে গেলাম? আমি কেবল তার জন্যই আমেরিকায় ছিলাম এবং ভেবেছিলাম আমাদের বিয়েটা সুখের হবে?? আমি তার সাথে ফিরে যেতে চাই, সে আমাকে প্রতিশ্রুতি দিচ্ছে যে সে বদলে যাবে, কিন্তু আমি তাকে বিশ্বাস করি না ?? এছাড়াও, সে এবং তার মা আমাকে হতাশ করার চেষ্টা করছে কারণ আমি অতীতে অ্যান্টিডিপ্রেসেন্টস খেয়েছি এবং তারা আমাকে বলছে যে আমি খুব অস্থির :(আমার মনে হয় আমার তার সাথে থাকা উচিত কারণ আমিও পাগল, এবং কোনও মাদক বা অ্যালকোহল খাই না?</v>
      </c>
    </row>
    <row r="442" spans="1:3" ht="15" x14ac:dyDescent="0.25">
      <c r="A442" s="3" t="s">
        <v>443</v>
      </c>
      <c r="B442" s="3" t="s">
        <v>4</v>
      </c>
      <c r="C442" s="4" t="str">
        <f ca="1">IFERROR(__xludf.DUMMYFUNCTION("GOOGLETRANSLATE(A442, ""auto"", ""bn"")"),"পর্ন আসক্তি। আমি OnlyFans নির্মাতাদের কাছ থেকে কেনার প্রতি আসক্ত হয়ে পড়েছি। আমি বুঝতে পেরেছিলাম যে আমি অনেক টাকা খরচ করেছি, তাই আমি আমার OnlyFans অ্যাকাউন্ট এবং আমার ফ্যান হাউস অ্যাকাউন্ট মুছে ফেলেছি। যদিও ইনস্টাগ্রামে আমি এমন একটি মেয়েকে দেখেছি যাদের "&amp;"পোস্ট করার জন্য আমাকে সাবস্ক্রাইব করা হয়েছিল, এবং আমি তাৎক্ষণিকভাবে পুনরায় সাবস্ক্রাইব করে কিনতে চাই, কিন্তু আমি জানি এটি অর্থের অপচয় এবং কাজ শেষ হওয়ার পরে আমি ছবিগুলি খুব কমই দেখি। এই মহিলাদের কাছ থেকে নগ্ন বা অশ্লীল ছবি কেনা সম্পর্কে আমি কিছু রোমাঞ্"&amp;"চকর বিষয় বুঝতে পারি না। আমার মনে হয় আমি কাজের চাপ মোকাবেলা করার জন্য OnlyFans ব্যবহার করছি, এবং এখন 2 দিন হয়ে গেছে যে আমি সেই অ্যাকাউন্টগুলি মুছে ফেলেছি এবং আমি আবার খুব খারাপভাবে আবার ফিরে আসতে চাই। কী করব সে সম্পর্কে কোনও পরামর্শ? আমার আবার কেনাকাটা "&amp;"করার বিষয়ে আলোচনা করা হচ্ছে, আমার একটি অংশ এটিকে ন্যায্যতা দিতে চায় এই বলে যে আমি এমন মহিলাদের সমর্থন করছি যারা জীবিকা নির্বাহের জন্য OnlyFans ব্যবহার করে এবং এই জাতীয় জিনিসগুলি, কিন্তু এটি আমার জন্য ভাল নয় এবং আমি এটি জানি।")</f>
        <v>পর্ন আসক্তি। আমি OnlyFans নির্মাতাদের কাছ থেকে কেনার প্রতি আসক্ত হয়ে পড়েছি। আমি বুঝতে পেরেছিলাম যে আমি অনেক টাকা খরচ করেছি, তাই আমি আমার OnlyFans অ্যাকাউন্ট এবং আমার ফ্যান হাউস অ্যাকাউন্ট মুছে ফেলেছি। যদিও ইনস্টাগ্রামে আমি এমন একটি মেয়েকে দেখেছি যাদের পোস্ট করার জন্য আমাকে সাবস্ক্রাইব করা হয়েছিল, এবং আমি তাৎক্ষণিকভাবে পুনরায় সাবস্ক্রাইব করে কিনতে চাই, কিন্তু আমি জানি এটি অর্থের অপচয় এবং কাজ শেষ হওয়ার পরে আমি ছবিগুলি খুব কমই দেখি। এই মহিলাদের কাছ থেকে নগ্ন বা অশ্লীল ছবি কেনা সম্পর্কে আমি কিছু রোমাঞ্চকর বিষয় বুঝতে পারি না। আমার মনে হয় আমি কাজের চাপ মোকাবেলা করার জন্য OnlyFans ব্যবহার করছি, এবং এখন 2 দিন হয়ে গেছে যে আমি সেই অ্যাকাউন্টগুলি মুছে ফেলেছি এবং আমি আবার খুব খারাপভাবে আবার ফিরে আসতে চাই। কী করব সে সম্পর্কে কোনও পরামর্শ? আমার আবার কেনাকাটা করার বিষয়ে আলোচনা করা হচ্ছে, আমার একটি অংশ এটিকে ন্যায্যতা দিতে চায় এই বলে যে আমি এমন মহিলাদের সমর্থন করছি যারা জীবিকা নির্বাহের জন্য OnlyFans ব্যবহার করে এবং এই জাতীয় জিনিসগুলি, কিন্তু এটি আমার জন্য ভাল নয় এবং আমি এটি জানি।</v>
      </c>
    </row>
    <row r="443" spans="1:3" ht="15" x14ac:dyDescent="0.25">
      <c r="A443" s="3" t="s">
        <v>444</v>
      </c>
      <c r="B443" s="3" t="s">
        <v>4</v>
      </c>
      <c r="C443" s="4" t="str">
        <f ca="1">IFERROR(__xludf.DUMMYFUNCTION("GOOGLETRANSLATE(A443, ""auto"", ""bn"")"),"কয়েক মাস আগে আমার আর আমার ৫ বছরের বান্ধবীর ব্রেকআপ হয় কারণ আমরা দুজনেই মাদক সেবনের ফলে পরিস্থিতি খুব অস্বাস্থ্যকর হয়ে উঠছিল। যখন আমাদের ব্রেকআপ হয়ে যায়, তখন আমি ঠিক করেছিলাম যে সে সুস্থ হয়ে উঠবে এবং এখন অনেক ভালো আছে, কিন্তু সে প্রায় ৩ সপ্তাহ আগে আমাকে "&amp;"ফোন করে বলেছিল যে সে অতিরিক্ত মাত্রায় সেবন করেছে। সে আর তার বন্ধু এক রাতে ফেন্টানিল নেওয়ার সিদ্ধান্ত নেয় এবং তা করার সাথে সাথেই সে মাথা নাড়ে শ্বাস বন্ধ করে দেয়। তার বন্ধু তাকে মারকান দিল এবং একটি অ্যাম্বুলেন্স ডাকা হল। ভাগ্যক্রমে সে ঠিক আছে। যখন সে আমাকে "&amp;"ফোন করেছিল, তখন তার সত্যিই এমন কাউকে দরকার ছিল যে তাকে ডিটক্সিফিকেশন এবং সবকিছুতে সাহায্য করবে, তাই আমি প্রতিদিন তার পাশে আছি। কিন্তু গত সপ্তাহে আমি সিঙ্কের নিচে লুকিয়ে থাকা একই বাক্স 30s খুঁজে পেলাম, সাথে একটা কাগজের টুকরোও ছিল যা দিয়ে সে অতিরিক্ত মাত্র"&amp;"ায় সেবন করেছিল। প্রতিবার যখন সে বাথরুমে যায়, আমি শুনতে পাই সে এটা পিষে ফেলছে। সে সবসময় অত্যন্ত বমি বমি ভাব এবং চুলকানি অনুভব করে, এবং সে বিছানায় মাথা নাড়ছে। আমি চিন্তিত যে অসুস্থ। আমি তাকে জিজ্ঞাসা করেছিলাম যে সে কি বাথরুমে মাদক লুকিয়ে রেখেছে, এবং সে অত"&amp;"্যন্ত আত্মরক্ষামূলক এবং ক্ষিপ্ত হয়ে উঠল। আমি এখানে তাকে বিচার করতে আসিনি, এবং আমি অবশ্যই তাকে কোনওভাবেই বিচার করছি না কারণ আমি বুঝতে পারি যে এটি কেমন, আমি তার স্বাস্থ্য এবং সুরক্ষা সম্পর্কে এতটাই উদ্বিগ্ন যে মনে হচ্ছে যে সে যখন ঘুমাচ্ছে তখন প্রতি কয়েক ম"&amp;"িনিট অন্তর তার শ্বাস-প্রশ্বাস এবং হৃদস্পন্দন পরীক্ষা করা উচিত। আমি খ্রীষ্টের জন্য তার মৃত্যুর দুঃস্বপ্ন দেখছি। তাছাড়া, আমি কেবল চাই যে সে ঠিক থাকুক। আমি কীভাবে তাকে বলব যে আমি জানি সে এই ওষুধগুলি খাচ্ছে? আমি চাই না সে ভাবুক যে আমি তার উপর বিরক্ত, অথবা তা"&amp;"র আমার কাছ থেকে কিছু লুকানোর দরকার।")</f>
        <v>কয়েক মাস আগে আমার আর আমার ৫ বছরের বান্ধবীর ব্রেকআপ হয় কারণ আমরা দুজনেই মাদক সেবনের ফলে পরিস্থিতি খুব অস্বাস্থ্যকর হয়ে উঠছিল। যখন আমাদের ব্রেকআপ হয়ে যায়, তখন আমি ঠিক করেছিলাম যে সে সুস্থ হয়ে উঠবে এবং এখন অনেক ভালো আছে, কিন্তু সে প্রায় ৩ সপ্তাহ আগে আমাকে ফোন করে বলেছিল যে সে অতিরিক্ত মাত্রায় সেবন করেছে। সে আর তার বন্ধু এক রাতে ফেন্টানিল নেওয়ার সিদ্ধান্ত নেয় এবং তা করার সাথে সাথেই সে মাথা নাড়ে শ্বাস বন্ধ করে দেয়। তার বন্ধু তাকে মারকান দিল এবং একটি অ্যাম্বুলেন্স ডাকা হল। ভাগ্যক্রমে সে ঠিক আছে। যখন সে আমাকে ফোন করেছিল, তখন তার সত্যিই এমন কাউকে দরকার ছিল যে তাকে ডিটক্সিফিকেশন এবং সবকিছুতে সাহায্য করবে, তাই আমি প্রতিদিন তার পাশে আছি। কিন্তু গত সপ্তাহে আমি সিঙ্কের নিচে লুকিয়ে থাকা একই বাক্স 30s খুঁজে পেলাম, সাথে একটা কাগজের টুকরোও ছিল যা দিয়ে সে অতিরিক্ত মাত্রায় সেবন করেছিল। প্রতিবার যখন সে বাথরুমে যায়, আমি শুনতে পাই সে এটা পিষে ফেলছে। সে সবসময় অত্যন্ত বমি বমি ভাব এবং চুলকানি অনুভব করে, এবং সে বিছানায় মাথা নাড়ছে। আমি চিন্তিত যে অসুস্থ। আমি তাকে জিজ্ঞাসা করেছিলাম যে সে কি বাথরুমে মাদক লুকিয়ে রেখেছে, এবং সে অত্যন্ত আত্মরক্ষামূলক এবং ক্ষিপ্ত হয়ে উঠল। আমি এখানে তাকে বিচার করতে আসিনি, এবং আমি অবশ্যই তাকে কোনওভাবেই বিচার করছি না কারণ আমি বুঝতে পারি যে এটি কেমন, আমি তার স্বাস্থ্য এবং সুরক্ষা সম্পর্কে এতটাই উদ্বিগ্ন যে মনে হচ্ছে যে সে যখন ঘুমাচ্ছে তখন প্রতি কয়েক মিনিট অন্তর তার শ্বাস-প্রশ্বাস এবং হৃদস্পন্দন পরীক্ষা করা উচিত। আমি খ্রীষ্টের জন্য তার মৃত্যুর দুঃস্বপ্ন দেখছি। তাছাড়া, আমি কেবল চাই যে সে ঠিক থাকুক। আমি কীভাবে তাকে বলব যে আমি জানি সে এই ওষুধগুলি খাচ্ছে? আমি চাই না সে ভাবুক যে আমি তার উপর বিরক্ত, অথবা তার আমার কাছ থেকে কিছু লুকানোর দরকার।</v>
      </c>
    </row>
    <row r="444" spans="1:3" ht="15" x14ac:dyDescent="0.25">
      <c r="A444" s="3" t="s">
        <v>445</v>
      </c>
      <c r="B444" s="3" t="s">
        <v>4</v>
      </c>
      <c r="C444" s="4" t="s">
        <v>3017</v>
      </c>
    </row>
    <row r="445" spans="1:3" ht="15" x14ac:dyDescent="0.25">
      <c r="A445" s="3" t="s">
        <v>446</v>
      </c>
      <c r="B445" s="3" t="s">
        <v>4</v>
      </c>
      <c r="C445" s="4" t="str">
        <f ca="1">IFERROR(__xludf.DUMMYFUNCTION("GOOGLETRANSLATE(A445, ""auto"", ""bn"")"),"আমি ভোর ৫টায় ঘুম থেকে উঠি, এবং দিনের বেশিরভাগ সময় যতটা সম্ভব কাজ করি। যখন আমাকে বাইরে গিয়ে সামাজিক কাজ করতে হয় তখন আমি হতাশ হই, কারণ আমি বরং উৎপাদনশীল হতে চাই। তাছাড়া, আমি দেখতে পাচ্ছি যে এটি দ্রুত অস্বাস্থ্যকর হয়ে উঠবে। এমন কেউ কি আছেন যার একই অভিজ"&amp;"্ঞতা হয়েছে?")</f>
        <v>আমি ভোর ৫টায় ঘুম থেকে উঠি, এবং দিনের বেশিরভাগ সময় যতটা সম্ভব কাজ করি। যখন আমাকে বাইরে গিয়ে সামাজিক কাজ করতে হয় তখন আমি হতাশ হই, কারণ আমি বরং উৎপাদনশীল হতে চাই। তাছাড়া, আমি দেখতে পাচ্ছি যে এটি দ্রুত অস্বাস্থ্যকর হয়ে উঠবে। এমন কেউ কি আছেন যার একই অভিজ্ঞতা হয়েছে?</v>
      </c>
    </row>
    <row r="446" spans="1:3" ht="15" x14ac:dyDescent="0.25">
      <c r="A446" s="3" t="s">
        <v>447</v>
      </c>
      <c r="B446" s="3" t="s">
        <v>4</v>
      </c>
      <c r="C446" s="4" t="str">
        <f ca="1">IFERROR(__xludf.DUMMYFUNCTION("GOOGLETRANSLATE(A446, ""auto"", ""bn"")"),"আমার মনে হচ্ছে আমি একা, আর বাইরে। আমার মনে হচ্ছে আমার স্বামীর আমার প্রতি অনুভূতিও বদলে যাচ্ছে। সে বলে, ওরা তা করছে না, কিন্তু আমি তা বুঝতে পারছি। গত ৩ সপ্তাহ ধরে মানুষ আমার চারপাশে ক্রমাগত মদ্যপান করছে আর আমি তা ভুলে গেছি। মানুষ যখন মাতাল হয়ে যাচ্ছে তখন "&amp;"আমি সেইসব বাজে কথা বলতে বিরক্ত। মানুষের তর্ক করতে বিরক্ত, আমার মা অজান্তেই খারাপ কথা বলতে বিরক্ত। মদ্যপান না করার এত চেষ্টা কেন? হয়তো সবাই আমার উপর বিরক্ত এবং তারা আমার সাথে একটা নির্দিষ্ট আচরণ করছে কারণ আমি একজন অসাধারণ মানুষ। আমি যদি জানতাম কিভাবে ধীরগ"&amp;"তি করতে হয় এবং সবসময় চলাফেরা করতে হয় না।")</f>
        <v>আমার মনে হচ্ছে আমি একা, আর বাইরে। আমার মনে হচ্ছে আমার স্বামীর আমার প্রতি অনুভূতিও বদলে যাচ্ছে। সে বলে, ওরা তা করছে না, কিন্তু আমি তা বুঝতে পারছি। গত ৩ সপ্তাহ ধরে মানুষ আমার চারপাশে ক্রমাগত মদ্যপান করছে আর আমি তা ভুলে গেছি। মানুষ যখন মাতাল হয়ে যাচ্ছে তখন আমি সেইসব বাজে কথা বলতে বিরক্ত। মানুষের তর্ক করতে বিরক্ত, আমার মা অজান্তেই খারাপ কথা বলতে বিরক্ত। মদ্যপান না করার এত চেষ্টা কেন? হয়তো সবাই আমার উপর বিরক্ত এবং তারা আমার সাথে একটা নির্দিষ্ট আচরণ করছে কারণ আমি একজন অসাধারণ মানুষ। আমি যদি জানতাম কিভাবে ধীরগতি করতে হয় এবং সবসময় চলাফেরা করতে হয় না।</v>
      </c>
    </row>
    <row r="447" spans="1:3" ht="15" x14ac:dyDescent="0.25">
      <c r="A447" s="3" t="s">
        <v>448</v>
      </c>
      <c r="B447" s="3" t="s">
        <v>4</v>
      </c>
      <c r="C447" s="4" t="str">
        <f ca="1">IFERROR(__xludf.DUMMYFUNCTION("GOOGLETRANSLATE(A447, ""auto"", ""bn"")"),"তাহলে আমি জানি না কিভাবে আমি এই সাব-এ ঢুকে পড়লাম। আমার মনে হয় কেউ একজন মন্তব্যে এটা উল্লেখ করেছে, আর আমি পাশ কাটিয়ে যাচ্ছিলাম। আমি কৌতূহলী ছিলাম। তাই, আমি সপ্তাহে ৩-৪ বার হস্তমৈথুন করি। আমার জীবনে এমন কিছু পর্যায় আছে যেখানে আমি দিনে একবার হলেও হস্তমৈথ"&amp;"ুন করতে পারি। কখনও কখনও আমি পর্ন দেখি, কখনও কখনও দেখি না। আমি যা ভাবছিলাম তা হল... কখন তুমি বুঝতে পারো হস্তমৈথুন আসলে একটি সমস্যা? আমি সবসময় হস্তমৈথুনকে সম্পূর্ণ প্রাকৃতিক এবং এমনকি প্রয়োজনীয় কিছু বলে মনে করতাম। আমি কখনও নিজেকে আমার হস্তমৈথুনের অভ্যাস "&amp;"নিয়ে প্রশ্ন করি না। তাছাড়া, আমি মাঝে মাঝে কিছু জিনিসকে যৌনতা দিই, হ্যাঁ। কিন্তু এর বাইরে (এটি কখনও কখনও বিরক্তিকর হতে পারে) এটি আমার জীবনের সাথে কখনও বিশৃঙ্খলা করেনি।")</f>
        <v>তাহলে আমি জানি না কিভাবে আমি এই সাব-এ ঢুকে পড়লাম। আমার মনে হয় কেউ একজন মন্তব্যে এটা উল্লেখ করেছে, আর আমি পাশ কাটিয়ে যাচ্ছিলাম। আমি কৌতূহলী ছিলাম। তাই, আমি সপ্তাহে ৩-৪ বার হস্তমৈথুন করি। আমার জীবনে এমন কিছু পর্যায় আছে যেখানে আমি দিনে একবার হলেও হস্তমৈথুন করতে পারি। কখনও কখনও আমি পর্ন দেখি, কখনও কখনও দেখি না। আমি যা ভাবছিলাম তা হল... কখন তুমি বুঝতে পারো হস্তমৈথুন আসলে একটি সমস্যা? আমি সবসময় হস্তমৈথুনকে সম্পূর্ণ প্রাকৃতিক এবং এমনকি প্রয়োজনীয় কিছু বলে মনে করতাম। আমি কখনও নিজেকে আমার হস্তমৈথুনের অভ্যাস নিয়ে প্রশ্ন করি না। তাছাড়া, আমি মাঝে মাঝে কিছু জিনিসকে যৌনতা দিই, হ্যাঁ। কিন্তু এর বাইরে (এটি কখনও কখনও বিরক্তিকর হতে পারে) এটি আমার জীবনের সাথে কখনও বিশৃঙ্খলা করেনি।</v>
      </c>
    </row>
    <row r="448" spans="1:3" ht="15" x14ac:dyDescent="0.25">
      <c r="A448" s="3" t="s">
        <v>449</v>
      </c>
      <c r="B448" s="3" t="s">
        <v>4</v>
      </c>
      <c r="C448" s="4" t="str">
        <f ca="1">IFERROR(__xludf.DUMMYFUNCTION("GOOGLETRANSLATE(A448, ""auto"", ""bn"")"),"তোমার কি কখনও মনে হয় যখন তুমি অন্য কোন নেশাগ্রস্ত পদার্থ গ্রহণ করো, তখন তোমার মূল আসক্তির আকাঙ্ক্ষা আরও বেড়ে যায়? কখনও কখনও যখন আমি আমার মূল আসক্তি ত্যাগ করার চেষ্টা করি, তখন আমার মনে হয় যখন আমি অন্য কোন নেশাগ্রস্ত পদার্থ গ্রহণ করি, তখন আমার মূল আসক্ত"&amp;"ির আকাঙ্ক্ষা আরও বেড়ে যায়। তুমি কি কখনও এইরকম অনুভব করো?")</f>
        <v>তোমার কি কখনও মনে হয় যখন তুমি অন্য কোন নেশাগ্রস্ত পদার্থ গ্রহণ করো, তখন তোমার মূল আসক্তির আকাঙ্ক্ষা আরও বেড়ে যায়? কখনও কখনও যখন আমি আমার মূল আসক্তি ত্যাগ করার চেষ্টা করি, তখন আমার মনে হয় যখন আমি অন্য কোন নেশাগ্রস্ত পদার্থ গ্রহণ করি, তখন আমার মূল আসক্তির আকাঙ্ক্ষা আরও বেড়ে যায়। তুমি কি কখনও এইরকম অনুভব করো?</v>
      </c>
    </row>
    <row r="449" spans="1:3" ht="15" x14ac:dyDescent="0.25">
      <c r="A449" s="3" t="s">
        <v>450</v>
      </c>
      <c r="B449" s="3" t="s">
        <v>4</v>
      </c>
      <c r="C449" s="4" t="str">
        <f ca="1">IFERROR(__xludf.DUMMYFUNCTION("GOOGLETRANSLATE(A449, ""auto"", ""bn"")"),"যেহেতু আসক্তি তার সবচেয়ে সহজ রূপে মস্তিষ্কের রাসায়নিক রিসেপ্টরগুলিকে উদ্দীপনা দাবি করে, তাই তত্ত্বগতভাবে কি আসক্তির নিরাময় কেবল নির্দিষ্ট ওষুধ রিসেপ্টরগুলিকে ধ্বংস করার উপায় খুঁজে বের করা হতে পারে না? প্রযুক্তি কীভাবে এটি করতে পারে তা আমার কাছে অজানা,"&amp;" তবে মৌলিকভাবে বলতে গেলে, সবচেয়ে সহজ রূপে। এটি কি কাজ করতে পারে?")</f>
        <v>যেহেতু আসক্তি তার সবচেয়ে সহজ রূপে মস্তিষ্কের রাসায়নিক রিসেপ্টরগুলিকে উদ্দীপনা দাবি করে, তাই তত্ত্বগতভাবে কি আসক্তির নিরাময় কেবল নির্দিষ্ট ওষুধ রিসেপ্টরগুলিকে ধ্বংস করার উপায় খুঁজে বের করা হতে পারে না? প্রযুক্তি কীভাবে এটি করতে পারে তা আমার কাছে অজানা, তবে মৌলিকভাবে বলতে গেলে, সবচেয়ে সহজ রূপে। এটি কি কাজ করতে পারে?</v>
      </c>
    </row>
    <row r="450" spans="1:3" ht="15" x14ac:dyDescent="0.25">
      <c r="A450" s="3" t="s">
        <v>451</v>
      </c>
      <c r="B450" s="3" t="s">
        <v>4</v>
      </c>
      <c r="C450" s="4" t="str">
        <f ca="1">IFERROR(__xludf.DUMMYFUNCTION("GOOGLETRANSLATE(A450, ""auto"", ""bn"")"),"আমার মস্তিষ্ক কি সুস্থ হবে এবং আসক্তির আগের চেয়ে জীবন কি আরও ভালো হবে? জীবন কি আমি যতটা চাই ততটা অবিশ্বাস্য হতে পারে? প্রায় ১০০ দিন পরিষ্কার-পরিচ্ছন্ন থাকা, সঠিক খাবার খাওয়া এবং ব্যায়াম করা, কিন্তু তবুও মাঝে মাঝে অনুপ্রাণিত এবং উদ্বিগ্ন বোধ করা। আমার "&amp;"মস্তিষ্ক কি সুস্থ হবে, এবং আমি কি আগের চেয়ে অনেক ভালো হব? জীবন কি সত্যিই অবিশ্বাস্য হতে পারে?")</f>
        <v>আমার মস্তিষ্ক কি সুস্থ হবে এবং আসক্তির আগের চেয়ে জীবন কি আরও ভালো হবে? জীবন কি আমি যতটা চাই ততটা অবিশ্বাস্য হতে পারে? প্রায় ১০০ দিন পরিষ্কার-পরিচ্ছন্ন থাকা, সঠিক খাবার খাওয়া এবং ব্যায়াম করা, কিন্তু তবুও মাঝে মাঝে অনুপ্রাণিত এবং উদ্বিগ্ন বোধ করা। আমার মস্তিষ্ক কি সুস্থ হবে, এবং আমি কি আগের চেয়ে অনেক ভালো হব? জীবন কি সত্যিই অবিশ্বাস্য হতে পারে?</v>
      </c>
    </row>
    <row r="451" spans="1:3" ht="15" x14ac:dyDescent="0.25">
      <c r="A451" s="3" t="s">
        <v>452</v>
      </c>
      <c r="B451" s="3" t="s">
        <v>4</v>
      </c>
      <c r="C451" s="4" t="str">
        <f ca="1">IFERROR(__xludf.DUMMYFUNCTION("GOOGLETRANSLATE(A451, ""auto"", ""bn"")"),"আমি জানি না এটাকে আসক্তি হিসেবে বিবেচনা করা হয় কিনা, তবে যদি আপনি আমাকে এখানে সাহায্য করেন তাহলে আমি সত্যিই কৃতজ্ঞ থাকব। তাই আমার আঙুলের চামড়া কামড়ানোর একটা ভয়ানক অভ্যাস আছে (আমি জানি এটা শুনতে বিরক্তিকর শোনাচ্ছে, এবং আমি নিজেও বিরক্ত)। এটা কয়েক বছর "&amp;"ধরে একটা অভ্যাস, এবং আমি এই ঘৃণ্য অভ্যাসটি থামাতে পারছি না। আমি জানি না কী করব। দয়া করে আমাকে নিয়ে মজা করো না। আমি জানি এটা বিরক্তিকর, তাই আমি এই অভ্যাসটি থামাতে চেষ্টা করছি। আমি যখন টেনশনে থাকি বা চাপে থাকি তখন আমি এটি আরও বেশি করে ফেলি। শুধু এটাই বলতে চ"&amp;"েয়েছিলাম।")</f>
        <v>আমি জানি না এটাকে আসক্তি হিসেবে বিবেচনা করা হয় কিনা, তবে যদি আপনি আমাকে এখানে সাহায্য করেন তাহলে আমি সত্যিই কৃতজ্ঞ থাকব। তাই আমার আঙুলের চামড়া কামড়ানোর একটা ভয়ানক অভ্যাস আছে (আমি জানি এটা শুনতে বিরক্তিকর শোনাচ্ছে, এবং আমি নিজেও বিরক্ত)। এটা কয়েক বছর ধরে একটা অভ্যাস, এবং আমি এই ঘৃণ্য অভ্যাসটি থামাতে পারছি না। আমি জানি না কী করব। দয়া করে আমাকে নিয়ে মজা করো না। আমি জানি এটা বিরক্তিকর, তাই আমি এই অভ্যাসটি থামাতে চেষ্টা করছি। আমি যখন টেনশনে থাকি বা চাপে থাকি তখন আমি এটি আরও বেশি করে ফেলি। শুধু এটাই বলতে চেয়েছিলাম।</v>
      </c>
    </row>
    <row r="452" spans="1:3" ht="15" x14ac:dyDescent="0.25">
      <c r="A452" s="3" t="s">
        <v>453</v>
      </c>
      <c r="B452" s="3" t="s">
        <v>4</v>
      </c>
      <c r="C452" s="4" t="str">
        <f ca="1">IFERROR(__xludf.DUMMYFUNCTION("GOOGLETRANSLATE(A452, ""auto"", ""bn"")"),"সম্প্রতি মৃত্যুর কাছাকাছি ওভারডোজ খেয়েছি এবং IDK এটা আমার পরের দিনের নোটগুলিতে শেয়ার করতে চেয়েছিল, তুমি জানো যখন তুমি ঘুম থেকে উঠো তখন কেমন হয়, অনেক কিছু নিয়ে তুমি জেগে থাকো, তুমি কীভাবে কিছু বেতন পাও, তাই তুমি জেগে থাকো, এটা করার চেষ্টা করো কিন্তু খ"&amp;"েলা খেলো না, তাই তুমি তাড়াহুড়ো করো, দু'একটা টাকা সূক্ষ্ম শয়তান, মন নিয়ে উড়োজাহাজ ভ্রমণের মতো চলে গেছো, কিন্তু এটা তোমার টিকিট নয়, তুমি তোমার পাওনা অর্ধেক করেছো, কখনো জড়িত থাকা উচিত ছিল না, কিন্তু আঘাত হানার সাথে সাথে তোমার সমস্ত ভয় দূর হয়ে গেল, অ"&amp;"বশেষে এটি শুরু হলো। তুমি অপেক্ষা করছো, শন তারকারা এবং গাড়ি চালাচ্ছেন, পাশ দিয়ে যাও, তুমি ক্ষুধার্ত দেখাও, কিন্তু এত জীবন্ত বোধ করো কারণ এটি তোমার ড্রাইভ এটি তোমাকে একটি বন্য যাত্রায় নিয়ে যায়, হ্যাচ থেকে আরও বিশটি নিচে, যদিও তুমি তাদের জন্য ঋণী, তুমি "&amp;"পরোয়া করো না কারণ পৃথিবী তোমার, অস্থায়ী আধিপত্য, এটি পৃথিবীকে ভাড়া দেওয়ার মতো, ক্ষণিকের আনন্দ কারণ তুমি আর জীবনকাল কেটে যাওয়ার বিষয়ে চিন্তিত নও")</f>
        <v>সম্প্রতি মৃত্যুর কাছাকাছি ওভারডোজ খেয়েছি এবং IDK এটা আমার পরের দিনের নোটগুলিতে শেয়ার করতে চেয়েছিল, তুমি জানো যখন তুমি ঘুম থেকে উঠো তখন কেমন হয়, অনেক কিছু নিয়ে তুমি জেগে থাকো, তুমি কীভাবে কিছু বেতন পাও, তাই তুমি জেগে থাকো, এটা করার চেষ্টা করো কিন্তু খেলা খেলো না, তাই তুমি তাড়াহুড়ো করো, দু'একটা টাকা সূক্ষ্ম শয়তান, মন নিয়ে উড়োজাহাজ ভ্রমণের মতো চলে গেছো, কিন্তু এটা তোমার টিকিট নয়, তুমি তোমার পাওনা অর্ধেক করেছো, কখনো জড়িত থাকা উচিত ছিল না, কিন্তু আঘাত হানার সাথে সাথে তোমার সমস্ত ভয় দূর হয়ে গেল, অবশেষে এটি শুরু হলো। তুমি অপেক্ষা করছো, শন তারকারা এবং গাড়ি চালাচ্ছেন, পাশ দিয়ে যাও, তুমি ক্ষুধার্ত দেখাও, কিন্তু এত জীবন্ত বোধ করো কারণ এটি তোমার ড্রাইভ এটি তোমাকে একটি বন্য যাত্রায় নিয়ে যায়, হ্যাচ থেকে আরও বিশটি নিচে, যদিও তুমি তাদের জন্য ঋণী, তুমি পরোয়া করো না কারণ পৃথিবী তোমার, অস্থায়ী আধিপত্য, এটি পৃথিবীকে ভাড়া দেওয়ার মতো, ক্ষণিকের আনন্দ কারণ তুমি আর জীবনকাল কেটে যাওয়ার বিষয়ে চিন্তিত নও</v>
      </c>
    </row>
    <row r="453" spans="1:3" ht="15" x14ac:dyDescent="0.25">
      <c r="A453" s="3" t="s">
        <v>454</v>
      </c>
      <c r="B453" s="3" t="s">
        <v>4</v>
      </c>
      <c r="C453" s="4" t="str">
        <f ca="1">IFERROR(__xludf.DUMMYFUNCTION("GOOGLETRANSLATE(A453, ""auto"", ""bn"")"),"ভ্যাপিং ছেড়ে দেওয়ার চেষ্টা করছি। আমি এমন কাউকে চিনি না যে ভ্যাপিং আসক্তি থেকে সেরে উঠেছে, এবং যদি আমি তা করেও থাকি, তাহলে আমি কাউকে বলতে লজ্জা পাব যে আমি প্রথম থেকেই ভ্যাপিং শুরু করেছি, আসক্ত হয়ে পড়া তো দূরের কথা। তোমাদের মধ্যে যারা ভ্যাপিং আসক্তি কাট"&amp;"িয়ে উঠেছো, তাদের জন্য পুনরুদ্ধার প্রক্রিয়া কেমন ছিল? আমি যতদূর বুঝতে পারি, ভ্যাপিং আসক্তি কাটিয়ে ওঠা ধূমপানের আসক্তির চেয়ে সহজ, আমি শুনেছি প্রথম সপ্তাহের পরে পাফ করার ইচ্ছা উল্লেখযোগ্যভাবে কম থাকে, যদি তুমি এখনও তা অনুভব করো? আমি চিন্তিত যে প্রাথমিক আ"&amp;"কাঙ্ক্ষা বন্ধ হয়ে যাওয়ার পরেও, আমি এখনও ভ্যাপিং করতে চাই কারণ যেহেতু আমি সারা দিন নিয়মিতভাবে ভ্যাপিং শুরু করেছি, তাই এটি আর আগের মতো ""জোঙ্কড?"" প্রভাব রাখে না। প্রাথমিক আকাঙ্ক্ষা কমে যাওয়ার পরে, আমি চিন্তিত যে আমি আবার পাফ করতে চাই যে আমি দেখতে চাই য"&amp;"ে ""জোঙ্কড?"" আমার শরীর থেকে নিকোটিন বের করার জন্য সময় দেওয়ার পরে অনুভূতি ফিরে আসবে কিনা। যদি আমি এই চক্রে আটকা পড়ি, ""আসক্ত হয়ে পড়ি, আবারও ফুঁপিয়ে পড়ি, আবার আসক্ত হয়ে পড়ি?"" সারা জীবন ধরে সাইকেল চালিয়ে যাব? আমার একটা অংশ ভাবছে এটা কি শুধু আসক্তির কথা ব"&amp;"লছে, হয়তো আমি পরিষ্কার হওয়ার পরও জোঙ্কড হতে চাইব না? তোমাদের কারো কি নিজস্ব অভিজ্ঞতা থেকে কোন পরামর্শ, টিপস, বা পরামর্শ আছে?")</f>
        <v>ভ্যাপিং ছেড়ে দেওয়ার চেষ্টা করছি। আমি এমন কাউকে চিনি না যে ভ্যাপিং আসক্তি থেকে সেরে উঠেছে, এবং যদি আমি তা করেও থাকি, তাহলে আমি কাউকে বলতে লজ্জা পাব যে আমি প্রথম থেকেই ভ্যাপিং শুরু করেছি, আসক্ত হয়ে পড়া তো দূরের কথা। তোমাদের মধ্যে যারা ভ্যাপিং আসক্তি কাটিয়ে উঠেছো, তাদের জন্য পুনরুদ্ধার প্রক্রিয়া কেমন ছিল? আমি যতদূর বুঝতে পারি, ভ্যাপিং আসক্তি কাটিয়ে ওঠা ধূমপানের আসক্তির চেয়ে সহজ, আমি শুনেছি প্রথম সপ্তাহের পরে পাফ করার ইচ্ছা উল্লেখযোগ্যভাবে কম থাকে, যদি তুমি এখনও তা অনুভব করো? আমি চিন্তিত যে প্রাথমিক আকাঙ্ক্ষা বন্ধ হয়ে যাওয়ার পরেও, আমি এখনও ভ্যাপিং করতে চাই কারণ যেহেতু আমি সারা দিন নিয়মিতভাবে ভ্যাপিং শুরু করেছি, তাই এটি আর আগের মতো "জোঙ্কড?" প্রভাব রাখে না। প্রাথমিক আকাঙ্ক্ষা কমে যাওয়ার পরে, আমি চিন্তিত যে আমি আবার পাফ করতে চাই যে আমি দেখতে চাই যে "জোঙ্কড?" আমার শরীর থেকে নিকোটিন বের করার জন্য সময় দেওয়ার পরে অনুভূতি ফিরে আসবে কিনা। যদি আমি এই চক্রে আটকা পড়ি, "আসক্ত হয়ে পড়ি, আবারও ফুঁপিয়ে পড়ি, আবার আসক্ত হয়ে পড়ি?" সারা জীবন ধরে সাইকেল চালিয়ে যাব? আমার একটা অংশ ভাবছে এটা কি শুধু আসক্তির কথা বলছে, হয়তো আমি পরিষ্কার হওয়ার পরও জোঙ্কড হতে চাইব না? তোমাদের কারো কি নিজস্ব অভিজ্ঞতা থেকে কোন পরামর্শ, টিপস, বা পরামর্শ আছে?</v>
      </c>
    </row>
    <row r="454" spans="1:3" ht="15" x14ac:dyDescent="0.25">
      <c r="A454" s="3" t="s">
        <v>455</v>
      </c>
      <c r="B454" s="3" t="s">
        <v>4</v>
      </c>
      <c r="C454" s="4" t="str">
        <f ca="1">IFERROR(__xludf.DUMMYFUNCTION("GOOGLETRANSLATE(A454, ""auto"", ""bn"")"),"আমি ৭৫ দিন ধরে সুস্থ আছি এবং এখনও দৃঢ়ভাবে কাজ করছি, আজ আমার স্পনসর আমাকে বরখাস্ত করেছেন, তিনি আশা করেন যে আমি প্রতিদিন ৫ টায় তাকে ফোন করব এবং প্রতিদিন সকালে ধ্যানের পাশাপাশি কৃতজ্ঞতার তালিকা পাঠাব। আমি এভাবে ঘুরি না, ঘুমের সমস্যায় থাকি, আমার ডে ওয়ার্কা"&amp;"র ১-১ এবং গ্রুপ ওয়ার্ক ২ দিন করে এবং আরও দুই দিন কাজ করে ৩ দিনের জিম প্রোগ্রামের সাথে ব্যস্ত থাকি। আমার মনে হচ্ছে সে এমন আচরণ করছে যেন আমার বান্ধবী খারাপ করছে কারণ আমি সময়মতো ফোন করে বা কাজের জন্য দেরি করে গেলে আমার কৃতজ্ঞতা তালিকা তৈরি করে ইত্যাদি। সে "&amp;"গত কয়েক সপ্তাহ ধরে আমার কোনও সিএ মিটিং না করার বিষয়েও মন্তব্য করেছে কিন্তু সে মনে করছে যে আমি প্রতি সপ্তাহে একটি স্মার্ট মিটিং করছি এবং আমি জুম কল করি। সে মনে করে আমি আমার পুনরুদ্ধারকে গুরুত্ব সহকারে নিচ্ছি না কিন্তু আমি সম্পূর্ণ সৎভাবে এটিকে গুরুত্ব সহ"&amp;"কারে নিচ্ছি। আমি কেবল দিনের পর দিন ফোন করতে বিরক্ত, যখন আমি আমার জীবনের সাথে এগিয়ে যাওয়ার চেষ্টা করছি, পুনরুদ্ধারের ভারসাম্য বজায় রেখে এবং আমার সেরাটা বাঁচার চেষ্টা করছি, এবং সিএ মিটিং শিল্প যা আমি করতে চাই তা তারা একটি ধর্মের মতো অনুভব করে তারা সময় ন"&amp;"ষ্ট করে, বোলকস ১২ টি ঐতিহ্য ইত্যাদির সাথে কথা বলে এবং সবাই কেবল বসে বসে এটি কীভাবে ছিল তা অনুসরণ করে, আমার জীবনের মধ্য দিয়ে যাওয়ার জন্য সরঞ্জামের প্রয়োজন, কেবল কোনও উচ্চতর শক্তিতে বিশ্বাস না করে কীভাবে সঠিকভাবে বাঁচতে হয় তা শেখানো। বোলকস আমার সব সমস্য"&amp;"ার সমাধান করে দেবে, আসল চাপ সমাধানের জন্য আমাকে কোনও পরিশ্রম করতে হবে না, আমি সংযম ত্যাগ করতে চাই না, কিন্তু আমার কিছু ভয়াবহ দিন আছে যেখানে স্পনসর সাহায্য করে না অথবা আরও খারাপ করে তুলতে পারে। আমি জানি এমন স্পনসর আছে যারা তোমার ১২টি ধাপ সম্পন্ন করে তোমাক"&amp;"ে বাঁচার সুযোগ দেয় (সপ্তাহে বা মাসে একবার কল ইত্যাদি), আমি বরং প্রতি কয়েক সপ্তাহে একবার দেখা করে বাকিগুলো চালিয়ে যেতে চাই, এখন কেমন আছি।")</f>
        <v>আমি ৭৫ দিন ধরে সুস্থ আছি এবং এখনও দৃঢ়ভাবে কাজ করছি, আজ আমার স্পনসর আমাকে বরখাস্ত করেছেন, তিনি আশা করেন যে আমি প্রতিদিন ৫ টায় তাকে ফোন করব এবং প্রতিদিন সকালে ধ্যানের পাশাপাশি কৃতজ্ঞতার তালিকা পাঠাব। আমি এভাবে ঘুরি না, ঘুমের সমস্যায় থাকি, আমার ডে ওয়ার্কার ১-১ এবং গ্রুপ ওয়ার্ক ২ দিন করে এবং আরও দুই দিন কাজ করে ৩ দিনের জিম প্রোগ্রামের সাথে ব্যস্ত থাকি। আমার মনে হচ্ছে সে এমন আচরণ করছে যেন আমার বান্ধবী খারাপ করছে কারণ আমি সময়মতো ফোন করে বা কাজের জন্য দেরি করে গেলে আমার কৃতজ্ঞতা তালিকা তৈরি করে ইত্যাদি। সে গত কয়েক সপ্তাহ ধরে আমার কোনও সিএ মিটিং না করার বিষয়েও মন্তব্য করেছে কিন্তু সে মনে করছে যে আমি প্রতি সপ্তাহে একটি স্মার্ট মিটিং করছি এবং আমি জুম কল করি। সে মনে করে আমি আমার পুনরুদ্ধারকে গুরুত্ব সহকারে নিচ্ছি না কিন্তু আমি সম্পূর্ণ সৎভাবে এটিকে গুরুত্ব সহকারে নিচ্ছি। আমি কেবল দিনের পর দিন ফোন করতে বিরক্ত, যখন আমি আমার জীবনের সাথে এগিয়ে যাওয়ার চেষ্টা করছি, পুনরুদ্ধারের ভারসাম্য বজায় রেখে এবং আমার সেরাটা বাঁচার চেষ্টা করছি, এবং সিএ মিটিং শিল্প যা আমি করতে চাই তা তারা একটি ধর্মের মতো অনুভব করে তারা সময় নষ্ট করে, বোলকস ১২ টি ঐতিহ্য ইত্যাদির সাথে কথা বলে এবং সবাই কেবল বসে বসে এটি কীভাবে ছিল তা অনুসরণ করে, আমার জীবনের মধ্য দিয়ে যাওয়ার জন্য সরঞ্জামের প্রয়োজন, কেবল কোনও উচ্চতর শক্তিতে বিশ্বাস না করে কীভাবে সঠিকভাবে বাঁচতে হয় তা শেখানো। বোলকস আমার সব সমস্যার সমাধান করে দেবে, আসল চাপ সমাধানের জন্য আমাকে কোনও পরিশ্রম করতে হবে না, আমি সংযম ত্যাগ করতে চাই না, কিন্তু আমার কিছু ভয়াবহ দিন আছে যেখানে স্পনসর সাহায্য করে না অথবা আরও খারাপ করে তুলতে পারে। আমি জানি এমন স্পনসর আছে যারা তোমার ১২টি ধাপ সম্পন্ন করে তোমাকে বাঁচার সুযোগ দেয় (সপ্তাহে বা মাসে একবার কল ইত্যাদি), আমি বরং প্রতি কয়েক সপ্তাহে একবার দেখা করে বাকিগুলো চালিয়ে যেতে চাই, এখন কেমন আছি।</v>
      </c>
    </row>
    <row r="455" spans="1:3" ht="15" x14ac:dyDescent="0.25">
      <c r="A455" s="3" t="s">
        <v>456</v>
      </c>
      <c r="B455" s="3" t="s">
        <v>4</v>
      </c>
      <c r="C455" s="4" t="str">
        <f ca="1">IFERROR(__xludf.DUMMYFUNCTION("GOOGLETRANSLATE(A455, ""auto"", ""bn"")"),"""নতুন যুগের"" যেকোনো কিছু বা ""উদার"" বলে মনে হতে পারে এমন জিনিসের প্রতি যারা বিশেষভাবে প্রতিরোধী তাদের জন্য পুনর্বাসন পরিষেবা সম্পর্কে কোন পরামর্শ আছে? আমার প্রশ্নের শিরোনামটি সম্ভবত স্বভাবতই সমস্যাযুক্ত, কিন্তু এটাই আমি যে সত্যের সাথে মোকাবিলা করছি। আম"&amp;"ার বাবা, 62, একজন অত্যন্ত গর্বিত, কোন অনুভূতি স্বীকার করেন না, স্ব-ঘোষিত ""ঐতিহ্যবাহী"" মানুষ। তিনি জীবনে কখনও কোনও সমস্যার মুখোমুখি হননি - তিনি সর্বদা ""XYZ কে বড় চুক্তিতে পরিণত না করা"" এই দৃষ্টিভঙ্গি নিয়ে চলে গেছেন, ক্যালিফোর্নিয়ার সমস্ত জিনিস ঘৃণা "&amp;"করেন, ফক্স নিউজকে ভালোবাসেন, মনে করেন সবাই খ্রিস্টধর্ম বাতিল করতে বেরিয়েছেন.... আমি বুঝতে পারি যে আমি সম্ভবত তাকে সঞ্চয়ের বাইরেও শোনাতে পেরেছি, কিন্তু বিশ্বাস করুন বা না করুন যখন আপনি তাকে ফক্স নিউজ থেকে সরিয়ে দেন, তখন তিনি আসলে একজন দয়ালু, ভদ্র ব্যক্"&amp;"তি হতে পারেন। তিনি কিছু উপায়ে স্বীকার করতে পারেন যে তিনি নিখুঁত নন, কেবল সেই স্তরে নন যেখানে তাকে জীবনের স্থিতাবস্থায় আমূল পরিবর্তন আনতে হবে। তার প্রচুর গর্ব আছে এবং জীবনের বড় জিনিসের ক্ষেত্রে তার সবকিছু একসাথে আছে বলে মনে না করে থাকতে পারেন না। তাছাড়া"&amp;", সে খুব উদার হতে পারে, এবং আমি বিশ্বাস করি সে তার সন্তানদের ভালোবাসে, কেবল স্বার্থপরতার দৃষ্টিকোণ থেকে নয়। সে ত্রুটিপূর্ণ কিন্তু সে খারাপ নয়। যাই হোক.... তার বাবা ৩ বছর আগে মারা যাওয়ার পর থেকে সে নিজেকে মারাত্মকভাবে মদ্যপানে নিমজ্জিত করেছে। আমি যখন বড"&amp;"় হচ্ছিলাম তখন সে এক ফোঁটাও মদ্যপান করেনি, কিন্তু আমার মনে হয় এখন সে তার সন্তানদের লালন-পালন এবং তার নিজের বাবার মৃত্যুর শোক সহ্য করতে না পেরে... সে খুব অন্ধকার গর্তে চলে গেছে। জনসমক্ষে সে মাতাল হয়ে অজ্ঞান হয়ে যাচ্ছে, বার থেকে বের করে দেওয়া হচ্ছে.... এ"&amp;"টা খুবই খারাপ। যদি সে এই পথে চলতে থাকে তবে সে শীঘ্রই আত্মহত্যা করবে। আমি বুঝতে পারি যে পুনর্বাসন কেবল তখনই কাজ করে যদি লোকেরা কাজ করতে ইচ্ছুক হয় এবং পরিবর্তন করতে চায় এবং তাকে সাহায্য গ্রহণ করা কঠিন হবে। কিন্তু আমি একটি হস্তক্ষেপের ব্যবস্থা করার কথা ভাব"&amp;"ছি, এবং পুনর্বাসনের পরামর্শ সম্পর্কে কিছু পরামর্শ পেতে চাই, সম্ভবত বিশেষভাবে তাদের জন্য যারা ""আধুনিক মানসিক স্বাস্থ্য"" কে ""উলু"" বলে মনে করে। আবার, আমি এটা শুনতে বোকামি মনে হচ্ছে, কিন্তু আমি এখানেই আছি। সে ক্যাথলিক। হয়তো এমন কোন ক্যাথলিক পুনর্বাসন আছে"&amp;" যা লজ্জার উপর ভিত্তি করে মগজ ধোলাই নয়? উফ। আমি ভাবছি কেউ কি এমন একটি পুনর্বাসন খুঁজে পেয়েছে যা রক্ষণশীলদের জন্য একটু কম ভয়ঙ্কর হতে পারে, এটি একটি বিকৃত খ্রিস্টান নরক দৃশ্য ছাড়া।")</f>
        <v>"নতুন যুগের" যেকোনো কিছু বা "উদার" বলে মনে হতে পারে এমন জিনিসের প্রতি যারা বিশেষভাবে প্রতিরোধী তাদের জন্য পুনর্বাসন পরিষেবা সম্পর্কে কোন পরামর্শ আছে? আমার প্রশ্নের শিরোনামটি সম্ভবত স্বভাবতই সমস্যাযুক্ত, কিন্তু এটাই আমি যে সত্যের সাথে মোকাবিলা করছি। আমার বাবা, 62, একজন অত্যন্ত গর্বিত, কোন অনুভূতি স্বীকার করেন না, স্ব-ঘোষিত "ঐতিহ্যবাহী" মানুষ। তিনি জীবনে কখনও কোনও সমস্যার মুখোমুখি হননি - তিনি সর্বদা "XYZ কে বড় চুক্তিতে পরিণত না করা" এই দৃষ্টিভঙ্গি নিয়ে চলে গেছেন, ক্যালিফোর্নিয়ার সমস্ত জিনিস ঘৃণা করেন, ফক্স নিউজকে ভালোবাসেন, মনে করেন সবাই খ্রিস্টধর্ম বাতিল করতে বেরিয়েছেন.... আমি বুঝতে পারি যে আমি সম্ভবত তাকে সঞ্চয়ের বাইরেও শোনাতে পেরেছি, কিন্তু বিশ্বাস করুন বা না করুন যখন আপনি তাকে ফক্স নিউজ থেকে সরিয়ে দেন, তখন তিনি আসলে একজন দয়ালু, ভদ্র ব্যক্তি হতে পারেন। তিনি কিছু উপায়ে স্বীকার করতে পারেন যে তিনি নিখুঁত নন, কেবল সেই স্তরে নন যেখানে তাকে জীবনের স্থিতাবস্থায় আমূল পরিবর্তন আনতে হবে। তার প্রচুর গর্ব আছে এবং জীবনের বড় জিনিসের ক্ষেত্রে তার সবকিছু একসাথে আছে বলে মনে না করে থাকতে পারেন না। তাছাড়া, সে খুব উদার হতে পারে, এবং আমি বিশ্বাস করি সে তার সন্তানদের ভালোবাসে, কেবল স্বার্থপরতার দৃষ্টিকোণ থেকে নয়। সে ত্রুটিপূর্ণ কিন্তু সে খারাপ নয়। যাই হোক.... তার বাবা ৩ বছর আগে মারা যাওয়ার পর থেকে সে নিজেকে মারাত্মকভাবে মদ্যপানে নিমজ্জিত করেছে। আমি যখন বড় হচ্ছিলাম তখন সে এক ফোঁটাও মদ্যপান করেনি, কিন্তু আমার মনে হয় এখন সে তার সন্তানদের লালন-পালন এবং তার নিজের বাবার মৃত্যুর শোক সহ্য করতে না পেরে... সে খুব অন্ধকার গর্তে চলে গেছে। জনসমক্ষে সে মাতাল হয়ে অজ্ঞান হয়ে যাচ্ছে, বার থেকে বের করে দেওয়া হচ্ছে.... এটা খুবই খারাপ। যদি সে এই পথে চলতে থাকে তবে সে শীঘ্রই আত্মহত্যা করবে। আমি বুঝতে পারি যে পুনর্বাসন কেবল তখনই কাজ করে যদি লোকেরা কাজ করতে ইচ্ছুক হয় এবং পরিবর্তন করতে চায় এবং তাকে সাহায্য গ্রহণ করা কঠিন হবে। কিন্তু আমি একটি হস্তক্ষেপের ব্যবস্থা করার কথা ভাবছি, এবং পুনর্বাসনের পরামর্শ সম্পর্কে কিছু পরামর্শ পেতে চাই, সম্ভবত বিশেষভাবে তাদের জন্য যারা "আধুনিক মানসিক স্বাস্থ্য" কে "উলু" বলে মনে করে। আবার, আমি এটা শুনতে বোকামি মনে হচ্ছে, কিন্তু আমি এখানেই আছি। সে ক্যাথলিক। হয়তো এমন কোন ক্যাথলিক পুনর্বাসন আছে যা লজ্জার উপর ভিত্তি করে মগজ ধোলাই নয়? উফ। আমি ভাবছি কেউ কি এমন একটি পুনর্বাসন খুঁজে পেয়েছে যা রক্ষণশীলদের জন্য একটু কম ভয়ঙ্কর হতে পারে, এটি একটি বিকৃত খ্রিস্টান নরক দৃশ্য ছাড়া।</v>
      </c>
    </row>
    <row r="456" spans="1:3" ht="15" x14ac:dyDescent="0.25">
      <c r="A456" s="3" t="s">
        <v>457</v>
      </c>
      <c r="B456" s="3" t="s">
        <v>4</v>
      </c>
      <c r="C456" s="4" t="str">
        <f ca="1">IFERROR(__xludf.DUMMYFUNCTION("GOOGLETRANSLATE(A456, ""auto"", ""bn"")"),"পরিচয় পরিবর্তন জরিপ কি আপনি কখনও এমন কোনও পরিচয় পরিবর্তনের অভিজ্ঞতা লাভ করেছেন, যেমন এক পরিচয় থেকে অন্য পরিচয়ে স্থানান্তরিত হওয়া, অন্তত কিছুটা ক্ষেত্রে আগের ব্যক্তিত্বের চেয়ে আলাদা ব্যক্তি হয়ে ওঠা? একজন পিতামাতা হওয়া, বিবাহবিচ্ছেদ হওয়া, অবসর গ্রহ"&amp;"ণ করা, নতুন দেশে চলে যাওয়া, লিঙ্গ পরিবর্তন, একজন প্রবীণ সৈনিক হওয়া, আসক্তির বিরুদ্ধে লড়াই করা এবং আরও অনেক জীবনের অভিজ্ঞতা আমাদের আত্ম-বোধকে পরিবর্তন করতে পারে এবং আমাদের দৈনন্দিন জীবনের অনেক দিককে প্রভাবিত করতে পারে। যদি আপনি পরিচয় পরিবর্তনের অভিজ্ঞত"&amp;"া লাভ করে থাকেন, তাহলে অনুগ্রহ করে এই জরিপে অংশগ্রহণ করার কথা বিবেচনা করুন। এই গবেষণা পরিচয় পরিবর্তনের দ্বারা প্রভাবিত ব্যক্তির জীবনের ক্ষেত্রগুলি আরও ভালভাবে বুঝতে এবং এই অভিজ্ঞতাগুলিকে আরও ভালভাবে পরিচালনা করতে কীভাবে মানুষকে সাহায্য করা যায় তা অন্বেষ"&amp;"ণ করতে সাহায্য করবে। জরিপটি সম্পন্ন হতে 10-15 মিনিট সময় লাগবে এবং আপনি হয় বেনামে এটি পূরণ করতে পারেন অথবা পাঁচটি $50 উপহার কার্ডের মধ্যে একটি জেতার সুযোগ পেতে এবং/অথবা ক্ষতিপূরণের জন্য ভবিষ্যতের গবেষণায় অংশগ্রহণ করতে পারেন। অংশগ্রহণের জন্য আপনার বয়স 1"&amp;"8 বছর হতে হবে।")</f>
        <v>পরিচয় পরিবর্তন জরিপ কি আপনি কখনও এমন কোনও পরিচয় পরিবর্তনের অভিজ্ঞতা লাভ করেছেন, যেমন এক পরিচয় থেকে অন্য পরিচয়ে স্থানান্তরিত হওয়া, অন্তত কিছুটা ক্ষেত্রে আগের ব্যক্তিত্বের চেয়ে আলাদা ব্যক্তি হয়ে ওঠা? একজন পিতামাতা হওয়া, বিবাহবিচ্ছেদ হওয়া, অবসর গ্রহণ করা, নতুন দেশে চলে যাওয়া, লিঙ্গ পরিবর্তন, একজন প্রবীণ সৈনিক হওয়া, আসক্তির বিরুদ্ধে লড়াই করা এবং আরও অনেক জীবনের অভিজ্ঞতা আমাদের আত্ম-বোধকে পরিবর্তন করতে পারে এবং আমাদের দৈনন্দিন জীবনের অনেক দিককে প্রভাবিত করতে পারে। যদি আপনি পরিচয় পরিবর্তনের অভিজ্ঞতা লাভ করে থাকেন, তাহলে অনুগ্রহ করে এই জরিপে অংশগ্রহণ করার কথা বিবেচনা করুন। এই গবেষণা পরিচয় পরিবর্তনের দ্বারা প্রভাবিত ব্যক্তির জীবনের ক্ষেত্রগুলি আরও ভালভাবে বুঝতে এবং এই অভিজ্ঞতাগুলিকে আরও ভালভাবে পরিচালনা করতে কীভাবে মানুষকে সাহায্য করা যায় তা অন্বেষণ করতে সাহায্য করবে। জরিপটি সম্পন্ন হতে 10-15 মিনিট সময় লাগবে এবং আপনি হয় বেনামে এটি পূরণ করতে পারেন অথবা পাঁচটি $50 উপহার কার্ডের মধ্যে একটি জেতার সুযোগ পেতে এবং/অথবা ক্ষতিপূরণের জন্য ভবিষ্যতের গবেষণায় অংশগ্রহণ করতে পারেন। অংশগ্রহণের জন্য আপনার বয়স 18 বছর হতে হবে।</v>
      </c>
    </row>
    <row r="457" spans="1:3" ht="15" x14ac:dyDescent="0.25">
      <c r="A457" s="3" t="s">
        <v>458</v>
      </c>
      <c r="B457" s="3" t="s">
        <v>4</v>
      </c>
      <c r="C457" s="4" t="str">
        <f ca="1">IFERROR(__xludf.DUMMYFUNCTION("GOOGLETRANSLATE(A457, ""auto"", ""bn"")"),"যুব সহায়তা কর্মশালা তৈরি করা এই, আমি একজন ২১ বছর বয়সী আসক্ত ব্যক্তি। আমি তরুণদের জন্য এমন একটি আসক্তি কর্মশালা/সভা আয়োজন করতে চাই যা মানসিক স্বাস্থ্য এবং সুস্থতার উপর বেশি মনোযোগী হবে। যেহেতু আমি যে স্থানে এটি স্থাপন করছি সেখানে যুবসমাজের পাশাপাশি অনেক"&amp;" LGBT লোকেরও সহায়তা রয়েছে, তাই আমরা চাই আসক্তি সভাগুলির ঐতিহ্যবাহী নিম্ন-কী ধর্মীয় দিকগুলি থেকে আরও বেশি মানসিক স্বাস্থ্য এবং সম্প্রদায়ের সহায়তার দিকে পরিচালিত করে এটি আরও অন্তর্ভুক্তিমূলক হোক। আমি একজন AUD থেরাপিস্টের সাথে কাজ করব, এবং একজন আসক্ত হি"&amp;"সেবে বেড়ে ওঠার আমার নিজস্ব ব্যক্তিগত অভিজ্ঞতা আছে, তবে আমি অন্যদের চিন্তাভাবনা এবং সাহিত্যের কিছু লিঙ্ক পেতে চেয়েছিলাম। ধন্যবাদ।")</f>
        <v>যুব সহায়তা কর্মশালা তৈরি করা এই, আমি একজন ২১ বছর বয়সী আসক্ত ব্যক্তি। আমি তরুণদের জন্য এমন একটি আসক্তি কর্মশালা/সভা আয়োজন করতে চাই যা মানসিক স্বাস্থ্য এবং সুস্থতার উপর বেশি মনোযোগী হবে। যেহেতু আমি যে স্থানে এটি স্থাপন করছি সেখানে যুবসমাজের পাশাপাশি অনেক LGBT লোকেরও সহায়তা রয়েছে, তাই আমরা চাই আসক্তি সভাগুলির ঐতিহ্যবাহী নিম্ন-কী ধর্মীয় দিকগুলি থেকে আরও বেশি মানসিক স্বাস্থ্য এবং সম্প্রদায়ের সহায়তার দিকে পরিচালিত করে এটি আরও অন্তর্ভুক্তিমূলক হোক। আমি একজন AUD থেরাপিস্টের সাথে কাজ করব, এবং একজন আসক্ত হিসেবে বেড়ে ওঠার আমার নিজস্ব ব্যক্তিগত অভিজ্ঞতা আছে, তবে আমি অন্যদের চিন্তাভাবনা এবং সাহিত্যের কিছু লিঙ্ক পেতে চেয়েছিলাম। ধন্যবাদ।</v>
      </c>
    </row>
    <row r="458" spans="1:3" ht="15" x14ac:dyDescent="0.25">
      <c r="A458" s="3" t="s">
        <v>459</v>
      </c>
      <c r="B458" s="3" t="s">
        <v>4</v>
      </c>
      <c r="C458" s="4" t="str">
        <f ca="1">IFERROR(__xludf.DUMMYFUNCTION("GOOGLETRANSLATE(A458, ""auto"", ""bn"")"),"২৯ বছর কি এখনও যথেষ্ট ছোট যে আমি সবকিছু ঠিক করতে পারব এবং জীবন থেকে যা চাই তা পেতে পারব? ৯৪ দিন ধরে মেথ থেকে মুক্ত ছিলাম। মনে হয় আমার জীবনের সেরা দিনগুলি শেষ হয়ে গেছে, কিন্তু শরৎকালে দাঁতের স্বাস্থ্যবিধির জন্য আবার স্কুলে যেতে চাই। আমি একটি স্থিতিশীল ক্"&amp;"যারিয়ার এবং ভবিষ্যতে একজন সুন্দরী এবং যত্নশীল মহিলা চাই। আমি আমার অকার্যকর পরিবারের চেয়ে আলাদা জীবনযাপন করতে চাই। পরামর্শ?")</f>
        <v>২৯ বছর কি এখনও যথেষ্ট ছোট যে আমি সবকিছু ঠিক করতে পারব এবং জীবন থেকে যা চাই তা পেতে পারব? ৯৪ দিন ধরে মেথ থেকে মুক্ত ছিলাম। মনে হয় আমার জীবনের সেরা দিনগুলি শেষ হয়ে গেছে, কিন্তু শরৎকালে দাঁতের স্বাস্থ্যবিধির জন্য আবার স্কুলে যেতে চাই। আমি একটি স্থিতিশীল ক্যারিয়ার এবং ভবিষ্যতে একজন সুন্দরী এবং যত্নশীল মহিলা চাই। আমি আমার অকার্যকর পরিবারের চেয়ে আলাদা জীবনযাপন করতে চাই। পরামর্শ?</v>
      </c>
    </row>
    <row r="459" spans="1:3" ht="15" x14ac:dyDescent="0.25">
      <c r="A459" s="3" t="s">
        <v>460</v>
      </c>
      <c r="B459" s="3" t="s">
        <v>4</v>
      </c>
      <c r="C459" s="4" t="str">
        <f ca="1">IFERROR(__xludf.DUMMYFUNCTION("GOOGLETRANSLATE(A459, ""auto"", ""bn"")"),"আমি জানি না লাইভ থেকে আমি কী চাই। তাহলে, বিষয়ের শিরোনাম থেকেই বুঝতে পারছেন। আমি কোথাও আটকা পড়েছি, আমি জানি না জীবন থেকে আমি কী চাই, আমি আমার আসল সম্ভাবনা, আমার আসল দক্ষতা, উপহার (যদি আমার থাকে) জানি না, এবং সম্ভবত এটি আমার আসক্তির কারণে। আমার দুটি খারাপ"&amp;" আসক্তি আছে, এবং এতে কোন সন্দেহ নেই যে, এটি আমার জীবনের উপর নেতিবাচক প্রভাব ফেলে। প্রথম আসক্তি হল পর্ন, এবং আমি কমপক্ষে ১০ বছর ধরে এতে আসক্ত, এটি আমার মস্তিষ্ক, আমার স্মৃতি, কল্পনা, স্পষ্ট বোধ, শক্তি এবং চালিকাশক্তিকে নষ্ট করে দেয়। আমি বুঝতে পেরেছিলাম যে"&amp;" হস্তমৈথুন ছাড়া এবং পর্ন ছাড়া বেশি সময় কাটানোর সময়, আমি আরও ভালো বোধ করি, এবং আমি বুঝতে পেরেছিলাম যে আসক্তি হল বাস্তবতা এবং দায়িত্ব থেকে পালানোর একটি প্রচেষ্টা, আমি জুয়াতেও আসক্ত, এভাবেই আমি অর্থ হারাচ্ছি, এটি আমার জীবনকে পর্নের চেয়ে কম ধ্বংস করে দ"&amp;"েয়। এই ধরনের আসক্তি আপনাকে কেবল চেতনার নিম্ন স্তরে ঠেলে দেয়, এবং আপনি যদি তাদের কিছুটা নিয়ন্ত্রণ করার, তাদের সাথে লড়াই করার, তাদের কাটিয়ে ওঠার চেষ্টা করেন, তবে এটি আপনাকে হতাশার দিকে নিয়ে যায়, কারণ আপনি দেখেছেন যে এত বছর ধরে আপনার জীবন কতটা দুর্বিষ"&amp;"হ ছিল। আমি তরুণ, মাত্র ২০ বছর বয়সী ছেলে, এবং আমি কেবল আশা করি, আমার মস্তিষ্ক পর্ন এবং জুয়ার ক্ষতি থেকে সম্পূর্ণরূপে সেরে উঠবে এবং আমার জন্য স্বাভাবিকভাবেই ভালো কিছু আসবে।")</f>
        <v>আমি জানি না লাইভ থেকে আমি কী চাই। তাহলে, বিষয়ের শিরোনাম থেকেই বুঝতে পারছেন। আমি কোথাও আটকা পড়েছি, আমি জানি না জীবন থেকে আমি কী চাই, আমি আমার আসল সম্ভাবনা, আমার আসল দক্ষতা, উপহার (যদি আমার থাকে) জানি না, এবং সম্ভবত এটি আমার আসক্তির কারণে। আমার দুটি খারাপ আসক্তি আছে, এবং এতে কোন সন্দেহ নেই যে, এটি আমার জীবনের উপর নেতিবাচক প্রভাব ফেলে। প্রথম আসক্তি হল পর্ন, এবং আমি কমপক্ষে ১০ বছর ধরে এতে আসক্ত, এটি আমার মস্তিষ্ক, আমার স্মৃতি, কল্পনা, স্পষ্ট বোধ, শক্তি এবং চালিকাশক্তিকে নষ্ট করে দেয়। আমি বুঝতে পেরেছিলাম যে হস্তমৈথুন ছাড়া এবং পর্ন ছাড়া বেশি সময় কাটানোর সময়, আমি আরও ভালো বোধ করি, এবং আমি বুঝতে পেরেছিলাম যে আসক্তি হল বাস্তবতা এবং দায়িত্ব থেকে পালানোর একটি প্রচেষ্টা, আমি জুয়াতেও আসক্ত, এভাবেই আমি অর্থ হারাচ্ছি, এটি আমার জীবনকে পর্নের চেয়ে কম ধ্বংস করে দেয়। এই ধরনের আসক্তি আপনাকে কেবল চেতনার নিম্ন স্তরে ঠেলে দেয়, এবং আপনি যদি তাদের কিছুটা নিয়ন্ত্রণ করার, তাদের সাথে লড়াই করার, তাদের কাটিয়ে ওঠার চেষ্টা করেন, তবে এটি আপনাকে হতাশার দিকে নিয়ে যায়, কারণ আপনি দেখেছেন যে এত বছর ধরে আপনার জীবন কতটা দুর্বিষহ ছিল। আমি তরুণ, মাত্র ২০ বছর বয়সী ছেলে, এবং আমি কেবল আশা করি, আমার মস্তিষ্ক পর্ন এবং জুয়ার ক্ষতি থেকে সম্পূর্ণরূপে সেরে উঠবে এবং আমার জন্য স্বাভাবিকভাবেই ভালো কিছু আসবে।</v>
      </c>
    </row>
    <row r="460" spans="1:3" ht="15" x14ac:dyDescent="0.25">
      <c r="A460" s="3" t="s">
        <v>461</v>
      </c>
      <c r="B460" s="3" t="s">
        <v>4</v>
      </c>
      <c r="C460" s="4" t="str">
        <f ca="1">IFERROR(__xludf.DUMMYFUNCTION("GOOGLETRANSLATE(A460, ""auto"", ""bn"")"),"শিশু সেবা। গত মার্চে আমি অতিরিক্ত ওষুধ সেবন করেছিলাম, স্পষ্টতই শিশু সুরক্ষা পরিষেবার জন্য ডাকা হয়েছিল। জুন মাসে আমি IOP শেষ করেছি, আমি হেফাজত হারিনি। মামলাটি কি এখনও খোলা থাকা স্বাভাবিক? তিনি প্রতি মাসে আসেন, আমি তার ইচ্ছানুযায়ী সবকিছু করেছি। কেবল জানতে"&amp;" চাইছি যে এই মামলাগুলি সাধারণত কতক্ষণ খোলা থাকে। জুন থেকে আমার ড্রাগ পরীক্ষা করা হয়নি, মার্চ থেকে আমি ব্যবহার করিনি, আমি চাই তারা আমাকে একজন নতুন থেরাপিস্ট খুঁজে বের করুক, কিন্তু জিজ্ঞাসা করা আমার কাছে অদ্ভুত লাগছে। নতুন যে জিনিসটি ঘটেছে তা হল আমি গর্ভবত"&amp;"ী। তারা কি কেবল গর্ভবতী বলেই মামলাটি খোলা রাখতে পারে? তিনি একজন চমৎকার মহিলা কিন্তু আমি ছোটবেলা থেকেই আমাকে বলা হয়েছে যে শিশু সেবা আপনাকে সাহায্য করার জন্য নেই, তিনি আমার বাচ্চাদের সাথে খুব কমই কথা বলেন এবং যখন তিনি আসেন তখনই কেবল আমার সাথে কথা বলেন।")</f>
        <v>শিশু সেবা। গত মার্চে আমি অতিরিক্ত ওষুধ সেবন করেছিলাম, স্পষ্টতই শিশু সুরক্ষা পরিষেবার জন্য ডাকা হয়েছিল। জুন মাসে আমি IOP শেষ করেছি, আমি হেফাজত হারিনি। মামলাটি কি এখনও খোলা থাকা স্বাভাবিক? তিনি প্রতি মাসে আসেন, আমি তার ইচ্ছানুযায়ী সবকিছু করেছি। কেবল জানতে চাইছি যে এই মামলাগুলি সাধারণত কতক্ষণ খোলা থাকে। জুন থেকে আমার ড্রাগ পরীক্ষা করা হয়নি, মার্চ থেকে আমি ব্যবহার করিনি, আমি চাই তারা আমাকে একজন নতুন থেরাপিস্ট খুঁজে বের করুক, কিন্তু জিজ্ঞাসা করা আমার কাছে অদ্ভুত লাগছে। নতুন যে জিনিসটি ঘটেছে তা হল আমি গর্ভবতী। তারা কি কেবল গর্ভবতী বলেই মামলাটি খোলা রাখতে পারে? তিনি একজন চমৎকার মহিলা কিন্তু আমি ছোটবেলা থেকেই আমাকে বলা হয়েছে যে শিশু সেবা আপনাকে সাহায্য করার জন্য নেই, তিনি আমার বাচ্চাদের সাথে খুব কমই কথা বলেন এবং যখন তিনি আসেন তখনই কেবল আমার সাথে কথা বলেন।</v>
      </c>
    </row>
    <row r="461" spans="1:3" ht="15" x14ac:dyDescent="0.25">
      <c r="A461" s="3" t="s">
        <v>462</v>
      </c>
      <c r="B461" s="3" t="s">
        <v>4</v>
      </c>
      <c r="C461" s="4" t="str">
        <f ca="1">IFERROR(__xludf.DUMMYFUNCTION("GOOGLETRANSLATE(A461, ""auto"", ""bn"")"),"আমি কিছুদিন ধরে পরিষ্কার হওয়ার চেষ্টা করছি, আর আমার একটা খারাপ দিন যাবে (অথবা নিজেকে বোঝাবো যে আমার একটা খারাপ দিন গেছে), তারপর নিজেকে বলবো ""ঠিক আছে একবার শেষবার, তাহলে আমার ভালোর জন্য শেষ।"" আমি আসলে কখনোই ভালোর জন্য শেষ করিনি, এক বা দুই দিন চলে গেলে "&amp;"""ঠিক আছে একবার শেষবার, তারপর আমার ভালোর জন্য শেষ?"" আবার। তোমাদের কেউ কি সেই চক্র ভাঙতে পেরেছো? যেকোনো সাহায্যের জন্য কৃতজ্ঞ,")</f>
        <v>আমি কিছুদিন ধরে পরিষ্কার হওয়ার চেষ্টা করছি, আর আমার একটা খারাপ দিন যাবে (অথবা নিজেকে বোঝাবো যে আমার একটা খারাপ দিন গেছে), তারপর নিজেকে বলবো "ঠিক আছে একবার শেষবার, তাহলে আমার ভালোর জন্য শেষ।" আমি আসলে কখনোই ভালোর জন্য শেষ করিনি, এক বা দুই দিন চলে গেলে "ঠিক আছে একবার শেষবার, তারপর আমার ভালোর জন্য শেষ?" আবার। তোমাদের কেউ কি সেই চক্র ভাঙতে পেরেছো? যেকোনো সাহায্যের জন্য কৃতজ্ঞ,</v>
      </c>
    </row>
    <row r="462" spans="1:3" ht="15" x14ac:dyDescent="0.25">
      <c r="A462" s="3" t="s">
        <v>463</v>
      </c>
      <c r="B462" s="3" t="s">
        <v>4</v>
      </c>
      <c r="C462" s="4" t="str">
        <f ca="1">IFERROR(__xludf.DUMMYFUNCTION("GOOGLETRANSLATE(A462, ""auto"", ""bn"")"),"কেউ কি মানুষের/অন্যদের চাহিদার প্রতি আসক্ত হয়েছে - যাতে আমাকে পছন্দ করা হয়/ভালোবাসা করা যায় (এছাড়াও আমার জিনিস ভাবা এড়ানোর আরেকটি উপায়) - এখন - আমি কাকে পছন্দ করি তা আমার ভালো ধারণা নেই কারণ আমার নিজের সম্পর্কে সীমিত ধারণা আছে। .... একটি অদ্ভুত জিনি"&amp;"স যা আমি বুঝতে পেরেছি এবং এখন তা নিয়ে কাজ করছি - আমি মানুষের প্রতি আসক্ত ছিলাম। অন্যদের চাহিদা এবং তাদের চাওয়া-পাওয়ার উপর মনোযোগ দেওয়া, এবং অন্যদের জন্য অতিরিক্ত চেষ্টা করা যাতে আমি যত্ন নেওয়া এবং ভালোবাসা অনুভব করতে পারি (যদিও আমি এখন এটি উপলব্ধি কর"&amp;"ি)। আমার কোনও সীমা ছিল না এবং আমি অন্যদের জন্য এত চেষ্টা করতাম। অন্যরা প্রতিদান না দেওয়ায় আমিও বিরক্ত হতাম কিন্তু প্রত্যাখ্যানের ভয়ে আমি তা ভাগ করে নিতাম না। তদুপরি, আমি মনে করি ডেটিংয়ে কিশোর বয়সে এটি করতাম কিন্তু বন্ধুত্বের ক্ষেত্রেও প্রাপ্তবয়স্ক হ"&amp;"িসাবে এটি করতাম - আমি লোকেদের আমার সাথে বন্ধুত্ব করা সহজ করে তুলি কারণ আমি সবসময় বার্তা পাঠাই এবং হাত দিতে চাই। যাইহোক, আমি কেবল বুঝতে পারি না যে আমি কাকে পছন্দ করি এবং কেন আমি অনেক লোকের সাথে বন্ধুত্ব করি, আমাকে কেবল নিজেকে পালাতে হয়েছিল (আসক্তির সাথেও"&amp;" এটি করেছি)।")</f>
        <v>কেউ কি মানুষের/অন্যদের চাহিদার প্রতি আসক্ত হয়েছে - যাতে আমাকে পছন্দ করা হয়/ভালোবাসা করা যায় (এছাড়াও আমার জিনিস ভাবা এড়ানোর আরেকটি উপায়) - এখন - আমি কাকে পছন্দ করি তা আমার ভালো ধারণা নেই কারণ আমার নিজের সম্পর্কে সীমিত ধারণা আছে। .... একটি অদ্ভুত জিনিস যা আমি বুঝতে পেরেছি এবং এখন তা নিয়ে কাজ করছি - আমি মানুষের প্রতি আসক্ত ছিলাম। অন্যদের চাহিদা এবং তাদের চাওয়া-পাওয়ার উপর মনোযোগ দেওয়া, এবং অন্যদের জন্য অতিরিক্ত চেষ্টা করা যাতে আমি যত্ন নেওয়া এবং ভালোবাসা অনুভব করতে পারি (যদিও আমি এখন এটি উপলব্ধি করি)। আমার কোনও সীমা ছিল না এবং আমি অন্যদের জন্য এত চেষ্টা করতাম। অন্যরা প্রতিদান না দেওয়ায় আমিও বিরক্ত হতাম কিন্তু প্রত্যাখ্যানের ভয়ে আমি তা ভাগ করে নিতাম না। তদুপরি, আমি মনে করি ডেটিংয়ে কিশোর বয়সে এটি করতাম কিন্তু বন্ধুত্বের ক্ষেত্রেও প্রাপ্তবয়স্ক হিসাবে এটি করতাম - আমি লোকেদের আমার সাথে বন্ধুত্ব করা সহজ করে তুলি কারণ আমি সবসময় বার্তা পাঠাই এবং হাত দিতে চাই। যাইহোক, আমি কেবল বুঝতে পারি না যে আমি কাকে পছন্দ করি এবং কেন আমি অনেক লোকের সাথে বন্ধুত্ব করি, আমাকে কেবল নিজেকে পালাতে হয়েছিল (আসক্তির সাথেও এটি করেছি)।</v>
      </c>
    </row>
    <row r="463" spans="1:3" ht="15" x14ac:dyDescent="0.25">
      <c r="A463" s="3" t="s">
        <v>464</v>
      </c>
      <c r="B463" s="3" t="s">
        <v>4</v>
      </c>
      <c r="C463" s="4" t="str">
        <f ca="1">IFERROR(__xludf.DUMMYFUNCTION("GOOGLETRANSLATE(A463, ""auto"", ""bn"")"),"যেন আমি ক্ষুধার্ত এবং আর কখনও খাবার পাবো না। আমার আসক্তির ক্ষেত্রে আমি এভাবেই আচরণ করি। আমি চেইন-স্মোকিং শিম্পাঞ্জির মতো ধূমপান করি। এটা আমার দ্বিতীয় স্বভাবের মতো। যেন আমি কখনও তৃপ্ত বা পূর্ণ হব না। এটা যেন আমি ক্ষুধার্ত এবং পেট ভরাতে পারছি না। আমি প্রতি"&amp;"দিন কাজের পরে পান করি, আবার যেন পেট ভরাতে পারছি না, প্রথম 30 মিনিটে 4 টি বিয়ার পান করি। সারাদিন আমি পান করার সময় পর্যন্ত মিনিট গুনছি। আমি আমার পরবর্তী ধূমপানের জন্য মিনিট গুনছি। এটা আবেগ নিয়ন্ত্রণ। এটি আমার যতই পান করা হোক না কেন আরও বেশি প্রয়োজনের অন"&amp;"ুভূতি। এবং ধীর গতিতে শৃঙ্খলা না থাকা। আমি আক্ষরিক অর্থেই একটি সিগারেট খেয়েছি এবং আমি ইতিমধ্যেই আরেকটি চাই। আপনি কীভাবে নিজেকে এমন জায়গায় নিয়ে যাবেন যেখানে আপনার মন এবং শরীর আরও বেশি কিছুর জন্য চিৎকার করবে না? অথবা কোনও ধরণের সন্তুষ্টির অনুভূতি আছে।")</f>
        <v>যেন আমি ক্ষুধার্ত এবং আর কখনও খাবার পাবো না। আমার আসক্তির ক্ষেত্রে আমি এভাবেই আচরণ করি। আমি চেইন-স্মোকিং শিম্পাঞ্জির মতো ধূমপান করি। এটা আমার দ্বিতীয় স্বভাবের মতো। যেন আমি কখনও তৃপ্ত বা পূর্ণ হব না। এটা যেন আমি ক্ষুধার্ত এবং পেট ভরাতে পারছি না। আমি প্রতিদিন কাজের পরে পান করি, আবার যেন পেট ভরাতে পারছি না, প্রথম 30 মিনিটে 4 টি বিয়ার পান করি। সারাদিন আমি পান করার সময় পর্যন্ত মিনিট গুনছি। আমি আমার পরবর্তী ধূমপানের জন্য মিনিট গুনছি। এটা আবেগ নিয়ন্ত্রণ। এটি আমার যতই পান করা হোক না কেন আরও বেশি প্রয়োজনের অনুভূতি। এবং ধীর গতিতে শৃঙ্খলা না থাকা। আমি আক্ষরিক অর্থেই একটি সিগারেট খেয়েছি এবং আমি ইতিমধ্যেই আরেকটি চাই। আপনি কীভাবে নিজেকে এমন জায়গায় নিয়ে যাবেন যেখানে আপনার মন এবং শরীর আরও বেশি কিছুর জন্য চিৎকার করবে না? অথবা কোনও ধরণের সন্তুষ্টির অনুভূতি আছে।</v>
      </c>
    </row>
    <row r="464" spans="1:3" ht="15" x14ac:dyDescent="0.25">
      <c r="A464" s="3" t="s">
        <v>465</v>
      </c>
      <c r="B464" s="3" t="s">
        <v>4</v>
      </c>
      <c r="C464" s="4" t="str">
        <f ca="1">IFERROR(__xludf.DUMMYFUNCTION("GOOGLETRANSLATE(A464, ""auto"", ""bn"")"),"আমি আসক্ত, কিন্তু, তাতে আমার কোনও পরিচয় পাওয়া যায় না! আমার নাম কিম্বার্লি, এবং আমি একজন আসক্ত। আসক্তি তোমাকে এবং তোমার জীবনকে শাসন করতে পারে না। যখন আমি আমার জীবনের একেবারে শেষ প্রান্তে পৌঁছেছিলাম, তখন আমার মনেই হয়নি যে এটি প্রথম বছর ধরেই শুরু হয়ে গে"&amp;"ছে, যে আমার সাথে আমি যে খারাপ আচরণ করেছি তা আমার দোষ নয়। আমি আমার দলের সবচেয়ে জনপ্রিয় ব্যক্তিদের মধ্যে একজন নই যে এখানে এবং সেখানে এক সপ্তাহ পরিষ্কার থাকতে পারে। এই সময়টাতে আমাকে বাকিদের থেকে আলাদা হতে হয়েছিল; আমি শেষ হয়ে গিয়েছিলাম, এবং তোমার সাথে "&amp;"আপত্তি জানাচ্ছি এবং কিছুই বাদ রাখিনি। আমাকে ব্যবহার করতে বাধ্য করা হয়েছিল, যা এমন একটি খারাপ জিনিস যা অন্যরা বুঝতে পারে না যে তারা কী করতে চলেছে। আমি সেই ময়লার টুকরো থেকে মুক্তি পেয়েছি যা আমার ছোট ছেলেকে আট দিন ধরে জিম্মি করে রেখেছিল, সে এবং তার বন্ধুর"&amp;"া আমাকে গুলি করে এত অসুস্থ করে তুলেছিল। শেষ দিনটি ছিল 07/05/2013। আমার এখন একটি আঘাতজনিত মস্তিষ্কের আঘাত রয়েছে, এবং আমার একটি স্ট্রোক হয়েছে। আমাকে আট মাস ধরে জোর করে রাখা হয়েছিল।")</f>
        <v>আমি আসক্ত, কিন্তু, তাতে আমার কোনও পরিচয় পাওয়া যায় না! আমার নাম কিম্বার্লি, এবং আমি একজন আসক্ত। আসক্তি তোমাকে এবং তোমার জীবনকে শাসন করতে পারে না। যখন আমি আমার জীবনের একেবারে শেষ প্রান্তে পৌঁছেছিলাম, তখন আমার মনেই হয়নি যে এটি প্রথম বছর ধরেই শুরু হয়ে গেছে, যে আমার সাথে আমি যে খারাপ আচরণ করেছি তা আমার দোষ নয়। আমি আমার দলের সবচেয়ে জনপ্রিয় ব্যক্তিদের মধ্যে একজন নই যে এখানে এবং সেখানে এক সপ্তাহ পরিষ্কার থাকতে পারে। এই সময়টাতে আমাকে বাকিদের থেকে আলাদা হতে হয়েছিল; আমি শেষ হয়ে গিয়েছিলাম, এবং তোমার সাথে আপত্তি জানাচ্ছি এবং কিছুই বাদ রাখিনি। আমাকে ব্যবহার করতে বাধ্য করা হয়েছিল, যা এমন একটি খারাপ জিনিস যা অন্যরা বুঝতে পারে না যে তারা কী করতে চলেছে। আমি সেই ময়লার টুকরো থেকে মুক্তি পেয়েছি যা আমার ছোট ছেলেকে আট দিন ধরে জিম্মি করে রেখেছিল, সে এবং তার বন্ধুরা আমাকে গুলি করে এত অসুস্থ করে তুলেছিল। শেষ দিনটি ছিল 07/05/2013। আমার এখন একটি আঘাতজনিত মস্তিষ্কের আঘাত রয়েছে, এবং আমার একটি স্ট্রোক হয়েছে। আমাকে আট মাস ধরে জোর করে রাখা হয়েছিল।</v>
      </c>
    </row>
    <row r="465" spans="1:3" ht="15" x14ac:dyDescent="0.25">
      <c r="A465" s="3" t="s">
        <v>466</v>
      </c>
      <c r="B465" s="3" t="s">
        <v>4</v>
      </c>
      <c r="C465" s="4" t="str">
        <f ca="1">IFERROR(__xludf.DUMMYFUNCTION("GOOGLETRANSLATE(A465, ""auto"", ""bn"")"),"আসক্তিতে ভুগলে বন্ধুদের সাথে আচরণ করার পরামর্শ? কয়েক মাস ধরে আমি সংযমের সাথে লড়াই করছি। আমার অবস্থা আরও খারাপ হচ্ছে বলে মনে হচ্ছে এবং আমার বন্ধুরা তা লক্ষ্য করেছে। আমার ঘনিষ্ঠ বন্ধুরা কেবল আমাকে বলে যে আমার সাহায্য নেওয়া উচিত, এবং আমার অন্যান্য বন্ধুরা"&amp;" সন্দেহ করে যে কিছু ভুল আছে কিন্তু তারা আমাকে মন্তব্য করার জন্য যথেষ্ট ভালোভাবে চেনে না। আমি বিব্রত বোধ করছি, এবং কী করব তা নিশ্চিত নই?")</f>
        <v>আসক্তিতে ভুগলে বন্ধুদের সাথে আচরণ করার পরামর্শ? কয়েক মাস ধরে আমি সংযমের সাথে লড়াই করছি। আমার অবস্থা আরও খারাপ হচ্ছে বলে মনে হচ্ছে এবং আমার বন্ধুরা তা লক্ষ্য করেছে। আমার ঘনিষ্ঠ বন্ধুরা কেবল আমাকে বলে যে আমার সাহায্য নেওয়া উচিত, এবং আমার অন্যান্য বন্ধুরা সন্দেহ করে যে কিছু ভুল আছে কিন্তু তারা আমাকে মন্তব্য করার জন্য যথেষ্ট ভালোভাবে চেনে না। আমি বিব্রত বোধ করছি, এবং কী করব তা নিশ্চিত নই?</v>
      </c>
    </row>
    <row r="466" spans="1:3" ht="15" x14ac:dyDescent="0.25">
      <c r="A466" s="3" t="s">
        <v>467</v>
      </c>
      <c r="B466" s="3" t="s">
        <v>4</v>
      </c>
      <c r="C466" s="4" t="str">
        <f ca="1">IFERROR(__xludf.DUMMYFUNCTION("GOOGLETRANSLATE(A466, ""auto"", ""bn"")"),"ধূমপানের জন্য ঝুঁকে পড়ে কি আমি আমার সব পরিশ্রম নষ্ট করে ফেলেছি? আমি ৩ সপ্তাহ ধরে নিকোটিন মুক্ত। আমি সবচেয়ে খারাপ প্রত্যাহার কাটিয়ে উঠেছি এবং এখন প্যানিক অ্যাটাকের সাথে লড়াই করছি। ছোটখাটো অসুবিধার কারণে মনে হয় পৃথিবী শেষ হয়ে আসছে। কর্মক্ষেত্রে এটি একট"&amp;"ি কঠিন দিন ছিল। আমার শিফটের ঠিক পরেই আমি নিজেকে ভ্যাপ স্টোরে খুঁজে পেলাম। আমি একটি ভ্যাপ কিনেছিলাম। তাছাড়া, আমি একটি পাফ খেয়েছিলাম। বছরের পর বছর ধরে এটিই প্রথমবারের মতো নিকোটিনের কারণে আমি উত্তেজিত হয়ে পড়েছিলাম। অনুশোচনা করার পরপরই, ফিরে গিয়ে তাদের ক"&amp;"াছে ভ্যাপটি ফিরিয়ে দিয়েছিলাম। আমি কোনও ফেরত বা অন্য কিছু চাইনি, আমি কেবল এটি চাইনি কারণ আমি জানি আমি নিজেকে নিয়ন্ত্রণ করতে পারব না। আমি ভীত যে আমাকে আবার প্রাথমিক প্রত্যাহারের মধ্য দিয়ে যেতে হবে। আমি কি সবকিছু এলোমেলো করে দিয়েছি?")</f>
        <v>ধূমপানের জন্য ঝুঁকে পড়ে কি আমি আমার সব পরিশ্রম নষ্ট করে ফেলেছি? আমি ৩ সপ্তাহ ধরে নিকোটিন মুক্ত। আমি সবচেয়ে খারাপ প্রত্যাহার কাটিয়ে উঠেছি এবং এখন প্যানিক অ্যাটাকের সাথে লড়াই করছি। ছোটখাটো অসুবিধার কারণে মনে হয় পৃথিবী শেষ হয়ে আসছে। কর্মক্ষেত্রে এটি একটি কঠিন দিন ছিল। আমার শিফটের ঠিক পরেই আমি নিজেকে ভ্যাপ স্টোরে খুঁজে পেলাম। আমি একটি ভ্যাপ কিনেছিলাম। তাছাড়া, আমি একটি পাফ খেয়েছিলাম। বছরের পর বছর ধরে এটিই প্রথমবারের মতো নিকোটিনের কারণে আমি উত্তেজিত হয়ে পড়েছিলাম। অনুশোচনা করার পরপরই, ফিরে গিয়ে তাদের কাছে ভ্যাপটি ফিরিয়ে দিয়েছিলাম। আমি কোনও ফেরত বা অন্য কিছু চাইনি, আমি কেবল এটি চাইনি কারণ আমি জানি আমি নিজেকে নিয়ন্ত্রণ করতে পারব না। আমি ভীত যে আমাকে আবার প্রাথমিক প্রত্যাহারের মধ্য দিয়ে যেতে হবে। আমি কি সবকিছু এলোমেলো করে দিয়েছি?</v>
      </c>
    </row>
    <row r="467" spans="1:3" ht="15" x14ac:dyDescent="0.25">
      <c r="A467" s="3" t="s">
        <v>468</v>
      </c>
      <c r="B467" s="3" t="s">
        <v>4</v>
      </c>
      <c r="C467" s="4" t="str">
        <f ca="1">IFERROR(__xludf.DUMMYFUNCTION("GOOGLETRANSLATE(A467, ""auto"", ""bn"")"),"অন্যের সাথে আসক্তি কাটিয়ে উঠুন আমি গোসল করছিলাম এবং, কোনও কারণে, আমি ভাবছিলাম এটি কতটা সাধারণ, এটি কি কম খারাপ, নাকি আসলে ভালো কিছু দিয়ে হতে পারে? আমার মনে আছে যে আমার দাদু, যিনি ক্যান্সার ধরা পড়ার সময় ধূমপায়ী ছিলেন, তিনি একবারে সিগারেট এবং বিয়ার সম"&amp;"্পূর্ণরূপে ছেড়ে দিতেন না, সেগুলি ফেলে দিতেন না এবং কেবল ইচ্ছাশক্তির জোরে সারাদিন আক্ষরিক অর্থে দেখাও বন্ধ করে দিতেন। ডাক্তাররা বলেছিলেন যে যদি তিনি তা না করেন, তাহলে তিনি সম্ভবত তার যা সম্ভব তার এক-চতুর্থাংশ বা তারও কম বেঁচে থাকবেন। কিন্তু তারপর তিনি মূল"&amp;"ত কিছু দই ক্যান্ডি, বা কখনও কখনও অন্যান্য ক্যান্ডিতে আসক্ত হয়ে পড়েন। আমি মূলত প্রযুক্তির সাথে সম্পর্কিত প্রায় সমস্ত জিনিসের প্রতি আসক্ত, যদি আমি থামি তাহলে সম্ভবত আমি অন্য কিছু করতে পারব (আঁকতে, বাগান করতে, ব্যায়াম করতে, আসলে বাইরে যেতে, ইন্টারনেটের ব"&amp;"াইরে জিনিস পড়া IDK যাই হোক না কেন)।")</f>
        <v>অন্যের সাথে আসক্তি কাটিয়ে উঠুন আমি গোসল করছিলাম এবং, কোনও কারণে, আমি ভাবছিলাম এটি কতটা সাধারণ, এটি কি কম খারাপ, নাকি আসলে ভালো কিছু দিয়ে হতে পারে? আমার মনে আছে যে আমার দাদু, যিনি ক্যান্সার ধরা পড়ার সময় ধূমপায়ী ছিলেন, তিনি একবারে সিগারেট এবং বিয়ার সম্পূর্ণরূপে ছেড়ে দিতেন না, সেগুলি ফেলে দিতেন না এবং কেবল ইচ্ছাশক্তির জোরে সারাদিন আক্ষরিক অর্থে দেখাও বন্ধ করে দিতেন। ডাক্তাররা বলেছিলেন যে যদি তিনি তা না করেন, তাহলে তিনি সম্ভবত তার যা সম্ভব তার এক-চতুর্থাংশ বা তারও কম বেঁচে থাকবেন। কিন্তু তারপর তিনি মূলত কিছু দই ক্যান্ডি, বা কখনও কখনও অন্যান্য ক্যান্ডিতে আসক্ত হয়ে পড়েন। আমি মূলত প্রযুক্তির সাথে সম্পর্কিত প্রায় সমস্ত জিনিসের প্রতি আসক্ত, যদি আমি থামি তাহলে সম্ভবত আমি অন্য কিছু করতে পারব (আঁকতে, বাগান করতে, ব্যায়াম করতে, আসলে বাইরে যেতে, ইন্টারনেটের বাইরে জিনিস পড়া IDK যাই হোক না কেন)।</v>
      </c>
    </row>
    <row r="468" spans="1:3" ht="15" x14ac:dyDescent="0.25">
      <c r="A468" s="3" t="s">
        <v>469</v>
      </c>
      <c r="B468" s="3" t="s">
        <v>4</v>
      </c>
      <c r="C468" s="4" t="str">
        <f ca="1">IFERROR(__xludf.DUMMYFUNCTION("GOOGLETRANSLATE(A468, ""auto"", ""bn"")"),"আমি দশ বছর ধরে মেথের নেশাগ্রস্ত ছিলাম। প্রায় তিন বছর আগে আমার শরীর খারাপ হয়ে গিয়েছিল। আমার একজন রুমমেট আছে যে আমাদের নতুন প্রতিবেশীদের সাথে আড্ডা দিচ্ছে... এই প্রতিবেশীরা পাশের বাড়িটিকে একটি ফাঁদে পরিণত করেছে, বর্তমান ভাড়াটে একজন দোষী সাব্যস্ত যৌন অপ"&amp;"রাধী যার বাড়িতে নিয়মিতভাবে বিভিন্ন অতিথির আগমন ঘটে। আমার রুমমেট সেখানে আড্ডা দিতে পছন্দ করে। আমি বিশ ডিগ্রি আবহাওয়ায় বাড়ি যাচ্ছিলাম এবং যখন আমি আমার বাড়ির কাছে আসছিলাম তখন আমি সামনের লনে প্রতিবেশীদের অতিথির নতুন আবর্তন লক্ষ্য করলাম। সে আমাকে জিজ্ঞাস"&amp;"া করল আমার রুমমেট কখন বাড়িতে আসবে এবং তারপর জিজ্ঞাসা করল আমি কি আনন্দ করতে পছন্দ করি। আমি না বলে আমার বাড়িতে চলে গেলাম। আমি জানি এটা মেথ কারণ আমি আমার রুমমেটদের ঘরে পোড়া ফয়েল পেয়েছি।")</f>
        <v>আমি দশ বছর ধরে মেথের নেশাগ্রস্ত ছিলাম। প্রায় তিন বছর আগে আমার শরীর খারাপ হয়ে গিয়েছিল। আমার একজন রুমমেট আছে যে আমাদের নতুন প্রতিবেশীদের সাথে আড্ডা দিচ্ছে... এই প্রতিবেশীরা পাশের বাড়িটিকে একটি ফাঁদে পরিণত করেছে, বর্তমান ভাড়াটে একজন দোষী সাব্যস্ত যৌন অপরাধী যার বাড়িতে নিয়মিতভাবে বিভিন্ন অতিথির আগমন ঘটে। আমার রুমমেট সেখানে আড্ডা দিতে পছন্দ করে। আমি বিশ ডিগ্রি আবহাওয়ায় বাড়ি যাচ্ছিলাম এবং যখন আমি আমার বাড়ির কাছে আসছিলাম তখন আমি সামনের লনে প্রতিবেশীদের অতিথির নতুন আবর্তন লক্ষ্য করলাম। সে আমাকে জিজ্ঞাসা করল আমার রুমমেট কখন বাড়িতে আসবে এবং তারপর জিজ্ঞাসা করল আমি কি আনন্দ করতে পছন্দ করি। আমি না বলে আমার বাড়িতে চলে গেলাম। আমি জানি এটা মেথ কারণ আমি আমার রুমমেটদের ঘরে পোড়া ফয়েল পেয়েছি।</v>
      </c>
    </row>
    <row r="469" spans="1:3" ht="15" x14ac:dyDescent="0.25">
      <c r="A469" s="3" t="s">
        <v>470</v>
      </c>
      <c r="B469" s="3" t="s">
        <v>4</v>
      </c>
      <c r="C469" s="4" t="str">
        <f ca="1">IFERROR(__xludf.DUMMYFUNCTION("GOOGLETRANSLATE(A469, ""auto"", ""bn"")"),"""আমি কীভাবে শুরু করেছিলাম এবং কীভাবে আমি সুস্থ হয়ে উঠছি"" - এই গল্পটি। হাসপাতাল থেকে সুস্থ হয়ে ওঠার এক মাস পর আমি বসে বসে লিখলাম। ভেবেছিলাম অন্য কেউও এটা উপভোগ করতে পারে। আমার গার্লফ্রেন্ডের নাম কোকেন, আমার অন্য সব বয়ফ্রেন্ডের মতোই ছিল। KJ 2022 আমি আহ"&amp;"ত হয়েছিলাম, রেগে গিয়েছিলাম এবং আমার ইচ্ছা ছিল যে আমি কখনই কাউকে দেখতে দেব না যে আমি কী সহ্য করেছি। অথবা যদি তারা কখনও জানতে পারে, তবে তাদের দেখতে হবে যে আমি পরোয়া করি না। এটি আমাকে গভীর রাত, একঘেয়ে চিন্তাভাবনা এবং অন্য কোথাও শান্তি খুঁজে পাওয়ার আকাঙ্"&amp;"ক্ষায় ভরা একটি অন্ধকার গর্তের দিকে নিয়ে যায়। আমি যে ভালোবাসা এত আকাঙ্ক্ষিত তা খুঁজে পেতে যা করেছি তা কেবল আগের সমস্ত পুনরাবৃত্তি। কেন সবকিছু এত ভুল হয়ে গেছে তা আমি এইভাবে সংক্ষেপে বলি। আমি আমার এই 4টি অভিজ্ঞতার মধ্য দিয়ে যাচ্ছি তা দেখানোর জন্য যা আমি"&amp;" বিশ্বাস করি তা এতটা জড়িত। তাই যদি আপনার কাছে সময় থাকে তবে আমি মনে করি আমার চিন্তাভাবনাগুলি পড়া মূল্যবান হতে পারে যদি আপনিও মাদকের অপব্যবহার, অথবা যাকে আমরা বাবার সমস্যা বলি, তার সাথে লড়াই করছেন।")</f>
        <v>"আমি কীভাবে শুরু করেছিলাম এবং কীভাবে আমি সুস্থ হয়ে উঠছি" - এই গল্পটি। হাসপাতাল থেকে সুস্থ হয়ে ওঠার এক মাস পর আমি বসে বসে লিখলাম। ভেবেছিলাম অন্য কেউও এটা উপভোগ করতে পারে। আমার গার্লফ্রেন্ডের নাম কোকেন, আমার অন্য সব বয়ফ্রেন্ডের মতোই ছিল। KJ 2022 আমি আহত হয়েছিলাম, রেগে গিয়েছিলাম এবং আমার ইচ্ছা ছিল যে আমি কখনই কাউকে দেখতে দেব না যে আমি কী সহ্য করেছি। অথবা যদি তারা কখনও জানতে পারে, তবে তাদের দেখতে হবে যে আমি পরোয়া করি না। এটি আমাকে গভীর রাত, একঘেয়ে চিন্তাভাবনা এবং অন্য কোথাও শান্তি খুঁজে পাওয়ার আকাঙ্ক্ষায় ভরা একটি অন্ধকার গর্তের দিকে নিয়ে যায়। আমি যে ভালোবাসা এত আকাঙ্ক্ষিত তা খুঁজে পেতে যা করেছি তা কেবল আগের সমস্ত পুনরাবৃত্তি। কেন সবকিছু এত ভুল হয়ে গেছে তা আমি এইভাবে সংক্ষেপে বলি। আমি আমার এই 4টি অভিজ্ঞতার মধ্য দিয়ে যাচ্ছি তা দেখানোর জন্য যা আমি বিশ্বাস করি তা এতটা জড়িত। তাই যদি আপনার কাছে সময় থাকে তবে আমি মনে করি আমার চিন্তাভাবনাগুলি পড়া মূল্যবান হতে পারে যদি আপনিও মাদকের অপব্যবহার, অথবা যাকে আমরা বাবার সমস্যা বলি, তার সাথে লড়াই করছেন।</v>
      </c>
    </row>
    <row r="470" spans="1:3" ht="15" x14ac:dyDescent="0.25">
      <c r="A470" s="3" t="s">
        <v>471</v>
      </c>
      <c r="B470" s="3" t="s">
        <v>4</v>
      </c>
      <c r="C470" s="4" t="str">
        <f ca="1">IFERROR(__xludf.DUMMYFUNCTION("GOOGLETRANSLATE(A470, ""auto"", ""bn"")"),"আমি নিশ্চিত নই যে আমি এটি কোথায় পোস্ট করতে পারি কিন্তু? আমি প্রায় এক বছর ধরে আমার বয়ফ্রেন্ডের সাথে আছি এবং আমার গাঁজা সেবনের সাথে আমি কখনও কোনও সমস্যা দেখিনি। তাছাড়া, আমরা যখন প্রথম দেখা করি তখন আমি প্রায় এক বছর পরিষ্কার ছিলাম কিন্তু কয়েক মাস পর আমি খু"&amp;"ব বিষণ্ণ হয়ে পড়ি। তাছাড়া, বাড়ি এবং স্কুলে আমার অনেক কিছু চলত। তাছাড়া, আমি সবসময় ক্লান্ত এবং ক্লান্ত থাকতাম। তাছাড়া, আমি আবার ধূমপান শুরু করার সিদ্ধান্ত নিয়েছিলাম শুধুমাত্র তৃষ্ণার্ত হওয়ার জন্য। প্রথম কয়েকবার আমি আবার এটি ব্যবহার শুরু করেছিলাম শুধুমাত্র "&amp;"মজা করার জন্য। কিন্তু তারপর এটি এমন পর্যায়ে পৌঁছেছিল যে যখন আমার খারাপ দিন যাচ্ছিল বা কেবল কিছু চাপ থেকে মুক্তি পাওয়ার প্রয়োজন ছিল তখন আমি এটি ব্যবহার শুরু করেছিলাম। আমি এটিকে কখনও সমস্যা হিসেবে দেখিনি কারণ আমি এটি প্রতিদিন করতাম না এবং এটিকে ""সাহায্য"&amp;""" পাওয়ার উপায় হিসেবে ব্যবহার করতাম। আমি এটি শুধুমাত্র মাঝে মাঝে করতাম। উদাহরণস্বরূপ, আমি প্রতি সপ্তাহান্তে বা প্রতি সপ্তাহে ধূমপান করতাম। এটি আমাকে অনেক সাহায্য করেছিল। এটি আমাকে শান্ত এবং উচ্ছ্বসিত বোধ করিয়েছিল। এবং আমি এই অনুভূতিটি পছন্দ করতাম। প্রত"&amp;"িবার যখন আমার মাথা খারাপ হতো, আমি আমার বয়ফ্রেন্ডকে ফোন করতাম, আর আমরা একসাথে কথা বলতাম এবং ঘুমিয়ে পড়তাম, আর এটা আমার খুব ভালো লাগত। দুর্ভাগ্যবশত, একবার যখন আমি ধূমপান করতাম, তখন আমার একটা ভয়াবহ ট্রিপ লেগে যেত যার ফলে আমি অনেকক্ষণ ধরে হাইপারভেন্টিলেটে "&amp;"থাকতাম (আমি জানি না কতক্ষণ এই রাতের ঘটনা আমার খুব বেশি মনে নেই)। কিন্তু আমার মনে আছে আমি ভয় পেয়েছিলাম যে আমি মারা যাব (যদিও তুমি গাঁজা সেবনের জন্য ওডি করতে পারো না)। যখন এটা ঘটেছিল তখন আমি আমার বয়ফ্রেন্ডের সাথে OTP করেছিলাম। সে ভয় পেয়েছিল এবং আমার জন"&amp;"্য চিন্তিত ছিল। মূলত, আমি তাকে মানসিকভাবে আঘাত করেছিলাম। আমি এটা জানতাম না কারণ সে আমাকে সত্যিই বলেনি। তাই আমি তা সত্ত্বেও ধূমপান চালিয়ে গিয়েছিলাম। আমার বয়ফ্রেন্ড আমার ধূমপান সম্পর্কে তার অনুভূতি সম্পর্কে খোলাখুলিভাবে জানিয়েছিল এবং আমাকে জানিয়েছিল যে"&amp;" সে এটা পছন্দ করে না এবং আমার সম্ভবত বন্ধ করা উচিত। আমি তাকে বলেছিলাম যে আমি থামব তাই আমি তা করেছিলাম। আমি প্রায় 3 মাস ধরে পরিষ্কার ছিলাম। কিন্তু 2021 সালের অক্টোবরের দিকে আমার বাবার সাথে আমার একটা বড় ঝগড়া হয়, এবং সে আমাকে মারধর করে এবং আমাকে বের করে "&amp;"দেয়। আর এই ঘটনার এক সপ্তাহের মধ্যেই আমি জানতে পারি যে আমার প্রেমিক মিথ্যা বলছে এবং আমার কাছ থেকে জিনিস লুকাচ্ছে। মূলত, সে মেয়েদের দিকে তাকানোর জন্য একটি গোপন TikTok অ্যাকাউন্ট তৈরি করেছিল, তার অনেক পর্ন অ্যাকাউন্ট ছিল এবং মূলত পর্নের প্রতি আসক্ত ছিল। এট"&amp;"ি আমাকে বিরক্ত করেছিল কারণ আমাদের পুরো সম্পর্কের সময় সে আমাকে বলেছিল যে সে পর্ন দেখে না এবং সে কখনও মেয়েদের অনুসরণ করবে না বা তাদের দিকে এভাবে তাকাবে না কারণ সে আমাকে ""সম্মান করে""। সে এটাও জানত যে আমি এই বিষয়ে কেমন অনুভব করি। এই দুটি জিনিসের কারণে আম"&amp;"ি আবারও তার সাথে সম্পর্ক ছিন্ন করেছিলাম। কিন্তু আমি তাকে বলিনি। সে আমাকে প্রতিশ্রুতি দিয়েছিল যে সে ভালো হয়ে যাবে এবং আমার কাছ থেকে মিথ্যা বলা এবং জিনিস লুকানো বন্ধ করবে। তাই আমি তাকে প্রতিশ্রুতি দিয়েছিলাম যে আমি ধূমপান বন্ধ করব। ডিসেম্বরের মাঝামাঝি পর্"&amp;"যন্ত আমি ঠিক ছিলাম যখন আমি জানতে পারি যে সে এখনও একই আচরণ করছে। সে আমাকে আরও বলেছিল যে সে তার স্কুলের মেয়েদের, তার নিজের চাচাতো ভাই, সম্ভবত রক্তপাত (???) এবং আরও অনেক বিরক্তিকর জিনিসের সাথে হস্তমৈথুন করে। এটি সত্যিই আমার সাথে খারাপ আচরণ করেছে। আমি সবসময়"&amp;" সে আমার সাথে যা করেছে এবং বলেছে সে সম্পর্কে ভাবতাম। সে আমাকে দুবার মিথ্যা বলেছিল, উভয়বারই প্রতিশ্রুতি দিয়েছিল যে সে আরও ভালো হবে। আমি মেয়েদের মাথা থেকে বের করে দিতে পারছিলাম না। আমি সবসময় তাদের সাথে নিজেকে তুলনা করতাম এবং যখন সে আমার প্রশংসা করত তখন "&amp;"আমি তাকে বিশ্বাস করতাম না কারণ স্পষ্টতই আমি তার ধরণের নই। আমি সারাদিন এই নিয়েই ভাবতাম। আমার ক্ষুধা কমে যেত, খেতে পারতাম না এবং এই নিয়ে অসুস্থ বোধ করতাম। আমি হতাশ এবং ক্ষুব্ধ ছিলাম। তাই আমি বললাম, ""বাজে কথা।"" আমার ধূমপান করা উচিত। তাই আমি আবার সেরে গেল"&amp;"াম। এই মাসের শুরুতে আমি আবার সেরে গেলাম এবং বাহ। আমার মনে হচ্ছে মাঝে মাঝে আগাছা/মাদক ততটা খারাপ নয় যতটা মানুষ মনে করে। তাছাড়া, আমি শান্ত বোধ করছিলাম, আমার মন শূন্য ছিল, আমি শান্তি অনুভব করছিলাম। কয়েক মাসের মধ্যে প্রথমবার। আমি অসাধারণ অনুভব করছিলাম। এটা"&amp;" সত্যিই আমাকে সাহায্য করেছে। এটা আমাকে তার সবকিছু ভুলে যেতে বাধ্য করেছে। আমি এই সময়টাও তাকে বলিনি। আমার অসাধারণ অনুভূতি হয়েছিল। পরের দিন যখন আমি ঘুম থেকে উঠলাম তখন আমি সত্যিই একজন সম্পূর্ণ নতুন ব্যক্তির মতো অনুভব করেছি। আমি জেগে উঠলাম আমি কে তা নিয়ে সন"&amp;"্তুষ্ট বোধ করছিলাম এবং আমি নিজের সাথে খুশি বোধ করছিলাম। আমি মেয়েদের এবং যা সত্যিই সাহায্য করেছে তার সবকিছু ভুলে যেতে পেরেছিলাম। দুর্ভাগ্যবশত, মাত্র কয়েকদিন আগে আমি তাকে স্বীকার করেছিলাম এবং আমার পুনরায় আসক্তির দিনটি সম্পর্কে বলেছিলাম, এবং সে আমার উপর খ"&amp;"ুব বিরক্ত ছিল। সে মনে করে আমার কোন সমস্যা বা আসক্তি আছে কারণ প্রতিবার আমি যখনই বিরক্ত হব তখন প্রথমেই মনে আসত যে ""আমার ধূমপান করা উচিত?"" অথবা ""আমি যদি ধূমপান করতে চাইতাম?"" সে ভেবেছিল যে এটি একটি সমস্যা কারণ আমি এটি করতে থাকি, তার সাথে মিথ্যা বলি এবং তা"&amp;"কে কারসাজি করি (আমি বুঝতে পারিনি যে আমি তা করেছি)। প্রথমে, আমি এটি বিশ্বাস করতে অস্বীকার করেছিলাম কারণ আমি এটি প্রতিদিন করতাম না। এবং আমি এটি করেছি কারণ আমার সাহায্যের প্রয়োজন ছিল এবং আমার মনে হয়েছিল যে আমার কেউ নেই। গতকাল এই কারণে তার এবং আমার মধ্যে ঝগ"&amp;"ড়া হয়েছিল। আমি তাকে বলেছিলাম যে এটি তার দোষ যে আমি পুনরায় আসক্তি করেছি। সে আমাকে আমার অনুভূতি এবং আমার পুনরায় আসক্তির মূল কারণ ব্যাখ্যা করতে দেয়নি। সে আমাকে মিথ্যা বলেছিল এবং মূলত আমার সাথে প্রতারণা করেছিল। সে এই বিষয়ে সক্রিয়ভাবে সুস্থ হয়ে উঠছে। ক"&amp;"িন্তু সে আমাকে একটি আলটিমেটাম দিয়েছিল। তাকে নাকি মাদক। আমি সত্যি বলতে জানতাম না যে আমি কোনটি বেছে নিতে চাই। তাই সে বললো যদি আমি ভালো হওয়ার চেষ্টা না করি তাহলে সে আমাকে ছেড়ে চলে যাবে। তাহলে আমার প্রশ্ন হলো আমার কি কোন সমস্যা আছে? যদি তাই হয় তাহলে আমি ক"&amp;"িভাবে ভালো করতে পারি। টাকার সমস্যার কারণে আমার কোন থেরাপিস্টের কাছে যাওয়ার সুযোগ নেই কিন্তু আমি যা পেয়েছি তা দিয়ে আমি আমার সেরাটা দিতে ইচ্ছুক। আমি তার সাথে সম্পর্ক ছিন্ন করতে চাই না, যদিও সে যা করেছে তার পরে আমি তার মধ্যে অনেক উন্নতি দেখতে পেয়েছি যখন "&amp;"সে আসলে ভালো হতে শুরু করেছে। যাই হোক, আমি কি করতে পারি?")</f>
        <v>আমি নিশ্চিত নই যে আমি এটি কোথায় পোস্ট করতে পারি কিন্তু? আমি প্রায় এক বছর ধরে আমার বয়ফ্রেন্ডের সাথে আছি এবং আমার গাঁজা সেবনের সাথে আমি কখনও কোনও সমস্যা দেখিনি। তাছাড়া, আমরা যখন প্রথম দেখা করি তখন আমি প্রায় এক বছর পরিষ্কার ছিলাম কিন্তু কয়েক মাস পর আমি খুব বিষণ্ণ হয়ে পড়ি। তাছাড়া, বাড়ি এবং স্কুলে আমার অনেক কিছু চলত। তাছাড়া, আমি সবসময় ক্লান্ত এবং ক্লান্ত থাকতাম। তাছাড়া, আমি আবার ধূমপান শুরু করার সিদ্ধান্ত নিয়েছিলাম শুধুমাত্র তৃষ্ণার্ত হওয়ার জন্য। প্রথম কয়েকবার আমি আবার এটি ব্যবহার শুরু করেছিলাম শুধুমাত্র মজা করার জন্য। কিন্তু তারপর এটি এমন পর্যায়ে পৌঁছেছিল যে যখন আমার খারাপ দিন যাচ্ছিল বা কেবল কিছু চাপ থেকে মুক্তি পাওয়ার প্রয়োজন ছিল তখন আমি এটি ব্যবহার শুরু করেছিলাম। আমি এটিকে কখনও সমস্যা হিসেবে দেখিনি কারণ আমি এটি প্রতিদিন করতাম না এবং এটিকে "সাহায্য" পাওয়ার উপায় হিসেবে ব্যবহার করতাম। আমি এটি শুধুমাত্র মাঝে মাঝে করতাম। উদাহরণস্বরূপ, আমি প্রতি সপ্তাহান্তে বা প্রতি সপ্তাহে ধূমপান করতাম। এটি আমাকে অনেক সাহায্য করেছিল। এটি আমাকে শান্ত এবং উচ্ছ্বসিত বোধ করিয়েছিল। এবং আমি এই অনুভূতিটি পছন্দ করতাম। প্রতিবার যখন আমার মাথা খারাপ হতো, আমি আমার বয়ফ্রেন্ডকে ফোন করতাম, আর আমরা একসাথে কথা বলতাম এবং ঘুমিয়ে পড়তাম, আর এটা আমার খুব ভালো লাগত। দুর্ভাগ্যবশত, একবার যখন আমি ধূমপান করতাম, তখন আমার একটা ভয়াবহ ট্রিপ লেগে যেত যার ফলে আমি অনেকক্ষণ ধরে হাইপারভেন্টিলেটে থাকতাম (আমি জানি না কতক্ষণ এই রাতের ঘটনা আমার খুব বেশি মনে নেই)। কিন্তু আমার মনে আছে আমি ভয় পেয়েছিলাম যে আমি মারা যাব (যদিও তুমি গাঁজা সেবনের জন্য ওডি করতে পারো না)। যখন এটা ঘটেছিল তখন আমি আমার বয়ফ্রেন্ডের সাথে OTP করেছিলাম। সে ভয় পেয়েছিল এবং আমার জন্য চিন্তিত ছিল। মূলত, আমি তাকে মানসিকভাবে আঘাত করেছিলাম। আমি এটা জানতাম না কারণ সে আমাকে সত্যিই বলেনি। তাই আমি তা সত্ত্বেও ধূমপান চালিয়ে গিয়েছিলাম। আমার বয়ফ্রেন্ড আমার ধূমপান সম্পর্কে তার অনুভূতি সম্পর্কে খোলাখুলিভাবে জানিয়েছিল এবং আমাকে জানিয়েছিল যে সে এটা পছন্দ করে না এবং আমার সম্ভবত বন্ধ করা উচিত। আমি তাকে বলেছিলাম যে আমি থামব তাই আমি তা করেছিলাম। আমি প্রায় 3 মাস ধরে পরিষ্কার ছিলাম। কিন্তু 2021 সালের অক্টোবরের দিকে আমার বাবার সাথে আমার একটা বড় ঝগড়া হয়, এবং সে আমাকে মারধর করে এবং আমাকে বের করে দেয়। আর এই ঘটনার এক সপ্তাহের মধ্যেই আমি জানতে পারি যে আমার প্রেমিক মিথ্যা বলছে এবং আমার কাছ থেকে জিনিস লুকাচ্ছে। মূলত, সে মেয়েদের দিকে তাকানোর জন্য একটি গোপন TikTok অ্যাকাউন্ট তৈরি করেছিল, তার অনেক পর্ন অ্যাকাউন্ট ছিল এবং মূলত পর্নের প্রতি আসক্ত ছিল। এটি আমাকে বিরক্ত করেছিল কারণ আমাদের পুরো সম্পর্কের সময় সে আমাকে বলেছিল যে সে পর্ন দেখে না এবং সে কখনও মেয়েদের অনুসরণ করবে না বা তাদের দিকে এভাবে তাকাবে না কারণ সে আমাকে "সম্মান করে"। সে এটাও জানত যে আমি এই বিষয়ে কেমন অনুভব করি। এই দুটি জিনিসের কারণে আমি আবারও তার সাথে সম্পর্ক ছিন্ন করেছিলাম। কিন্তু আমি তাকে বলিনি। সে আমাকে প্রতিশ্রুতি দিয়েছিল যে সে ভালো হয়ে যাবে এবং আমার কাছ থেকে মিথ্যা বলা এবং জিনিস লুকানো বন্ধ করবে। তাই আমি তাকে প্রতিশ্রুতি দিয়েছিলাম যে আমি ধূমপান বন্ধ করব। ডিসেম্বরের মাঝামাঝি পর্যন্ত আমি ঠিক ছিলাম যখন আমি জানতে পারি যে সে এখনও একই আচরণ করছে। সে আমাকে আরও বলেছিল যে সে তার স্কুলের মেয়েদের, তার নিজের চাচাতো ভাই, সম্ভবত রক্তপাত (???) এবং আরও অনেক বিরক্তিকর জিনিসের সাথে হস্তমৈথুন করে। এটি সত্যিই আমার সাথে খারাপ আচরণ করেছে। আমি সবসময় সে আমার সাথে যা করেছে এবং বলেছে সে সম্পর্কে ভাবতাম। সে আমাকে দুবার মিথ্যা বলেছিল, উভয়বারই প্রতিশ্রুতি দিয়েছিল যে সে আরও ভালো হবে। আমি মেয়েদের মাথা থেকে বের করে দিতে পারছিলাম না। আমি সবসময় তাদের সাথে নিজেকে তুলনা করতাম এবং যখন সে আমার প্রশংসা করত তখন আমি তাকে বিশ্বাস করতাম না কারণ স্পষ্টতই আমি তার ধরণের নই। আমি সারাদিন এই নিয়েই ভাবতাম। আমার ক্ষুধা কমে যেত, খেতে পারতাম না এবং এই নিয়ে অসুস্থ বোধ করতাম। আমি হতাশ এবং ক্ষুব্ধ ছিলাম। তাই আমি বললাম, "বাজে কথা।" আমার ধূমপান করা উচিত। তাই আমি আবার সেরে গেলাম। এই মাসের শুরুতে আমি আবার সেরে গেলাম এবং বাহ। আমার মনে হচ্ছে মাঝে মাঝে আগাছা/মাদক ততটা খারাপ নয় যতটা মানুষ মনে করে। তাছাড়া, আমি শান্ত বোধ করছিলাম, আমার মন শূন্য ছিল, আমি শান্তি অনুভব করছিলাম। কয়েক মাসের মধ্যে প্রথমবার। আমি অসাধারণ অনুভব করছিলাম। এটা সত্যিই আমাকে সাহায্য করেছে। এটা আমাকে তার সবকিছু ভুলে যেতে বাধ্য করেছে। আমি এই সময়টাও তাকে বলিনি। আমার অসাধারণ অনুভূতি হয়েছিল। পরের দিন যখন আমি ঘুম থেকে উঠলাম তখন আমি সত্যিই একজন সম্পূর্ণ নতুন ব্যক্তির মতো অনুভব করেছি। আমি জেগে উঠলাম আমি কে তা নিয়ে সন্তুষ্ট বোধ করছিলাম এবং আমি নিজের সাথে খুশি বোধ করছিলাম। আমি মেয়েদের এবং যা সত্যিই সাহায্য করেছে তার সবকিছু ভুলে যেতে পেরেছিলাম। দুর্ভাগ্যবশত, মাত্র কয়েকদিন আগে আমি তাকে স্বীকার করেছিলাম এবং আমার পুনরায় আসক্তির দিনটি সম্পর্কে বলেছিলাম, এবং সে আমার উপর খুব বিরক্ত ছিল। সে মনে করে আমার কোন সমস্যা বা আসক্তি আছে কারণ প্রতিবার আমি যখনই বিরক্ত হব তখন প্রথমেই মনে আসত যে "আমার ধূমপান করা উচিত?" অথবা "আমি যদি ধূমপান করতে চাইতাম?" সে ভেবেছিল যে এটি একটি সমস্যা কারণ আমি এটি করতে থাকি, তার সাথে মিথ্যা বলি এবং তাকে কারসাজি করি (আমি বুঝতে পারিনি যে আমি তা করেছি)। প্রথমে, আমি এটি বিশ্বাস করতে অস্বীকার করেছিলাম কারণ আমি এটি প্রতিদিন করতাম না। এবং আমি এটি করেছি কারণ আমার সাহায্যের প্রয়োজন ছিল এবং আমার মনে হয়েছিল যে আমার কেউ নেই। গতকাল এই কারণে তার এবং আমার মধ্যে ঝগড়া হয়েছিল। আমি তাকে বলেছিলাম যে এটি তার দোষ যে আমি পুনরায় আসক্তি করেছি। সে আমাকে আমার অনুভূতি এবং আমার পুনরায় আসক্তির মূল কারণ ব্যাখ্যা করতে দেয়নি। সে আমাকে মিথ্যা বলেছিল এবং মূলত আমার সাথে প্রতারণা করেছিল। সে এই বিষয়ে সক্রিয়ভাবে সুস্থ হয়ে উঠছে। কিন্তু সে আমাকে একটি আলটিমেটাম দিয়েছিল। তাকে নাকি মাদক। আমি সত্যি বলতে জানতাম না যে আমি কোনটি বেছে নিতে চাই। তাই সে বললো যদি আমি ভালো হওয়ার চেষ্টা না করি তাহলে সে আমাকে ছেড়ে চলে যাবে। তাহলে আমার প্রশ্ন হলো আমার কি কোন সমস্যা আছে? যদি তাই হয় তাহলে আমি কিভাবে ভালো করতে পারি। টাকার সমস্যার কারণে আমার কোন থেরাপিস্টের কাছে যাওয়ার সুযোগ নেই কিন্তু আমি যা পেয়েছি তা দিয়ে আমি আমার সেরাটা দিতে ইচ্ছুক। আমি তার সাথে সম্পর্ক ছিন্ন করতে চাই না, যদিও সে যা করেছে তার পরে আমি তার মধ্যে অনেক উন্নতি দেখতে পেয়েছি যখন সে আসলে ভালো হতে শুরু করেছে। যাই হোক, আমি কি করতে পারি?</v>
      </c>
    </row>
    <row r="471" spans="1:3" ht="15" x14ac:dyDescent="0.25">
      <c r="A471" s="3" t="s">
        <v>472</v>
      </c>
      <c r="B471" s="3" t="s">
        <v>4</v>
      </c>
      <c r="C471" s="4" t="str">
        <f ca="1">IFERROR(__xludf.DUMMYFUNCTION("GOOGLETRANSLATE(A471, ""auto"", ""bn"")"),"বেনজোডিয়াজেপাইনের জন্য আমার প্রস্রাব পরীক্ষায় উত্তীর্ণ হতে কী সাহায্য করবে? বেকিং সোডা এবং ভিনেগার সাহায্য করতে পারে? আমি এক মাস ধরে প্রতিদিন 2 মিলিগ্রাম ক্লোনোপিন খাই। কেউ আমাকে এটি করতে দেখছে বলে আমি দ্রুত সমাধান ব্যবহার করতে পারছি না। কয়েক ফোঁটা ভিজ"&amp;"িং বা ব্লিচ যোগ করলে সাহায্য পেতে পারি? দয়া করে আমাকে সাহায্য করুন এটা গুরুত্বপূর্ণ।")</f>
        <v>বেনজোডিয়াজেপাইনের জন্য আমার প্রস্রাব পরীক্ষায় উত্তীর্ণ হতে কী সাহায্য করবে? বেকিং সোডা এবং ভিনেগার সাহায্য করতে পারে? আমি এক মাস ধরে প্রতিদিন 2 মিলিগ্রাম ক্লোনোপিন খাই। কেউ আমাকে এটি করতে দেখছে বলে আমি দ্রুত সমাধান ব্যবহার করতে পারছি না। কয়েক ফোঁটা ভিজিং বা ব্লিচ যোগ করলে সাহায্য পেতে পারি? দয়া করে আমাকে সাহায্য করুন এটা গুরুত্বপূর্ণ।</v>
      </c>
    </row>
    <row r="472" spans="1:3" ht="15" x14ac:dyDescent="0.25">
      <c r="A472" s="3" t="s">
        <v>473</v>
      </c>
      <c r="B472" s="3" t="s">
        <v>4</v>
      </c>
      <c r="C472" s="4" t="str">
        <f ca="1">IFERROR(__xludf.DUMMYFUNCTION("GOOGLETRANSLATE(A472, ""auto"", ""bn"")"),"আমার আবেগ যে দিকেই হোক না কেন, আকাশছোঁয়া হয়। ১৯ বছর বয়স এর একটা অংশ, কিন্তু আমার ADHD, উদ্বেগ এবং বিষণ্ণতাও বড় ভূমিকা পালন করে। কিন্তু সক্রিয় আসক্তি থাকা সত্ত্বেও, আজ আমি কর্মক্ষেত্রে শান্ত ছিলাম এবং দারুন অনুভব করছিলাম। আমি সবার সাথেই অবস্থানগত, মজার এব"&amp;"ং কথাবার্তা বলছিলাম, যা সাধারণত আমি মাদক থেকে দূরে থাকি। আমি আত্মবিশ্বাসী, অনুপ্রাণিত এবং ভারসাম্যপূর্ণ বোধ করতাম। একেবারেই অপ্রত্যাশিত। এই ধরণের দিন আমার জন্য অত্যন্ত বিরল এবং বেশিরভাগ দিনই দুঃখ এবং হতাশা, অলসতা, ক্রমাগত পুনরাবৃত্ততা, নিজেকে অসাড় করে দে"&amp;"ওয়া, স্বার্থপর হওয়া ইত্যাদির মধ্যে কেটে যায়। কিন্তু বাজে কথা... বাজে কথা। তুমি কি মনে করো আমি এটা চালিয়ে যেতে চাই এবং মাদক থেকে নিজেকে মুক্ত করতে চাই এবং পরের দিন নিজের মতো করে আরও ভালোভাবে সুস্থ মস্তিষ্কে উপস্থিত হতে চাই। কিন্তু আজ রাতে ব্যাপারটা তা "&amp;"নয়, এমনকি যখন আমাকে আগামীকাল ভোরে ঘুম থেকে উঠতে হবে এবং আমার স্বাভাবিক উদ্যমী শক্তির বোকা হতে চাই, আমি হা হা। মনে হচ্ছে আমি খুব দ্রুত আসক্তি থেকে সেরে উঠতে পারছি সম্ভবত অল্প বয়সের কারণে, কিন্তু একঘেয়েমি আমার কাছে বিরক্তিকর হয়ে ওঠে, আমি দ্রুত আমার পুরান"&amp;"ো পদ্ধতিতে ফিরে যাই। আমি জানি এটা অপরিণত শোনাচ্ছে, কিন্তু কোনওভাবে এই একঘেয়েমি আমার জন্য শূন্যস্থানে পরিণত হয় এবং কাজের পরে ওষুধ এবং আনন্দদায়ক উদ্দীপক এবং সাধারণত অস্বাস্থ্যকর কার্যকলাপ ছাড়া আমার আর কিছুই পূরণ করার থাকে না। মনে হচ্ছে যদি আমার কাছে টাক"&amp;"া এবং উপায় থাকে তবে আমি সবসময় এই আবর্জনার দিকে ফিরে যাব। আমি বুঝতে পারছি না। আমি জানি না কেন আমি এটি পোস্ট করছি। হঠাৎ করেই আমার চিন্তাভাবনা শেয়ার করতে চেয়েছিলাম কারণ আমি হারিয়ে গেছি। এমনকি যখন আমার ভালো দিনগুলি যায় তখনও আমি নিজেকে এমন নিচু অবস্থায় "&amp;"রাখি যা আমি ভেবেছিলাম নিচু হতে পারে।")</f>
        <v>আমার আবেগ যে দিকেই হোক না কেন, আকাশছোঁয়া হয়। ১৯ বছর বয়স এর একটা অংশ, কিন্তু আমার ADHD, উদ্বেগ এবং বিষণ্ণতাও বড় ভূমিকা পালন করে। কিন্তু সক্রিয় আসক্তি থাকা সত্ত্বেও, আজ আমি কর্মক্ষেত্রে শান্ত ছিলাম এবং দারুন অনুভব করছিলাম। আমি সবার সাথেই অবস্থানগত, মজার এবং কথাবার্তা বলছিলাম, যা সাধারণত আমি মাদক থেকে দূরে থাকি। আমি আত্মবিশ্বাসী, অনুপ্রাণিত এবং ভারসাম্যপূর্ণ বোধ করতাম। একেবারেই অপ্রত্যাশিত। এই ধরণের দিন আমার জন্য অত্যন্ত বিরল এবং বেশিরভাগ দিনই দুঃখ এবং হতাশা, অলসতা, ক্রমাগত পুনরাবৃত্ততা, নিজেকে অসাড় করে দেওয়া, স্বার্থপর হওয়া ইত্যাদির মধ্যে কেটে যায়। কিন্তু বাজে কথা... বাজে কথা। তুমি কি মনে করো আমি এটা চালিয়ে যেতে চাই এবং মাদক থেকে নিজেকে মুক্ত করতে চাই এবং পরের দিন নিজের মতো করে আরও ভালোভাবে সুস্থ মস্তিষ্কে উপস্থিত হতে চাই। কিন্তু আজ রাতে ব্যাপারটা তা নয়, এমনকি যখন আমাকে আগামীকাল ভোরে ঘুম থেকে উঠতে হবে এবং আমার স্বাভাবিক উদ্যমী শক্তির বোকা হতে চাই, আমি হা হা। মনে হচ্ছে আমি খুব দ্রুত আসক্তি থেকে সেরে উঠতে পারছি সম্ভবত অল্প বয়সের কারণে, কিন্তু একঘেয়েমি আমার কাছে বিরক্তিকর হয়ে ওঠে, আমি দ্রুত আমার পুরানো পদ্ধতিতে ফিরে যাই। আমি জানি এটা অপরিণত শোনাচ্ছে, কিন্তু কোনওভাবে এই একঘেয়েমি আমার জন্য শূন্যস্থানে পরিণত হয় এবং কাজের পরে ওষুধ এবং আনন্দদায়ক উদ্দীপক এবং সাধারণত অস্বাস্থ্যকর কার্যকলাপ ছাড়া আমার আর কিছুই পূরণ করার থাকে না। মনে হচ্ছে যদি আমার কাছে টাকা এবং উপায় থাকে তবে আমি সবসময় এই আবর্জনার দিকে ফিরে যাব। আমি বুঝতে পারছি না। আমি জানি না কেন আমি এটি পোস্ট করছি। হঠাৎ করেই আমার চিন্তাভাবনা শেয়ার করতে চেয়েছিলাম কারণ আমি হারিয়ে গেছি। এমনকি যখন আমার ভালো দিনগুলি যায় তখনও আমি নিজেকে এমন নিচু অবস্থায় রাখি যা আমি ভেবেছিলাম নিচু হতে পারে।</v>
      </c>
    </row>
    <row r="473" spans="1:3" ht="15" x14ac:dyDescent="0.25">
      <c r="A473" s="3" t="s">
        <v>474</v>
      </c>
      <c r="B473" s="3" t="s">
        <v>4</v>
      </c>
      <c r="C473" s="4" t="str">
        <f ca="1">IFERROR(__xludf.DUMMYFUNCTION("GOOGLETRANSLATE(A473, ""auto"", ""bn"")"),"কাজ থেকে ফিরে আসার পর আমি আমার পিসিতে গেম খেলতাম, সিনেমা, টিভি শো, অ্যানিমে ইত্যাদি খেলা করতাম, আর গভীর রাত পর্যন্ত পিসিতে থাকতাম এবং প্রতিদিন একই কাজ করতাম। আমি আর বাচ্চা নই, আমার আরও অনেক দায়িত্ব আছে, আর আমি আমার কম্পিউটার ব্যবহার করে সেগুলো উপেক্ষা কর"&amp;"ছি। আমার মনে হয় তুমি যা উপভোগ করো তা আনন্দ নয় বরং অভিশাপ। কিন্তু আমি জানি না কিভাবে নিজেকে পরিবর্তন করব, আমার গেমিং/বিনোদন জীবন আমার কাছে খুবই গুরুত্বপূর্ণ।")</f>
        <v>কাজ থেকে ফিরে আসার পর আমি আমার পিসিতে গেম খেলতাম, সিনেমা, টিভি শো, অ্যানিমে ইত্যাদি খেলা করতাম, আর গভীর রাত পর্যন্ত পিসিতে থাকতাম এবং প্রতিদিন একই কাজ করতাম। আমি আর বাচ্চা নই, আমার আরও অনেক দায়িত্ব আছে, আর আমি আমার কম্পিউটার ব্যবহার করে সেগুলো উপেক্ষা করছি। আমার মনে হয় তুমি যা উপভোগ করো তা আনন্দ নয় বরং অভিশাপ। কিন্তু আমি জানি না কিভাবে নিজেকে পরিবর্তন করব, আমার গেমিং/বিনোদন জীবন আমার কাছে খুবই গুরুত্বপূর্ণ।</v>
      </c>
    </row>
    <row r="474" spans="1:3" ht="15" x14ac:dyDescent="0.25">
      <c r="A474" s="3" t="s">
        <v>475</v>
      </c>
      <c r="B474" s="3" t="s">
        <v>4</v>
      </c>
      <c r="C474" s="4" t="str">
        <f ca="1">IFERROR(__xludf.DUMMYFUNCTION("GOOGLETRANSLATE(A474, ""auto"", ""bn"")"),"আগাছার নেশা সত্যিই। হাই স্কুলে নবম শ্রেণী থেকে একাদশ শ্রেণী পর্যন্ত আমি গাঁজার প্রতি খুব আসক্ত ছিলাম। প্রতিদিন যখন আমি স্কুল থেকে বাড়ি ফিরতাম তখন আমি আমার নোংরা জীবন ভুলে যাওয়ার জন্য ধূমপান করতাম। আমি সাধারণ হাই স্কুলের পাগলদের মতো দলবদ্ধভাবে ধূমপান করত"&amp;"াম না, বরং আমি আমার ভয়াবহ সামাজিক জীবন ভুলে যাওয়ার জন্য নিজেই এটি করতাম। আমি এটি করার মূল কারণ হল স্কুলে থাকাকালীন আমার ভয়াবহ উদ্বেগ। কিছু পরিস্থিতিতে অন্যদের সাথে থাকার কারণে আমি এতটাই ভীত হয়ে পড়েছিলাম এবং কীভাবে নিজেকে ঠিক করতে পারি তা ভাবার পরিবর্"&amp;"তে আমি বরং উত্তেজিত হয়ে পড়তাম। এটি এতটাই রুক্ষ হয়ে ওঠে যে পরিবর্তে আমি কেবল তখনই খুশি হতাম যখন আমি গাঁজার নেশায় মত্ত থাকতাম। যখন আমি উত্তেজিত ছিলাম তখন আমি কেবল উপভোগের অনুভূতি অনুভব করতাম, এমন একটি অনুভূতি যা আমি শান্ত অবস্থায় পাব না। আমি চাই যে এই "&amp;"পোস্টটি এমনভাবে দেখুক যে উচ্চ বিদ্যালয়ের বাচ্চারা যেন এমনভাবে জীবনযাপন করে যেন কেউ তোমাকে দেখছে না বা তোমাকে বিচার করছে না, এতটা উদ্বেগে ডুবে যে এর কারণে তোমার কোনও সামাজিক জীবন নেই। এছাড়াও, আমি পরামর্শ দিচ্ছি যে আপনি একা গাঁজা সেবন করবেন না কারণ এটি সহ"&amp;"জেই এবং দ্রুত বিষণ্ণতার মোকাবেলার একটি পদ্ধতি হয়ে উঠতে পারে।")</f>
        <v>আগাছার নেশা সত্যিই। হাই স্কুলে নবম শ্রেণী থেকে একাদশ শ্রেণী পর্যন্ত আমি গাঁজার প্রতি খুব আসক্ত ছিলাম। প্রতিদিন যখন আমি স্কুল থেকে বাড়ি ফিরতাম তখন আমি আমার নোংরা জীবন ভুলে যাওয়ার জন্য ধূমপান করতাম। আমি সাধারণ হাই স্কুলের পাগলদের মতো দলবদ্ধভাবে ধূমপান করতাম না, বরং আমি আমার ভয়াবহ সামাজিক জীবন ভুলে যাওয়ার জন্য নিজেই এটি করতাম। আমি এটি করার মূল কারণ হল স্কুলে থাকাকালীন আমার ভয়াবহ উদ্বেগ। কিছু পরিস্থিতিতে অন্যদের সাথে থাকার কারণে আমি এতটাই ভীত হয়ে পড়েছিলাম এবং কীভাবে নিজেকে ঠিক করতে পারি তা ভাবার পরিবর্তে আমি বরং উত্তেজিত হয়ে পড়তাম। এটি এতটাই রুক্ষ হয়ে ওঠে যে পরিবর্তে আমি কেবল তখনই খুশি হতাম যখন আমি গাঁজার নেশায় মত্ত থাকতাম। যখন আমি উত্তেজিত ছিলাম তখন আমি কেবল উপভোগের অনুভূতি অনুভব করতাম, এমন একটি অনুভূতি যা আমি শান্ত অবস্থায় পাব না। আমি চাই যে এই পোস্টটি এমনভাবে দেখুক যে উচ্চ বিদ্যালয়ের বাচ্চারা যেন এমনভাবে জীবনযাপন করে যেন কেউ তোমাকে দেখছে না বা তোমাকে বিচার করছে না, এতটা উদ্বেগে ডুবে যে এর কারণে তোমার কোনও সামাজিক জীবন নেই। এছাড়াও, আমি পরামর্শ দিচ্ছি যে আপনি একা গাঁজা সেবন করবেন না কারণ এটি সহজেই এবং দ্রুত বিষণ্ণতার মোকাবেলার একটি পদ্ধতি হয়ে উঠতে পারে।</v>
      </c>
    </row>
    <row r="475" spans="1:3" ht="15" x14ac:dyDescent="0.25">
      <c r="A475" s="3" t="s">
        <v>476</v>
      </c>
      <c r="B475" s="3" t="s">
        <v>4</v>
      </c>
      <c r="C475" s="4" t="str">
        <f ca="1">IFERROR(__xludf.DUMMYFUNCTION("GOOGLETRANSLATE(A475, ""auto"", ""bn"")"),"আমি এমন কারো প্রতি আসক্ত যে আমাকে আর ভালোবাসে না। প্রথমেই বলছি, যদি এটা এর জন্য উপযুক্ত উপাধি না হয়, তাহলে আমি ক্ষমা চাইছি। আমি এমন একজন ব্যক্তির প্রতি একেবারেই আসক্ত যার আমার প্রতি খুব একটা অনুভূতি নেই এবং আমি জানি না কিভাবে এটা বন্ধ করব। যখন আমি আসক্ত "&amp;"বলি, তখন আমি তাদের কার্যকলাপের অবস্থা দিনে কয়েক ডজন বার পরীক্ষা করি যে তারা কী খেলছে, বা শুনছে, অথবা তারা নতুন কাউকে অনুসরণ করেছে কিনা ইত্যাদি। আমি খুশি বোধ করার জন্য আমাদের পুরানো মজাদার কথোপকথনগুলি পুনরায় পড়ি, কিন্তু এটি তিক্ত মিষ্টি। আমি কোনওভাবে তা"&amp;"দের কথা মনে করিয়ে না দিয়ে কিছুই করতে পারি না, তা সে ভাল স্মৃতি হোক বা খারাপ। আমরা একসাথে ছিলাম - আমরা একে অপরকে প্রায় 3 বছর ধরে চিনি, ~2 বছর ধরে একসাথে ছিলাম। আমরা দুজনেই একে অপরের প্রতি অতিরিক্ত সংযুক্ত এবং অধিকারী ছিলাম এবং সিদ্ধান্ত নিয়েছিলাম যে বি"&amp;"চ্ছেদ করা ভাল হবে, তবে বন্ধুদের চেয়ে কিছুটা বেশি (আলিঙ্গন করা এবং এর মতো) থাকা। তাছাড়া, আমরা 6 মাসেরও বেশি সময় ধরে একসাথে থাকা বন্ধ করে দিয়েছি। সবকিছু খুব ভালোই চলছিল কিন্তু গত দুই মাসে তারা দূরে সরে গেছে। গত দুই মাস ধরে আমরা একে অপরের সাথে দেখা করা ব"&amp;"ন্ধ করে দিয়েছি কারণ তারা টিকা না নেওয়া ব্যক্তিদের একটি বড় পরিবার থেকে এসেছে এবং আমি আমার বাবার কাছে কোভিড বহন করার ঝুঁকি নিতে চাইনি, যার সাথে আমি থাকি। আমরা একে অপরকে প্রায়ই বলতাম ""আমি তোমাকে ভালোবাসি"" এবং এখন আর তা হয় না। তারা বলে যে তারা খুব বেশি হ"&amp;"তাশাগ্রস্ত এবং সবার থেকে আলাদা থাকতে চায়, তাই আমি তাদের বার্তা না পাঠানোর বা অন্যথায় বিরক্ত না করার জন্য যথাসাধ্য চেষ্টা করছি। কিন্তু আমি এই ভয়কে ঝেড়ে ফেলতে পারছি না যে তারা আর আমাকে চায় না, যখন আমি জিজ্ঞাসা করি যে তারা আমাদের যা চায় তা চায় কিনা তা"&amp;"রা কেবল বলে ""আমি জানি না""। আমি জানি না কিভাবে এই ব্যক্তির প্রতি আচ্ছন্নতা থেকে নিজেকে থামাবো। আমার মনে হয় এটি আরও বেদনাদায়ক করে তোলে যে তারা আমাকে বলেছিল যে আমি এত যত্নশীল যে আমি এত ঘন ঘন তাদের প্রোফাইল চেক করতাম এবং তাদের জন্য এত প্রয়োজন বোধ করতাম। "&amp;"তদুপরি, আমি অত্যন্ত সন্দেহ করি যে তারা এখনও সেভাবে অনুভব করে। তদুপরি, আমি তাদের অন্য কারো প্রেমে পড়ার চিন্তাও সহ্য করতে পারি না। সর্বোপরি, আমার জীবন সম্প্রতি খারাপ হয়ে গেছে, এবং এখন আগের চেয়েও বেশি তাদের সমর্থন আমার প্রয়োজন। আমি জানি এটা স্বার্থপরের ম"&amp;"তো শোনাচ্ছে, কিন্তু আমি আসলে জানি না আর কী করব। বন্ধুদের সাথে কথা বলা আর এক জিনিস নয়।")</f>
        <v>আমি এমন কারো প্রতি আসক্ত যে আমাকে আর ভালোবাসে না। প্রথমেই বলছি, যদি এটা এর জন্য উপযুক্ত উপাধি না হয়, তাহলে আমি ক্ষমা চাইছি। আমি এমন একজন ব্যক্তির প্রতি একেবারেই আসক্ত যার আমার প্রতি খুব একটা অনুভূতি নেই এবং আমি জানি না কিভাবে এটা বন্ধ করব। যখন আমি আসক্ত বলি, তখন আমি তাদের কার্যকলাপের অবস্থা দিনে কয়েক ডজন বার পরীক্ষা করি যে তারা কী খেলছে, বা শুনছে, অথবা তারা নতুন কাউকে অনুসরণ করেছে কিনা ইত্যাদি। আমি খুশি বোধ করার জন্য আমাদের পুরানো মজাদার কথোপকথনগুলি পুনরায় পড়ি, কিন্তু এটি তিক্ত মিষ্টি। আমি কোনওভাবে তাদের কথা মনে করিয়ে না দিয়ে কিছুই করতে পারি না, তা সে ভাল স্মৃতি হোক বা খারাপ। আমরা একসাথে ছিলাম - আমরা একে অপরকে প্রায় 3 বছর ধরে চিনি, ~2 বছর ধরে একসাথে ছিলাম। আমরা দুজনেই একে অপরের প্রতি অতিরিক্ত সংযুক্ত এবং অধিকারী ছিলাম এবং সিদ্ধান্ত নিয়েছিলাম যে বিচ্ছেদ করা ভাল হবে, তবে বন্ধুদের চেয়ে কিছুটা বেশি (আলিঙ্গন করা এবং এর মতো) থাকা। তাছাড়া, আমরা 6 মাসেরও বেশি সময় ধরে একসাথে থাকা বন্ধ করে দিয়েছি। সবকিছু খুব ভালোই চলছিল কিন্তু গত দুই মাসে তারা দূরে সরে গেছে। গত দুই মাস ধরে আমরা একে অপরের সাথে দেখা করা বন্ধ করে দিয়েছি কারণ তারা টিকা না নেওয়া ব্যক্তিদের একটি বড় পরিবার থেকে এসেছে এবং আমি আমার বাবার কাছে কোভিড বহন করার ঝুঁকি নিতে চাইনি, যার সাথে আমি থাকি। আমরা একে অপরকে প্রায়ই বলতাম "আমি তোমাকে ভালোবাসি" এবং এখন আর তা হয় না। তারা বলে যে তারা খুব বেশি হতাশাগ্রস্ত এবং সবার থেকে আলাদা থাকতে চায়, তাই আমি তাদের বার্তা না পাঠানোর বা অন্যথায় বিরক্ত না করার জন্য যথাসাধ্য চেষ্টা করছি। কিন্তু আমি এই ভয়কে ঝেড়ে ফেলতে পারছি না যে তারা আর আমাকে চায় না, যখন আমি জিজ্ঞাসা করি যে তারা আমাদের যা চায় তা চায় কিনা তারা কেবল বলে "আমি জানি না"। আমি জানি না কিভাবে এই ব্যক্তির প্রতি আচ্ছন্নতা থেকে নিজেকে থামাবো। আমার মনে হয় এটি আরও বেদনাদায়ক করে তোলে যে তারা আমাকে বলেছিল যে আমি এত যত্নশীল যে আমি এত ঘন ঘন তাদের প্রোফাইল চেক করতাম এবং তাদের জন্য এত প্রয়োজন বোধ করতাম। তদুপরি, আমি অত্যন্ত সন্দেহ করি যে তারা এখনও সেভাবে অনুভব করে। তদুপরি, আমি তাদের অন্য কারো প্রেমে পড়ার চিন্তাও সহ্য করতে পারি না। সর্বোপরি, আমার জীবন সম্প্রতি খারাপ হয়ে গেছে, এবং এখন আগের চেয়েও বেশি তাদের সমর্থন আমার প্রয়োজন। আমি জানি এটা স্বার্থপরের মতো শোনাচ্ছে, কিন্তু আমি আসলে জানি না আর কী করব। বন্ধুদের সাথে কথা বলা আর এক জিনিস নয়।</v>
      </c>
    </row>
    <row r="476" spans="1:3" ht="15" x14ac:dyDescent="0.25">
      <c r="A476" s="3" t="s">
        <v>477</v>
      </c>
      <c r="B476" s="3" t="s">
        <v>4</v>
      </c>
      <c r="C476" s="4" t="str">
        <f ca="1">IFERROR(__xludf.DUMMYFUNCTION("GOOGLETRANSLATE(A476, ""auto"", ""bn"")"),"আমি একটা নেশা তৈরি করছি, জানি না এটা এখানে সাধারণত পোস্ট করা হয় কিনা। কিন্তু আমার মনে হয় আমি একটা নতুন নেশা তৈরি করছি। এই নেশা হল জুয়া। আমি লক্ষ্য করেছি যে আমি CS go কেস এবং অন্যান্য জিনিসের পিছনে অনেক টাকা খরচ করি, ভাবি এটা চালু হবে কিন্তু আমি কিছুই প"&amp;"াই না। আমার বন্ধুরা মাঝে মাঝে আমার আশা জাগানোর জন্য কেস কিনতে আমাকে চাপ দেয়। আর যখন আমি উত্তেজিত থাকি তখন আমি ভাবি না আমি কী করছি, তাই আমি গেমটিতে অনেক টাকা খরচ করি। আমি ২ সপ্তাহ ধরে গেমটিতে $৫০ খরচ করেছি, এবং আমি এতে খুশি নই, আশা করি এটা বন্ধ হয়ে যাবে "&amp;"কারণ আমি এখন এত টাকা আয় করছি না।")</f>
        <v>আমি একটা নেশা তৈরি করছি, জানি না এটা এখানে সাধারণত পোস্ট করা হয় কিনা। কিন্তু আমার মনে হয় আমি একটা নতুন নেশা তৈরি করছি। এই নেশা হল জুয়া। আমি লক্ষ্য করেছি যে আমি CS go কেস এবং অন্যান্য জিনিসের পিছনে অনেক টাকা খরচ করি, ভাবি এটা চালু হবে কিন্তু আমি কিছুই পাই না। আমার বন্ধুরা মাঝে মাঝে আমার আশা জাগানোর জন্য কেস কিনতে আমাকে চাপ দেয়। আর যখন আমি উত্তেজিত থাকি তখন আমি ভাবি না আমি কী করছি, তাই আমি গেমটিতে অনেক টাকা খরচ করি। আমি ২ সপ্তাহ ধরে গেমটিতে $৫০ খরচ করেছি, এবং আমি এতে খুশি নই, আশা করি এটা বন্ধ হয়ে যাবে কারণ আমি এখন এত টাকা আয় করছি না।</v>
      </c>
    </row>
    <row r="477" spans="1:3" ht="15" x14ac:dyDescent="0.25">
      <c r="A477" s="3" t="s">
        <v>478</v>
      </c>
      <c r="B477" s="3" t="s">
        <v>4</v>
      </c>
      <c r="C477" s="4" t="str">
        <f ca="1">IFERROR(__xludf.DUMMYFUNCTION("GOOGLETRANSLATE(A477, ""auto"", ""bn"")"),"গত বছরের অর্ধেকটা সময় আমি নেশায় মত্ত ছিলাম। আমার শুধু কিছু সাহায্য বা পরামর্শের প্রয়োজন, আমার আবারও তৃষ্ণা হচ্ছে, আমি স্বীকার করছি আমার মৃত্যু কামনা ছিল, কিন্তু আমার ইচ্ছা কখনোই পূরণ হয় না, জ্যানসেন মেথ, গাঁজা সেবন এবং বিয়ার পান করা বা যেকোনো অ্যাকোলিক "&amp;"BEV আমার হাতের কাছে পেলেও, আমি এতে গর্বিত নই কারণ এগুলোই আমার শেষের শুরু। তাছাড়া, আমি গাঁজা সেবনের জন্য অনুশোচনা করি না কারণ আমি এখনও এটি ধূমপান করি, এবং এটি সাহায্য করে, সম্প্রতি জানুয়ারী থেকে আমি সামাজিকভাবে মদ্যপান শুরু করেছি, এবং আমি আসলে এটি সম্পর্"&amp;"কে কিছুই ভাবিনি কারণ আমি ভেবেছিলাম আমি আমার জীবন থেকে এই সমস্ত কিছু বের করে দিয়েছি, ""আমি আর ফিরে পাব না"" আমি ভাবলাম, এখন আমি বুঝতে পারছি যে সম্ভবত আমার জীবন আবার নিয়ন্ত্রণের বাইরে চলে যাওয়ার জন্য অনুঘটক ছিল। মূলত: আমি আবার সেই তৃষ্ণা অনুভব করছি এবং আ"&amp;"রও খারাপ আমি আবার মেথ চাইতে শুরু করছি, আমি এতটাই তৃষ্ণা অনুভব করছি যে আমি বুঝতে পারছি না কী হচ্ছে। ২০২১ সালের সেপ্টেম্বরে আমি কোনও সহায়তা বা অন্য কিছু ছাড়াই চাকরি ছেড়ে দিয়েছি।")</f>
        <v>গত বছরের অর্ধেকটা সময় আমি নেশায় মত্ত ছিলাম। আমার শুধু কিছু সাহায্য বা পরামর্শের প্রয়োজন, আমার আবারও তৃষ্ণা হচ্ছে, আমি স্বীকার করছি আমার মৃত্যু কামনা ছিল, কিন্তু আমার ইচ্ছা কখনোই পূরণ হয় না, জ্যানসেন মেথ, গাঁজা সেবন এবং বিয়ার পান করা বা যেকোনো অ্যাকোলিক BEV আমার হাতের কাছে পেলেও, আমি এতে গর্বিত নই কারণ এগুলোই আমার শেষের শুরু। তাছাড়া, আমি গাঁজা সেবনের জন্য অনুশোচনা করি না কারণ আমি এখনও এটি ধূমপান করি, এবং এটি সাহায্য করে, সম্প্রতি জানুয়ারী থেকে আমি সামাজিকভাবে মদ্যপান শুরু করেছি, এবং আমি আসলে এটি সম্পর্কে কিছুই ভাবিনি কারণ আমি ভেবেছিলাম আমি আমার জীবন থেকে এই সমস্ত কিছু বের করে দিয়েছি, "আমি আর ফিরে পাব না" আমি ভাবলাম, এখন আমি বুঝতে পারছি যে সম্ভবত আমার জীবন আবার নিয়ন্ত্রণের বাইরে চলে যাওয়ার জন্য অনুঘটক ছিল। মূলত: আমি আবার সেই তৃষ্ণা অনুভব করছি এবং আরও খারাপ আমি আবার মেথ চাইতে শুরু করছি, আমি এতটাই তৃষ্ণা অনুভব করছি যে আমি বুঝতে পারছি না কী হচ্ছে। ২০২১ সালের সেপ্টেম্বরে আমি কোনও সহায়তা বা অন্য কিছু ছাড়াই চাকরি ছেড়ে দিয়েছি।</v>
      </c>
    </row>
    <row r="478" spans="1:3" ht="15" x14ac:dyDescent="0.25">
      <c r="A478" s="3" t="s">
        <v>479</v>
      </c>
      <c r="B478" s="3" t="s">
        <v>4</v>
      </c>
      <c r="C478" s="4" t="str">
        <f ca="1">IFERROR(__xludf.DUMMYFUNCTION("GOOGLETRANSLATE(A478, ""auto"", ""bn"")"),"২৫ দিন ধরে আমি সুস্থ, কিন্তু আজ সত্যিই কষ্ট পাচ্ছি, আজ রাতে আমার একঘেয়েমি এবং অস্থির লাগছে, যার ফলে ব্যথার ওষুধ খেয়ে আরাম করতে ইচ্ছে করছে। এখন এটাও খুব একটা বড় ব্যাপার বলে মনে হচ্ছে না, তবে আমি জানি আমি সত্যিই ভালো আছি। এই একঘেয়েমিপূর্ণ অস্থিরতা কাটিয"&amp;"়ে ওঠার জন্য কারো কোন পরামর্শ আছে? আমি আমার সঙ্গীর সাথে গেমিং, পড়া এবং শো দেখার চেষ্টা করেছি, কিন্তু অনুভূতি এখনও তাদের মতোই।")</f>
        <v>২৫ দিন ধরে আমি সুস্থ, কিন্তু আজ সত্যিই কষ্ট পাচ্ছি, আজ রাতে আমার একঘেয়েমি এবং অস্থির লাগছে, যার ফলে ব্যথার ওষুধ খেয়ে আরাম করতে ইচ্ছে করছে। এখন এটাও খুব একটা বড় ব্যাপার বলে মনে হচ্ছে না, তবে আমি জানি আমি সত্যিই ভালো আছি। এই একঘেয়েমিপূর্ণ অস্থিরতা কাটিয়ে ওঠার জন্য কারো কোন পরামর্শ আছে? আমি আমার সঙ্গীর সাথে গেমিং, পড়া এবং শো দেখার চেষ্টা করেছি, কিন্তু অনুভূতি এখনও তাদের মতোই।</v>
      </c>
    </row>
    <row r="479" spans="1:3" ht="15" x14ac:dyDescent="0.25">
      <c r="A479" s="3" t="s">
        <v>480</v>
      </c>
      <c r="B479" s="3" t="s">
        <v>4</v>
      </c>
      <c r="C479" s="4" t="str">
        <f ca="1">IFERROR(__xludf.DUMMYFUNCTION("GOOGLETRANSLATE(A479, ""auto"", ""bn"")"),"ব্ল্যাকআউটের কারণে বন্ধুত্ব নষ্ট হয়? আমি ব্ল্যাকআউট হয়ে গিয়েছিলাম এবং আমার বন্ধুকে লাইনের উপর কিছু অশ্লীল বার্তা পাঠিয়েছিলাম - এবং এখন আমরা কথা বলছি না। তারা জায়গা চেয়েছিল বলে আমি সত্যিই ক্ষমা চাইতে পারছি না। এটি সত্যিই বিরক্তিকর এবং গত তিন দিন ধরে "&amp;"আমি মদ্যপান বন্ধ করে দিয়েছি - সম্ভবত এটিই আমাকে স্থায়ীভাবে মদ্যপান ছেড়ে দেওয়ার কারণ হতে পারে। শুধু ভাবছি যে অন্য কেউ কি একই রকম কিছুর মধ্য দিয়ে গেছে?")</f>
        <v>ব্ল্যাকআউটের কারণে বন্ধুত্ব নষ্ট হয়? আমি ব্ল্যাকআউট হয়ে গিয়েছিলাম এবং আমার বন্ধুকে লাইনের উপর কিছু অশ্লীল বার্তা পাঠিয়েছিলাম - এবং এখন আমরা কথা বলছি না। তারা জায়গা চেয়েছিল বলে আমি সত্যিই ক্ষমা চাইতে পারছি না। এটি সত্যিই বিরক্তিকর এবং গত তিন দিন ধরে আমি মদ্যপান বন্ধ করে দিয়েছি - সম্ভবত এটিই আমাকে স্থায়ীভাবে মদ্যপান ছেড়ে দেওয়ার কারণ হতে পারে। শুধু ভাবছি যে অন্য কেউ কি একই রকম কিছুর মধ্য দিয়ে গেছে?</v>
      </c>
    </row>
    <row r="480" spans="1:3" ht="15" x14ac:dyDescent="0.25">
      <c r="A480" s="3" t="s">
        <v>481</v>
      </c>
      <c r="B480" s="3" t="s">
        <v>4</v>
      </c>
      <c r="C480" s="4" t="str">
        <f ca="1">IFERROR(__xludf.DUMMYFUNCTION("GOOGLETRANSLATE(A480, ""auto"", ""bn"")"),"আসক্তিকর আচরণ খারাপ অভ্যাস আমার মনে হয় আমার হয়তো পর্নোগ্রাফিক আসক্তি আছে। এতটাই যে আমার মনে হয় এটা দেখা উচিত এবং এটা দেখা উচিত এবং মাঝে মাঝে সারাদিন ধরে আমার মধ্যে অনধিকারমূলক চিন্তাভাবনা কাজ করে। আমি বেশ কিছুদিন ধরে এটা দেখিনি, তবে আমি লক্ষ্য করেছি যে"&amp;" আমি সবকিছুকে টিভির লোকেদের, ভিডিও গেমের লোকেদের কাছে যৌনতাপূর্ণ করে তুলি, এবং দুর্ভাগ্যবশত আমার মনে হয় আমি আবারও এতে জড়িয়ে পড়তে পারি এবং আমি ভয় পাই কারণ আমার একজন সঙ্গী আছে, এবং তারা সত্যিই এই আচরণ পছন্দ করে না এবং যদি আমি আবার আসক্ত হই তবে তারা আমা"&amp;"কে ছেড়ে চলে যাবে। আমি ভয় পাই, এবং আমি থামতে চাই এবং আবেগ উপেক্ষা করে আরাম করতে চাই। কেউ কি এর সাথে মোকাবিলা করেছেন? দয়া করে সাহায্য করুন?")</f>
        <v>আসক্তিকর আচরণ খারাপ অভ্যাস আমার মনে হয় আমার হয়তো পর্নোগ্রাফিক আসক্তি আছে। এতটাই যে আমার মনে হয় এটা দেখা উচিত এবং এটা দেখা উচিত এবং মাঝে মাঝে সারাদিন ধরে আমার মধ্যে অনধিকারমূলক চিন্তাভাবনা কাজ করে। আমি বেশ কিছুদিন ধরে এটা দেখিনি, তবে আমি লক্ষ্য করেছি যে আমি সবকিছুকে টিভির লোকেদের, ভিডিও গেমের লোকেদের কাছে যৌনতাপূর্ণ করে তুলি, এবং দুর্ভাগ্যবশত আমার মনে হয় আমি আবারও এতে জড়িয়ে পড়তে পারি এবং আমি ভয় পাই কারণ আমার একজন সঙ্গী আছে, এবং তারা সত্যিই এই আচরণ পছন্দ করে না এবং যদি আমি আবার আসক্ত হই তবে তারা আমাকে ছেড়ে চলে যাবে। আমি ভয় পাই, এবং আমি থামতে চাই এবং আবেগ উপেক্ষা করে আরাম করতে চাই। কেউ কি এর সাথে মোকাবিলা করেছেন? দয়া করে সাহায্য করুন?</v>
      </c>
    </row>
    <row r="481" spans="1:3" ht="15" x14ac:dyDescent="0.25">
      <c r="A481" s="3" t="s">
        <v>482</v>
      </c>
      <c r="B481" s="3" t="s">
        <v>4</v>
      </c>
      <c r="C481" s="4" t="str">
        <f ca="1">IFERROR(__xludf.DUMMYFUNCTION("GOOGLETRANSLATE(A481, ""auto"", ""bn"")"),"এই অসাধারণ মানুষটির সাথে আমার অনলাইনে দেখা হয়েছিল, আর আমরা শুরুতে সপ্তাহে কয়েকবার আড্ডা দিতে শুরু করেছিলাম, শুরুতে সপ্তাহে প্রায় ৩-৪বার। সে বলতে শুরু করে যে সে আমাকে কতটা মিস করে এবং আমি কতটা নিখুঁত, সে আমার যোগ্য নয়। এটা ২-৩ সপ্তাহের মতো। আমরা প্রায় এক"&amp;" মাস ধরে প্রেমে পড়ি। এখন সে সবসময় আমার সাথেই থাকে কারণ সে ""জায়গা খুঁজছে?"", আমি ঠিক ছিলাম কারণ আমি তার সঙ্গ উপভোগ করেছি। তারপর ৩-৪ সপ্তাহ। সে আমার কাছে ১২০ ডলার চেয়েছিল এবং কেন তার জন্য দীর্ঘ ব্যাখ্যা চেয়েছিল। আমি ভেবেছিলাম সে ইতিমধ্যেই আমাকে অনেকবার"&amp;" বাইরে নিয়ে গেছে (১-২ সপ্তাহ) তাই আমি টাকা পাঠিয়ে দিয়েছি। সে বলেছিল যে সে আগামীকাল কাজের আগে টাকা ফেরত দেবে। সে কখনও করেনি। আমি এক সপ্তাহের জন্য ছুটিতে যাই। আমরা কিছু টেক্সট করি, কিন্তু আমি যাওয়ার আগে সে বেশ কয়েকটি মেসেজ লিখেছিল যে আমি কতটা অসাধারণ (আ"&amp;"মরা একে অপরকে তেমন ভালোভাবে চিনি না, তাই আমি কিছুটা পছন্দ করতাম, কিন্তু ফ্লার্ট করে উত্তর দিত।) আমি ফিরে আসার পর। সে আসে আমরা আড্ডা দেই, আরাম করি, সেক্স করি। সারা রাত সে খুব একটা ঘুমায় না। সারা রাত ধরে বাথরুমে যাওয়ার জন্য বারবার ঘুম থেকে উঠত। আমি কখনো তাক"&amp;"ে প্রস্রাব করতে শুনিনি, শুধু টয়লেট ফ্লাশ করতে (কিন্তু হয়তো আমি শুনতেই পাইনি।) একদিন রাতে সে প্রায় ১৫ বার উঠেছিল। সত্যি বলতে। আমি ভাবছিলাম তোমার শরীরে তরল পদার্থ কীভাবে আছে? (পার্শ্ব দ্রষ্টব্য। ওষুধ সম্পর্কে আমার কোনও ধারণা নেই।) কয়েকদিন পর সে আমাকে ৪০ ডল"&amp;"ারের প্রয়োজন বলে আরেকটি টেক্সট পাঠায়। আমার বোকা লোকটি তাকে পাঠায়। প্রশ্নই ওঠে না। আরেক সপ্তাহ পর সে আরও ৪০ ডলার চায়। এবার আমি রেগে যাই এবং তার উপর রাগ করি। সে আমাকে আগে কখনো টাকা দেয়নি এবং আমি খুব বিভ্রান্ত কারণ তার চাকরি আছে (আচ্ছা, সে তাই বলেছিল।) আমরা"&amp;" পরের সপ্তাহেই ফাঁসি দেই। সংক্ষেপে, এই সব দেখে আমার অদ্ভুত লাগতে শুরু করে এবং আমি অনলাইনে তার রেকর্ড দেখি। জানতে পারি যে তার বিরুদ্ধে আরও কিছু অপরাধ এবং মাদকের অভিযোগ রয়েছে (১০টি জিনিসপত্র) - মাদকের সামগ্রিক মালিকানা - চিকিৎসা স্থগিত। আমরা কথা বলা বন্ধ ক"&amp;"রার আগে সে আমাকে তার মাকে হাসপাতালে নিয়ে যাওয়া এবং জরুরি অস্ত্রোপচারের প্রয়োজনের গল্প বলেছিল। এই কারণেই সে আমাকে সাহায্য করেছিল। পরে আমি জানতে পারি সে মেক্সিকোতে ছুটি কাটাতে ঠিক আছে। গত সপ্তাহ থেকে আমি তাকে দেখিনি, এবং সে হঠাৎ করেই আমার সাথে কথা বলা বন"&amp;"্ধ করে দিয়েছে (ঈশ্বরের ধন্যবাদ) কিন্তু আমি খুব বিভ্রান্ত। আমি তাকে কিছু জিজ্ঞাসা করতেও পারিনি। সে আমার কাছ থেকে যা পেরেছিল তা পেয়েছে এবং এখন আমি ভাবছি, বাহ। সে আমাকে বুঝতে পেরেছে। যৌনতা দুর্দান্ত ছিল, এটাই এর একমাত্র ভালো দিক। আমি মনে করি আমি কেবল অন্তর"&amp;"্দৃষ্টি খুঁজছি অথবা কেউ যদি এই ধরণের কিছুর মুখোমুখি হয়ে থাকে।")</f>
        <v>এই অসাধারণ মানুষটির সাথে আমার অনলাইনে দেখা হয়েছিল, আর আমরা শুরুতে সপ্তাহে কয়েকবার আড্ডা দিতে শুরু করেছিলাম, শুরুতে সপ্তাহে প্রায় ৩-৪বার। সে বলতে শুরু করে যে সে আমাকে কতটা মিস করে এবং আমি কতটা নিখুঁত, সে আমার যোগ্য নয়। এটা ২-৩ সপ্তাহের মতো। আমরা প্রায় এক মাস ধরে প্রেমে পড়ি। এখন সে সবসময় আমার সাথেই থাকে কারণ সে "জায়গা খুঁজছে?", আমি ঠিক ছিলাম কারণ আমি তার সঙ্গ উপভোগ করেছি। তারপর ৩-৪ সপ্তাহ। সে আমার কাছে ১২০ ডলার চেয়েছিল এবং কেন তার জন্য দীর্ঘ ব্যাখ্যা চেয়েছিল। আমি ভেবেছিলাম সে ইতিমধ্যেই আমাকে অনেকবার বাইরে নিয়ে গেছে (১-২ সপ্তাহ) তাই আমি টাকা পাঠিয়ে দিয়েছি। সে বলেছিল যে সে আগামীকাল কাজের আগে টাকা ফেরত দেবে। সে কখনও করেনি। আমি এক সপ্তাহের জন্য ছুটিতে যাই। আমরা কিছু টেক্সট করি, কিন্তু আমি যাওয়ার আগে সে বেশ কয়েকটি মেসেজ লিখেছিল যে আমি কতটা অসাধারণ (আমরা একে অপরকে তেমন ভালোভাবে চিনি না, তাই আমি কিছুটা পছন্দ করতাম, কিন্তু ফ্লার্ট করে উত্তর দিত।) আমি ফিরে আসার পর। সে আসে আমরা আড্ডা দেই, আরাম করি, সেক্স করি। সারা রাত সে খুব একটা ঘুমায় না। সারা রাত ধরে বাথরুমে যাওয়ার জন্য বারবার ঘুম থেকে উঠত। আমি কখনো তাকে প্রস্রাব করতে শুনিনি, শুধু টয়লেট ফ্লাশ করতে (কিন্তু হয়তো আমি শুনতেই পাইনি।) একদিন রাতে সে প্রায় ১৫ বার উঠেছিল। সত্যি বলতে। আমি ভাবছিলাম তোমার শরীরে তরল পদার্থ কীভাবে আছে? (পার্শ্ব দ্রষ্টব্য। ওষুধ সম্পর্কে আমার কোনও ধারণা নেই।) কয়েকদিন পর সে আমাকে ৪০ ডলারের প্রয়োজন বলে আরেকটি টেক্সট পাঠায়। আমার বোকা লোকটি তাকে পাঠায়। প্রশ্নই ওঠে না। আরেক সপ্তাহ পর সে আরও ৪০ ডলার চায়। এবার আমি রেগে যাই এবং তার উপর রাগ করি। সে আমাকে আগে কখনো টাকা দেয়নি এবং আমি খুব বিভ্রান্ত কারণ তার চাকরি আছে (আচ্ছা, সে তাই বলেছিল।) আমরা পরের সপ্তাহেই ফাঁসি দেই। সংক্ষেপে, এই সব দেখে আমার অদ্ভুত লাগতে শুরু করে এবং আমি অনলাইনে তার রেকর্ড দেখি। জানতে পারি যে তার বিরুদ্ধে আরও কিছু অপরাধ এবং মাদকের অভিযোগ রয়েছে (১০টি জিনিসপত্র) - মাদকের সামগ্রিক মালিকানা - চিকিৎসা স্থগিত। আমরা কথা বলা বন্ধ করার আগে সে আমাকে তার মাকে হাসপাতালে নিয়ে যাওয়া এবং জরুরি অস্ত্রোপচারের প্রয়োজনের গল্প বলেছিল। এই কারণেই সে আমাকে সাহায্য করেছিল। পরে আমি জানতে পারি সে মেক্সিকোতে ছুটি কাটাতে ঠিক আছে। গত সপ্তাহ থেকে আমি তাকে দেখিনি, এবং সে হঠাৎ করেই আমার সাথে কথা বলা বন্ধ করে দিয়েছে (ঈশ্বরের ধন্যবাদ) কিন্তু আমি খুব বিভ্রান্ত। আমি তাকে কিছু জিজ্ঞাসা করতেও পারিনি। সে আমার কাছ থেকে যা পেরেছিল তা পেয়েছে এবং এখন আমি ভাবছি, বাহ। সে আমাকে বুঝতে পেরেছে। যৌনতা দুর্দান্ত ছিল, এটাই এর একমাত্র ভালো দিক। আমি মনে করি আমি কেবল অন্তর্দৃষ্টি খুঁজছি অথবা কেউ যদি এই ধরণের কিছুর মুখোমুখি হয়ে থাকে।</v>
      </c>
    </row>
    <row r="482" spans="1:3" ht="15" x14ac:dyDescent="0.25">
      <c r="A482" s="3" t="s">
        <v>483</v>
      </c>
      <c r="B482" s="3" t="s">
        <v>4</v>
      </c>
      <c r="C482" s="4" t="str">
        <f ca="1">IFERROR(__xludf.DUMMYFUNCTION("GOOGLETRANSLATE(A482, ""auto"", ""bn"")"),"বাহ! আজ ২৫ দিন পরিষ্কার। গত প্রায় ৫ বছর ধরে আমি ধীরে ধীরে আসক্তির ক্রমবর্ধমান রোগটির উপর আমার ধারণা হারাতে শুরু করেছি। আমাকে একটি অবিশ্বাস্য উপহার দেওয়া হয়েছে, জীবনের শর্তে জীবনযাপন করার আরেকটি সুযোগ। তদুপরি, আমি এতটাই তলানিতে পৌঁছে গেছি যে। কোনওভাবে আ"&amp;"মার কাছে যথেষ্ট আত্ম-সচেতনতা ছিল যে আমি আরও কতটা পড়ে যেতে হবে তা বুঝতে পারতাম এবং বুঝতে পারতাম যে এটি থামার সময়। আমি LDS (মরমন) হয়ে বড় হয়েছি, এবং আমি সত্যিই কঠোরভাবে দূরে ঠেলে দিয়েছিলাম। সংগঠিত ধর্ম আমার জন্য নয়, আমার জীবনের বেশিরভাগ সময় কোনও উচ্চ"&amp;"তর শক্তি ছিল না। আমি অনেক দিন ধরে থামতে চেয়েছিলাম, আমি জানতাম যে আমার একটি সমস্যা ছিল। আমি NA চেষ্টা করেছি এবং আমার এই বাধাগুলি ছিল যা আমি সনাক্ত করতে পারতাম, কিন্তু অতিক্রম করতে পারিনি। তদুপরি, আমি একজন স্পনসর পেয়েছিলাম, আমি সত্যিই চেষ্টা করেছি, কিন্তু"&amp;" আমি এক সপ্তাহের বেশি পরিষ্কার থাকতে পারিনি। আত্মসমর্পণ আমার জন্য এত কঠিন ছিল; আমি বুঝতে পারছিলাম না যে কীভাবে একজন দানশীল উচ্চতর শক্তি আছে তা মেনে নেব। আমি হাল ছেড়ে দিয়েছিলাম, আমি সিদ্ধান্ত নিয়েছিলাম যে আমি কেবল একজন ভাল আসক্ত হতে পারব। স্বাভাবিকভাবেই"&amp;" অবস্থা আরও খারাপ হয়ে গেল। আমি অতিরিক্ত মাত্রায় নেওয়ায়, মারা যাওয়া উচিত ছিল। আমার ভাগ্য ভালো। আমার মা কোনও কারণে ধারণা করেছিলেন, পুলিশ আমার অ্যাপার্টমেন্টে কল্যাণ পরীক্ষার জন্য এসেছিল। আমি এখনও তাদের ভেতরে ঢুকতে দেওয়ার মতো যথেষ্ট ছিলাম না। আমার কাছে আলা"&amp;"দা ব্যাগে প্রায় এক আউন্স মেথ ছিল, ফেন্টানাইল, একটি স্কেল, বেজোস, একগুচ্ছ THC কার্ট। তাছাড়া, আমি বিক্রি করছিলাম না, তবে দেখতে ঠিক যেন ঠিক ছিল। আমি সহযোগিতা করার কারণে তারা আমার কাছ থেকে কোনও চার্জ নেয়নি, আমাকে জরুরি বিভাগে নিয়ে যায়। শেষ পর্যন্ত BHU-তে "&amp;"পৌঁছালে তারা ধরে নেয় যে এটি আত্মহত্যার চেষ্টা। আমি মনে করি না যে আমি কখনই সেই মুহূর্তটি ভুলতে পারব যখন অবশেষে সবকিছু আমার জন্য ক্লিক করে। আমি সেখানকার থেরাপিস্টকে কারসাজি করার চেষ্টা শুরু করার জন্য প্রস্তুত হচ্ছিলাম যাতে আমি যত তাড়াতাড়ি সম্ভব বেরিয়ে আ"&amp;"সতে পারি এবং আমার কাজটি আবার শুরু করতে পারি। কিন্তু কোনও কারণে আমি এক ধাপ পিছিয়ে যাওয়ার সিদ্ধান্ত নিলাম এবং কেবল আমার জীবনের দিকে তাকালাম। আমি এত দিন ধরেই দুর্দশাগ্রস্ত ছিলাম। এটি 4টি ওভারডোজের মধ্যে একটি, যার মধ্যে 3টি গত বছরে ঘটেছে। আমি মারা যাব। আমি "&amp;"কি সত্যিই মরতে চাই? আমি কি সত্যিই মরতে চাই? আমি এখানেই যাচ্ছি, আমি ভাগ্যবান হতে পারি অনেকবার। আমার স্কুলে স্কলারশিপ ছিল, ৫ বছরের বান্ধবী ছিল, একটা সুন্দর অ্যাপার্টমেন্ট ছিল, একটা ভালো চাকরি ছিল। সব হারিয়েছি। আর অবশেষে আমি আত্মসমর্পণ করেছি। আমি এখনও ঈশ্বর"&amp;"ে বিশ্বাস করি না, কিন্তু এখন আমি আমার মস্তিষ্কের সুইচটি ঘুরিয়ে দিতে পারি যা উচ্চতর শক্তির অস্তিত্বকে অস্বীকার করে। NA সবেমাত্র আমার জন্য কাজ শুরু করেছে। পরের সপ্তাহ আমি আমার অ্যাপার্টমেন্ট পরিষ্কার করতে কাটিয়েছি, কাপড় দিয়ে একটি স্যুটকেস গুছিয়ে নিয়ে "&amp;"অন্য রাজ্যে চলে এসেছি। আমি ১০ দিনের মধ্যে একটি পুনর্বাসন কেন্দ্রে যাচ্ছি। তাছাড়া, অবশেষে আমি এটা বুঝতে পেরেছি, এবং যারা আমাকে এখানে এনেছে তাদের কাছে আমি কৃতজ্ঞ। তাছাড়া, যা ঘটেছিল তার একটিও পরিবর্তন করব না। তাছাড়া, আমি আমার বাকি জীবনের জন্য সেই অভিজ্ঞতাগুল"&amp;"ি কাজে লাগাতে পারি। আমার বাবা-মা, আমার বান্ধবী যিনি আমাকে সক্ষম করেছিলেন, আমার ব্যবহারকারী বন্ধুরা, আমার ব্যবসায়ীরা, আমার ব্যবসায়ীরা; যাত্রার জন্য ধন্যবাদ। ব্যক্তিত্ব পরিবর্তনের সময় এসেছে।")</f>
        <v>বাহ! আজ ২৫ দিন পরিষ্কার। গত প্রায় ৫ বছর ধরে আমি ধীরে ধীরে আসক্তির ক্রমবর্ধমান রোগটির উপর আমার ধারণা হারাতে শুরু করেছি। আমাকে একটি অবিশ্বাস্য উপহার দেওয়া হয়েছে, জীবনের শর্তে জীবনযাপন করার আরেকটি সুযোগ। তদুপরি, আমি এতটাই তলানিতে পৌঁছে গেছি যে। কোনওভাবে আমার কাছে যথেষ্ট আত্ম-সচেতনতা ছিল যে আমি আরও কতটা পড়ে যেতে হবে তা বুঝতে পারতাম এবং বুঝতে পারতাম যে এটি থামার সময়। আমি LDS (মরমন) হয়ে বড় হয়েছি, এবং আমি সত্যিই কঠোরভাবে দূরে ঠেলে দিয়েছিলাম। সংগঠিত ধর্ম আমার জন্য নয়, আমার জীবনের বেশিরভাগ সময় কোনও উচ্চতর শক্তি ছিল না। আমি অনেক দিন ধরে থামতে চেয়েছিলাম, আমি জানতাম যে আমার একটি সমস্যা ছিল। আমি NA চেষ্টা করেছি এবং আমার এই বাধাগুলি ছিল যা আমি সনাক্ত করতে পারতাম, কিন্তু অতিক্রম করতে পারিনি। তদুপরি, আমি একজন স্পনসর পেয়েছিলাম, আমি সত্যিই চেষ্টা করেছি, কিন্তু আমি এক সপ্তাহের বেশি পরিষ্কার থাকতে পারিনি। আত্মসমর্পণ আমার জন্য এত কঠিন ছিল; আমি বুঝতে পারছিলাম না যে কীভাবে একজন দানশীল উচ্চতর শক্তি আছে তা মেনে নেব। আমি হাল ছেড়ে দিয়েছিলাম, আমি সিদ্ধান্ত নিয়েছিলাম যে আমি কেবল একজন ভাল আসক্ত হতে পারব। স্বাভাবিকভাবেই অবস্থা আরও খারাপ হয়ে গেল। আমি অতিরিক্ত মাত্রায় নেওয়ায়, মারা যাওয়া উচিত ছিল। আমার ভাগ্য ভালো। আমার মা কোনও কারণে ধারণা করেছিলেন, পুলিশ আমার অ্যাপার্টমেন্টে কল্যাণ পরীক্ষার জন্য এসেছিল। আমি এখনও তাদের ভেতরে ঢুকতে দেওয়ার মতো যথেষ্ট ছিলাম না। আমার কাছে আলাদা ব্যাগে প্রায় এক আউন্স মেথ ছিল, ফেন্টানাইল, একটি স্কেল, বেজোস, একগুচ্ছ THC কার্ট। তাছাড়া, আমি বিক্রি করছিলাম না, তবে দেখতে ঠিক যেন ঠিক ছিল। আমি সহযোগিতা করার কারণে তারা আমার কাছ থেকে কোনও চার্জ নেয়নি, আমাকে জরুরি বিভাগে নিয়ে যায়। শেষ পর্যন্ত BHU-তে পৌঁছালে তারা ধরে নেয় যে এটি আত্মহত্যার চেষ্টা। আমি মনে করি না যে আমি কখনই সেই মুহূর্তটি ভুলতে পারব যখন অবশেষে সবকিছু আমার জন্য ক্লিক করে। আমি সেখানকার থেরাপিস্টকে কারসাজি করার চেষ্টা শুরু করার জন্য প্রস্তুত হচ্ছিলাম যাতে আমি যত তাড়াতাড়ি সম্ভব বেরিয়ে আসতে পারি এবং আমার কাজটি আবার শুরু করতে পারি। কিন্তু কোনও কারণে আমি এক ধাপ পিছিয়ে যাওয়ার সিদ্ধান্ত নিলাম এবং কেবল আমার জীবনের দিকে তাকালাম। আমি এত দিন ধরেই দুর্দশাগ্রস্ত ছিলাম। এটি 4টি ওভারডোজের মধ্যে একটি, যার মধ্যে 3টি গত বছরে ঘটেছে। আমি মারা যাব। আমি কি সত্যিই মরতে চাই? আমি কি সত্যিই মরতে চাই? আমি এখানেই যাচ্ছি, আমি ভাগ্যবান হতে পারি অনেকবার। আমার স্কুলে স্কলারশিপ ছিল, ৫ বছরের বান্ধবী ছিল, একটা সুন্দর অ্যাপার্টমেন্ট ছিল, একটা ভালো চাকরি ছিল। সব হারিয়েছি। আর অবশেষে আমি আত্মসমর্পণ করেছি। আমি এখনও ঈশ্বরে বিশ্বাস করি না, কিন্তু এখন আমি আমার মস্তিষ্কের সুইচটি ঘুরিয়ে দিতে পারি যা উচ্চতর শক্তির অস্তিত্বকে অস্বীকার করে। NA সবেমাত্র আমার জন্য কাজ শুরু করেছে। পরের সপ্তাহ আমি আমার অ্যাপার্টমেন্ট পরিষ্কার করতে কাটিয়েছি, কাপড় দিয়ে একটি স্যুটকেস গুছিয়ে নিয়ে অন্য রাজ্যে চলে এসেছি। আমি ১০ দিনের মধ্যে একটি পুনর্বাসন কেন্দ্রে যাচ্ছি। তাছাড়া, অবশেষে আমি এটা বুঝতে পেরেছি, এবং যারা আমাকে এখানে এনেছে তাদের কাছে আমি কৃতজ্ঞ। তাছাড়া, যা ঘটেছিল তার একটিও পরিবর্তন করব না। তাছাড়া, আমি আমার বাকি জীবনের জন্য সেই অভিজ্ঞতাগুলি কাজে লাগাতে পারি। আমার বাবা-মা, আমার বান্ধবী যিনি আমাকে সক্ষম করেছিলেন, আমার ব্যবহারকারী বন্ধুরা, আমার ব্যবসায়ীরা, আমার ব্যবসায়ীরা; যাত্রার জন্য ধন্যবাদ। ব্যক্তিত্ব পরিবর্তনের সময় এসেছে।</v>
      </c>
    </row>
    <row r="483" spans="1:3" ht="15" x14ac:dyDescent="0.25">
      <c r="A483" s="3" t="s">
        <v>484</v>
      </c>
      <c r="B483" s="3" t="s">
        <v>4</v>
      </c>
      <c r="C483" s="4" t="str">
        <f ca="1">IFERROR(__xludf.DUMMYFUNCTION("GOOGLETRANSLATE(A483, ""auto"", ""bn"")"),"এই তো, এটা আমার এখানে প্রথম পোস্ট এবং আমি এমন একটা পরিস্থিতি নিয়ে কথা বলবো যেখানে আমার থাকা উচিত নয়, কিন্তু আমি এমন একটা পরিস্থিতির সম্মুখীন হচ্ছি কারণ আমাকে জোর করে এটা করতে বাধ্য করা হয়েছিল। কয়েক সপ্তাহ আগে আমি একটা মেয়ের সাথে ছবি তুলেছিলাম যার নাম"&amp;" আমি অলিভিয়া। অলিভিয়া আমাকে বলেছে যে এটা করার জন্য সে আমার খুব খারাপ বন্ধু কিন্তু সে হাইড্রোসে মুক্তি পেয়েছে কিন্তু নিশ্চিত করে যে আমি জানি যে সে আর এটা করবে না, তাই আমি ঠিক আছি এটা খুব খারাপ কিছু নয় আমি কাউকে বলব না। এক সপ্তাহ পরে সে আমাকে বলেছে যে স"&amp;"ে টানা এক সপ্তাহ ধরে এগুলো করছে। এটা অবশ্যই আমাকে ভয় দেখায় এবং আমাকে সত্যিই নার্ভাস এবং উদ্বিগ্ন করে তোলে তাই 30 মিনিট পর অবশেষে আমি তাকে রাজি করিয়ে তার প্রেমিককে মার্ক বলে ডাকতে বলি। কিন্তু সে মার্ককে সত্য বলেনি, সে কেবল তাকে বলেছিল যে সে এগুলো করার ক"&amp;"থা ভাবছে। এটা মার্ককে খুব বিরক্ত করে যে সে তাকে মিথ্যা বলেছে কিন্তু এতটা বিরক্ত করেনি যে এই সপ্তাহান্তে তাকে দেখতে 2 ঘন্টার ড্রাইভে যেতে পারেনি। মার্ক আমার রুমমেটদের একজন। আমরা এক রাত মদ্যপান করার পর মার্ক ভেঙে পড়ে এবং কী করতে হবে তা জানে না। তাই আমার মা"&amp;"তাল গাধা তাকে বলে, ""আমি আশ্চর্যজনকভাবে এটা নিয়ে কথা বলি এবং তার কী বলা উচিত এবং কী করা উচিত তা সামনে এসে বলে। সে যখন মাতাল ছিল তখন সে আমাকে বলে যে সে তার বাবার সাথে দেখা করার ব্যবস্থা করবে, তাই আমি মনে করি সমস্যা সমাধান হয়ে গেছে। তার বাবা-মা এটা সম্পর্"&amp;"কে জানতে পারবে। পরের দিন আমি ভাবছি তুমি কি তার বাবাকে বলেছ? মার্ক মনে করছে না তার বাবা বুনে ২ ঘন্টা দূরে থাকবে, এবং আমি তাকে ফোনে বলতে চাই না। তাই আমি বুনে গাড়ি চালিয়ে যাচ্ছি এবং তাকে বলছি কারণ যত তাড়াতাড়ি, তত ভাল। এবং সে মনে করছে না। তাই আমার অন্য রু"&amp;"মমেট জন এখন শার্লটে ফিরে এসেছে, এবং আমি চাই তুমি জনকে তার বাবাকে বলতে দাও যে সে বলে না, আমি অসুস্থ। এক সপ্তাহের মধ্যে ফোর্ট মিলে ফিরে আসব। আমি তাকে বলব সে বলে না। এই সব চলার সময় সে হাইড্রোস এবং শিট সম্পর্কে পোস্ট করছে এবং এটা আমাকে ভয় পাচ্ছে যেন সে মারা"&amp;" যাচ্ছে। তাই আজ রাতে আমি তাকে বললাম যে, যদি সে না বলে, তাহলে আমি দুই সপ্তাহের মধ্যে তার বাবা-মাকে বলব এবং তারপর আমার উপর রাগ করে আমাকে গাধা বলে ডাকে, তোমাকে চুদো এবং তার অনুমতি ছাড়া আমি তার বাবা-মাকে এটা বলার কথা ভেবে সে রেগে যায়। কিন্তু আমি জানি যে সে "&amp;"তার বাবা-মাকে মাদক এবং অ্যালকোহল অপব্যবহার সম্পর্কে কিছুই বলবে না কারণ সে মাদক সমস্যা মোকাবেলা করার জন্য কোনও ভাল পরিকল্পনা করার জন্য এটি সম্পর্কে চিন্তা না করার জন্য খুব বেশি মনোযোগী। তাই আমি মনে করি যদি কিছু না ঘটে, এবং কেবল আমরাই জানি যে সে হয় মারা যা"&amp;"বে অথবা আত্মহত্যা করবে এবং আমি নিজের সাথে থাকতে পারব না জেনে যে এটি প্রতিরোধযোগ্য। তাই রেডিটের লোকেরা, আমার কি শেষ পর্যন্ত এটি বন্ধ করে দেওয়া উচিত এবং তার বাবা-মাকে বলা উচিত, অথবা কেবল নিরপেক্ষ থাকা উচিত এবং কিছু না করা উচিত।")</f>
        <v>এই তো, এটা আমার এখানে প্রথম পোস্ট এবং আমি এমন একটা পরিস্থিতি নিয়ে কথা বলবো যেখানে আমার থাকা উচিত নয়, কিন্তু আমি এমন একটা পরিস্থিতির সম্মুখীন হচ্ছি কারণ আমাকে জোর করে এটা করতে বাধ্য করা হয়েছিল। কয়েক সপ্তাহ আগে আমি একটা মেয়ের সাথে ছবি তুলেছিলাম যার নাম আমি অলিভিয়া। অলিভিয়া আমাকে বলেছে যে এটা করার জন্য সে আমার খুব খারাপ বন্ধু কিন্তু সে হাইড্রোসে মুক্তি পেয়েছে কিন্তু নিশ্চিত করে যে আমি জানি যে সে আর এটা করবে না, তাই আমি ঠিক আছি এটা খুব খারাপ কিছু নয় আমি কাউকে বলব না। এক সপ্তাহ পরে সে আমাকে বলেছে যে সে টানা এক সপ্তাহ ধরে এগুলো করছে। এটা অবশ্যই আমাকে ভয় দেখায় এবং আমাকে সত্যিই নার্ভাস এবং উদ্বিগ্ন করে তোলে তাই 30 মিনিট পর অবশেষে আমি তাকে রাজি করিয়ে তার প্রেমিককে মার্ক বলে ডাকতে বলি। কিন্তু সে মার্ককে সত্য বলেনি, সে কেবল তাকে বলেছিল যে সে এগুলো করার কথা ভাবছে। এটা মার্ককে খুব বিরক্ত করে যে সে তাকে মিথ্যা বলেছে কিন্তু এতটা বিরক্ত করেনি যে এই সপ্তাহান্তে তাকে দেখতে 2 ঘন্টার ড্রাইভে যেতে পারেনি। মার্ক আমার রুমমেটদের একজন। আমরা এক রাত মদ্যপান করার পর মার্ক ভেঙে পড়ে এবং কী করতে হবে তা জানে না। তাই আমার মাতাল গাধা তাকে বলে, "আমি আশ্চর্যজনকভাবে এটা নিয়ে কথা বলি এবং তার কী বলা উচিত এবং কী করা উচিত তা সামনে এসে বলে। সে যখন মাতাল ছিল তখন সে আমাকে বলে যে সে তার বাবার সাথে দেখা করার ব্যবস্থা করবে, তাই আমি মনে করি সমস্যা সমাধান হয়ে গেছে। তার বাবা-মা এটা সম্পর্কে জানতে পারবে। পরের দিন আমি ভাবছি তুমি কি তার বাবাকে বলেছ? মার্ক মনে করছে না তার বাবা বুনে ২ ঘন্টা দূরে থাকবে, এবং আমি তাকে ফোনে বলতে চাই না। তাই আমি বুনে গাড়ি চালিয়ে যাচ্ছি এবং তাকে বলছি কারণ যত তাড়াতাড়ি, তত ভাল। এবং সে মনে করছে না। তাই আমার অন্য রুমমেট জন এখন শার্লটে ফিরে এসেছে, এবং আমি চাই তুমি জনকে তার বাবাকে বলতে দাও যে সে বলে না, আমি অসুস্থ। এক সপ্তাহের মধ্যে ফোর্ট মিলে ফিরে আসব। আমি তাকে বলব সে বলে না। এই সব চলার সময় সে হাইড্রোস এবং শিট সম্পর্কে পোস্ট করছে এবং এটা আমাকে ভয় পাচ্ছে যেন সে মারা যাচ্ছে। তাই আজ রাতে আমি তাকে বললাম যে, যদি সে না বলে, তাহলে আমি দুই সপ্তাহের মধ্যে তার বাবা-মাকে বলব এবং তারপর আমার উপর রাগ করে আমাকে গাধা বলে ডাকে, তোমাকে চুদো এবং তার অনুমতি ছাড়া আমি তার বাবা-মাকে এটা বলার কথা ভেবে সে রেগে যায়। কিন্তু আমি জানি যে সে তার বাবা-মাকে মাদক এবং অ্যালকোহল অপব্যবহার সম্পর্কে কিছুই বলবে না কারণ সে মাদক সমস্যা মোকাবেলা করার জন্য কোনও ভাল পরিকল্পনা করার জন্য এটি সম্পর্কে চিন্তা না করার জন্য খুব বেশি মনোযোগী। তাই আমি মনে করি যদি কিছু না ঘটে, এবং কেবল আমরাই জানি যে সে হয় মারা যাবে অথবা আত্মহত্যা করবে এবং আমি নিজের সাথে থাকতে পারব না জেনে যে এটি প্রতিরোধযোগ্য। তাই রেডিটের লোকেরা, আমার কি শেষ পর্যন্ত এটি বন্ধ করে দেওয়া উচিত এবং তার বাবা-মাকে বলা উচিত, অথবা কেবল নিরপেক্ষ থাকা উচিত এবং কিছু না করা উচিত।</v>
      </c>
    </row>
    <row r="484" spans="1:3" ht="15" x14ac:dyDescent="0.25">
      <c r="A484" s="3" t="s">
        <v>485</v>
      </c>
      <c r="B484" s="3" t="s">
        <v>4</v>
      </c>
      <c r="C484" s="4" t="str">
        <f ca="1">IFERROR(__xludf.DUMMYFUNCTION("GOOGLETRANSLATE(A484, ""auto"", ""bn"")"),"আমি থামাতে চাই না আমি এই জীবনকে ঘৃণা করি আমার ব্যবহার বেড়ে গেছে আমি ১ বার ভালোই উপভোগ করছিলাম কিন্তু এখন আমি ৫ বার খেয়েছি যখন সে আবার ভদকা পান করছে। Xanax হোক বা যাই হোক আমার কার্যকারিতা কমে যাচ্ছে আমি থামাতে চাই না আমি শুধু সময় নষ্ট করছি আমি মিস করছি "&amp;"আমার স্মৃতিশক্তি কম, দুঃখিত, এটা একটা বকাঝকা, এই জীবনে কোন লাভ নেই। এটা সহজ ছিল এবং এখন আমি বিভ্রান্ত, সবসময় হারিয়ে যাই, আমি কিছুই জানি না। আমার খুব ভালো লাগছে। সব mph চিন্তাভাবনা টাইপ করা কঠিন কিন্তু আমি এটা ঘৃণা করি যেন আমার উপর আক্রমণ করা হয়েছে over"&amp;"cddugsuse কে এটা করে কারণ আমি দুঃখিত এবং এখন আমি আটকে আছি।")</f>
        <v>আমি থামাতে চাই না আমি এই জীবনকে ঘৃণা করি আমার ব্যবহার বেড়ে গেছে আমি ১ বার ভালোই উপভোগ করছিলাম কিন্তু এখন আমি ৫ বার খেয়েছি যখন সে আবার ভদকা পান করছে। Xanax হোক বা যাই হোক আমার কার্যকারিতা কমে যাচ্ছে আমি থামাতে চাই না আমি শুধু সময় নষ্ট করছি আমি মিস করছি আমার স্মৃতিশক্তি কম, দুঃখিত, এটা একটা বকাঝকা, এই জীবনে কোন লাভ নেই। এটা সহজ ছিল এবং এখন আমি বিভ্রান্ত, সবসময় হারিয়ে যাই, আমি কিছুই জানি না। আমার খুব ভালো লাগছে। সব mph চিন্তাভাবনা টাইপ করা কঠিন কিন্তু আমি এটা ঘৃণা করি যেন আমার উপর আক্রমণ করা হয়েছে overcddugsuse কে এটা করে কারণ আমি দুঃখিত এবং এখন আমি আটকে আছি।</v>
      </c>
    </row>
    <row r="485" spans="1:3" ht="15" x14ac:dyDescent="0.25">
      <c r="A485" s="3" t="s">
        <v>486</v>
      </c>
      <c r="B485" s="3" t="s">
        <v>4</v>
      </c>
      <c r="C485" s="4" t="str">
        <f ca="1">IFERROR(__xludf.DUMMYFUNCTION("GOOGLETRANSLATE(A485, ""auto"", ""bn"")"),"রিল্যাপসের ফলে মানসিক চাপ তৈরি হয় আমার উপর কিছুটা প্রভাব: আমি ১৫ বছর বয়স থেকেই উদ্দীপক আসক্ত ছিলাম এবং প্রচুর পরিমাণে সেবন করতাম। আমি এক বছর আগে ছেড়ে দিয়েছিলাম এবং তখন থেকেই আমি শান্ত ছিলাম। আমার স্কিজোএফেক্টিভ ডিসঅর্ডার আছে, যা বাইপোলার এবং সিজোফ্রেন"&amp;"িয়ার মিশ্রণের মতো। এটি প্রচুর সাইকোসিসের কারণ হয়। যৌন নির্যাতনের ফলে আমারও PTSD আছে। প্রায় দুই মাস আগে আমি ভেবেছিলাম যে এটি ক্ষতিকারক হবে না। তারপর আমি আমার পুরানো অভ্যাসে ফিরে যাচ্ছি তা খেয়াল না করেই, আমি প্রতিদিন রাতে ধূমপান করতাম যাতে আমি ভালো বোধ "&amp;"করতে পারি। বাবা-মায়ের সাথে দেখা করার পর আমি বাড়ি ফিরে আমার সঙ্গীর সাথে কিছু গাঁজা ধূমপান করি। এটি পাঁচ ঘন্টা দীর্ঘ সাইকোসিস এবং PTSD ফ্ল্যাশব্যাকের পর্বের সূত্রপাত করে। এটি অত্যন্ত ভয়াবহ ছিল। আমার পুরো শরীর কাঁপছিল, এবং আমি লক্ষ লক্ষ কণ্ঠস্বর শুনতে পাচ"&amp;"্ছিলাম যারা আমাকে হুমকি দিচ্ছে। আমি এখন ভালো আছি, এবং তারপর থেকে আমি আর গাঁজা ধূমপান করিনি। আমি নিজের উপর সত্যিই বিরক্ত এবং পুনরায় আক্রান্ত হওয়ার জন্য দোষী। উদ্দীপক ছেড়ে দেওয়া আমার পক্ষে খুব কঠিন ছিল, এবং এখন আমাকে আবার পুরো প্রক্রিয়াটি অতিক্রম করতে "&amp;"হবে। আমি নিজের উপর সত্যিই বিরক্ত। আর, রোগ নির্ণয়ের সাথে সাথে আমি গাঁজা সেবনের বিপদ সম্পর্কে জানতাম, কিন্তু তবুও আমি বেপরোয়াভাবে তা করে ফেলেছি। আমি লজ্জিত। আমি জানি না কী করব।")</f>
        <v>রিল্যাপসের ফলে মানসিক চাপ তৈরি হয় আমার উপর কিছুটা প্রভাব: আমি ১৫ বছর বয়স থেকেই উদ্দীপক আসক্ত ছিলাম এবং প্রচুর পরিমাণে সেবন করতাম। আমি এক বছর আগে ছেড়ে দিয়েছিলাম এবং তখন থেকেই আমি শান্ত ছিলাম। আমার স্কিজোএফেক্টিভ ডিসঅর্ডার আছে, যা বাইপোলার এবং সিজোফ্রেনিয়ার মিশ্রণের মতো। এটি প্রচুর সাইকোসিসের কারণ হয়। যৌন নির্যাতনের ফলে আমারও PTSD আছে। প্রায় দুই মাস আগে আমি ভেবেছিলাম যে এটি ক্ষতিকারক হবে না। তারপর আমি আমার পুরানো অভ্যাসে ফিরে যাচ্ছি তা খেয়াল না করেই, আমি প্রতিদিন রাতে ধূমপান করতাম যাতে আমি ভালো বোধ করতে পারি। বাবা-মায়ের সাথে দেখা করার পর আমি বাড়ি ফিরে আমার সঙ্গীর সাথে কিছু গাঁজা ধূমপান করি। এটি পাঁচ ঘন্টা দীর্ঘ সাইকোসিস এবং PTSD ফ্ল্যাশব্যাকের পর্বের সূত্রপাত করে। এটি অত্যন্ত ভয়াবহ ছিল। আমার পুরো শরীর কাঁপছিল, এবং আমি লক্ষ লক্ষ কণ্ঠস্বর শুনতে পাচ্ছিলাম যারা আমাকে হুমকি দিচ্ছে। আমি এখন ভালো আছি, এবং তারপর থেকে আমি আর গাঁজা ধূমপান করিনি। আমি নিজের উপর সত্যিই বিরক্ত এবং পুনরায় আক্রান্ত হওয়ার জন্য দোষী। উদ্দীপক ছেড়ে দেওয়া আমার পক্ষে খুব কঠিন ছিল, এবং এখন আমাকে আবার পুরো প্রক্রিয়াটি অতিক্রম করতে হবে। আমি নিজের উপর সত্যিই বিরক্ত। আর, রোগ নির্ণয়ের সাথে সাথে আমি গাঁজা সেবনের বিপদ সম্পর্কে জানতাম, কিন্তু তবুও আমি বেপরোয়াভাবে তা করে ফেলেছি। আমি লজ্জিত। আমি জানি না কী করব।</v>
      </c>
    </row>
    <row r="486" spans="1:3" ht="15" x14ac:dyDescent="0.25">
      <c r="A486" s="3" t="s">
        <v>487</v>
      </c>
      <c r="B486" s="3" t="s">
        <v>4</v>
      </c>
      <c r="C486" s="4" t="str">
        <f ca="1">IFERROR(__xludf.DUMMYFUNCTION("GOOGLETRANSLATE(A486, ""auto"", ""bn"")"),"আমার আঙুলের ডগা থেকে চিন্তাগুলো ঘুরপাক খাচ্ছে, কিন্তু দয়া করে আমার সাথেই থাকুন। ১৫ বছর বয়সে জন্ম নেওয়ার পর দ্রুতগতিতে ১৫ বছর বয়সে আসক্তি শুরু হয়। আমার আসক্তির অনেক উৎস আছে, ১৭ বছর বয়সে আমাকে মেথাডোন এবং বেনজোডিয়াজেপাইন দেওয়া হয়েছিল, পাঁচ বছর ধরে আমি স্বাভ"&amp;"াবিক ছিলাম এবং কিছুটা হলেও একজন স্বাভাবিক মানুষ ছিলাম। ২০১৫ সালে আমার আসক্তি পুরোপুরি ফিরে আসে। আমি আবার কিছু জিনিস ব্যবহার শুরু করি, মাংসের চিকিৎসা ছাড়িয়ে দিয়ে, তারপর থেকে সবকিছু আগের মতো থাকে না। আমি সম্পর্ক ছেড়ে দিয়ে পুরো সময়ের আসক্ত হওয়ার সিদ্ধান্ত ন"&amp;"িই। একাধিক পুনর্বাসন প্রচেষ্টা এবং ব্যর্থ ডিটক্সিক্সের ফলে অবশেষে আমার সংযমের সময়কাল দীর্ঘ হচ্ছে, কিন্তু ব্যবহার কমছে। কিন্তু আজকের সমাজে সবাই এই ধরণের জিনিসগুলিকে অবজ্ঞার চোখে দেখে। দীর্ঘদিন ধরে পুরুষদের উপর আস্থা রাখতে আমার কষ্ট হচ্ছিল, তাই আমি কেবল মহ"&amp;"িলাদের উপরই মনোযোগ দিয়েছি। আমি এমন পুরুষদের সাথে সম্পর্ক তৈরি করতে পেরেছি যাদের উপর আমি বিশ্বাস রাখতে পারি, কিন্তু এখনও আমার মনে হচ্ছে আমি এমন কিছু মিস করছি যেন আমার ভেতরের সন্তান আমাকে হতাশ করছে। আমাকে বলা হয়েছে যে, একই জিনিস দিনে কয়েকবার একই ব্যক্তির"&amp;" কাছে পুনরাবৃত্তি করলেও আমার অনুভূতি প্রকাশ করতে হবে। আর কারো কি এই ধরণের অভিজ্ঞতা আছে, তাড়াতাড়ি সেরে ওঠার সময়? ৩০ দিন, আর আমার ৬০ দিন, ৪ মাস, ৬ মাস, সব ঠিক হয়ে যাবে। এটা লিখে রাখলেই আমি প্রক্রিয়াটা বুঝতে পারব।")</f>
        <v>আমার আঙুলের ডগা থেকে চিন্তাগুলো ঘুরপাক খাচ্ছে, কিন্তু দয়া করে আমার সাথেই থাকুন। ১৫ বছর বয়সে জন্ম নেওয়ার পর দ্রুতগতিতে ১৫ বছর বয়সে আসক্তি শুরু হয়। আমার আসক্তির অনেক উৎস আছে, ১৭ বছর বয়সে আমাকে মেথাডোন এবং বেনজোডিয়াজেপাইন দেওয়া হয়েছিল, পাঁচ বছর ধরে আমি স্বাভাবিক ছিলাম এবং কিছুটা হলেও একজন স্বাভাবিক মানুষ ছিলাম। ২০১৫ সালে আমার আসক্তি পুরোপুরি ফিরে আসে। আমি আবার কিছু জিনিস ব্যবহার শুরু করি, মাংসের চিকিৎসা ছাড়িয়ে দিয়ে, তারপর থেকে সবকিছু আগের মতো থাকে না। আমি সম্পর্ক ছেড়ে দিয়ে পুরো সময়ের আসক্ত হওয়ার সিদ্ধান্ত নিই। একাধিক পুনর্বাসন প্রচেষ্টা এবং ব্যর্থ ডিটক্সিক্সের ফলে অবশেষে আমার সংযমের সময়কাল দীর্ঘ হচ্ছে, কিন্তু ব্যবহার কমছে। কিন্তু আজকের সমাজে সবাই এই ধরণের জিনিসগুলিকে অবজ্ঞার চোখে দেখে। দীর্ঘদিন ধরে পুরুষদের উপর আস্থা রাখতে আমার কষ্ট হচ্ছিল, তাই আমি কেবল মহিলাদের উপরই মনোযোগ দিয়েছি। আমি এমন পুরুষদের সাথে সম্পর্ক তৈরি করতে পেরেছি যাদের উপর আমি বিশ্বাস রাখতে পারি, কিন্তু এখনও আমার মনে হচ্ছে আমি এমন কিছু মিস করছি যেন আমার ভেতরের সন্তান আমাকে হতাশ করছে। আমাকে বলা হয়েছে যে, একই জিনিস দিনে কয়েকবার একই ব্যক্তির কাছে পুনরাবৃত্তি করলেও আমার অনুভূতি প্রকাশ করতে হবে। আর কারো কি এই ধরণের অভিজ্ঞতা আছে, তাড়াতাড়ি সেরে ওঠার সময়? ৩০ দিন, আর আমার ৬০ দিন, ৪ মাস, ৬ মাস, সব ঠিক হয়ে যাবে। এটা লিখে রাখলেই আমি প্রক্রিয়াটা বুঝতে পারব।</v>
      </c>
    </row>
    <row r="487" spans="1:3" ht="15" x14ac:dyDescent="0.25">
      <c r="A487" s="3" t="s">
        <v>488</v>
      </c>
      <c r="B487" s="3" t="s">
        <v>4</v>
      </c>
      <c r="C487" s="4" t="str">
        <f ca="1">IFERROR(__xludf.DUMMYFUNCTION("GOOGLETRANSLATE(A487, ""auto"", ""bn"")"),"প্রথমেই বলতে চাই, যদি তুমি সুস্থ হও, আমি তোমার সকলের মঙ্গল কামনা করছি। তুমি যে পর্যায়েই থাকো না কেন, চালিয়ে যাও। মাদকাসক্তির ব্যাধি বা আসক্তির সাথে আমার কখনও সরাসরি অভিজ্ঞতা হয়নি। আমি অনেক প্রিয়জনকে এই অসুস্থতায় ভুগতে দেখেছি, এবং এটি আমাকে অনেক কষ্ট "&amp;"দিয়েছে। গল্পটি সংক্ষেপে বলতে গেলে এবং যতটা সম্ভব বিস্তারিতভাবে বলতে গেলে, আমার আরোগ্যের জন্য থেরাপির জন্য আমাকে আমার জীবনের আসক্ত ব্যক্তিকে একটি চিঠি লিখতে হয়েছিল, যিনি বর্তমানে সুস্থ হওয়ার প্রথম কয়েক মাস পার করছেন। এই চিঠিটি লেখা স্বার্থপরতার মতো কার"&amp;"ণ আমি চাই তাদের আরোগ্য সবার আগে আসুক, কিন্তু একই সাথে, আমি আশা করছি এটি আমাকে এবং আমার প্রিয়জনকে সাহায্য করবে। আমি জানি আসক্তিতে আক্রান্ত ব্যক্তিরা সম্ভবত জানেন যে তারা তাদের ভালোবাসার মানুষদের কীভাবে কষ্ট দেয় কিন্তু আসক্তরা যখন কষ্ট পায়, তখন তাদের বন্"&amp;"ধুবান্ধব এবং পরিবারও প্রচণ্ড কষ্ট পায়। হয়তো মানুষ যা বুঝতে পারে তার চেয়ে বেশি। আমি এই চিঠিটি নিয়ে সত্যিই নার্ভাস বোধ করছি কারণ আমি এমন কিছু বলতে চাই না যা অসংবেদনশীল বা এমন শোনায় যে আমি নিজেকেই অগ্রাধিকার দিচ্ছি। আমি আমার সমস্ত ক্ষতির কথা বলতে চাই, ক"&amp;"িন্তু এটাও স্পষ্ট করে বলতে চাই যে আমি জানি যে এই ব্যক্তির দোষ নেই। যদিও তারা আমাকে এতটা কষ্ট দিয়েছে, তবুও আমি তাদের আরোগ্যের প্রতিটি ধাপে তাদের সাথে থাকব। আমি ভাবছি যে কেউ কি আমার জন্য এটি মূলত প্রুফরিড করার জন্য যথেষ্ট সদয় হবেন এবং নিশ্চিত করবেন যে আমি"&amp;" বিনয়ী এবং তাদের কষ্ট সম্পর্কে সচেতন এবং আমার বক্তব্য স্পষ্ট করছি। আমি এটি একটি PM-এ পাঠাতে পারি এবং নাম বা ব্যক্তিগত তথ্য সম্পাদনা করতে পারি। তাছাড়া, আমি এমন কিছু বলতে চাই না যা তাদের আরোগ্যের জন্য ক্ষতিকর হবে। তাছাড়া, আমি প্রথমে আপনাকে সতর্ক করে দিচ্"&amp;"ছি, চিঠিটি দীর্ঘ এবং হতাশাজনক তবে এটি লেখা কিছুটা সাহায্য করেছে এবং আমি মনে করি তারা এটি পড়লে আমাকে আরও বেশি সাহায্য করবে।")</f>
        <v>প্রথমেই বলতে চাই, যদি তুমি সুস্থ হও, আমি তোমার সকলের মঙ্গল কামনা করছি। তুমি যে পর্যায়েই থাকো না কেন, চালিয়ে যাও। মাদকাসক্তির ব্যাধি বা আসক্তির সাথে আমার কখনও সরাসরি অভিজ্ঞতা হয়নি। আমি অনেক প্রিয়জনকে এই অসুস্থতায় ভুগতে দেখেছি, এবং এটি আমাকে অনেক কষ্ট দিয়েছে। গল্পটি সংক্ষেপে বলতে গেলে এবং যতটা সম্ভব বিস্তারিতভাবে বলতে গেলে, আমার আরোগ্যের জন্য থেরাপির জন্য আমাকে আমার জীবনের আসক্ত ব্যক্তিকে একটি চিঠি লিখতে হয়েছিল, যিনি বর্তমানে সুস্থ হওয়ার প্রথম কয়েক মাস পার করছেন। এই চিঠিটি লেখা স্বার্থপরতার মতো কারণ আমি চাই তাদের আরোগ্য সবার আগে আসুক, কিন্তু একই সাথে, আমি আশা করছি এটি আমাকে এবং আমার প্রিয়জনকে সাহায্য করবে। আমি জানি আসক্তিতে আক্রান্ত ব্যক্তিরা সম্ভবত জানেন যে তারা তাদের ভালোবাসার মানুষদের কীভাবে কষ্ট দেয় কিন্তু আসক্তরা যখন কষ্ট পায়, তখন তাদের বন্ধুবান্ধব এবং পরিবারও প্রচণ্ড কষ্ট পায়। হয়তো মানুষ যা বুঝতে পারে তার চেয়ে বেশি। আমি এই চিঠিটি নিয়ে সত্যিই নার্ভাস বোধ করছি কারণ আমি এমন কিছু বলতে চাই না যা অসংবেদনশীল বা এমন শোনায় যে আমি নিজেকেই অগ্রাধিকার দিচ্ছি। আমি আমার সমস্ত ক্ষতির কথা বলতে চাই, কিন্তু এটাও স্পষ্ট করে বলতে চাই যে আমি জানি যে এই ব্যক্তির দোষ নেই। যদিও তারা আমাকে এতটা কষ্ট দিয়েছে, তবুও আমি তাদের আরোগ্যের প্রতিটি ধাপে তাদের সাথে থাকব। আমি ভাবছি যে কেউ কি আমার জন্য এটি মূলত প্রুফরিড করার জন্য যথেষ্ট সদয় হবেন এবং নিশ্চিত করবেন যে আমি বিনয়ী এবং তাদের কষ্ট সম্পর্কে সচেতন এবং আমার বক্তব্য স্পষ্ট করছি। আমি এটি একটি PM-এ পাঠাতে পারি এবং নাম বা ব্যক্তিগত তথ্য সম্পাদনা করতে পারি। তাছাড়া, আমি এমন কিছু বলতে চাই না যা তাদের আরোগ্যের জন্য ক্ষতিকর হবে। তাছাড়া, আমি প্রথমে আপনাকে সতর্ক করে দিচ্ছি, চিঠিটি দীর্ঘ এবং হতাশাজনক তবে এটি লেখা কিছুটা সাহায্য করেছে এবং আমি মনে করি তারা এটি পড়লে আমাকে আরও বেশি সাহায্য করবে।</v>
      </c>
    </row>
    <row r="488" spans="1:3" ht="15" x14ac:dyDescent="0.25">
      <c r="A488" s="3" t="s">
        <v>489</v>
      </c>
      <c r="B488" s="3" t="s">
        <v>4</v>
      </c>
      <c r="C488" s="4" t="str">
        <f ca="1">IFERROR(__xludf.DUMMYFUNCTION("GOOGLETRANSLATE(A488, ""auto"", ""bn"")"),"টেক্সাসের DFW এলাকায় দুই বছরেরও বেশি সময় ধরে বসবাস করে সম্প্রতি আমি আমার নিজের রাজ্য ভার্জিনিয়ায় ফিরে এসেছি। আমি এমন একটি মেয়ের সাথে বন্ধুত্ব করেছিলাম যাকে আমি ভালোবাসতাম, ঠিক যখন মনে হচ্ছিল যে আমাদের জন্য একটি সম্পর্ক তৈরি হচ্ছে, তখনই আমাকে ফিরে যেত"&amp;"ে বাধ্য করা হয়েছিল। বাড়িতে থাকার এক মাসেরও বেশি সময় হয়ে গেছে এবং সে নিজেই স্বীকার করেছে যে তার মাদকের ব্যবহার আরও খারাপ হয়েছে। আমি যখন তাকে চিনি, প্রায় দেড় বছর ধরে, সে এই সমস্যার সাথে লড়াই করেছে এবং তার উত্থান-পতন হয়েছে। বন্ধু হিসেবে আমি কী করতে "&amp;"পারি, বিশেষ করে দূর থেকে তাকে সাহায্য করার জন্য। আমি তাকে বন্ধু হিসেবে এবং আরও বেশি ভালোবাসি এবং আমি তাকে বা তার বন্ধুত্ব হারাতে চাই না।")</f>
        <v>টেক্সাসের DFW এলাকায় দুই বছরেরও বেশি সময় ধরে বসবাস করে সম্প্রতি আমি আমার নিজের রাজ্য ভার্জিনিয়ায় ফিরে এসেছি। আমি এমন একটি মেয়ের সাথে বন্ধুত্ব করেছিলাম যাকে আমি ভালোবাসতাম, ঠিক যখন মনে হচ্ছিল যে আমাদের জন্য একটি সম্পর্ক তৈরি হচ্ছে, তখনই আমাকে ফিরে যেতে বাধ্য করা হয়েছিল। বাড়িতে থাকার এক মাসেরও বেশি সময় হয়ে গেছে এবং সে নিজেই স্বীকার করেছে যে তার মাদকের ব্যবহার আরও খারাপ হয়েছে। আমি যখন তাকে চিনি, প্রায় দেড় বছর ধরে, সে এই সমস্যার সাথে লড়াই করেছে এবং তার উত্থান-পতন হয়েছে। বন্ধু হিসেবে আমি কী করতে পারি, বিশেষ করে দূর থেকে তাকে সাহায্য করার জন্য। আমি তাকে বন্ধু হিসেবে এবং আরও বেশি ভালোবাসি এবং আমি তাকে বা তার বন্ধুত্ব হারাতে চাই না।</v>
      </c>
    </row>
    <row r="489" spans="1:3" ht="15" x14ac:dyDescent="0.25">
      <c r="A489" s="3" t="s">
        <v>490</v>
      </c>
      <c r="B489" s="3" t="s">
        <v>4</v>
      </c>
      <c r="C489" s="4" t="str">
        <f ca="1">IFERROR(__xludf.DUMMYFUNCTION("GOOGLETRANSLATE(A489, ""auto"", ""bn"")"),"৯০ দিন এবং তার লোভ সবচেয়ে শক্তিশালী, তবুও গত ৩ মাস ধরে আমি মূলত খারাপ মানসিক স্বাস্থ্যের (আত্মহত্যার চিন্তাভাবনা এবং চরম উদ্বেগ) সাথে লড়াই করছি। আমি নিজেকে নিয়ে খুব গর্বিত যে আমি যখন সবচেয়ে কম অনুভব করেছি তখনও মাদকের কাছে নতি স্বীকার করিনি, কিন্তু ৯০ দ"&amp;"িনের কিছু একটা চরম লোভের সৃষ্টি করেছে। আমার মস্তিষ্ক নিজেকে বোঝাতে শুরু করেছে যে যেহেতু আমি আমার প্রেসক্রিপশনের ওষুধ ছেড়ে দিচ্ছি (এবং আমার মধ্যে চরম WD উদ্বেগ দেখা দেয়), তাই আমার দ্রুত এটি করা উচিত এবং এটি কাটিয়ে ওঠার জন্য কয়েকটি ভ্যালিয়াম খাওয়া উচি"&amp;"ত। আমি নিশ্চিত যে এটি আমার মধ্যে মাদকাসক্ত এবং আমার চরম অধৈর্যের মিশ্রণ, তবে এটি খারাপ। আমারও কোভিড হয়েছে এবং আমি মনে করি এটি একটি ট্রিগার কারণ আমি সারাদিন বিছানায় শুয়ে কিছুটা বেজোসকে থামাতে চাই। মনে হচ্ছে আমি কেবল মুখ বন্ধ করছি। আমি পরিষ্কার থাকছি কার"&amp;"ণ আমি ""কি যদি"" ​​- যেমন, ""কি যদি আমি এগিয়ে যাই এবং আমার মানসিক স্বাস্থ্য নিজেই উন্নত হতে শুরু করে, কি যদি"" ​​এর সাথে মোকাবিলা করতে পারছি না।")</f>
        <v>৯০ দিন এবং তার লোভ সবচেয়ে শক্তিশালী, তবুও গত ৩ মাস ধরে আমি মূলত খারাপ মানসিক স্বাস্থ্যের (আত্মহত্যার চিন্তাভাবনা এবং চরম উদ্বেগ) সাথে লড়াই করছি। আমি নিজেকে নিয়ে খুব গর্বিত যে আমি যখন সবচেয়ে কম অনুভব করেছি তখনও মাদকের কাছে নতি স্বীকার করিনি, কিন্তু ৯০ দিনের কিছু একটা চরম লোভের সৃষ্টি করেছে। আমার মস্তিষ্ক নিজেকে বোঝাতে শুরু করেছে যে যেহেতু আমি আমার প্রেসক্রিপশনের ওষুধ ছেড়ে দিচ্ছি (এবং আমার মধ্যে চরম WD উদ্বেগ দেখা দেয়), তাই আমার দ্রুত এটি করা উচিত এবং এটি কাটিয়ে ওঠার জন্য কয়েকটি ভ্যালিয়াম খাওয়া উচিত। আমি নিশ্চিত যে এটি আমার মধ্যে মাদকাসক্ত এবং আমার চরম অধৈর্যের মিশ্রণ, তবে এটি খারাপ। আমারও কোভিড হয়েছে এবং আমি মনে করি এটি একটি ট্রিগার কারণ আমি সারাদিন বিছানায় শুয়ে কিছুটা বেজোসকে থামাতে চাই। মনে হচ্ছে আমি কেবল মুখ বন্ধ করছি। আমি পরিষ্কার থাকছি কারণ আমি "কি যদি" ​​- যেমন, "কি যদি আমি এগিয়ে যাই এবং আমার মানসিক স্বাস্থ্য নিজেই উন্নত হতে শুরু করে, কি যদি" ​​এর সাথে মোকাবিলা করতে পারছি না।</v>
      </c>
    </row>
    <row r="490" spans="1:3" ht="15" x14ac:dyDescent="0.25">
      <c r="A490" s="3" t="s">
        <v>491</v>
      </c>
      <c r="B490" s="3" t="s">
        <v>4</v>
      </c>
      <c r="C490" s="4" t="str">
        <f ca="1">IFERROR(__xludf.DUMMYFUNCTION("GOOGLETRANSLATE(A490, ""auto"", ""bn"")"),"আমার বাবার আসক্তি সম্পর্কে আমার তৈরি একটি গান আমি বড় হয়েছি, কিন্তু জানতাম না যে আমার বাবাই তার পরিবারের একমাত্র ব্যক্তি যিনি ""অনুপ্রবেশ"" থেকে বেরিয়ে এসেছেন। তিনি দীর্ঘদিন ধরে আমার কাছ থেকে এই বিষয়টিকে দূরে সরিয়ে রেখেছিলেন। তিনি কঠোর পরিশ্রম করতেন, "&amp;"এবং সবসময় মনে হত যে আমি যা চাই তা সবসময় আমার কাছেই থাকবে। ছোটবেলায় তিনি আমার পাশে ছিলেন, এবং আমি ভেবেছিলাম আমাদের মধ্যে কোনও বাধা আসতে পারে না। দুঃখের বিষয় হল, যখন আমি নবম শ্রেণীতে পড়ি তখন সে মেথের প্রতি আসক্ত হয়ে পড়ে এবং আমার পুরো জীবন বদলে যায়। য"&amp;"াই হোক। তারপর থেকে আমার কিছু সংগ্রাম নিয়ে আমি একটি গান তৈরি করেছি। এটি দেখে নিতে দ্বিধা করবেন না! যদি এটি কাউকে ইতিবাচকভাবে স্পর্শ করে তবে এটি আমার কাছে বিশ্বকে বোঝাবে। আমি জানি আমার অনেক অনুশীলন করার ছিল, তবে এটি আমার জন্য একটি চমৎকার উপায় ছিল।")</f>
        <v>আমার বাবার আসক্তি সম্পর্কে আমার তৈরি একটি গান আমি বড় হয়েছি, কিন্তু জানতাম না যে আমার বাবাই তার পরিবারের একমাত্র ব্যক্তি যিনি "অনুপ্রবেশ" থেকে বেরিয়ে এসেছেন। তিনি দীর্ঘদিন ধরে আমার কাছ থেকে এই বিষয়টিকে দূরে সরিয়ে রেখেছিলেন। তিনি কঠোর পরিশ্রম করতেন, এবং সবসময় মনে হত যে আমি যা চাই তা সবসময় আমার কাছেই থাকবে। ছোটবেলায় তিনি আমার পাশে ছিলেন, এবং আমি ভেবেছিলাম আমাদের মধ্যে কোনও বাধা আসতে পারে না। দুঃখের বিষয় হল, যখন আমি নবম শ্রেণীতে পড়ি তখন সে মেথের প্রতি আসক্ত হয়ে পড়ে এবং আমার পুরো জীবন বদলে যায়। যাই হোক। তারপর থেকে আমার কিছু সংগ্রাম নিয়ে আমি একটি গান তৈরি করেছি। এটি দেখে নিতে দ্বিধা করবেন না! যদি এটি কাউকে ইতিবাচকভাবে স্পর্শ করে তবে এটি আমার কাছে বিশ্বকে বোঝাবে। আমি জানি আমার অনেক অনুশীলন করার ছিল, তবে এটি আমার জন্য একটি চমৎকার উপায় ছিল।</v>
      </c>
    </row>
    <row r="491" spans="1:3" ht="15" x14ac:dyDescent="0.25">
      <c r="A491" s="3" t="s">
        <v>492</v>
      </c>
      <c r="B491" s="3" t="s">
        <v>4</v>
      </c>
      <c r="C491" s="4" t="str">
        <f ca="1">IFERROR(__xludf.DUMMYFUNCTION("GOOGLETRANSLATE(A491, ""auto"", ""bn"")"),"সেমিসিন্থেটিক ওপিওয়েড বা বেনজোডিয়াজেপাইনের মতো ডাউনার বা এমন কিছু সম্পর্কে কে জানে যা আসলে ড্রাগ টেস্টে দেখা যায় না, আমি জানি যে অনলাইনে বলা আছে যে ক্লোনাজেপাম পরীক্ষায় দেখা যায় না এবং ট্রামাডল বুরেপুনেরিন এবং আরও কিছু কেটামাইনের মতো ভালো নয় যার জন্য এটি "&amp;"পরীক্ষা করা হয়, তবে আপনাদের মধ্যে কেউ যদি ওপিওয়েড জানেন তাহলে আমি তাদের প্রশংসা করব।")</f>
        <v>সেমিসিন্থেটিক ওপিওয়েড বা বেনজোডিয়াজেপাইনের মতো ডাউনার বা এমন কিছু সম্পর্কে কে জানে যা আসলে ড্রাগ টেস্টে দেখা যায় না, আমি জানি যে অনলাইনে বলা আছে যে ক্লোনাজেপাম পরীক্ষায় দেখা যায় না এবং ট্রামাডল বুরেপুনেরিন এবং আরও কিছু কেটামাইনের মতো ভালো নয় যার জন্য এটি পরীক্ষা করা হয়, তবে আপনাদের মধ্যে কেউ যদি ওপিওয়েড জানেন তাহলে আমি তাদের প্রশংসা করব।</v>
      </c>
    </row>
    <row r="492" spans="1:3" ht="15" x14ac:dyDescent="0.25">
      <c r="A492" s="3" t="s">
        <v>493</v>
      </c>
      <c r="B492" s="3" t="s">
        <v>4</v>
      </c>
      <c r="C492" s="4" t="str">
        <f ca="1">IFERROR(__xludf.DUMMYFUNCTION("GOOGLETRANSLATE(A492, ""auto"", ""bn"")"),"৪ দিন পর, ৩১শে জানুয়ারী আমার এক বছর হবে যখন আমি সমস্ত ওপিওয়েড, পার্সি, অক্সাস, এইচ. সেন্ট এবং কারেন্ট থেকে মুক্ত হব। আমি প্রতিদিন প্রচুর পরিমাণে ব্যবহার করতাম। আমি নিশ্চিত যে অন্য অনেকের মতো এটিও শুরু হয়েছিল। প্রায় ২০ বছর বয়সে একটি অস্ত্রোপচারের জন্য"&amp;" গিয়েছিলাম, তারপর আমি কেবল ভালো অনুভূতিতে আসক্ত ছিলাম। ২ বছর আগে যখন আমি প্রতিদিন এক আউন্স পর্যন্ত ফেন্টানাইল এবং কার ফেন্টানাইল ব্যবহার করতাম। আমি সারাদিন শুধু বসে থাকতাম, আর ধূমপান করতাম, আমি কখনই ওষুধ ইনজেকশনের জন্য ছিলাম না, বরং কয়েকদিন ধরে সেখানে ব"&amp;"সে থাকতাম। সপ্তাহ, মাস, ধূমপান, ঘুমিয়ে পড়া পর্যন্ত ধূমপান, জেগে ওঠা, আরও কিছু ধূমপান। আমি পরিষ্কার হওয়ার সিদ্ধান্ত নিয়েছি। আমার জীবনের সবচেয়ে কঠিন জিনিস, এখনও মেথাডোন গ্রহণ করছি, এটি ছাড়া। আমি কল্পনাও করতে চাই না। মেথাডোন একটি ভাল ডোজে আছে, আমার ঘুম"&amp;" আসে না, এবং আমি আগের মতো ওপিওয়েডের জন্য আকাঙ্ক্ষা করি না। এখন আমার সমস্যা কী। আমি কি জীবন উপভোগ করতে পুরোপুরি ভুলে গেছি?")</f>
        <v>৪ দিন পর, ৩১শে জানুয়ারী আমার এক বছর হবে যখন আমি সমস্ত ওপিওয়েড, পার্সি, অক্সাস, এইচ. সেন্ট এবং কারেন্ট থেকে মুক্ত হব। আমি প্রতিদিন প্রচুর পরিমাণে ব্যবহার করতাম। আমি নিশ্চিত যে অন্য অনেকের মতো এটিও শুরু হয়েছিল। প্রায় ২০ বছর বয়সে একটি অস্ত্রোপচারের জন্য গিয়েছিলাম, তারপর আমি কেবল ভালো অনুভূতিতে আসক্ত ছিলাম। ২ বছর আগে যখন আমি প্রতিদিন এক আউন্স পর্যন্ত ফেন্টানাইল এবং কার ফেন্টানাইল ব্যবহার করতাম। আমি সারাদিন শুধু বসে থাকতাম, আর ধূমপান করতাম, আমি কখনই ওষুধ ইনজেকশনের জন্য ছিলাম না, বরং কয়েকদিন ধরে সেখানে বসে থাকতাম। সপ্তাহ, মাস, ধূমপান, ঘুমিয়ে পড়া পর্যন্ত ধূমপান, জেগে ওঠা, আরও কিছু ধূমপান। আমি পরিষ্কার হওয়ার সিদ্ধান্ত নিয়েছি। আমার জীবনের সবচেয়ে কঠিন জিনিস, এখনও মেথাডোন গ্রহণ করছি, এটি ছাড়া। আমি কল্পনাও করতে চাই না। মেথাডোন একটি ভাল ডোজে আছে, আমার ঘুম আসে না, এবং আমি আগের মতো ওপিওয়েডের জন্য আকাঙ্ক্ষা করি না। এখন আমার সমস্যা কী। আমি কি জীবন উপভোগ করতে পুরোপুরি ভুলে গেছি?</v>
      </c>
    </row>
    <row r="493" spans="1:3" ht="15" x14ac:dyDescent="0.25">
      <c r="A493" s="3" t="s">
        <v>494</v>
      </c>
      <c r="B493" s="3" t="s">
        <v>4</v>
      </c>
      <c r="C493" s="4" t="str">
        <f ca="1">IFERROR(__xludf.DUMMYFUNCTION("GOOGLETRANSLATE(A493, ""auto"", ""bn"")"),"৫ মাস পর আবারও শ্বাসকষ্ট শুরু হয়েছে এবং ভয়াবহ লাগছে। দুটো ছোট ছোট আঘাতের পর আমার খুব পাথর লেগেছে। মনে হচ্ছিল যেন আমি হোঁচট খাচ্ছি। এখন আমি আবার সুস্থ, কিন্তু মানসিকভাবে আঘাতপ্রাপ্ত। PTSD এবং উদ্বেগ বেড়ে গেছে। DDR আবার বেড়ে গেছে। নিজের উপর খুব হতাশ।")</f>
        <v>৫ মাস পর আবারও শ্বাসকষ্ট শুরু হয়েছে এবং ভয়াবহ লাগছে। দুটো ছোট ছোট আঘাতের পর আমার খুব পাথর লেগেছে। মনে হচ্ছিল যেন আমি হোঁচট খাচ্ছি। এখন আমি আবার সুস্থ, কিন্তু মানসিকভাবে আঘাতপ্রাপ্ত। PTSD এবং উদ্বেগ বেড়ে গেছে। DDR আবার বেড়ে গেছে। নিজের উপর খুব হতাশ।</v>
      </c>
    </row>
    <row r="494" spans="1:3" ht="15" x14ac:dyDescent="0.25">
      <c r="A494" s="3" t="s">
        <v>495</v>
      </c>
      <c r="B494" s="3" t="s">
        <v>4</v>
      </c>
      <c r="C494" s="4" t="str">
        <f ca="1">IFERROR(__xludf.DUMMYFUNCTION("GOOGLETRANSLATE(A494, ""auto"", ""bn"")"),"এই গ্রুপে এটা আমার প্রথম পোস্ট, তবে আমি বেশ কিছুদিন ধরেই লুকিয়ে আছি এবং অন্যান্য পোস্ট থেকে অনেক ভালো পরামর্শ নিচ্ছি। আমার মনে হয়েছে এই পোস্টটি তৈরি করলে আমার আরোগ্য লাভে সাহায্য হবে। আমার সম্পর্কে কিছু কথা... ৩৫ বছর বয়সী পুরুষ আপেক্ষিকতা সম্পর্কে আমি "&amp;"সফল, আমার নিজের ব্যবসা পরিচালনা করার ক্ষেত্রে, গত সেপ্টেম্বরে বিয়ে হয়েছে এবং এক বছরের মেয়ে যার জন্য আমি খুব গর্বিত এবং খুশি, যদিও আমার জীবন দুর্দান্ত, কিন্তু আমার একটি সমস্যা আছে এবং আমার সমস্যা হল কোকেন। আমি ১৭ বছর বয়সে প্রথম কোকের সাথে পরিচিত হই এবং"&amp;" তখন থেকেই এটি খুব বেশি পরিমাণে নয় বরং সেই সময় ধরে ক্রমাগত ব্যবহার করি। আমি বিশেষ করে গত ২/৩ বছর ধরে লক্ষ্য করেছি যে জিনিসগুলি নিয়ন্ত্রণের বাইরে (অথবা আরও বেশি নিয়ন্ত্রণের বাইরে) যেতে শুরু করেছে। আগে শুক্রবার থেকে শনিবার আমার জন্য ১-৩ গ্রাম স্বাভাবিক "&amp;"ছিল, যা আমি পরিকল্পনা করেছিলাম তার উপর নির্ভর করে। এখন এটি শুক্র/শনি/রবি এবং সপ্তাহের মাঝামাঝি হতে পারে, এমনকি কাজের সময়ও। আমি মনে হয় ফুটবল ব্যবহার করার জন্য কোনও অজুহাত খুঁজে পাচ্ছি, যেমন লেটস গেট আ ব্যাগ.... কোভিড পজিটিভ, লেটস গেট আ ব্যাগ (কোনও রসিকতা"&amp;" খুব লজ্জাজনক নয়)। অ্যালকোহল এবং কোকের সাথে আমার একটা সম্পর্ক আছে যা আমি অস্বীকার করতে পারছি না, এখন আমার কাছে, যদি আমি পান করি তবে আমি সহজভাবে নাক ডাকি যার অর্থ ভবিষ্যতে অ্যালকোহল নেই। তদুপরি, আমি কিছুটা বিভ্রান্ত যে আমার সমস্যা কী... উভয়ই কি কেবল কোক "&amp;"নাকি এটি অ্যালকোহল? তদুপরি, আমার বাবা-মা উভয়ই মদ্যপ অবস্থায় সুস্থ হয়ে উঠছেন এবং উভয়ই ২৮ বছরেরও বেশি সময় ধরে সুস্থ হয়ে উঠছেন, তাই আমি অ্যালকোহলে আসক্ত হওয়ার বিষয়টি বুঝতে পেরেছি। তদুপরি, আমি মনে করি একরকমভাবে আমি লজ্জিত যে ইতিহাস পুনরাবৃত্তি হচ্ছে/ক"&amp;"রছে এবং এটি এমন কিছু যা আমি ঘটতে না দেওয়ার জন্য দৃঢ়প্রতিজ্ঞ ছিলাম। এই কারণে আমি এই বিষয়ে আমার বাবা-মায়ের সাথে কথা বলিনি কারণ এটি সম্পূর্ণ লজ্জাজনক এবং আমি তাদের হতাশ করেছি........ প্রিয়জন/অভিভাবকদের সাথে এই আলোচনা করার জন্য কারও কি কোনও পরামর্শ আছে? "&amp;"আমি CA/NA বিবেচনা করেছি কিন্তু কোনও কারণে ব্যক্তিগতভাবে বা অনলাইনে কোনও সভায় যাওয়ার আত্মবিশ্বাস খুঁজে পাইনি। আমার মনে হয় এটা সবকিছুকে 'বাস্তব' করে তোলে এবং এটা আমাকে ভয় পায়, সত্যি বলতে, পরিবার এবং বন্ধুদের কাছে আমার নেশা স্বীকার করতে লজ্জা লাগে... যদি "&amp;"তা বোধগম্য হয় তাহলে ভাষায় প্রকাশ করা কঠিন। তাছাড়া, আমি বর্তমানে ১৯ দিন ধরে কোকেন ব্যবহার করি না এবং প্রায় ১০ বার অ্যালকোহল পান করি, যা আমি আনন্দিত, আমার স্ত্রীর সাথে কথা বলেছি এবং তার সমর্থন পেয়েছি, সপ্তাহে ৪/৫ বার জিমে যাই, যা সত্যিই আমাকে সাহায্য ক"&amp;"রছে এবং আমাকে মনোযোগী করে তুলছে, দীর্ঘমেয়াদে আমি আশা করছি আমি এটি বজায় রাখতে পারব, যদিও আমার লোভ এবং সেগুলি কাটিয়ে ওঠার ব্যাপারে অস্বস্তিকর অনুভূতি আছে... বিশেষ করে বন্ধুদের সাথে হুইসেল মাতাল হও কারণ কোক বিনামূল্যে এবং প্রচুর পরিমাণে পাওয়া যায়। আবার "&amp;"এই বা অন্য যেকোনো বিষয়ে যেকোনো কার্যকর সাহায্য বা পরামর্শ ব্যাপকভাবে গ্রহণ করা হবে এবং অনেক কিছু বানোয়াট।")</f>
        <v>এই গ্রুপে এটা আমার প্রথম পোস্ট, তবে আমি বেশ কিছুদিন ধরেই লুকিয়ে আছি এবং অন্যান্য পোস্ট থেকে অনেক ভালো পরামর্শ নিচ্ছি। আমার মনে হয়েছে এই পোস্টটি তৈরি করলে আমার আরোগ্য লাভে সাহায্য হবে। আমার সম্পর্কে কিছু কথা... ৩৫ বছর বয়সী পুরুষ আপেক্ষিকতা সম্পর্কে আমি সফল, আমার নিজের ব্যবসা পরিচালনা করার ক্ষেত্রে, গত সেপ্টেম্বরে বিয়ে হয়েছে এবং এক বছরের মেয়ে যার জন্য আমি খুব গর্বিত এবং খুশি, যদিও আমার জীবন দুর্দান্ত, কিন্তু আমার একটি সমস্যা আছে এবং আমার সমস্যা হল কোকেন। আমি ১৭ বছর বয়সে প্রথম কোকের সাথে পরিচিত হই এবং তখন থেকেই এটি খুব বেশি পরিমাণে নয় বরং সেই সময় ধরে ক্রমাগত ব্যবহার করি। আমি বিশেষ করে গত ২/৩ বছর ধরে লক্ষ্য করেছি যে জিনিসগুলি নিয়ন্ত্রণের বাইরে (অথবা আরও বেশি নিয়ন্ত্রণের বাইরে) যেতে শুরু করেছে। আগে শুক্রবার থেকে শনিবার আমার জন্য ১-৩ গ্রাম স্বাভাবিক ছিল, যা আমি পরিকল্পনা করেছিলাম তার উপর নির্ভর করে। এখন এটি শুক্র/শনি/রবি এবং সপ্তাহের মাঝামাঝি হতে পারে, এমনকি কাজের সময়ও। আমি মনে হয় ফুটবল ব্যবহার করার জন্য কোনও অজুহাত খুঁজে পাচ্ছি, যেমন লেটস গেট আ ব্যাগ.... কোভিড পজিটিভ, লেটস গেট আ ব্যাগ (কোনও রসিকতা খুব লজ্জাজনক নয়)। অ্যালকোহল এবং কোকের সাথে আমার একটা সম্পর্ক আছে যা আমি অস্বীকার করতে পারছি না, এখন আমার কাছে, যদি আমি পান করি তবে আমি সহজভাবে নাক ডাকি যার অর্থ ভবিষ্যতে অ্যালকোহল নেই। তদুপরি, আমি কিছুটা বিভ্রান্ত যে আমার সমস্যা কী... উভয়ই কি কেবল কোক নাকি এটি অ্যালকোহল? তদুপরি, আমার বাবা-মা উভয়ই মদ্যপ অবস্থায় সুস্থ হয়ে উঠছেন এবং উভয়ই ২৮ বছরেরও বেশি সময় ধরে সুস্থ হয়ে উঠছেন, তাই আমি অ্যালকোহলে আসক্ত হওয়ার বিষয়টি বুঝতে পেরেছি। তদুপরি, আমি মনে করি একরকমভাবে আমি লজ্জিত যে ইতিহাস পুনরাবৃত্তি হচ্ছে/করছে এবং এটি এমন কিছু যা আমি ঘটতে না দেওয়ার জন্য দৃঢ়প্রতিজ্ঞ ছিলাম। এই কারণে আমি এই বিষয়ে আমার বাবা-মায়ের সাথে কথা বলিনি কারণ এটি সম্পূর্ণ লজ্জাজনক এবং আমি তাদের হতাশ করেছি........ প্রিয়জন/অভিভাবকদের সাথে এই আলোচনা করার জন্য কারও কি কোনও পরামর্শ আছে? আমি CA/NA বিবেচনা করেছি কিন্তু কোনও কারণে ব্যক্তিগতভাবে বা অনলাইনে কোনও সভায় যাওয়ার আত্মবিশ্বাস খুঁজে পাইনি। আমার মনে হয় এটা সবকিছুকে 'বাস্তব' করে তোলে এবং এটা আমাকে ভয় পায়, সত্যি বলতে, পরিবার এবং বন্ধুদের কাছে আমার নেশা স্বীকার করতে লজ্জা লাগে... যদি তা বোধগম্য হয় তাহলে ভাষায় প্রকাশ করা কঠিন। তাছাড়া, আমি বর্তমানে ১৯ দিন ধরে কোকেন ব্যবহার করি না এবং প্রায় ১০ বার অ্যালকোহল পান করি, যা আমি আনন্দিত, আমার স্ত্রীর সাথে কথা বলেছি এবং তার সমর্থন পেয়েছি, সপ্তাহে ৪/৫ বার জিমে যাই, যা সত্যিই আমাকে সাহায্য করছে এবং আমাকে মনোযোগী করে তুলছে, দীর্ঘমেয়াদে আমি আশা করছি আমি এটি বজায় রাখতে পারব, যদিও আমার লোভ এবং সেগুলি কাটিয়ে ওঠার ব্যাপারে অস্বস্তিকর অনুভূতি আছে... বিশেষ করে বন্ধুদের সাথে হুইসেল মাতাল হও কারণ কোক বিনামূল্যে এবং প্রচুর পরিমাণে পাওয়া যায়। আবার এই বা অন্য যেকোনো বিষয়ে যেকোনো কার্যকর সাহায্য বা পরামর্শ ব্যাপকভাবে গ্রহণ করা হবে এবং অনেক কিছু বানোয়াট।</v>
      </c>
    </row>
    <row r="495" spans="1:3" ht="15" x14ac:dyDescent="0.25">
      <c r="A495" s="3" t="s">
        <v>496</v>
      </c>
      <c r="B495" s="3" t="s">
        <v>4</v>
      </c>
      <c r="C495" s="4" t="str">
        <f ca="1">IFERROR(__xludf.DUMMYFUNCTION("GOOGLETRANSLATE(A495, ""auto"", ""bn"")"),"রাগের পর রাগ, আমি ১২ বছর ধরে নিজেকে বিষ দিয়ে আসক্ত করেছিলাম, আর এখন আমার বয়স ২৮ বছর, আমি রাগ অনুভব করছি যে আমি নিজের সাথে এটা করেছি এবং ফলস্বরূপ আমি আর কখনও নিজেকে ব্যর্থ করব না। তবুও, আমি আক্ষরিক অর্থেই দরজা ভেঙে ফেলেছি, এবং এটি বাড়িতে সমস্যা তৈরি করছে"&amp;"। অন্য কারো কি এই অভিজ্ঞতা হয়েছে?")</f>
        <v>রাগের পর রাগ, আমি ১২ বছর ধরে নিজেকে বিষ দিয়ে আসক্ত করেছিলাম, আর এখন আমার বয়স ২৮ বছর, আমি রাগ অনুভব করছি যে আমি নিজের সাথে এটা করেছি এবং ফলস্বরূপ আমি আর কখনও নিজেকে ব্যর্থ করব না। তবুও, আমি আক্ষরিক অর্থেই দরজা ভেঙে ফেলেছি, এবং এটি বাড়িতে সমস্যা তৈরি করছে। অন্য কারো কি এই অভিজ্ঞতা হয়েছে?</v>
      </c>
    </row>
    <row r="496" spans="1:3" ht="15" x14ac:dyDescent="0.25">
      <c r="A496" s="3" t="s">
        <v>497</v>
      </c>
      <c r="B496" s="3" t="s">
        <v>4</v>
      </c>
      <c r="C496" s="4" t="str">
        <f ca="1">IFERROR(__xludf.DUMMYFUNCTION("GOOGLETRANSLATE(A496, ""auto"", ""bn"")"),"আমি কি এমন ওষুধ খেতে চাইছি যা আমি কখনও খাইনি? আমি বছরের পর বছর ধরে প্রতিদিন ধূমপান করছি কিন্তু তা ছাড়া আমি খুব বেশি গুরুত্ব সহকারে কিছু নিইনি, কিন্তু সম্প্রতি আমি বেজোস বা ওভয়েডের মতো শক্তিশালী কিছু খেতে চাইছি, যদিও আমাকে সেগুলি বেশ কিছুটা দেওয়া হচ্ছে,"&amp;" আমি সেগুলি গ্রহণ করব না। শুধু ভাবছি কেন আমি এমন করছি?")</f>
        <v>আমি কি এমন ওষুধ খেতে চাইছি যা আমি কখনও খাইনি? আমি বছরের পর বছর ধরে প্রতিদিন ধূমপান করছি কিন্তু তা ছাড়া আমি খুব বেশি গুরুত্ব সহকারে কিছু নিইনি, কিন্তু সম্প্রতি আমি বেজোস বা ওভয়েডের মতো শক্তিশালী কিছু খেতে চাইছি, যদিও আমাকে সেগুলি বেশ কিছুটা দেওয়া হচ্ছে, আমি সেগুলি গ্রহণ করব না। শুধু ভাবছি কেন আমি এমন করছি?</v>
      </c>
    </row>
    <row r="497" spans="1:3" ht="15" x14ac:dyDescent="0.25">
      <c r="A497" s="3" t="s">
        <v>498</v>
      </c>
      <c r="B497" s="3" t="s">
        <v>4</v>
      </c>
      <c r="C497" s="4" t="str">
        <f ca="1">IFERROR(__xludf.DUMMYFUNCTION("GOOGLETRANSLATE(A497, ""auto"", ""bn"")"),"একটা মজার ব্যাপার হলো, গত ৪ মাস ধরে আমি নকল অক্সাস খাচ্ছি। আমার দিনে ৪-৫ বার অভ্যাস হয়ে গেছে। আমি ছাড়তে চাই, কিন্তু একা পারছি না। তাছাড়া, টাকা তোলার ব্যাপারে আমি ভীত। তাছাড়া, আমি ইনপেশেন্ট মেডিকেল ডিটক্স সুবিধায় ফোন করেছিলাম, এবং তারা আমাকে বলেছিল যে"&amp;" তাদের প্রোগ্রামের জন্য ১২ হাজার টাকা খরচ হবে। তাছাড়া, আমার বীমা নেই এবং যখন আমি তাদের অর্থায়ন বিকল্পের জন্য আবেদন করেছিলাম তখন আমার আবেদন প্রত্যাখ্যান করা হয়েছিল কারণ আমার খুব বেশি ক্রেডিট ইতিহাস নেই। আজ সারাদিন আমি শুধু চেক আউট করার কথা ভেবেছি। আমি এ"&amp;"ক মুঠো খাবার খেয়ে ঘুমিয়ে পড়ার জন্য যথেষ্ট নাক ডাকতে পারি এবং তারপর আর ঘুম থেকে উঠতে পারি না। এই অভ্যাসটি চালিয়ে যাওয়ার বিপরীতে যা আমার জীবনের প্রতিটি দিককে ধ্বংস করছে। আমি জানি না কী করব। জিনিসগুলিকে এতদূর যেতে দেওয়ার জন্য আমি বোকা।")</f>
        <v>একটা মজার ব্যাপার হলো, গত ৪ মাস ধরে আমি নকল অক্সাস খাচ্ছি। আমার দিনে ৪-৫ বার অভ্যাস হয়ে গেছে। আমি ছাড়তে চাই, কিন্তু একা পারছি না। তাছাড়া, টাকা তোলার ব্যাপারে আমি ভীত। তাছাড়া, আমি ইনপেশেন্ট মেডিকেল ডিটক্স সুবিধায় ফোন করেছিলাম, এবং তারা আমাকে বলেছিল যে তাদের প্রোগ্রামের জন্য ১২ হাজার টাকা খরচ হবে। তাছাড়া, আমার বীমা নেই এবং যখন আমি তাদের অর্থায়ন বিকল্পের জন্য আবেদন করেছিলাম তখন আমার আবেদন প্রত্যাখ্যান করা হয়েছিল কারণ আমার খুব বেশি ক্রেডিট ইতিহাস নেই। আজ সারাদিন আমি শুধু চেক আউট করার কথা ভেবেছি। আমি এক মুঠো খাবার খেয়ে ঘুমিয়ে পড়ার জন্য যথেষ্ট নাক ডাকতে পারি এবং তারপর আর ঘুম থেকে উঠতে পারি না। এই অভ্যাসটি চালিয়ে যাওয়ার বিপরীতে যা আমার জীবনের প্রতিটি দিককে ধ্বংস করছে। আমি জানি না কী করব। জিনিসগুলিকে এতদূর যেতে দেওয়ার জন্য আমি বোকা।</v>
      </c>
    </row>
    <row r="498" spans="1:3" ht="15" x14ac:dyDescent="0.25">
      <c r="A498" s="3" t="s">
        <v>499</v>
      </c>
      <c r="B498" s="3" t="s">
        <v>4</v>
      </c>
      <c r="C498" s="4" t="str">
        <f ca="1">IFERROR(__xludf.DUMMYFUNCTION("GOOGLETRANSLATE(A498, ""auto"", ""bn"")"),"মায়ের সাথে ক্রমাগত ঝগড়া করার ফলে আমার মেজাজ খারাপ হয়ে যায়। সে আমার মেজাজ খারাপ করে এবং তারপর লিভ কম্বাইনের চাপ আমাকে হতাশ করে। শেষবার যখন আমি তার সাথে ঝগড়া করার পরপরই রিল্যাপস করেছিলাম। আর আমি এমন কিছু করিনি যার জন্য এটি প্রাপ্য, কেবল তার সাথে কথা বল"&amp;"াই আমার ভুল ছিল। ঝগড়া থামানোর জন্য আমি কিছুই করতে পারি না কারণ সে সবসময় এর জন্য প্রস্তুত থাকে যদিও আমি কিছুই করছি না। যে সবসময় আমাকে খারাপ মেজাজে রাখার চেষ্টা করে তার সাথে আমি ভালো ব্যবহার করতে পারি না। এটা আমাকে যেভাবে ভেঙে দেয় তা আমি ঘৃণা করি এবং যে"&amp;"হেতু আমি একজন ভালো ছেলে, তাই আমি তাকে উপেক্ষা করতে পারি না। তাছাড়া, আমার কেবল এই কথাটি প্রকাশ করার প্রয়োজন ছিল।")</f>
        <v>মায়ের সাথে ক্রমাগত ঝগড়া করার ফলে আমার মেজাজ খারাপ হয়ে যায়। সে আমার মেজাজ খারাপ করে এবং তারপর লিভ কম্বাইনের চাপ আমাকে হতাশ করে। শেষবার যখন আমি তার সাথে ঝগড়া করার পরপরই রিল্যাপস করেছিলাম। আর আমি এমন কিছু করিনি যার জন্য এটি প্রাপ্য, কেবল তার সাথে কথা বলাই আমার ভুল ছিল। ঝগড়া থামানোর জন্য আমি কিছুই করতে পারি না কারণ সে সবসময় এর জন্য প্রস্তুত থাকে যদিও আমি কিছুই করছি না। যে সবসময় আমাকে খারাপ মেজাজে রাখার চেষ্টা করে তার সাথে আমি ভালো ব্যবহার করতে পারি না। এটা আমাকে যেভাবে ভেঙে দেয় তা আমি ঘৃণা করি এবং যেহেতু আমি একজন ভালো ছেলে, তাই আমি তাকে উপেক্ষা করতে পারি না। তাছাড়া, আমার কেবল এই কথাটি প্রকাশ করার প্রয়োজন ছিল।</v>
      </c>
    </row>
    <row r="499" spans="1:3" ht="15" x14ac:dyDescent="0.25">
      <c r="A499" s="3" t="s">
        <v>500</v>
      </c>
      <c r="B499" s="3" t="s">
        <v>4</v>
      </c>
      <c r="C499" s="4" t="str">
        <f ca="1">IFERROR(__xludf.DUMMYFUNCTION("GOOGLETRANSLATE(A499, ""auto"", ""bn"")"),"নিকোটিনে আসক্ত আমি জানি আমার কথা শুনে হয়তো রেকর্ড ভাঙা মনে হতে পারে, কিন্তু এটা বহু বছর ধরে চলছে, আর আমি জানি না কিভাবে থামাবো। জানি না কী পদক্ষেপ নেব, নাকি কিছুই নেব না। আমি এর সামান্যতম ট্রিপও বুঝতে পারছি না, তবুও থামানো অসম্ভব।")</f>
        <v>নিকোটিনে আসক্ত আমি জানি আমার কথা শুনে হয়তো রেকর্ড ভাঙা মনে হতে পারে, কিন্তু এটা বহু বছর ধরে চলছে, আর আমি জানি না কিভাবে থামাবো। জানি না কী পদক্ষেপ নেব, নাকি কিছুই নেব না। আমি এর সামান্যতম ট্রিপও বুঝতে পারছি না, তবুও থামানো অসম্ভব।</v>
      </c>
    </row>
    <row r="500" spans="1:3" ht="15" x14ac:dyDescent="0.25">
      <c r="A500" s="3" t="s">
        <v>501</v>
      </c>
      <c r="B500" s="3" t="s">
        <v>4</v>
      </c>
      <c r="C500" s="4" t="str">
        <f ca="1">IFERROR(__xludf.DUMMYFUNCTION("GOOGLETRANSLATE(A500, ""auto"", ""bn"")"),"১২ বছর ধরে মাদকাসক্ত থাকার পর অবশেষে আমি সুস্থ হতে চলেছি। ২৮ বছর বয়সে আমার এমন কিছু অনুভূতি হয় যা আমি অনেক দিন ধরে অনুভব করিনি। রাগ, কিন্তু একটা উচ্চাভিলাষী রাগ। যেমন এতদিন ধরে আমি নিজের সাথে এটা কীভাবে করতে পারি। দুর্ভাগ্যবশত আমার চারপাশের লোকেরা মনে ক"&amp;"রে আমি তাদের উপর রাগ করি ইত্যাদি, কিন্তু আমি আগের চেয়েও বেশি উত্তেজিত। যেন একটা অনুবাদিত রাগ যা আমাকে একটা ইটের দেয়াল ভেঙে ফেলতে বাধ্য করে। যাতে আমি আর কখনও নিজেকে ব্যর্থ না করি। আমি কীভাবে আমার পরিবারের কাছে এই অনুভূতি প্রকাশ করতে পারি?")</f>
        <v>১২ বছর ধরে মাদকাসক্ত থাকার পর অবশেষে আমি সুস্থ হতে চলেছি। ২৮ বছর বয়সে আমার এমন কিছু অনুভূতি হয় যা আমি অনেক দিন ধরে অনুভব করিনি। রাগ, কিন্তু একটা উচ্চাভিলাষী রাগ। যেমন এতদিন ধরে আমি নিজের সাথে এটা কীভাবে করতে পারি। দুর্ভাগ্যবশত আমার চারপাশের লোকেরা মনে করে আমি তাদের উপর রাগ করি ইত্যাদি, কিন্তু আমি আগের চেয়েও বেশি উত্তেজিত। যেন একটা অনুবাদিত রাগ যা আমাকে একটা ইটের দেয়াল ভেঙে ফেলতে বাধ্য করে। যাতে আমি আর কখনও নিজেকে ব্যর্থ না করি। আমি কীভাবে আমার পরিবারের কাছে এই অনুভূতি প্রকাশ করতে পারি?</v>
      </c>
    </row>
    <row r="501" spans="1:3" ht="15" x14ac:dyDescent="0.25">
      <c r="A501" s="3" t="s">
        <v>502</v>
      </c>
      <c r="B501" s="3" t="s">
        <v>4</v>
      </c>
      <c r="C501" s="4" t="str">
        <f ca="1">IFERROR(__xludf.DUMMYFUNCTION("GOOGLETRANSLATE(A501, ""auto"", ""bn"")"),"এটা কত নিষ্ঠুর এবং মানসিকভাবে ধ্বংসাত্মক আসক্তি। ৪ বছর ধরে প্রতিদিন ব্যবহার, আপাত আধ্যাত্মিক জাগরণ, ভূত এবং ফেরেশতা, মহাবিশ্বের সাথে কথা বলা ইত্যাদি এবং আমি এখানেই শেষ করছি - এক বছর আগের চেয়ে ১০ গুণ খারাপ। আমি এখন সম্পূর্ণ সিজোফ্রেনিয়ার দ্বারপ্রান্তে, য"&amp;"দি ইতিমধ্যেই না হয় তবে সম্পূর্ণরূপে সিজোফ্রেনিয়ায় আক্রান্ত এবং আমার জীবন প্রতিদিনই ভেঙে পড়ছে। আমি মিটিং, কাউন্সেলিং, প্রাইভেট থেরাপির চেষ্টা করেছি এবং পুনর্বাসনের খরচ বহন করতে পারছি না কারণ আমি আমার নিজস্ব কোম্পানি চালাই এবং আরেকটি বিশাল কোম্পানির বিক"&amp;"্রয় পরিচালক হিসেবে সাবকন্ট্রাক্টও করি। তাছাড়া, আমার স্বপ্নের চেয়েও বোকামিপূর্ণ ধনী হওয়ার সমস্ত সম্ভাবনা আমার আছে, কিন্তু এই আসক্তি আমাকে প্রতি মুহূর্তে আটকে রেখেছে এবং আমার নিয়োগকর্তারা, বন্ধুবান্ধব এবং পরিবারও তা লক্ষ্য করতে শুরু করেছে।")</f>
        <v>এটা কত নিষ্ঠুর এবং মানসিকভাবে ধ্বংসাত্মক আসক্তি। ৪ বছর ধরে প্রতিদিন ব্যবহার, আপাত আধ্যাত্মিক জাগরণ, ভূত এবং ফেরেশতা, মহাবিশ্বের সাথে কথা বলা ইত্যাদি এবং আমি এখানেই শেষ করছি - এক বছর আগের চেয়ে ১০ গুণ খারাপ। আমি এখন সম্পূর্ণ সিজোফ্রেনিয়ার দ্বারপ্রান্তে, যদি ইতিমধ্যেই না হয় তবে সম্পূর্ণরূপে সিজোফ্রেনিয়ায় আক্রান্ত এবং আমার জীবন প্রতিদিনই ভেঙে পড়ছে। আমি মিটিং, কাউন্সেলিং, প্রাইভেট থেরাপির চেষ্টা করেছি এবং পুনর্বাসনের খরচ বহন করতে পারছি না কারণ আমি আমার নিজস্ব কোম্পানি চালাই এবং আরেকটি বিশাল কোম্পানির বিক্রয় পরিচালক হিসেবে সাবকন্ট্রাক্টও করি। তাছাড়া, আমার স্বপ্নের চেয়েও বোকামিপূর্ণ ধনী হওয়ার সমস্ত সম্ভাবনা আমার আছে, কিন্তু এই আসক্তি আমাকে প্রতি মুহূর্তে আটকে রেখেছে এবং আমার নিয়োগকর্তারা, বন্ধুবান্ধব এবং পরিবারও তা লক্ষ্য করতে শুরু করেছে।</v>
      </c>
    </row>
    <row r="502" spans="1:3" ht="15" x14ac:dyDescent="0.25">
      <c r="A502" s="3" t="s">
        <v>503</v>
      </c>
      <c r="B502" s="3" t="s">
        <v>4</v>
      </c>
      <c r="C502" s="4" t="str">
        <f ca="1">IFERROR(__xludf.DUMMYFUNCTION("GOOGLETRANSLATE(A502, ""auto"", ""bn"")"),"আমি শুধু এই পোস্টটি করতে চেয়েছিলাম যে আমি নিজের উপর গর্বিত। হ্যাঁ, এটা একটা অপ্রয়োজনীয় কাজ, আমি হয়তো এই ধরণের সাবরেডিটগুলির জন্য এটি ব্যবহার করতে পারি। আমি যা অসম্ভব বলে মনে করেছিলাম তা করেছি: আমি এক সপ্তাহ পার করেছি? ক্যালি? আমি মনে করি তুমি এটাকে বলবে"&amp;" শান্ত, শুধু ধূমপান। গত সপ্তাহেই আমি পুরোপুরি এর কবলে পড়েছিলাম। আমার রাতের খাবারের জন্য অর্থ জোগাড় করার উপায় খুঁজতে খুঁজতে প্রতিদিন কেটে গেছে। আর এখন আমি এক সপ্তাহ ছুটি পাচ্ছি! আমি আরও বেশি অনুপ্রাণিত, আরও স্বাচ্ছন্দ্য বোধ করছি এবং আমার আত্মসম্মান বাড়"&amp;"ছে। আমি কেবল গর্বিত।")</f>
        <v>আমি শুধু এই পোস্টটি করতে চেয়েছিলাম যে আমি নিজের উপর গর্বিত। হ্যাঁ, এটা একটা অপ্রয়োজনীয় কাজ, আমি হয়তো এই ধরণের সাবরেডিটগুলির জন্য এটি ব্যবহার করতে পারি। আমি যা অসম্ভব বলে মনে করেছিলাম তা করেছি: আমি এক সপ্তাহ পার করেছি? ক্যালি? আমি মনে করি তুমি এটাকে বলবে শান্ত, শুধু ধূমপান। গত সপ্তাহেই আমি পুরোপুরি এর কবলে পড়েছিলাম। আমার রাতের খাবারের জন্য অর্থ জোগাড় করার উপায় খুঁজতে খুঁজতে প্রতিদিন কেটে গেছে। আর এখন আমি এক সপ্তাহ ছুটি পাচ্ছি! আমি আরও বেশি অনুপ্রাণিত, আরও স্বাচ্ছন্দ্য বোধ করছি এবং আমার আত্মসম্মান বাড়ছে। আমি কেবল গর্বিত।</v>
      </c>
    </row>
    <row r="503" spans="1:3" ht="15" x14ac:dyDescent="0.25">
      <c r="A503" s="3" t="s">
        <v>504</v>
      </c>
      <c r="B503" s="3" t="s">
        <v>4</v>
      </c>
      <c r="C503" s="4" t="str">
        <f ca="1">IFERROR(__xludf.DUMMYFUNCTION("GOOGLETRANSLATE(A503, ""auto"", ""bn"")"),"তো, আমার বাবা ৩০ বছরেরও বেশি সময় ধরে মাদকাসক্ত, এবং গত ৪ বছরে তিনি কিছুটা সুস্থ জীবনযাপন শুরু করেছিলেন। কিন্তু গত রাতে তিনি আমাকে ফোন করে বললেন যে তিনি আবারও মাদকাসক্ত হয়ে পড়েছেন এবং সুস্থ হওয়ার চেষ্টা করছেন। আপনি যখন এর অংশ হতে চান না, তখন আপনি কীভাব"&amp;"ে একজন আসক্ত ব্যক্তির সাথে আচরণ করবেন? তিনি আমার সারা জীবন আমাকে এত কষ্ট দিয়েছেন, আমি এমন কিছু দেখেছি যা কোনও শিশুর কখনও দেখা বা অভিজ্ঞতা করা উচিত নয়, আমাকে হতাশ করা হয়েছে, নির্যাতন করা হয়েছে, ভুলে যাওয়া হয়েছে। এখন আমি বড় হয়েছি, আমি কেবল অনুভব করত"&amp;"ে পারি যে আমি এটি আর সহ্য করতে পারছি না। আমি ভেঙে পড়েছি, কিন্তু আমি তাকে আরও কষ্ট দিতে চাই না, এই কথা বলে। তুমি কী করো বা কী বলো?")</f>
        <v>তো, আমার বাবা ৩০ বছরেরও বেশি সময় ধরে মাদকাসক্ত, এবং গত ৪ বছরে তিনি কিছুটা সুস্থ জীবনযাপন শুরু করেছিলেন। কিন্তু গত রাতে তিনি আমাকে ফোন করে বললেন যে তিনি আবারও মাদকাসক্ত হয়ে পড়েছেন এবং সুস্থ হওয়ার চেষ্টা করছেন। আপনি যখন এর অংশ হতে চান না, তখন আপনি কীভাবে একজন আসক্ত ব্যক্তির সাথে আচরণ করবেন? তিনি আমার সারা জীবন আমাকে এত কষ্ট দিয়েছেন, আমি এমন কিছু দেখেছি যা কোনও শিশুর কখনও দেখা বা অভিজ্ঞতা করা উচিত নয়, আমাকে হতাশ করা হয়েছে, নির্যাতন করা হয়েছে, ভুলে যাওয়া হয়েছে। এখন আমি বড় হয়েছি, আমি কেবল অনুভব করতে পারি যে আমি এটি আর সহ্য করতে পারছি না। আমি ভেঙে পড়েছি, কিন্তু আমি তাকে আরও কষ্ট দিতে চাই না, এই কথা বলে। তুমি কী করো বা কী বলো?</v>
      </c>
    </row>
    <row r="504" spans="1:3" ht="15" x14ac:dyDescent="0.25">
      <c r="A504" s="3" t="s">
        <v>505</v>
      </c>
      <c r="B504" s="3" t="s">
        <v>4</v>
      </c>
      <c r="C504" s="4" t="str">
        <f ca="1">IFERROR(__xludf.DUMMYFUNCTION("GOOGLETRANSLATE(A504, ""auto"", ""bn"")"),"আমার মাথায় একটা পাগলাটে আইডিয়া এসেছে। ইচ্ছাশক্তি এমন একটা জিনিস যার সাথে আমি অনেক লড়াই করি, আর আমি ভাবছি, কেউ কি কয়েক সপ্তাহ ধরে নিজেকে শারীরিকভাবে সংযত রাখার চেষ্টা করেছে? মানে, যেন পুরো দেওয়ালে বা অন্য কিছুতে বেঁধে রাখা, যতক্ষণ না আমি আর ব্যবহার করতে"&amp;" চাই। আমার এমন কাউকে দরকার যে আমাকে সহ্য করবে এবং আমার যত্ন নেবে, এবং কোনওভাবে এই সময়ের জন্য স্কুল থেকে বেরিয়ে যাবে, কিন্তু যদি এটি কাজ করে তবে আমি তা করব। অবশ্যই এটি কেবল এক ধরণের দিবাস্বপ্ন, আমি এমন কাউকে চিনি না যে এই ধরণের কিছুতে অংশগ্রহণ করতে ইচ্ছু"&amp;"ক হবে যা তাদের জন্য পাগলাটে এবং অনেক পরিশ্রমেরও, কিন্তু আমি যা জিজ্ঞাসা করছি তা হল, তোমরা কি মনে করো এটি কাজ করবে?")</f>
        <v>আমার মাথায় একটা পাগলাটে আইডিয়া এসেছে। ইচ্ছাশক্তি এমন একটা জিনিস যার সাথে আমি অনেক লড়াই করি, আর আমি ভাবছি, কেউ কি কয়েক সপ্তাহ ধরে নিজেকে শারীরিকভাবে সংযত রাখার চেষ্টা করেছে? মানে, যেন পুরো দেওয়ালে বা অন্য কিছুতে বেঁধে রাখা, যতক্ষণ না আমি আর ব্যবহার করতে চাই। আমার এমন কাউকে দরকার যে আমাকে সহ্য করবে এবং আমার যত্ন নেবে, এবং কোনওভাবে এই সময়ের জন্য স্কুল থেকে বেরিয়ে যাবে, কিন্তু যদি এটি কাজ করে তবে আমি তা করব। অবশ্যই এটি কেবল এক ধরণের দিবাস্বপ্ন, আমি এমন কাউকে চিনি না যে এই ধরণের কিছুতে অংশগ্রহণ করতে ইচ্ছুক হবে যা তাদের জন্য পাগলাটে এবং অনেক পরিশ্রমেরও, কিন্তু আমি যা জিজ্ঞাসা করছি তা হল, তোমরা কি মনে করো এটি কাজ করবে?</v>
      </c>
    </row>
    <row r="505" spans="1:3" ht="15" x14ac:dyDescent="0.25">
      <c r="A505" s="3" t="s">
        <v>506</v>
      </c>
      <c r="B505" s="3" t="s">
        <v>4</v>
      </c>
      <c r="C505" s="4" t="str">
        <f ca="1">IFERROR(__xludf.DUMMYFUNCTION("GOOGLETRANSLATE(A505, ""auto"", ""bn"")"),"সে অনেক বছর ধরে মাঝেমধ্যেই নেশাগ্রস্ত। সে আমার জৈবিক ভাই নয়, কিন্তু মূলত আমার সাথেই বড় হয়েছে। কিশোর বয়সে, সে আমার মদ্যপ মা এবং আমার সাথে বসবাস করতে শুরু করে, যখন সে তার নেশার সাথে লড়াই করছিল। আমার মা আমাকে অনেক PTSD দিয়ে রেখে যেতেন, সবসময় তার সম্পর"&amp;"্কে চিন্তিত থাকতেন। কারণ, এবং আমার ভাইও তা করত (প্রায়শই বাথরুমে মাথা নাড়িয়ে সাড়া না দেওয়ার মতো অবস্থায় চলে যেত, কিন্তু অতিরিক্ত মাত্রায় নেওয়া হত না)। আমার মা এই বছরের শুরুতে মারা যান, এবং তারপর থেকে জীবনের ট্রমা কাটিয়ে ওঠার জন্য আমি দীর্ঘ এবং কঠিন য"&amp;"াত্রা করছি। আমার ভাই তিন দিন আগে রাত ২ টায় অঘোষিতভাবে ফিরে এসেছিল, গৃহহীন এবং একটি নিরাপদ স্থানের প্রয়োজন ছিল। আমি তাকে ঘরে নিয়ে গিয়েছিলাম এবং তাকে মৌলিক জিনিসপত্র (স্নান, খাওয়ানো, পরিষ্কার কাপড়) পেতে সাহায্য করেছি। আজ তৃতীয় দিন, এবং আমি তাকে টাকার"&amp;" জন্য আমার দাদীর সাহায্য করতে বলতে পেরেছিলাম, এবং এখন একা বসে থাকাকালীন আমি ডিকম্প্রেশন এবং মানসিক চাপ কমতে অনুভব করছি। আমার মনে হচ্ছিল যে আমি এখানে থাকাকালীন সম্পর্ক থেকে বিচ্ছিন্ন এবং এক ট্রান্সে আছি; আমি স্টক এবং ক্রিপ্টো ট্রেড করি, এবং আমি খারাপ সিদ্ধ"&amp;"ান্ত নিচ্ছিলাম এবং আমার সঠিক ট্রেডিং টুল ব্যবহার না করেই, আমার ঝুঁকি সঠিকভাবে পরিচালনা না করার কারণে তিন দিনে 30% ক্ষতি হয়েছে। একটি ছোট উদাহরণ, কিন্তু আমার মনে হয় যে আমি শান্ত থাকার চেষ্টা করে এবং PTSD পর্ব এড়াতে আমার DBT দক্ষতা ব্যবহার করে এতটাই ব্যস্"&amp;"ত যে আমি উৎপাদনশীল এবং সন্তুষ্ট উভয় উপায়ে কাজ করতে পারি না। আমি অন্যান্য সমস্যাগুলির মধ্যে দীর্ঘস্থায়ী বিষণ্ণতায় ভুগছি, এবং আমার সবচেয়ে খারাপ লক্ষণগুলিকে দূরে রাখার জন্য ""জীবনযাপনের যোগ্য জীবন"" গড়ে তোলা/অংশ নেওয়া অপরিহার্য। উৎপাদনশীলতা আমার জন্য "&amp;"এর একটি বড় অংশ। আমি আমার ভাইকে অনেক ভালোবাসি, তবে, আমাদের দুজনেরই জীবন কঠিন ছিল এবং আমি এখনও 22 বছর বয়সে একা আমার জিনিসপত্র গুছিয়ে নেওয়ার জন্য যথাসাধ্য চেষ্টা করছি। আমার দাদীর বাইরে আমার কোনও পারিবারিক সহায়তা নেই, এবং তিনি সচ্ছল নন এবং বিলের কারণে যদ"&amp;"ি আমি পরিচালনা করতে না পারি তবে অতিরিক্ত খাবার এবং মৌলিক সরবরাহের মতো জিনিসগুলিতে সহায়তা করেন। তাছাড়া, পরের দিন সকালে আমি কর্মক্ষেত্রে একটি শিফট মিস করেছিলাম কারণ আমি জানতাম না যে সে কী ধরণের মানসিকতার অধিকারী, এবং যারা নেশাগ্রস্তদের চেনেন তারা অনেকেই জা"&amp;"নেন যে নেশা মানুষকে নৈতিকভাবে অসঙ্গত সিদ্ধান্ত নিতে বাধ্য করতে পারে; চুরির ইতিহাসের সাথে, আমি তার কাছ থেকে যা কিছু নিয়েছি তা নেওয়ার ঝুঁকি নিতে পারি না, আমার সাথে বিশ্বাসঘাতকতা করার ফলে তার উপর যে নেতিবাচক মানসিক প্রভাব পড়তে পারে তা জানা তো দূরের কথা (স"&amp;"ে খুব যত্নশীল ব্যক্তি)। তাছাড়া, গত কয়েকদিন ধরে আমি খুব কম ঘুমিয়েছি, যখন সে আমার সোফায় মাথা নাড়ে তখন সবসময় তার শ্বাস-প্রশ্বাসের উপর নজর রাখছি। এই মুহূর্তে তাকে আমার সাথে রাখা আমার পক্ষে খুব বেশি, যদিও সে স্পষ্ট করে দিয়েছিল যে সে ঘরে থাকার চেষ্টা করছে "&amp;"না, এবং তার কেবল এক মুহূর্তের জন্য থাকার জায়গা দরকার (তাকে ঘরে রাখতে পেরে খুশি, আমার পরিবার যে লড়াই করছে তা জানতে খারাপ লাগছে)। আমি জানি কেন সে এখানে থাকতে পারে না তা নিয়ে তার সাথে আমার কথা বলা উচিত (তার প্রতি শ্রদ্ধার কারণে, সে আমার পরিবার এবং আমার মত"&amp;"ে এই বোঝার যোগ্য), কিন্তু আমার মনে হয় আমার এমন একটি কথা বলা উচিত যাতে সে জানতে পারে যে ১) আমি তাকে ভালোবাসি ২) আমি তাকে সাহায্য পেতে দেখতে চাই (সব ইন্দ্রিয়; শুধু আসক্তি নয়) ৩) আমি তাকে ভালো থাকতে দেখতে চাই ৪) আমি খুব ছোট এবং আমার নিজের অনেক কিছুর মধ্য "&amp;"দিয়ে যাচ্ছি যাতে তাকে এই অবস্থায় প্রতিদিন দেখার চাপ না থাকে, অন্যদিকে তার পরিস্থিতি কীভাবে মোকাবেলা করতে হয় তা খুঁজে বের করার জন্য আমার মানসিক এবং যৌক্তিক সহায়তারও প্রয়োজন।")</f>
        <v>সে অনেক বছর ধরে মাঝেমধ্যেই নেশাগ্রস্ত। সে আমার জৈবিক ভাই নয়, কিন্তু মূলত আমার সাথেই বড় হয়েছে। কিশোর বয়সে, সে আমার মদ্যপ মা এবং আমার সাথে বসবাস করতে শুরু করে, যখন সে তার নেশার সাথে লড়াই করছিল। আমার মা আমাকে অনেক PTSD দিয়ে রেখে যেতেন, সবসময় তার সম্পর্কে চিন্তিত থাকতেন। কারণ, এবং আমার ভাইও তা করত (প্রায়শই বাথরুমে মাথা নাড়িয়ে সাড়া না দেওয়ার মতো অবস্থায় চলে যেত, কিন্তু অতিরিক্ত মাত্রায় নেওয়া হত না)। আমার মা এই বছরের শুরুতে মারা যান, এবং তারপর থেকে জীবনের ট্রমা কাটিয়ে ওঠার জন্য আমি দীর্ঘ এবং কঠিন যাত্রা করছি। আমার ভাই তিন দিন আগে রাত ২ টায় অঘোষিতভাবে ফিরে এসেছিল, গৃহহীন এবং একটি নিরাপদ স্থানের প্রয়োজন ছিল। আমি তাকে ঘরে নিয়ে গিয়েছিলাম এবং তাকে মৌলিক জিনিসপত্র (স্নান, খাওয়ানো, পরিষ্কার কাপড়) পেতে সাহায্য করেছি। আজ তৃতীয় দিন, এবং আমি তাকে টাকার জন্য আমার দাদীর সাহায্য করতে বলতে পেরেছিলাম, এবং এখন একা বসে থাকাকালীন আমি ডিকম্প্রেশন এবং মানসিক চাপ কমতে অনুভব করছি। আমার মনে হচ্ছিল যে আমি এখানে থাকাকালীন সম্পর্ক থেকে বিচ্ছিন্ন এবং এক ট্রান্সে আছি; আমি স্টক এবং ক্রিপ্টো ট্রেড করি, এবং আমি খারাপ সিদ্ধান্ত নিচ্ছিলাম এবং আমার সঠিক ট্রেডিং টুল ব্যবহার না করেই, আমার ঝুঁকি সঠিকভাবে পরিচালনা না করার কারণে তিন দিনে 30% ক্ষতি হয়েছে। একটি ছোট উদাহরণ, কিন্তু আমার মনে হয় যে আমি শান্ত থাকার চেষ্টা করে এবং PTSD পর্ব এড়াতে আমার DBT দক্ষতা ব্যবহার করে এতটাই ব্যস্ত যে আমি উৎপাদনশীল এবং সন্তুষ্ট উভয় উপায়ে কাজ করতে পারি না। আমি অন্যান্য সমস্যাগুলির মধ্যে দীর্ঘস্থায়ী বিষণ্ণতায় ভুগছি, এবং আমার সবচেয়ে খারাপ লক্ষণগুলিকে দূরে রাখার জন্য "জীবনযাপনের যোগ্য জীবন" গড়ে তোলা/অংশ নেওয়া অপরিহার্য। উৎপাদনশীলতা আমার জন্য এর একটি বড় অংশ। আমি আমার ভাইকে অনেক ভালোবাসি, তবে, আমাদের দুজনেরই জীবন কঠিন ছিল এবং আমি এখনও 22 বছর বয়সে একা আমার জিনিসপত্র গুছিয়ে নেওয়ার জন্য যথাসাধ্য চেষ্টা করছি। আমার দাদীর বাইরে আমার কোনও পারিবারিক সহায়তা নেই, এবং তিনি সচ্ছল নন এবং বিলের কারণে যদি আমি পরিচালনা করতে না পারি তবে অতিরিক্ত খাবার এবং মৌলিক সরবরাহের মতো জিনিসগুলিতে সহায়তা করেন। তাছাড়া, পরের দিন সকালে আমি কর্মক্ষেত্রে একটি শিফট মিস করেছিলাম কারণ আমি জানতাম না যে সে কী ধরণের মানসিকতার অধিকারী, এবং যারা নেশাগ্রস্তদের চেনেন তারা অনেকেই জানেন যে নেশা মানুষকে নৈতিকভাবে অসঙ্গত সিদ্ধান্ত নিতে বাধ্য করতে পারে; চুরির ইতিহাসের সাথে, আমি তার কাছ থেকে যা কিছু নিয়েছি তা নেওয়ার ঝুঁকি নিতে পারি না, আমার সাথে বিশ্বাসঘাতকতা করার ফলে তার উপর যে নেতিবাচক মানসিক প্রভাব পড়তে পারে তা জানা তো দূরের কথা (সে খুব যত্নশীল ব্যক্তি)। তাছাড়া, গত কয়েকদিন ধরে আমি খুব কম ঘুমিয়েছি, যখন সে আমার সোফায় মাথা নাড়ে তখন সবসময় তার শ্বাস-প্রশ্বাসের উপর নজর রাখছি। এই মুহূর্তে তাকে আমার সাথে রাখা আমার পক্ষে খুব বেশি, যদিও সে স্পষ্ট করে দিয়েছিল যে সে ঘরে থাকার চেষ্টা করছে না, এবং তার কেবল এক মুহূর্তের জন্য থাকার জায়গা দরকার (তাকে ঘরে রাখতে পেরে খুশি, আমার পরিবার যে লড়াই করছে তা জানতে খারাপ লাগছে)। আমি জানি কেন সে এখানে থাকতে পারে না তা নিয়ে তার সাথে আমার কথা বলা উচিত (তার প্রতি শ্রদ্ধার কারণে, সে আমার পরিবার এবং আমার মতে এই বোঝার যোগ্য), কিন্তু আমার মনে হয় আমার এমন একটি কথা বলা উচিত যাতে সে জানতে পারে যে ১) আমি তাকে ভালোবাসি ২) আমি তাকে সাহায্য পেতে দেখতে চাই (সব ইন্দ্রিয়; শুধু আসক্তি নয়) ৩) আমি তাকে ভালো থাকতে দেখতে চাই ৪) আমি খুব ছোট এবং আমার নিজের অনেক কিছুর মধ্য দিয়ে যাচ্ছি যাতে তাকে এই অবস্থায় প্রতিদিন দেখার চাপ না থাকে, অন্যদিকে তার পরিস্থিতি কীভাবে মোকাবেলা করতে হয় তা খুঁজে বের করার জন্য আমার মানসিক এবং যৌক্তিক সহায়তারও প্রয়োজন।</v>
      </c>
    </row>
    <row r="506" spans="1:3" ht="15" x14ac:dyDescent="0.25">
      <c r="A506" s="3" t="s">
        <v>507</v>
      </c>
      <c r="B506" s="3" t="s">
        <v>4</v>
      </c>
      <c r="C506" s="4" t="str">
        <f ca="1">IFERROR(__xludf.DUMMYFUNCTION("GOOGLETRANSLATE(A506, ""auto"", ""bn"")"),"DXM, Bezos, Opiate ঔষধ, গাঁজা এবং অ্যালকোহলের অপব্যবহারের জন্য পুনর্বাসনে পাঠানো হয়েছে এবং আমি খুব খালি অনুভব করছি, উচ্চাকাঙ্ক্ষী, বিশেষ করে DXM-এ বিচ্ছিন্ন হয়ে পড়ায় আমি খুব শান্ত ছিলাম, আমি জানতাম যে আমি পাগল হয়ে গেছি, কিন্তু আমি সবকিছুকে ভিন্ন দৃষ্"&amp;"টিকোণ থেকে দেখেছি, এখন যেহেতু আমি শান্ত, আমাকে সবকিছুকে একটি পরিষ্কার মনের মাধ্যমে দেখতে হবে যা আমাকে পর্যবেক্ষণ করতে দেয় যে আমি আসলে কতটা বাজে মানুষ এবং সবকিছু কতটা বাজে, আমার বয়স মাত্র 16 এবং আমি সম্পূর্ণরূপে হারিয়ে গেছি, সত্যি বলতে, আপনার সমস্যাগুলি"&amp;" এড়াতে DXM ব্যবহার করবেন না, এটি আপনাকে জিনিসগুলি মোকাবেলা করতে আরও অক্ষম করে তোলে।")</f>
        <v>DXM, Bezos, Opiate ঔষধ, গাঁজা এবং অ্যালকোহলের অপব্যবহারের জন্য পুনর্বাসনে পাঠানো হয়েছে এবং আমি খুব খালি অনুভব করছি, উচ্চাকাঙ্ক্ষী, বিশেষ করে DXM-এ বিচ্ছিন্ন হয়ে পড়ায় আমি খুব শান্ত ছিলাম, আমি জানতাম যে আমি পাগল হয়ে গেছি, কিন্তু আমি সবকিছুকে ভিন্ন দৃষ্টিকোণ থেকে দেখেছি, এখন যেহেতু আমি শান্ত, আমাকে সবকিছুকে একটি পরিষ্কার মনের মাধ্যমে দেখতে হবে যা আমাকে পর্যবেক্ষণ করতে দেয় যে আমি আসলে কতটা বাজে মানুষ এবং সবকিছু কতটা বাজে, আমার বয়স মাত্র 16 এবং আমি সম্পূর্ণরূপে হারিয়ে গেছি, সত্যি বলতে, আপনার সমস্যাগুলি এড়াতে DXM ব্যবহার করবেন না, এটি আপনাকে জিনিসগুলি মোকাবেলা করতে আরও অক্ষম করে তোলে।</v>
      </c>
    </row>
    <row r="507" spans="1:3" ht="15" x14ac:dyDescent="0.25">
      <c r="A507" s="3" t="s">
        <v>508</v>
      </c>
      <c r="B507" s="3" t="s">
        <v>4</v>
      </c>
      <c r="C507" s="4" t="str">
        <f ca="1">IFERROR(__xludf.DUMMYFUNCTION("GOOGLETRANSLATE(A507, ""auto"", ""bn"")"),"আমি আমার জীবনের বেশিরভাগ সময় সোশ্যাল মিডিয়ায় লোকেদের দিকে তাকিয়ে কাটিয়েছি, এবং নিজের উপর হতাশ হয়েছি এবং নিজেকে ব্যর্থ বলে মনে করেছি কারণ আমার জীবন কখনও আমার মতো আকর্ষণীয় এবং সুখী ছিল না। মানুষের আকর্ষণীয় ছবি দেখে আমি সবসময় অনিরাপদ বোধ করতাম, সবসম"&amp;"য় হতাশ বোধ করতাম কারণ আমি কোনও কিছুতে ভালো নই এবং আমার কোনও শখ নেই বা আমার নিজের মেকআপ করতে পারি না। সবসময় এমন লোকদের প্রতি ঈর্ষা করতাম যাদের অনেক বন্ধুবান্ধব এবং পরিবার আছে, যাদের বড় বাড়ি আছে, ছুটি কাটাতে যায় ইত্যাদি তাদের প্রতি ঈর্ষা করতাম, এবং আমি"&amp;" সবসময় তাদের প্রতি ঈর্ষা করতাম যারা সুখী, নিখুঁত জীবনযাপন করে সুখী সঙ্গী, সুখী পরিবার এবং বন্ধুবান্ধবদের সাথে এবং তাদের জীবন এত ইতিবাচক এবং নিখুঁত বলে মনে হত। তারপর যখন আমি পরিণত হলাম এবং বড় হলাম, আমি বুঝতে পারলাম যে লোকেরা কেবল অনলাইনে সেরা অংশগুলি পোস"&amp;"্ট করে, কিছু লোক এমনকি সম্পূর্ণ মিথ্যা পোস্ট করে, তারা তাদের জীবনকে একভাবে উপস্থাপন করে, যখন তারা সম্পূর্ণ বিপরীত হয় এবং আমি বুঝতে পেরেছিলাম যে ইন্টারনেট কেবল মিথ্যা, ধোঁয়া এবং আয়নায় পূর্ণ।")</f>
        <v>আমি আমার জীবনের বেশিরভাগ সময় সোশ্যাল মিডিয়ায় লোকেদের দিকে তাকিয়ে কাটিয়েছি, এবং নিজের উপর হতাশ হয়েছি এবং নিজেকে ব্যর্থ বলে মনে করেছি কারণ আমার জীবন কখনও আমার মতো আকর্ষণীয় এবং সুখী ছিল না। মানুষের আকর্ষণীয় ছবি দেখে আমি সবসময় অনিরাপদ বোধ করতাম, সবসময় হতাশ বোধ করতাম কারণ আমি কোনও কিছুতে ভালো নই এবং আমার কোনও শখ নেই বা আমার নিজের মেকআপ করতে পারি না। সবসময় এমন লোকদের প্রতি ঈর্ষা করতাম যাদের অনেক বন্ধুবান্ধব এবং পরিবার আছে, যাদের বড় বাড়ি আছে, ছুটি কাটাতে যায় ইত্যাদি তাদের প্রতি ঈর্ষা করতাম, এবং আমি সবসময় তাদের প্রতি ঈর্ষা করতাম যারা সুখী, নিখুঁত জীবনযাপন করে সুখী সঙ্গী, সুখী পরিবার এবং বন্ধুবান্ধবদের সাথে এবং তাদের জীবন এত ইতিবাচক এবং নিখুঁত বলে মনে হত। তারপর যখন আমি পরিণত হলাম এবং বড় হলাম, আমি বুঝতে পারলাম যে লোকেরা কেবল অনলাইনে সেরা অংশগুলি পোস্ট করে, কিছু লোক এমনকি সম্পূর্ণ মিথ্যা পোস্ট করে, তারা তাদের জীবনকে একভাবে উপস্থাপন করে, যখন তারা সম্পূর্ণ বিপরীত হয় এবং আমি বুঝতে পেরেছিলাম যে ইন্টারনেট কেবল মিথ্যা, ধোঁয়া এবং আয়নায় পূর্ণ।</v>
      </c>
    </row>
    <row r="508" spans="1:3" ht="15" x14ac:dyDescent="0.25">
      <c r="A508" s="3" t="s">
        <v>509</v>
      </c>
      <c r="B508" s="3" t="s">
        <v>4</v>
      </c>
      <c r="C508" s="4" t="str">
        <f ca="1">IFERROR(__xludf.DUMMYFUNCTION("GOOGLETRANSLATE(A508, ""auto"", ""bn"")"),"আমার ডোপামিনের অবস্থান সম্পর্কে যেকোনো তথ্যের বিনিময়ে আমি ০.৫ বিটকয়েন পুরস্কার দিচ্ছি।")</f>
        <v>আমার ডোপামিনের অবস্থান সম্পর্কে যেকোনো তথ্যের বিনিময়ে আমি ০.৫ বিটকয়েন পুরস্কার দিচ্ছি।</v>
      </c>
    </row>
    <row r="509" spans="1:3" ht="15" x14ac:dyDescent="0.25">
      <c r="A509" s="3" t="s">
        <v>510</v>
      </c>
      <c r="B509" s="3" t="s">
        <v>4</v>
      </c>
      <c r="C509" s="4" t="str">
        <f ca="1">IFERROR(__xludf.DUMMYFUNCTION("GOOGLETRANSLATE(A509, ""auto"", ""bn"")"),"আমার আবার মেথ ব্যবহার করার তীব্র ইচ্ছা হচ্ছে। সোমবার থেকে আমি আবার মেথ ব্যবহার বন্ধ করেছি। আমি বিষণ্ণ বোধ করছি, শক্তি নেই। আমার একটা অংশ বসকে বলতে চাই যে আমি কাজ ছেড়ে বাড়িতে কম্পিউটারের উপর কিছু প্রশিক্ষণ নিতে যাচ্ছি যাতে আমি ব্যবহার করতে পারি। উফ, আমি "&amp;"এই অনুভূতিকে ঘৃণা করি!")</f>
        <v>আমার আবার মেথ ব্যবহার করার তীব্র ইচ্ছা হচ্ছে। সোমবার থেকে আমি আবার মেথ ব্যবহার বন্ধ করেছি। আমি বিষণ্ণ বোধ করছি, শক্তি নেই। আমার একটা অংশ বসকে বলতে চাই যে আমি কাজ ছেড়ে বাড়িতে কম্পিউটারের উপর কিছু প্রশিক্ষণ নিতে যাচ্ছি যাতে আমি ব্যবহার করতে পারি। উফ, আমি এই অনুভূতিকে ঘৃণা করি!</v>
      </c>
    </row>
    <row r="510" spans="1:3" ht="15" x14ac:dyDescent="0.25">
      <c r="A510" s="3" t="s">
        <v>511</v>
      </c>
      <c r="B510" s="3" t="s">
        <v>4</v>
      </c>
      <c r="C510" s="4" t="str">
        <f ca="1">IFERROR(__xludf.DUMMYFUNCTION("GOOGLETRANSLATE(A510, ""auto"", ""bn"")"),"গত দুই বছর ধরে আমি এবং আমার এক বন্ধু, যার সাথে NA তে দেখা হয়েছিল, আড্ডা দিচ্ছিলাম। সে খুব শান্ত ছিল, আর আমি বেজোসকে গালিগালাজ করছিলাম এবং আরও কিছু জিনিস করতাম। গত মাসের শুরুতে আমি পুনর্বাসনে গিয়েছিলাম এবং বেজোস এবং মেথ প্রেসড অ্যাডেরাল এবং অন্যান্য গবেষ"&amp;"ণা রাসায়নিক থেকে মুক্তি পেয়েছি। আমার বন্ধু এবং আমি মাঝে মাঝেই হাঁপিয়ে যেতাম এবং মাদকের ক্ষেত্রে সে কেবল এটাই করত। মাত্র কয়েক সপ্তাহ আগে সে আমাকে বলেছিল যে সে আবার মদ্যপান শুরু করেছে, এবং আমি চিন্তিত ছিলাম কারণ সে আমাকে আগে বলেছিল যে তার মদ্যপান কতটা খ"&amp;"ারাপ, এবং সে ক্র্যাক এবং কোক পছন্দ করে। আমি ভেবেছিলাম সে প্রতিদিন এটা করবে না কিন্তু এখন প্রতি রাতে সে তার বেসমেন্টে তার স্ত্রীর কাছ থেকে চুপিচুপি মদ্যপান করে (তাদের বিবাহবিচ্ছেদের মধ্য দিয়ে যাচ্ছে) এবং এখন সে কেবল বার সহ রেস্তোরাঁয় একা খেতে যায়। সে তা"&amp;"র চাচাতো ভাইয়ের সাথে দেখা করতে যাচ্ছে যে প্রচুর কোক খায় এবং কয়েক মাস ধরে দেশের বিভিন্ন জায়গায় কাজ করতে যায়। আমার মনে হয় এটা একটা খারাপ ধারণা এবং আমি উদ্বেগ প্রকাশ করেছি কিন্তু আসলে আমি আর কী করতে পারি?")</f>
        <v>গত দুই বছর ধরে আমি এবং আমার এক বন্ধু, যার সাথে NA তে দেখা হয়েছিল, আড্ডা দিচ্ছিলাম। সে খুব শান্ত ছিল, আর আমি বেজোসকে গালিগালাজ করছিলাম এবং আরও কিছু জিনিস করতাম। গত মাসের শুরুতে আমি পুনর্বাসনে গিয়েছিলাম এবং বেজোস এবং মেথ প্রেসড অ্যাডেরাল এবং অন্যান্য গবেষণা রাসায়নিক থেকে মুক্তি পেয়েছি। আমার বন্ধু এবং আমি মাঝে মাঝেই হাঁপিয়ে যেতাম এবং মাদকের ক্ষেত্রে সে কেবল এটাই করত। মাত্র কয়েক সপ্তাহ আগে সে আমাকে বলেছিল যে সে আবার মদ্যপান শুরু করেছে, এবং আমি চিন্তিত ছিলাম কারণ সে আমাকে আগে বলেছিল যে তার মদ্যপান কতটা খারাপ, এবং সে ক্র্যাক এবং কোক পছন্দ করে। আমি ভেবেছিলাম সে প্রতিদিন এটা করবে না কিন্তু এখন প্রতি রাতে সে তার বেসমেন্টে তার স্ত্রীর কাছ থেকে চুপিচুপি মদ্যপান করে (তাদের বিবাহবিচ্ছেদের মধ্য দিয়ে যাচ্ছে) এবং এখন সে কেবল বার সহ রেস্তোরাঁয় একা খেতে যায়। সে তার চাচাতো ভাইয়ের সাথে দেখা করতে যাচ্ছে যে প্রচুর কোক খায় এবং কয়েক মাস ধরে দেশের বিভিন্ন জায়গায় কাজ করতে যায়। আমার মনে হয় এটা একটা খারাপ ধারণা এবং আমি উদ্বেগ প্রকাশ করেছি কিন্তু আসলে আমি আর কী করতে পারি?</v>
      </c>
    </row>
    <row r="511" spans="1:3" ht="15" x14ac:dyDescent="0.25">
      <c r="A511" s="3" t="s">
        <v>512</v>
      </c>
      <c r="B511" s="3" t="s">
        <v>4</v>
      </c>
      <c r="C511" s="4" t="str">
        <f ca="1">IFERROR(__xludf.DUMMYFUNCTION("GOOGLETRANSLATE(A511, ""auto"", ""bn"")"),"আমি একটা বোকা। আমার অস্থির বোধ করা পছন্দ নয়। তাই আমি প্রতিদিন ৯০ মিলিগ্রাম রিটালিন খাই। কিছু আমাকে কাজে লাগানোর জন্য, তারপর এটি ক্লান্ত হতে শুরু করে এবং আমি আরাম করতে চাই না। তারপর আরও কিছু, এবং আমরা কেবল ধ্যান করব। এটাই উৎপাদনশীলতা প্রিয়! আমি এখন খুব ব"&amp;"েশি উত্তেজিত, আমার মনে হয় দ্রুত হৃদস্পন্দন এবং টেনশন মাথাব্যথা আমার আরোহণের অংশ। এখন আমি অন্য কিছু করার পরিবর্তে মেঝেতে শুয়ে আতঙ্কিত এবং অস্থির হতে পারি। সবকিছু নিয়ে অতিরিক্ত চিন্তা করা, হয়তো সবকিছু কীভাবে ভুল হয়েছে তা নোট করা, এবং ভবিষ্যতে আমি কীভাব"&amp;"ে আরও খারাপ হতে যাচ্ছি তা দেখানোর জন্য একটি দুর্দান্ত গ্রাফ। শ্বাস-প্রশ্বাসের ব্যায়াম - কারণ আমি একজন সচেতন মানুষ, এবং সবকিছুই একটি ব্যায়াম হওয়া উচিত। অগ্রগতি হল কখনও স্থির বসে থাকা এবং আপনার রাতের স্বপ্নগুলি বাতিল করা নয়।")</f>
        <v>আমি একটা বোকা। আমার অস্থির বোধ করা পছন্দ নয়। তাই আমি প্রতিদিন ৯০ মিলিগ্রাম রিটালিন খাই। কিছু আমাকে কাজে লাগানোর জন্য, তারপর এটি ক্লান্ত হতে শুরু করে এবং আমি আরাম করতে চাই না। তারপর আরও কিছু, এবং আমরা কেবল ধ্যান করব। এটাই উৎপাদনশীলতা প্রিয়! আমি এখন খুব বেশি উত্তেজিত, আমার মনে হয় দ্রুত হৃদস্পন্দন এবং টেনশন মাথাব্যথা আমার আরোহণের অংশ। এখন আমি অন্য কিছু করার পরিবর্তে মেঝেতে শুয়ে আতঙ্কিত এবং অস্থির হতে পারি। সবকিছু নিয়ে অতিরিক্ত চিন্তা করা, হয়তো সবকিছু কীভাবে ভুল হয়েছে তা নোট করা, এবং ভবিষ্যতে আমি কীভাবে আরও খারাপ হতে যাচ্ছি তা দেখানোর জন্য একটি দুর্দান্ত গ্রাফ। শ্বাস-প্রশ্বাসের ব্যায়াম - কারণ আমি একজন সচেতন মানুষ, এবং সবকিছুই একটি ব্যায়াম হওয়া উচিত। অগ্রগতি হল কখনও স্থির বসে থাকা এবং আপনার রাতের স্বপ্নগুলি বাতিল করা নয়।</v>
      </c>
    </row>
    <row r="512" spans="1:3" ht="15" x14ac:dyDescent="0.25">
      <c r="A512" s="3" t="s">
        <v>513</v>
      </c>
      <c r="B512" s="3" t="s">
        <v>4</v>
      </c>
      <c r="C512" s="4" t="str">
        <f ca="1">IFERROR(__xludf.DUMMYFUNCTION("GOOGLETRANSLATE(A512, ""auto"", ""bn"")"),"হ্যালো। আমার বয়স ৩১ বছর, এবং প্রায় ৩ বছর ধরে আমি মেথ এবং ক্র্যাকের নেশার মধ্যে দিয়ে খারাপ অভিজ্ঞতার মধ্য দিয়ে যাচ্ছি। আমার নেশায় অনেক কিছু হারিয়েছি, যেমন একটি ভালো চাকরি এবং আমার অ্যাপার্টমেন্ট। তাছাড়া, আমি বর্তমানে একটি অর্ধ-পরিত্যক্ত বাড়িতে থাকি এবং আব"&amp;"ার চাকরিও করছি। তাছাড়া, আমার এখন ৯০ দিনেরও বেশি সময় ধরে পরিষ্কার-পরিচ্ছন্নতা আছে। এটা এখনও একটা সংগ্রাম। আমি বলব আমার জীবন অবশ্যই আরও স্থিতিশীল এবং সুগঠিত। আমি নিয়মিত খাচ্ছি এবং ঘুমাচ্ছি। যদিও আমার জীবন আশ্চর্যজনক নয়, এবং আমার সমস্যাগুলি জাদুকরীভাবে অ"&amp;"দৃশ্য হবে না কারণ আমি পরিষ্কার। আমার একটি অংশ এখনও মাদকের ""তাড়াহুড়ো"" (এবং যৌনতা) মিস করে। আমি সক্রিয় আসক্তির বিশৃঙ্খলাকেও একরকম উত্তেজনাপূর্ণ বলে মনে করেছি। আমি কি একমাত্র ব্যক্তি যিনি এইরকম অনুভব করছি? আমি সুস্থ হওয়ার অনেক সুন্দর মুহূর্ত অনুভব করেছি"&amp;", কিন্তু আমার এমন একটি অংশ আছে যা এখনও ব্যবহার করতে চায়। আমার একটি বিদ্রোহী দিকও আছে, তাই একজন ""দায়িত্বশীল"" প্রাপ্তবয়স্ক হওয়ার আমেরিকান সামাজিক মান মেনে চলা আমার পক্ষে কঠিন। তাছাড়া, আমি জানি না.... দীর্ঘ পোস্টের জন্য দুঃখিত। এই বিষয়ে আপনার কোন মতা"&amp;"মত থাকলে ধন্যবাদ।")</f>
        <v>হ্যালো। আমার বয়স ৩১ বছর, এবং প্রায় ৩ বছর ধরে আমি মেথ এবং ক্র্যাকের নেশার মধ্যে দিয়ে খারাপ অভিজ্ঞতার মধ্য দিয়ে যাচ্ছি। আমার নেশায় অনেক কিছু হারিয়েছি, যেমন একটি ভালো চাকরি এবং আমার অ্যাপার্টমেন্ট। তাছাড়া, আমি বর্তমানে একটি অর্ধ-পরিত্যক্ত বাড়িতে থাকি এবং আবার চাকরিও করছি। তাছাড়া, আমার এখন ৯০ দিনেরও বেশি সময় ধরে পরিষ্কার-পরিচ্ছন্নতা আছে। এটা এখনও একটা সংগ্রাম। আমি বলব আমার জীবন অবশ্যই আরও স্থিতিশীল এবং সুগঠিত। আমি নিয়মিত খাচ্ছি এবং ঘুমাচ্ছি। যদিও আমার জীবন আশ্চর্যজনক নয়, এবং আমার সমস্যাগুলি জাদুকরীভাবে অদৃশ্য হবে না কারণ আমি পরিষ্কার। আমার একটি অংশ এখনও মাদকের "তাড়াহুড়ো" (এবং যৌনতা) মিস করে। আমি সক্রিয় আসক্তির বিশৃঙ্খলাকেও একরকম উত্তেজনাপূর্ণ বলে মনে করেছি। আমি কি একমাত্র ব্যক্তি যিনি এইরকম অনুভব করছি? আমি সুস্থ হওয়ার অনেক সুন্দর মুহূর্ত অনুভব করেছি, কিন্তু আমার এমন একটি অংশ আছে যা এখনও ব্যবহার করতে চায়। আমার একটি বিদ্রোহী দিকও আছে, তাই একজন "দায়িত্বশীল" প্রাপ্তবয়স্ক হওয়ার আমেরিকান সামাজিক মান মেনে চলা আমার পক্ষে কঠিন। তাছাড়া, আমি জানি না.... দীর্ঘ পোস্টের জন্য দুঃখিত। এই বিষয়ে আপনার কোন মতামত থাকলে ধন্যবাদ।</v>
      </c>
    </row>
    <row r="513" spans="1:3" ht="15" x14ac:dyDescent="0.25">
      <c r="A513" s="3" t="s">
        <v>514</v>
      </c>
      <c r="B513" s="3" t="s">
        <v>4</v>
      </c>
      <c r="C513" s="4" t="str">
        <f ca="1">IFERROR(__xludf.DUMMYFUNCTION("GOOGLETRANSLATE(A513, ""auto"", ""bn"")"),"আমাকে হাসপাতালে ভর্তি পুনর্বাসনের জন্য অপেক্ষমাণ তালিকায় রাখা হয়েছিল। এতে আমার কোনও খরচ হবে না। আমার ২১শে ফেব্রুয়ারী যাওয়ার কথা। কিন্তু... আমি ৭ই জানুয়ারী নতুন চাকরি শুরু করেছি। আমি নিশ্চিত নই যে এই পরিস্থিতি কীভাবে সামলাবো এবং এমনকি নিশ্চিত নই যে আম"&amp;"ার স্বামী/স্ত্রী আমার যাওয়ার ইচ্ছাকে সমর্থন করবে। কোন পরামর্শ বা পরামর্শ? গত ২২ মাস ধরে আমার পছন্দের ওষুধ হল মেথ।")</f>
        <v>আমাকে হাসপাতালে ভর্তি পুনর্বাসনের জন্য অপেক্ষমাণ তালিকায় রাখা হয়েছিল। এতে আমার কোনও খরচ হবে না। আমার ২১শে ফেব্রুয়ারী যাওয়ার কথা। কিন্তু... আমি ৭ই জানুয়ারী নতুন চাকরি শুরু করেছি। আমি নিশ্চিত নই যে এই পরিস্থিতি কীভাবে সামলাবো এবং এমনকি নিশ্চিত নই যে আমার স্বামী/স্ত্রী আমার যাওয়ার ইচ্ছাকে সমর্থন করবে। কোন পরামর্শ বা পরামর্শ? গত ২২ মাস ধরে আমার পছন্দের ওষুধ হল মেথ।</v>
      </c>
    </row>
    <row r="514" spans="1:3" ht="15" x14ac:dyDescent="0.25">
      <c r="A514" s="3" t="s">
        <v>515</v>
      </c>
      <c r="B514" s="3" t="s">
        <v>4</v>
      </c>
      <c r="C514" s="4" t="str">
        <f ca="1">IFERROR(__xludf.DUMMYFUNCTION("GOOGLETRANSLATE(A514, ""auto"", ""bn"")"),"আমি বুঝতে পারছি যে আমি মাদকের প্রতি নয়, মানসিকতার পরিবর্তনে আসক্ত। সম্পূর্ণরূপে নিঃস্ব হওয়া আমার কাছে একটি বিদেশী ধারণা বলে মনে হচ্ছে। যদি এটি এক জিনিস না হয় তবে এটি অন্য জিনিস। আমার স্কিজোফ্রেনিয়া আছে এবং সম্প্রতি আগাছা ছেড়ে দিয়েছি কিন্তু এখনও প্রত"&amp;"িদিন 3 মিলিগ্রাম ক্লোনোপিন (প্রেসক্রিপশন), ভাইভান্স, অ্যাডেরাল এবং গ্যাবাপেন্টিন গ্রহণ করছি। আমি এমন পর্যায়ে পৌঁছেছি যে এই সমস্ত ওষুধ গ্রহণের সময় আমি মানসিকতার পরিবর্তন লক্ষ্যও করি না। একজন আসক্ত ব্যক্তির জন্য কোন টিপস, যদি মানসিকতার পরিবর্তন হয় তবে কো"&amp;"নও ডাক্তার নেই? অন্য কেউ কি এইরকম? আমি মাদকের জন্য আবর্জনার পাত্রের মতো অনুভব করি এবং সহায়তা ব্যবহার করতে পারি")</f>
        <v>আমি বুঝতে পারছি যে আমি মাদকের প্রতি নয়, মানসিকতার পরিবর্তনে আসক্ত। সম্পূর্ণরূপে নিঃস্ব হওয়া আমার কাছে একটি বিদেশী ধারণা বলে মনে হচ্ছে। যদি এটি এক জিনিস না হয় তবে এটি অন্য জিনিস। আমার স্কিজোফ্রেনিয়া আছে এবং সম্প্রতি আগাছা ছেড়ে দিয়েছি কিন্তু এখনও প্রতিদিন 3 মিলিগ্রাম ক্লোনোপিন (প্রেসক্রিপশন), ভাইভান্স, অ্যাডেরাল এবং গ্যাবাপেন্টিন গ্রহণ করছি। আমি এমন পর্যায়ে পৌঁছেছি যে এই সমস্ত ওষুধ গ্রহণের সময় আমি মানসিকতার পরিবর্তন লক্ষ্যও করি না। একজন আসক্ত ব্যক্তির জন্য কোন টিপস, যদি মানসিকতার পরিবর্তন হয় তবে কোনও ডাক্তার নেই? অন্য কেউ কি এইরকম? আমি মাদকের জন্য আবর্জনার পাত্রের মতো অনুভব করি এবং সহায়তা ব্যবহার করতে পারি</v>
      </c>
    </row>
    <row r="515" spans="1:3" ht="15" x14ac:dyDescent="0.25">
      <c r="A515" s="3" t="s">
        <v>516</v>
      </c>
      <c r="B515" s="3" t="s">
        <v>4</v>
      </c>
      <c r="C515" s="4" t="str">
        <f ca="1">IFERROR(__xludf.DUMMYFUNCTION("GOOGLETRANSLATE(A515, ""auto"", ""bn"")"),"আপনি কি এখানে এমন কারো জন্য ইতিবাচক কিছু পোস্ট করতে পারেন যার এটির প্রয়োজন, এমনকি আপনার জন্যও? হয়তো আপনি এই পৃষ্ঠায় ফিরে আসতে পারেন এবং যখন আপনার এটির প্রয়োজন হবে তখন এটি আবার পড়তে পারেন? এছাড়াও, অন্যরাও সাহায্যের জন্য এগিয়ে আসতে পারেন। যদি এর জন্য অন্য"&amp;" কোনও জায়গা থাকে, তাহলে দয়া করে পরামর্শ দিন।")</f>
        <v>আপনি কি এখানে এমন কারো জন্য ইতিবাচক কিছু পোস্ট করতে পারেন যার এটির প্রয়োজন, এমনকি আপনার জন্যও? হয়তো আপনি এই পৃষ্ঠায় ফিরে আসতে পারেন এবং যখন আপনার এটির প্রয়োজন হবে তখন এটি আবার পড়তে পারেন? এছাড়াও, অন্যরাও সাহায্যের জন্য এগিয়ে আসতে পারেন। যদি এর জন্য অন্য কোনও জায়গা থাকে, তাহলে দয়া করে পরামর্শ দিন।</v>
      </c>
    </row>
    <row r="516" spans="1:3" ht="15" x14ac:dyDescent="0.25">
      <c r="A516" s="3" t="s">
        <v>517</v>
      </c>
      <c r="B516" s="3" t="s">
        <v>4</v>
      </c>
      <c r="C516" s="4" t="str">
        <f ca="1">IFERROR(__xludf.DUMMYFUNCTION("GOOGLETRANSLATE(A516, ""auto"", ""bn"")"),"আমি নিকোটিন ছাড়ার আমার প্রচেষ্টার প্রতিদিন রেকর্ড করার সিদ্ধান্ত নিয়েছি। আমি প্রতিদিন এটি শেয়ার করার পরিকল্পনা করছি এবং প্রতিদিনের লগে যোগ করার চেষ্টা করছি যাতে লোকেরা আমাকে জবাবদিহি করতে পারে। নিকোটিন ছাড়ার প্রথম দিন: আমি আমার জীবনের সবচেয়ে উন্মাদনা অ"&amp;"নুভব করি। আমার শরীর ক্রমাগত হাইপারঅ্যাকটিভিটি এবং সচেতনতার অবস্থায় আনা হয়েছে, তবে আমি আমার ইচ্ছার চেয়ে সম্ভবত 75% নির্ভুলতার সাথে ক্রিয়া প্রতিযোগিতা করি। আমি 10 টুকরো চুইংগাম ছুঁড়ে ফেলেছি (এবং গুনছি) এবং আমার হাতে একটি ঝাঁকুনি তৈরি হয়েছে যা একেবারেই"&amp;" নিষ্ঠুর। আমাকে বলা হয়েছে যে আমি বেশ কয়েকজন সহকর্মীর দ্বারা ক্লান্ত দেখাচ্ছি তবে আমি জেগে আছি, যেন আমার চোখ আমার মাথা থেকে বেরিয়ে আসছে। তদুপরি, আমি বাক্য তৈরি করি কিন্তু অন্তর্দৃষ্টিপূর্ণ প্রতিক্রিয়া তৈরি করি না যা আমি মানুষের সাথেও কামনা করি। তদুপরি,"&amp;" আমি 100+ বার আমার মুখ স্পর্শ করেছি, কিন্তু ক্রমাগত অতৃপ্ত বোধ করি। আমার শরীরকে মুছে ফেলার চেষ্টা করার জন্য এবং আগামীকাল আবার কষ্ট পাওয়ার জন্য কিছু ভাল বিশ্রাম নেওয়ার জন্য জিমে যাচ্ছি। যদিও এটি বিষণ্ণ ASF, আমি আসলে ছেড়ে দেওয়ার এবং শক্তিশালী হওয়ার জন্"&amp;"য উৎসাহী নই!")</f>
        <v>আমি নিকোটিন ছাড়ার আমার প্রচেষ্টার প্রতিদিন রেকর্ড করার সিদ্ধান্ত নিয়েছি। আমি প্রতিদিন এটি শেয়ার করার পরিকল্পনা করছি এবং প্রতিদিনের লগে যোগ করার চেষ্টা করছি যাতে লোকেরা আমাকে জবাবদিহি করতে পারে। নিকোটিন ছাড়ার প্রথম দিন: আমি আমার জীবনের সবচেয়ে উন্মাদনা অনুভব করি। আমার শরীর ক্রমাগত হাইপারঅ্যাকটিভিটি এবং সচেতনতার অবস্থায় আনা হয়েছে, তবে আমি আমার ইচ্ছার চেয়ে সম্ভবত 75% নির্ভুলতার সাথে ক্রিয়া প্রতিযোগিতা করি। আমি 10 টুকরো চুইংগাম ছুঁড়ে ফেলেছি (এবং গুনছি) এবং আমার হাতে একটি ঝাঁকুনি তৈরি হয়েছে যা একেবারেই নিষ্ঠুর। আমাকে বলা হয়েছে যে আমি বেশ কয়েকজন সহকর্মীর দ্বারা ক্লান্ত দেখাচ্ছি তবে আমি জেগে আছি, যেন আমার চোখ আমার মাথা থেকে বেরিয়ে আসছে। তদুপরি, আমি বাক্য তৈরি করি কিন্তু অন্তর্দৃষ্টিপূর্ণ প্রতিক্রিয়া তৈরি করি না যা আমি মানুষের সাথেও কামনা করি। তদুপরি, আমি 100+ বার আমার মুখ স্পর্শ করেছি, কিন্তু ক্রমাগত অতৃপ্ত বোধ করি। আমার শরীরকে মুছে ফেলার চেষ্টা করার জন্য এবং আগামীকাল আবার কষ্ট পাওয়ার জন্য কিছু ভাল বিশ্রাম নেওয়ার জন্য জিমে যাচ্ছি। যদিও এটি বিষণ্ণ ASF, আমি আসলে ছেড়ে দেওয়ার এবং শক্তিশালী হওয়ার জন্য উৎসাহী নই!</v>
      </c>
    </row>
    <row r="517" spans="1:3" ht="15" x14ac:dyDescent="0.25">
      <c r="A517" s="3" t="s">
        <v>518</v>
      </c>
      <c r="B517" s="3" t="s">
        <v>4</v>
      </c>
      <c r="C517" s="4" t="str">
        <f ca="1">IFERROR(__xludf.DUMMYFUNCTION("GOOGLETRANSLATE(A517, ""auto"", ""bn"")"),"আমি IAEA-তে জমা দেওয়ার চেষ্টা করেছি কিন্তু এখানে এটি আরও ভালোভাবে মানানসই হতে পারে। আমি একজন ২০ বছর বয়সী পলি-আসক্ত যে জীবনের সাথে লড়াই করছে। আমাকে কিছু জিজ্ঞাসা করুন! শিরোনামে যেমন বলা হয়েছে; আমি একজন ২০ বছর বয়সী পুরুষ যে বর্তমানে বেনজোডিয়াজেপাইন, ও"&amp;"পিয়েটস এবং সম্ভবত অ্যালকোহলে আসক্ত, যদি আমি নিজের সাথে সৎ থাকতে চাই। আমি এখন পর্যন্ত একটি ধারাবাহিক জীবনধারা (কাজ এবং SHT। বর্তমানে আমার নিজের উপর জীবনযাপন) বজায় রাখতে সক্ষম হয়েছি। কিন্তু আমার প্রাক্তন বান্ধবী আমাকে ছেড়ে চলে যাওয়ার পর থেকে সবকিছু খার"&amp;"াপের দিকে যাচ্ছে। আমি আমার চাকরি হারাতে যাচ্ছি, আমি একজন আসক্ত এবং সবচেয়ে খারাপ বিষয় হল আমার কাছের কেউ আমার সংগ্রাম সম্পর্কে জানে না। এটি কেবল আসক্তি নয়, আমি তীব্র হতাশা/উদ্বেগ এবং চরম একাকীত্বে ভুগছি যেহেতু আমি কোভিডের সময় আমার বাবা-মায়ের বাড়ি ছেড়"&amp;"ে চলে এসেছি এবং কোনও নতুন লোকের সাথে পরিচিত হইনি, সম্ভবত আমার সহকর্মীদের সাথে দেখা করতে পারি, তবে তারা বেশিরভাগই ৪০ থেকে ৫০ এর দশকের মধ্যে। আমি প্রতিদিন বেজোসকে নিচ্ছি, সামর্থ্য থাকলে আফিম খাচ্ছি এবং প্রায় প্রতিদিনই পান করছি। সেই বিচ্ছেদের পর থেকে আমার জী"&amp;"বন নিম্নগামী হয়ে উঠছে।")</f>
        <v>আমি IAEA-তে জমা দেওয়ার চেষ্টা করেছি কিন্তু এখানে এটি আরও ভালোভাবে মানানসই হতে পারে। আমি একজন ২০ বছর বয়সী পলি-আসক্ত যে জীবনের সাথে লড়াই করছে। আমাকে কিছু জিজ্ঞাসা করুন! শিরোনামে যেমন বলা হয়েছে; আমি একজন ২০ বছর বয়সী পুরুষ যে বর্তমানে বেনজোডিয়াজেপাইন, ওপিয়েটস এবং সম্ভবত অ্যালকোহলে আসক্ত, যদি আমি নিজের সাথে সৎ থাকতে চাই। আমি এখন পর্যন্ত একটি ধারাবাহিক জীবনধারা (কাজ এবং SHT। বর্তমানে আমার নিজের উপর জীবনযাপন) বজায় রাখতে সক্ষম হয়েছি। কিন্তু আমার প্রাক্তন বান্ধবী আমাকে ছেড়ে চলে যাওয়ার পর থেকে সবকিছু খারাপের দিকে যাচ্ছে। আমি আমার চাকরি হারাতে যাচ্ছি, আমি একজন আসক্ত এবং সবচেয়ে খারাপ বিষয় হল আমার কাছের কেউ আমার সংগ্রাম সম্পর্কে জানে না। এটি কেবল আসক্তি নয়, আমি তীব্র হতাশা/উদ্বেগ এবং চরম একাকীত্বে ভুগছি যেহেতু আমি কোভিডের সময় আমার বাবা-মায়ের বাড়ি ছেড়ে চলে এসেছি এবং কোনও নতুন লোকের সাথে পরিচিত হইনি, সম্ভবত আমার সহকর্মীদের সাথে দেখা করতে পারি, তবে তারা বেশিরভাগই ৪০ থেকে ৫০ এর দশকের মধ্যে। আমি প্রতিদিন বেজোসকে নিচ্ছি, সামর্থ্য থাকলে আফিম খাচ্ছি এবং প্রায় প্রতিদিনই পান করছি। সেই বিচ্ছেদের পর থেকে আমার জীবন নিম্নগামী হয়ে উঠছে।</v>
      </c>
    </row>
    <row r="518" spans="1:3" ht="15" x14ac:dyDescent="0.25">
      <c r="A518" s="3" t="s">
        <v>519</v>
      </c>
      <c r="B518" s="3" t="s">
        <v>4</v>
      </c>
      <c r="C518" s="4" t="str">
        <f ca="1">IFERROR(__xludf.DUMMYFUNCTION("GOOGLETRANSLATE(A518, ""auto"", ""bn"")"),"আমি বিশ্বাস করতে পারছি না যে আমি কি করেছি, আমি মাত্র ৪টি কোডিন ৩০ মিলিগ্রাম খেয়েছি এবং কেন আমার আগাছা শেষ হয়ে গেছে তা বুঝতে পারছি না, ধূমপান করতে এবং ঘুমাতে সাহায্য করার জন্য, এবং আমার ঘরে এই কোডিনের বাক্সটি ছিল যা আমি কাউকে বিক্রি করার কথা ভেবেছিলাম, ক"&amp;"িন্তু তারা বাতিল করে দিয়েছে। তাই আমি স্পষ্টতই গিয়ে ৪টি ফেলেছি যখন তাদের মৃত্যু হয়েছে তখন আমার মনে ইতিমধ্যেই একটা চরম অপরাধবোধ কাজ করছে। আমি আক্ষরিক অর্থেই ১৬ বছর বয়সী, এবং মঙ্গলবার আমি ওপিওয়েড খাচ্ছি, আমি মরতে চাই। STG সম্পাদনা: আমি কিছুই অনুভব করতে "&amp;"পারছি না তাই আরও ২টি খেয়েছি তারপর বুঝতে পেরেছি যে এটি ১৮০ মিলিগ্রামের মতো একটি উল্লেখযোগ্য বৃদ্ধি, তাই না? তাছাড়া, আমি খুব লজ্জিত এবং আমি খুব দুঃখিত।")</f>
        <v>আমি বিশ্বাস করতে পারছি না যে আমি কি করেছি, আমি মাত্র ৪টি কোডিন ৩০ মিলিগ্রাম খেয়েছি এবং কেন আমার আগাছা শেষ হয়ে গেছে তা বুঝতে পারছি না, ধূমপান করতে এবং ঘুমাতে সাহায্য করার জন্য, এবং আমার ঘরে এই কোডিনের বাক্সটি ছিল যা আমি কাউকে বিক্রি করার কথা ভেবেছিলাম, কিন্তু তারা বাতিল করে দিয়েছে। তাই আমি স্পষ্টতই গিয়ে ৪টি ফেলেছি যখন তাদের মৃত্যু হয়েছে তখন আমার মনে ইতিমধ্যেই একটা চরম অপরাধবোধ কাজ করছে। আমি আক্ষরিক অর্থেই ১৬ বছর বয়সী, এবং মঙ্গলবার আমি ওপিওয়েড খাচ্ছি, আমি মরতে চাই। STG সম্পাদনা: আমি কিছুই অনুভব করতে পারছি না তাই আরও ২টি খেয়েছি তারপর বুঝতে পেরেছি যে এটি ১৮০ মিলিগ্রামের মতো একটি উল্লেখযোগ্য বৃদ্ধি, তাই না? তাছাড়া, আমি খুব লজ্জিত এবং আমি খুব দুঃখিত।</v>
      </c>
    </row>
    <row r="519" spans="1:3" ht="15" x14ac:dyDescent="0.25">
      <c r="A519" s="3" t="s">
        <v>520</v>
      </c>
      <c r="B519" s="3" t="s">
        <v>4</v>
      </c>
      <c r="C519" s="4" t="str">
        <f ca="1">IFERROR(__xludf.DUMMYFUNCTION("GOOGLETRANSLATE(A519, ""auto"", ""bn"")"),"আমি একজন স্বার্থপর এবং পাগল মানুষ। আমার ভেতরের এবং বাইরের সকল দিক থেকেই চাপ আছে। তাছাড়া, আমি একটা বিষাক্ত ধোঁয়াশায় আচ্ছন্ন বোধ করি যা সাময়িকভাবে এই চাপগুলিকে আড়াল করে রাখে কিন্তু এই প্রক্রিয়ায় আমাকে শ্বাসরোধ করে। তাছাড়া, আমি অন্যদেরকে বালতিতে কাঁক"&amp;"ড়ার মতো টেনে নামিয়ে ফেলি। তাছাড়া, আমি আমার সম্পর্কে অন্যদের প্রত্যাশা এবং নিজের সম্পর্কে আমার নিজের প্রত্যাশা পূরণ করতে ব্যর্থ হই। কিন্তু আমি চালিয়ে যাব।")</f>
        <v>আমি একজন স্বার্থপর এবং পাগল মানুষ। আমার ভেতরের এবং বাইরের সকল দিক থেকেই চাপ আছে। তাছাড়া, আমি একটা বিষাক্ত ধোঁয়াশায় আচ্ছন্ন বোধ করি যা সাময়িকভাবে এই চাপগুলিকে আড়াল করে রাখে কিন্তু এই প্রক্রিয়ায় আমাকে শ্বাসরোধ করে। তাছাড়া, আমি অন্যদেরকে বালতিতে কাঁকড়ার মতো টেনে নামিয়ে ফেলি। তাছাড়া, আমি আমার সম্পর্কে অন্যদের প্রত্যাশা এবং নিজের সম্পর্কে আমার নিজের প্রত্যাশা পূরণ করতে ব্যর্থ হই। কিন্তু আমি চালিয়ে যাব।</v>
      </c>
    </row>
    <row r="520" spans="1:3" ht="15" x14ac:dyDescent="0.25">
      <c r="A520" s="3" t="s">
        <v>521</v>
      </c>
      <c r="B520" s="3" t="s">
        <v>4</v>
      </c>
      <c r="C520" s="4" t="str">
        <f ca="1">IFERROR(__xludf.DUMMYFUNCTION("GOOGLETRANSLATE(A520, ""auto"", ""bn"")"),"আমি সম্ভবত ১৫ বছর বয়স থেকেই মোটামুটি নিয়মিত ভিডিও গেম খেলছি। আমার বয়স এখন ৩৮, এবং আমি এখনও এটা থেকে মুক্তি পাচ্ছি না যে যদি আমার ""অবসর"" সময় থাকে তাহলে আমি গেম খেলে সময় কাটাই। আমি আমার দিনটিকে এমনভাবে সাজানোর চেষ্টা করি যাতে আমি কিছু কাজ খুঁজে বের ক"&amp;"রতে পারি এবং জিমে যেতে পারি অথবা ব্যায়াম করতে পারি, কিন্তু দিনের শেষে আমি বুঝতে পারি যে আমি আসলে সেই দিনটিকে গেম খেলে সময় কাটাচ্ছি। এটি বিশেষ করে কাজের পথে বাধা হয়ে দাঁড়ায় না, তবে আমি আমার জীবনের এমন এক পর্যায়ে আছি যেখানে আমি মাঝপথে পৌঁছে যাচ্ছি এবং"&amp;" আমি সত্যিই আমার জীবনের দিকে ফিরে তাকাতে চাই না এবং মনে করতে চাই না যে আমি কম্পিউটারের উপর পিক্সেল ঘুরিয়ে কাটিয়েছি একধরনের সম্মোহনী একঘেয়েমি দমনের জন্য। মূলত এভাবেই আমি আমার বিশ্ববিদ্যালয়ের বছরগুলি কাটিয়েছি। পিছনে ফিরে তাকালে, আমি মনে করতে পারি যে আম"&amp;"ি সেই সময়টিকে সম্পূর্ণরূপে নষ্ট করেছি যখন আমি বন্ধু তৈরি করতে এবং মেয়েদের সাথে দেখা করতে পারতাম, আমি কেবল একা বসে ছিলাম। আমার মনে হয় এখানে পোস্ট করার কারণ হল আমি ঠিক করতে পারছি না যে, আমার আসল আসক্তি কি আরাম-আয়েশ, নাকি এটা গেমস। অবশ্যই মনে হয় যে আমি "&amp;"যখন একা থাকি তখন গেমসই আমার কাছে একটা জিনিস, কিন্তু যদি আমি আমার জীবন থেকে এগুলো বাদ দেই তাহলে কি এটা আরও ভালো হবে? নাকি আমি কি অন্য কোনও অর্থহীন শখের দিকে ঝুঁকবো? এখানে কি কেউ এই অভিজ্ঞতা অর্জন করেছে এবং এগিয়ে গেছে? নাকি এটা এমন কিছু যা নিয়ে আমার চিন্ত"&amp;"া করা উচিত নয়?")</f>
        <v>আমি সম্ভবত ১৫ বছর বয়স থেকেই মোটামুটি নিয়মিত ভিডিও গেম খেলছি। আমার বয়স এখন ৩৮, এবং আমি এখনও এটা থেকে মুক্তি পাচ্ছি না যে যদি আমার "অবসর" সময় থাকে তাহলে আমি গেম খেলে সময় কাটাই। আমি আমার দিনটিকে এমনভাবে সাজানোর চেষ্টা করি যাতে আমি কিছু কাজ খুঁজে বের করতে পারি এবং জিমে যেতে পারি অথবা ব্যায়াম করতে পারি, কিন্তু দিনের শেষে আমি বুঝতে পারি যে আমি আসলে সেই দিনটিকে গেম খেলে সময় কাটাচ্ছি। এটি বিশেষ করে কাজের পথে বাধা হয়ে দাঁড়ায় না, তবে আমি আমার জীবনের এমন এক পর্যায়ে আছি যেখানে আমি মাঝপথে পৌঁছে যাচ্ছি এবং আমি সত্যিই আমার জীবনের দিকে ফিরে তাকাতে চাই না এবং মনে করতে চাই না যে আমি কম্পিউটারের উপর পিক্সেল ঘুরিয়ে কাটিয়েছি একধরনের সম্মোহনী একঘেয়েমি দমনের জন্য। মূলত এভাবেই আমি আমার বিশ্ববিদ্যালয়ের বছরগুলি কাটিয়েছি। পিছনে ফিরে তাকালে, আমি মনে করতে পারি যে আমি সেই সময়টিকে সম্পূর্ণরূপে নষ্ট করেছি যখন আমি বন্ধু তৈরি করতে এবং মেয়েদের সাথে দেখা করতে পারতাম, আমি কেবল একা বসে ছিলাম। আমার মনে হয় এখানে পোস্ট করার কারণ হল আমি ঠিক করতে পারছি না যে, আমার আসল আসক্তি কি আরাম-আয়েশ, নাকি এটা গেমস। অবশ্যই মনে হয় যে আমি যখন একা থাকি তখন গেমসই আমার কাছে একটা জিনিস, কিন্তু যদি আমি আমার জীবন থেকে এগুলো বাদ দেই তাহলে কি এটা আরও ভালো হবে? নাকি আমি কি অন্য কোনও অর্থহীন শখের দিকে ঝুঁকবো? এখানে কি কেউ এই অভিজ্ঞতা অর্জন করেছে এবং এগিয়ে গেছে? নাকি এটা এমন কিছু যা নিয়ে আমার চিন্তা করা উচিত নয়?</v>
      </c>
    </row>
    <row r="521" spans="1:3" ht="15" x14ac:dyDescent="0.25">
      <c r="A521" s="3" t="s">
        <v>522</v>
      </c>
      <c r="B521" s="3" t="s">
        <v>4</v>
      </c>
      <c r="C521" s="4" t="str">
        <f ca="1">IFERROR(__xludf.DUMMYFUNCTION("GOOGLETRANSLATE(A521, ""auto"", ""bn"")"),"তাহলে। এখন আমার সময় এসেছে থামার। আচ্ছা। ৬ মাস আগেও আমার সময় ছিল এবং আমি প্রতি ৩ দিন পর পর থামি? আমি একাধিক মাদক সেবনকারী। গত মাস পর্যন্ত আমি ""আসক্ত"" বলতাম না? আর কে এই বাজে শব্দটি ব্যবহার করতে চায় যতক্ষণ না তারা তাদের ভূতদের চোখে দেখতে প্রস্তুত হয়? "&amp;"আমার সবসময় অতিরিক্ত সেবনের সমস্যা ছিল কিন্তু এক মাস বা তারও বেশি সময় ধরে আমি কিছু না করেই থাকতে পারতাম। এবং তারপর আমাকে বিনোদনের জন্য অন্যান্য জিনিস ব্যবহার শুরু করার জন্য চাপ দেওয়া হয়েছিল এবং এখন আমি এটি এবং মদকে মোকাবেলা করার পদ্ধতি হিসাবে ব্যবহার ক"&amp;"রি। আমি কি বলতে ভুলে গেছি যে আমার GAD এবং উচ্চ কার্যকারিতা উদ্বেগ আছে? ওহ, এবং ২৩ বছরের এক আসক্ত এবং নার্সিসিস্টের সাথে সম্পর্ক ছিন্ন করেছি।")</f>
        <v>তাহলে। এখন আমার সময় এসেছে থামার। আচ্ছা। ৬ মাস আগেও আমার সময় ছিল এবং আমি প্রতি ৩ দিন পর পর থামি? আমি একাধিক মাদক সেবনকারী। গত মাস পর্যন্ত আমি "আসক্ত" বলতাম না? আর কে এই বাজে শব্দটি ব্যবহার করতে চায় যতক্ষণ না তারা তাদের ভূতদের চোখে দেখতে প্রস্তুত হয়? আমার সবসময় অতিরিক্ত সেবনের সমস্যা ছিল কিন্তু এক মাস বা তারও বেশি সময় ধরে আমি কিছু না করেই থাকতে পারতাম। এবং তারপর আমাকে বিনোদনের জন্য অন্যান্য জিনিস ব্যবহার শুরু করার জন্য চাপ দেওয়া হয়েছিল এবং এখন আমি এটি এবং মদকে মোকাবেলা করার পদ্ধতি হিসাবে ব্যবহার করি। আমি কি বলতে ভুলে গেছি যে আমার GAD এবং উচ্চ কার্যকারিতা উদ্বেগ আছে? ওহ, এবং ২৩ বছরের এক আসক্ত এবং নার্সিসিস্টের সাথে সম্পর্ক ছিন্ন করেছি।</v>
      </c>
    </row>
    <row r="522" spans="1:3" ht="15" x14ac:dyDescent="0.25">
      <c r="A522" s="3" t="s">
        <v>523</v>
      </c>
      <c r="B522" s="3" t="s">
        <v>4</v>
      </c>
      <c r="C522" s="4" t="str">
        <f ca="1">IFERROR(__xludf.DUMMYFUNCTION("GOOGLETRANSLATE(A522, ""auto"", ""bn"")"),"চরম আফিম আসক্তি থেকে দীর্ঘমেয়াদী সেরে ওঠার পথে থাকা যে কারো জন্য প্রশ্ন আমার আরোগ্য লাভের পথে অনেকটা এগিয়েছি, কিন্তু এখনও মনে হচ্ছে যেন কেউ আমার জীবনের উপর রঙ তুলি দিয়ে সবকিছুতে একটা বড় দাগ ফেলে দিয়েছে। অনেক দিন ধরেই এমনটা অনুভব করছি। তুমি কি কখনও স্"&amp;"বাভাবিক বোধ করতে পারো? আসক্ত হওয়ার আগে যেমন ছিলে তেমনই?")</f>
        <v>চরম আফিম আসক্তি থেকে দীর্ঘমেয়াদী সেরে ওঠার পথে থাকা যে কারো জন্য প্রশ্ন আমার আরোগ্য লাভের পথে অনেকটা এগিয়েছি, কিন্তু এখনও মনে হচ্ছে যেন কেউ আমার জীবনের উপর রঙ তুলি দিয়ে সবকিছুতে একটা বড় দাগ ফেলে দিয়েছে। অনেক দিন ধরেই এমনটা অনুভব করছি। তুমি কি কখনও স্বাভাবিক বোধ করতে পারো? আসক্ত হওয়ার আগে যেমন ছিলে তেমনই?</v>
      </c>
    </row>
    <row r="523" spans="1:3" ht="15" x14ac:dyDescent="0.25">
      <c r="A523" s="3" t="s">
        <v>524</v>
      </c>
      <c r="B523" s="3" t="s">
        <v>4</v>
      </c>
      <c r="C523" s="4" t="str">
        <f ca="1">IFERROR(__xludf.DUMMYFUNCTION("GOOGLETRANSLATE(A523, ""auto"", ""bn"")"),"আমার ভয় হচ্ছে আমি ব্যথানাশক ওষুধের প্রতি আসক্ত হয়ে পড়ছি। আমার বাবা-মা দুজনেই ডাক্তার এবং যেহেতু আমি জানি ব্যথা কী, তাই আমার বাবা-মা আমাকে ব্যথানাশক ওষুধ (বিশেষ করে আইবুপ্রোফেন, প্যারাসিটামল এবং প্রোন) দিয়ে খাওয়ান। আমি এখন বড় হয়েছি কিন্তু যখনই আমার "&amp;"মনে হয় আমি খুব কম অসুস্থ বা বিষণ্ণ বোধ করি তখনই আমি সেই ওষুধগুলো খাই এবং খাওয়া বন্ধ করতে পারি না। এগুলো আমাকে কিছুক্ষণের জন্য অসাড় এবং ব্যথামুক্ত বোধ করায়, কিন্তু আমি জানি যে যদি আমি এভাবে ওষুধগুলো খেতে থাকি তাহলে আমার স্বাস্থ্য সমস্যা হতে পারে। দুর্ঘ"&amp;"টনাক্রমে আমি ইতিমধ্যেই দুবার অতিরিক্ত মাত্রায় ওষুধ খেয়ে ফেলেছি, আমি আর এমনটা করতে চাই না।")</f>
        <v>আমার ভয় হচ্ছে আমি ব্যথানাশক ওষুধের প্রতি আসক্ত হয়ে পড়ছি। আমার বাবা-মা দুজনেই ডাক্তার এবং যেহেতু আমি জানি ব্যথা কী, তাই আমার বাবা-মা আমাকে ব্যথানাশক ওষুধ (বিশেষ করে আইবুপ্রোফেন, প্যারাসিটামল এবং প্রোন) দিয়ে খাওয়ান। আমি এখন বড় হয়েছি কিন্তু যখনই আমার মনে হয় আমি খুব কম অসুস্থ বা বিষণ্ণ বোধ করি তখনই আমি সেই ওষুধগুলো খাই এবং খাওয়া বন্ধ করতে পারি না। এগুলো আমাকে কিছুক্ষণের জন্য অসাড় এবং ব্যথামুক্ত বোধ করায়, কিন্তু আমি জানি যে যদি আমি এভাবে ওষুধগুলো খেতে থাকি তাহলে আমার স্বাস্থ্য সমস্যা হতে পারে। দুর্ঘটনাক্রমে আমি ইতিমধ্যেই দুবার অতিরিক্ত মাত্রায় ওষুধ খেয়ে ফেলেছি, আমি আর এমনটা করতে চাই না।</v>
      </c>
    </row>
    <row r="524" spans="1:3" ht="15" x14ac:dyDescent="0.25">
      <c r="A524" s="3" t="s">
        <v>525</v>
      </c>
      <c r="B524" s="3" t="s">
        <v>4</v>
      </c>
      <c r="C524" s="4" t="str">
        <f ca="1">IFERROR(__xludf.DUMMYFUNCTION("GOOGLETRANSLATE(A524, ""auto"", ""bn"")"),"আশা করি সবাই সম্প্রতি যা ঘটছে তা নিয়ে ঠিকঠাক আছেন। আজ আমি সাহস এবং আসক্তিকে পরাজিত করার জন্য যাত্রা শুরু করার সময় এটি কতটা প্রয়োজন তা নিয়ে একটি পোস্ট করতে চেয়েছিলাম। সাহস হল এমন একটি বিশেষ ক্ষমতা যা আপনার নিজের মধ্যে থাকে এবং আপনি এমন কিছুর জন্য লড়া"&amp;"ই করতে পারেন যা এই পৃথিবীর অন্য সবকিছুর চেয়ে মূল্যবান। সাহস হল আপনি যে সিনেমাগুলি দেখেন, যে বইগুলি আপনি পড়েন বা যে ভিডিও গেমগুলি খেলেন যখন নায়ক শেষে খলনায়ককে পরাজিত করে, তাতে যা দেখেন। আপনার জীবনের প্রতিটি দিক আপনার আসল পথ খুঁজে পাওয়ার জন্য তৈরি করা "&amp;"হয়েছে। আপনার জীবনে ঘটে যাওয়া প্রতিটি ভালো বা দুঃখজনক ঘটনা এবং আপনি যেভাবে এই পরিস্থিতিগুলির সাথে মোকাবিলা করেছেন তা আপনাকে নিজের সম্পর্কে এবং আপনি কীসের জন্য দাঁড়িয়েছেন তা সম্পর্কে আরও কিছুটা বলতে হবে।")</f>
        <v>আশা করি সবাই সম্প্রতি যা ঘটছে তা নিয়ে ঠিকঠাক আছেন। আজ আমি সাহস এবং আসক্তিকে পরাজিত করার জন্য যাত্রা শুরু করার সময় এটি কতটা প্রয়োজন তা নিয়ে একটি পোস্ট করতে চেয়েছিলাম। সাহস হল এমন একটি বিশেষ ক্ষমতা যা আপনার নিজের মধ্যে থাকে এবং আপনি এমন কিছুর জন্য লড়াই করতে পারেন যা এই পৃথিবীর অন্য সবকিছুর চেয়ে মূল্যবান। সাহস হল আপনি যে সিনেমাগুলি দেখেন, যে বইগুলি আপনি পড়েন বা যে ভিডিও গেমগুলি খেলেন যখন নায়ক শেষে খলনায়ককে পরাজিত করে, তাতে যা দেখেন। আপনার জীবনের প্রতিটি দিক আপনার আসল পথ খুঁজে পাওয়ার জন্য তৈরি করা হয়েছে। আপনার জীবনে ঘটে যাওয়া প্রতিটি ভালো বা দুঃখজনক ঘটনা এবং আপনি যেভাবে এই পরিস্থিতিগুলির সাথে মোকাবিলা করেছেন তা আপনাকে নিজের সম্পর্কে এবং আপনি কীসের জন্য দাঁড়িয়েছেন তা সম্পর্কে আরও কিছুটা বলতে হবে।</v>
      </c>
    </row>
    <row r="525" spans="1:3" ht="15" x14ac:dyDescent="0.25">
      <c r="A525" s="3" t="s">
        <v>526</v>
      </c>
      <c r="B525" s="3" t="s">
        <v>4</v>
      </c>
      <c r="C525" s="4" t="str">
        <f ca="1">IFERROR(__xludf.DUMMYFUNCTION("GOOGLETRANSLATE(A525, ""auto"", ""bn"")"),"আমি প্রায় সবসময় অনলাইনে থাকি। ফোন ছাড়া গোসলও করতে পারি না এবং এক-দুই ঘন্টা বাথটাবে শুয়ে থাকি। ঘুম আর স্কুলের সময় ফোন বা কম্পিউটারের সাথে আমার কোন সম্পর্ক থাকে না, কিন্তু শিক্ষক যখন কাছে থাকেন না তখনও আমি ফোনের দিকে তাকাই। সময় এত দ্রুত চলে যায় যে আমি কিছুই"&amp;" করতে পারি না। স্কুল শেষ হয়েছে ৬ ঘন্টা আগে, আর আমার বিশ্বাসই হচ্ছে না যে রাত ৮টা বেজে গেছে। আমি খাওয়া-দাওয়া ছাড়া আর কিছুই করি না, কিন্তু সবসময় ভিডিও বা গান শোনার কাজ থাকে।")</f>
        <v>আমি প্রায় সবসময় অনলাইনে থাকি। ফোন ছাড়া গোসলও করতে পারি না এবং এক-দুই ঘন্টা বাথটাবে শুয়ে থাকি। ঘুম আর স্কুলের সময় ফোন বা কম্পিউটারের সাথে আমার কোন সম্পর্ক থাকে না, কিন্তু শিক্ষক যখন কাছে থাকেন না তখনও আমি ফোনের দিকে তাকাই। সময় এত দ্রুত চলে যায় যে আমি কিছুই করতে পারি না। স্কুল শেষ হয়েছে ৬ ঘন্টা আগে, আর আমার বিশ্বাসই হচ্ছে না যে রাত ৮টা বেজে গেছে। আমি খাওয়া-দাওয়া ছাড়া আর কিছুই করি না, কিন্তু সবসময় ভিডিও বা গান শোনার কাজ থাকে।</v>
      </c>
    </row>
    <row r="526" spans="1:3" ht="15" x14ac:dyDescent="0.25">
      <c r="A526" s="3" t="s">
        <v>527</v>
      </c>
      <c r="B526" s="3" t="s">
        <v>4</v>
      </c>
      <c r="C526" s="4" t="str">
        <f ca="1">IFERROR(__xludf.DUMMYFUNCTION("GOOGLETRANSLATE(A526, ""auto"", ""bn"")"),"আমার বয়স ১৮ বছর, একজন শিক্ষানবিশ শেফ হিসেবে আমার আরামদায়ক কাজ আছে। কিন্তু আমার সমস্যা হচ্ছে, সারাদিন নিকোটিন থাকে কারণ এটা মানসিক চাপের কারণ, আমি প্রায় প্রতিদিনই গাঁজা সেবন শুরু করেছি। ২০২০ সালের ফেব্রুয়ারির দিকে আমার জীবনে একটা বড় ঘটনা ঘটেছিল এবং চাকরি ন"&amp;"া পাওয়ার আগ পর্যন্ত আমি প্রতিদিন অক্সি (১০০-১৬০ মিলিগ্রাম) আসক্ত ছিলাম। এখন আমি বাড়ি ফিরে প্রায় (৬০-৮০ মিলিগ্রাম) ব্যবহার করি, আমি কোন উপায় দেখতে পাই না, বিশেষ করে যখন আমি এত ছোট এবং ইতিমধ্যেই এখানে থাকতে চাই না/আমি কি আসক্তিতে ভুগছি, আমি কীভাবে তা থামাতে"&amp;" পারি সে সম্পর্কে কারো কোন পরামর্শ আছে?")</f>
        <v>আমার বয়স ১৮ বছর, একজন শিক্ষানবিশ শেফ হিসেবে আমার আরামদায়ক কাজ আছে। কিন্তু আমার সমস্যা হচ্ছে, সারাদিন নিকোটিন থাকে কারণ এটা মানসিক চাপের কারণ, আমি প্রায় প্রতিদিনই গাঁজা সেবন শুরু করেছি। ২০২০ সালের ফেব্রুয়ারির দিকে আমার জীবনে একটা বড় ঘটনা ঘটেছিল এবং চাকরি না পাওয়ার আগ পর্যন্ত আমি প্রতিদিন অক্সি (১০০-১৬০ মিলিগ্রাম) আসক্ত ছিলাম। এখন আমি বাড়ি ফিরে প্রায় (৬০-৮০ মিলিগ্রাম) ব্যবহার করি, আমি কোন উপায় দেখতে পাই না, বিশেষ করে যখন আমি এত ছোট এবং ইতিমধ্যেই এখানে থাকতে চাই না/আমি কি আসক্তিতে ভুগছি, আমি কীভাবে তা থামাতে পারি সে সম্পর্কে কারো কোন পরামর্শ আছে?</v>
      </c>
    </row>
    <row r="527" spans="1:3" ht="15" x14ac:dyDescent="0.25">
      <c r="A527" s="3" t="s">
        <v>528</v>
      </c>
      <c r="B527" s="3" t="s">
        <v>4</v>
      </c>
      <c r="C527" s="4" t="str">
        <f ca="1">IFERROR(__xludf.DUMMYFUNCTION("GOOGLETRANSLATE(A527, ""auto"", ""bn"")"),"আমি হুক্কা ধূমপান, পর্ন দেখা এবং হস্তমৈথুন ছেড়ে দেওয়ার জন্য জবাবদিহিতামূলক সঙ্গী খুঁজছি। আমি অনেক দিন ধরেই সুস্থ, কিন্তু ধীরে ধীরে অতিরিক্ত সময় কাটানোর ফলে আবারও আসক্তি ফিরে আসে এবং আমার তিন ধরণের আসক্তির সাথে আমি আটকে আছি।")</f>
        <v>আমি হুক্কা ধূমপান, পর্ন দেখা এবং হস্তমৈথুন ছেড়ে দেওয়ার জন্য জবাবদিহিতামূলক সঙ্গী খুঁজছি। আমি অনেক দিন ধরেই সুস্থ, কিন্তু ধীরে ধীরে অতিরিক্ত সময় কাটানোর ফলে আবারও আসক্তি ফিরে আসে এবং আমার তিন ধরণের আসক্তির সাথে আমি আটকে আছি।</v>
      </c>
    </row>
    <row r="528" spans="1:3" ht="15" x14ac:dyDescent="0.25">
      <c r="A528" s="3" t="s">
        <v>529</v>
      </c>
      <c r="B528" s="3" t="s">
        <v>4</v>
      </c>
      <c r="C528" s="4" t="str">
        <f ca="1">IFERROR(__xludf.DUMMYFUNCTION("GOOGLETRANSLATE(A528, ""auto"", ""bn"")"),"আমি কখনোই ভান করছি না যে আমার জীবনের কোন অংশেই আমার কিছু একসাথে আছে, তবে অন্য কিছু পোস্টের মাধ্যমে আমি দুটি সাধারণ বিষয় খুঁজে পেয়েছি: একাকীত্ব এবং সমর্থনের অভাব/বিশ্বাস করা যে আপনি কাটিয়ে উঠতে পারবেন। তবুও, আমি আশা করি যারা হারিয়ে গেছেন বা কেবল একজন ব"&amp;"ন্ধু খুঁজছেন তারা এই থ্রেডে স্বাগত বোধ করবেন, এবং আমরা একটি ভাল সহায়তা গোষ্ঠী থ্রেড চালু করতে পারি। আপনি যদি ভালো বা সহায়ক কিছু বলতে না চান তবে যেকোনো এবং সমস্ত আসক্তিকে স্বাগত জানাই। দয়া করে কিছু বলবেন না, আমরা সবাই অনলাইনে জ্যাবিং ছাড়াই যথেষ্ট সময় "&amp;"পার করছি। তা সত্ত্বেও, যে কেউ নির্দ্বিধায় মেসেজ করতে পারেন এবং আপনার যা প্রয়োজন তা বলতে পারেন।")</f>
        <v>আমি কখনোই ভান করছি না যে আমার জীবনের কোন অংশেই আমার কিছু একসাথে আছে, তবে অন্য কিছু পোস্টের মাধ্যমে আমি দুটি সাধারণ বিষয় খুঁজে পেয়েছি: একাকীত্ব এবং সমর্থনের অভাব/বিশ্বাস করা যে আপনি কাটিয়ে উঠতে পারবেন। তবুও, আমি আশা করি যারা হারিয়ে গেছেন বা কেবল একজন বন্ধু খুঁজছেন তারা এই থ্রেডে স্বাগত বোধ করবেন, এবং আমরা একটি ভাল সহায়তা গোষ্ঠী থ্রেড চালু করতে পারি। আপনি যদি ভালো বা সহায়ক কিছু বলতে না চান তবে যেকোনো এবং সমস্ত আসক্তিকে স্বাগত জানাই। দয়া করে কিছু বলবেন না, আমরা সবাই অনলাইনে জ্যাবিং ছাড়াই যথেষ্ট সময় পার করছি। তা সত্ত্বেও, যে কেউ নির্দ্বিধায় মেসেজ করতে পারেন এবং আপনার যা প্রয়োজন তা বলতে পারেন।</v>
      </c>
    </row>
    <row r="529" spans="1:3" ht="15" x14ac:dyDescent="0.25">
      <c r="A529" s="3" t="s">
        <v>530</v>
      </c>
      <c r="B529" s="3" t="s">
        <v>4</v>
      </c>
      <c r="C529" s="4" t="str">
        <f ca="1">IFERROR(__xludf.DUMMYFUNCTION("GOOGLETRANSLATE(A529, ""auto"", ""bn"")"),"আমার আসক্তি আবার ফিরে পেতে চাওয়ার অনুভূতিটা আমার খুব খারাপ লাগে। আমার আসক্তি নিজের ক্ষতি করে এবং আমি শপথ করছি যে প্রতিটি দিনই এত কঠিন, আমি আর পরিষ্কার থাকতেও চাই না, এবং আমার খারাপ লাগে কারণ আমার বন্ধু যে আমার মতো একই আসক্তির সাথে লড়াই করছে সে 6 বা 7 মাস"&amp;" পরিষ্কার, যদিও আমি তাদের জন্য খুব গর্বিত, আমি ঈর্ষা বোধ না করে থাকতে পারি না এবং কামনা করি যে এটি আমিই হতাম। আমি ঘৃণা করি যে আমি যতটা সময় পার করতে পারি তা হল 3 মাস এবং বেশিরভাগ সময় আমি সেই সময় পর্যন্তও যেতে পারি না।")</f>
        <v>আমার আসক্তি আবার ফিরে পেতে চাওয়ার অনুভূতিটা আমার খুব খারাপ লাগে। আমার আসক্তি নিজের ক্ষতি করে এবং আমি শপথ করছি যে প্রতিটি দিনই এত কঠিন, আমি আর পরিষ্কার থাকতেও চাই না, এবং আমার খারাপ লাগে কারণ আমার বন্ধু যে আমার মতো একই আসক্তির সাথে লড়াই করছে সে 6 বা 7 মাস পরিষ্কার, যদিও আমি তাদের জন্য খুব গর্বিত, আমি ঈর্ষা বোধ না করে থাকতে পারি না এবং কামনা করি যে এটি আমিই হতাম। আমি ঘৃণা করি যে আমি যতটা সময় পার করতে পারি তা হল 3 মাস এবং বেশিরভাগ সময় আমি সেই সময় পর্যন্তও যেতে পারি না।</v>
      </c>
    </row>
    <row r="530" spans="1:3" ht="15" x14ac:dyDescent="0.25">
      <c r="A530" s="3" t="s">
        <v>531</v>
      </c>
      <c r="B530" s="3" t="s">
        <v>4</v>
      </c>
      <c r="C530" s="4" t="str">
        <f ca="1">IFERROR(__xludf.DUMMYFUNCTION("GOOGLETRANSLATE(A530, ""auto"", ""bn"")"),"যদি তুমি নতুনভাবে সুস্থ হয়ে উঠেছো, তাহলে স্বাগতম। তুমি এখানে এসেছো জেনে আমি খুবই খুশি। আমিও নিজেকে খুব তাড়াতাড়ি সুস্থ হয়ে উঠছি বলে মনে করি, সৎভাবে। তাছাড়া, আমি তোমাকে নিরুৎসাহিত করার জন্য বলছি না, বরং তোমাকে মনে করিয়ে দেওয়ার জন্য বলছি যে এটি একটি জ"&amp;"ীবনব্যাপী যাত্রা, এবং একটি পরিষ্কার, সুস্থ জীবনধারার সাথে, আমরা সকলেই দীর্ঘ সময় বেঁচে থাকতে পারি না এমন কোনও কারণ নেই। যদি তুমি ""আমি নিশ্চিত নই কিভাবে ছেড়ে দেবো"", তাহলে এটা এত কঠিন। আমি বারবার ফিরে যাচ্ছি? পর্যায়, শুধু জেনে রাখো এটা তোমাকে লজ্জা দেওয"&amp;"়ার জন্য বা নিরুৎসাহিত করার জন্য নয়, বরং তোমাকে আমার অভিজ্ঞতা কী তা জানানোর জন্য, এবং আশা করি এটি অন্য কাউকে সাহায্য করবে। যখন আমি ১৮ বছর বয়সী ছিলাম, তখন হাই স্কুলে আমার এক অদ্ভুত বন্ধুত্ব হয়েছিল যে আমাকে সেই অদ্ভুত ছেলে হিসেবে দেখত যে খ্রিস্টান রক ব্য"&amp;"ান্ডের বাচ্চাদের সাথে আড্ডা দিত এবং এমন একজনের সাথে আমার এমন একজন বন্ধু ছিল যার বাবা-মা আমার মতো কঠোর ছিল না, যা প্রাপ্তবয়স্কদের বন্ধুত্বে পরিণত হয়েছিল এবং পরবর্তী ১৫ বছরের জন্য আমার সবচেয়ে খারাপ বন্ধুর সাথে আমার পরিচয় হয়েছিল। বছরের পর বছর ধরে আমার র"&amp;"োগ আরও খারাপ হতে থাকে, কোকেনের অভ্যাসে পরিণত হয় এবং তারপর বিভিন্ন সাইকেডেলিক্সের উপর অতিরিক্ত মাত্রায় আসক্তি তৈরি হয়, যার মধ্যে একটি (সাইলোসাইবিন) দুর্ঘটনাক্রমে অ্যালকোহল, কোক এবং অন্যান্য সমস্ত কিছুর প্রতি আমার আসক্তির আকাঙ্ক্ষাকে সাময়িকভাবে বন্ধ করে "&amp;"দেয়। আমি আমার প্রাপ্তবয়স্ক জীবনে অল্প সময়ের জন্য প্রথমবারের মতো এক অদ্ভুত শান্তির অনুভূতি অনুভব করেছি, কিন্তু অন্তর্নিহিত সমস্যাগুলি দেখার জন্য আমি কিছুই করিনি, একই বারে যাওয়া বা একই লোকদের সাথে আড্ডা দেওয়া বন্ধ করিনি, এবং মদ্যপান বন্ধ করা ছাড়া আমার"&amp;" জীবন কোনওভাবেই পরিবর্তন করিনি। তাই, স্পষ্টতই যখন মাশরুমের প্রভাব কমে যায়, তখন আমি অবিলম্বে আমার প্রথম আকাঙ্ক্ষার কাছে হার মেনে নিই এবং এক সপ্তাহের মধ্যে আবার সেখানে ফিরে আসি যেখানে আমি মদ্যপানের প্রতি আসক্ত ছিলাম যেন আমি কখনও তা দমাইনি। আমাকে চাকরি থেকে"&amp;" বরখাস্ত করা হয়, আবার আমার অ্যাপার্টমেন্ট থেকে বের করে দেওয়া হয় এবং দুই বছরের মধ্যে দ্বিতীয়বারের মতো নিজেকে গৃহহীন অবস্থায় দেখতে পাই। আমি কয়েক মাস ধরে এভাবেই ছিলাম এবং বুঝতে পারি যে শান্ত জীবন উপভোগ করার পর, এবার আমি সত্যিই এটি চাই। আমি সম্পূর্ণ ভিন"&amp;"্ন শহরের একটি হাসপাতালে ফোন করেছিলাম, আমার মদ্যপানকারী বন্ধুদের চিরতরে রেখে এসেছি, এবং সবচেয়ে গুরুত্বপূর্ণ বিষয় হল, সমস্ত আসক্তিকর পদার্থ থেকে মুক্ত থাকার জন্য এবং পরিষ্কার থাকার জন্য আমি যা কিছু করতে ইচ্ছুক ছিলাম। এর অর্থ যাই হোক না কেন, যতই কঠিন হোক ন"&amp;"া কেন, আমার জীবনকে কতটা পরিবর্তন করতে হয়েছিল বা এতে আমার যত পরিশ্রম করতে হয়েছিল বা পুনরুদ্ধারের ঝুঁকিপূর্ণ বা অস্বস্তিকর দিকগুলি আমাকে কতটা দুর্বল করে তুলেছিল তা নির্বিশেষে, আমি জানতাম যে আমাকে ১০০% ইচ্ছুক এবং কাজ করার জন্য প্রস্তুত থাকতে হবে। কারণ এটিই"&amp;" লাগে। কোনও রূপালী বুলেট নেই। এমন কোনও জিনিস নেই যা আপনাকে সুস্থ রাখবে। এটি একটি নিষ্ঠা এবং আপনার ক্ষমতার সবকিছু করার জন্য একটি প্রেরণা যা আপনি যখন নেশাগ্রস্ত/মাতাল হয়ে পড়েছিলেন তখন থেকে পরিষ্কার-পরিচ্ছন্ন থাকার এবং আরও ভাল জীবনযাপন করার জন্য করেছিলেন। "&amp;"এইটুকুই।")</f>
        <v>যদি তুমি নতুনভাবে সুস্থ হয়ে উঠেছো, তাহলে স্বাগতম। তুমি এখানে এসেছো জেনে আমি খুবই খুশি। আমিও নিজেকে খুব তাড়াতাড়ি সুস্থ হয়ে উঠছি বলে মনে করি, সৎভাবে। তাছাড়া, আমি তোমাকে নিরুৎসাহিত করার জন্য বলছি না, বরং তোমাকে মনে করিয়ে দেওয়ার জন্য বলছি যে এটি একটি জীবনব্যাপী যাত্রা, এবং একটি পরিষ্কার, সুস্থ জীবনধারার সাথে, আমরা সকলেই দীর্ঘ সময় বেঁচে থাকতে পারি না এমন কোনও কারণ নেই। যদি তুমি "আমি নিশ্চিত নই কিভাবে ছেড়ে দেবো", তাহলে এটা এত কঠিন। আমি বারবার ফিরে যাচ্ছি? পর্যায়, শুধু জেনে রাখো এটা তোমাকে লজ্জা দেওয়ার জন্য বা নিরুৎসাহিত করার জন্য নয়, বরং তোমাকে আমার অভিজ্ঞতা কী তা জানানোর জন্য, এবং আশা করি এটি অন্য কাউকে সাহায্য করবে। যখন আমি ১৮ বছর বয়সী ছিলাম, তখন হাই স্কুলে আমার এক অদ্ভুত বন্ধুত্ব হয়েছিল যে আমাকে সেই অদ্ভুত ছেলে হিসেবে দেখত যে খ্রিস্টান রক ব্যান্ডের বাচ্চাদের সাথে আড্ডা দিত এবং এমন একজনের সাথে আমার এমন একজন বন্ধু ছিল যার বাবা-মা আমার মতো কঠোর ছিল না, যা প্রাপ্তবয়স্কদের বন্ধুত্বে পরিণত হয়েছিল এবং পরবর্তী ১৫ বছরের জন্য আমার সবচেয়ে খারাপ বন্ধুর সাথে আমার পরিচয় হয়েছিল। বছরের পর বছর ধরে আমার রোগ আরও খারাপ হতে থাকে, কোকেনের অভ্যাসে পরিণত হয় এবং তারপর বিভিন্ন সাইকেডেলিক্সের উপর অতিরিক্ত মাত্রায় আসক্তি তৈরি হয়, যার মধ্যে একটি (সাইলোসাইবিন) দুর্ঘটনাক্রমে অ্যালকোহল, কোক এবং অন্যান্য সমস্ত কিছুর প্রতি আমার আসক্তির আকাঙ্ক্ষাকে সাময়িকভাবে বন্ধ করে দেয়। আমি আমার প্রাপ্তবয়স্ক জীবনে অল্প সময়ের জন্য প্রথমবারের মতো এক অদ্ভুত শান্তির অনুভূতি অনুভব করেছি, কিন্তু অন্তর্নিহিত সমস্যাগুলি দেখার জন্য আমি কিছুই করিনি, একই বারে যাওয়া বা একই লোকদের সাথে আড্ডা দেওয়া বন্ধ করিনি, এবং মদ্যপান বন্ধ করা ছাড়া আমার জীবন কোনওভাবেই পরিবর্তন করিনি। তাই, স্পষ্টতই যখন মাশরুমের প্রভাব কমে যায়, তখন আমি অবিলম্বে আমার প্রথম আকাঙ্ক্ষার কাছে হার মেনে নিই এবং এক সপ্তাহের মধ্যে আবার সেখানে ফিরে আসি যেখানে আমি মদ্যপানের প্রতি আসক্ত ছিলাম যেন আমি কখনও তা দমাইনি। আমাকে চাকরি থেকে বরখাস্ত করা হয়, আবার আমার অ্যাপার্টমেন্ট থেকে বের করে দেওয়া হয় এবং দুই বছরের মধ্যে দ্বিতীয়বারের মতো নিজেকে গৃহহীন অবস্থায় দেখতে পাই। আমি কয়েক মাস ধরে এভাবেই ছিলাম এবং বুঝতে পারি যে শান্ত জীবন উপভোগ করার পর, এবার আমি সত্যিই এটি চাই। আমি সম্পূর্ণ ভিন্ন শহরের একটি হাসপাতালে ফোন করেছিলাম, আমার মদ্যপানকারী বন্ধুদের চিরতরে রেখে এসেছি, এবং সবচেয়ে গুরুত্বপূর্ণ বিষয় হল, সমস্ত আসক্তিকর পদার্থ থেকে মুক্ত থাকার জন্য এবং পরিষ্কার থাকার জন্য আমি যা কিছু করতে ইচ্ছুক ছিলাম। এর অর্থ যাই হোক না কেন, যতই কঠিন হোক না কেন, আমার জীবনকে কতটা পরিবর্তন করতে হয়েছিল বা এতে আমার যত পরিশ্রম করতে হয়েছিল বা পুনরুদ্ধারের ঝুঁকিপূর্ণ বা অস্বস্তিকর দিকগুলি আমাকে কতটা দুর্বল করে তুলেছিল তা নির্বিশেষে, আমি জানতাম যে আমাকে ১০০% ইচ্ছুক এবং কাজ করার জন্য প্রস্তুত থাকতে হবে। কারণ এটিই লাগে। কোনও রূপালী বুলেট নেই। এমন কোনও জিনিস নেই যা আপনাকে সুস্থ রাখবে। এটি একটি নিষ্ঠা এবং আপনার ক্ষমতার সবকিছু করার জন্য একটি প্রেরণা যা আপনি যখন নেশাগ্রস্ত/মাতাল হয়ে পড়েছিলেন তখন থেকে পরিষ্কার-পরিচ্ছন্ন থাকার এবং আরও ভাল জীবনযাপন করার জন্য করেছিলেন। এইটুকুই।</v>
      </c>
    </row>
    <row r="531" spans="1:3" ht="15" x14ac:dyDescent="0.25">
      <c r="A531" s="3" t="s">
        <v>532</v>
      </c>
      <c r="B531" s="3" t="s">
        <v>4</v>
      </c>
      <c r="C531" s="4" t="str">
        <f ca="1">IFERROR(__xludf.DUMMYFUNCTION("GOOGLETRANSLATE(A531, ""auto"", ""bn"")"),"আমার মনে হচ্ছে এটা অনেক বড় সমস্যা হয়ে উঠেছে, আর এটা থেকে মুক্তি পাওয়ার জন্য কিছু পরামর্শ সত্যিই প্রয়োজন। দীর্ঘমেয়াদী সম্পর্কের ক্ষেত্রে আমার সবসময়ই সমস্যা হয়েছে, হয়তো প্রতিশ্রুতিবদ্ধ হওয়ার সমস্যা? অথবা হয়তো এত অধৈর্য হওয়া, যে যখনই আমার ভালো লাগার বা আনন্দ"&amp;"দায়ক মুক্তির প্রয়োজন হয়, তখনই আমি পর্নোগ্রাফির দিকে ঝুঁকে পড়ি এবং তাৎক্ষণিকভাবে তৃপ্তি পাই? আমার মনে হয় যে আমার জীবনে সবকিছু স্বাভাবিক থাকা সত্ত্বেও, অথবা ঠিক থাকা সত্ত্বেও, আমি কেন বিষণ্ণ বোধ করি তার পেছনে পর্নোগ্রাফি একটি বড় ভূমিকা পালন করেছে। এটা কি এই"&amp;" কারণে যে আমি আমার মস্তিষ্কে ভালো লাগার রাসায়নিক পদার্থ ঢেলে দিয়েছি, এবং এখন আমার জীবনের ইতিবাচক অভিজ্ঞতা থেকে আমি স্বাভাবিকভাবে তা পেতে পারছি না? এটা এতটাই খারাপ সমস্যা যে আমি নিয়ন্ত্রণের বাইরে চলে যেতে দিয়েছি, এবং পর্নোগ্রাফি দেখার বা অংশগ্রহণের তাগিদ"&amp;"কে কীভাবে দমন করা যায় সে সম্পর্কে যেকোনো পরামর্শ পেলে আমি কৃতজ্ঞ থাকব।")</f>
        <v>আমার মনে হচ্ছে এটা অনেক বড় সমস্যা হয়ে উঠেছে, আর এটা থেকে মুক্তি পাওয়ার জন্য কিছু পরামর্শ সত্যিই প্রয়োজন। দীর্ঘমেয়াদী সম্পর্কের ক্ষেত্রে আমার সবসময়ই সমস্যা হয়েছে, হয়তো প্রতিশ্রুতিবদ্ধ হওয়ার সমস্যা? অথবা হয়তো এত অধৈর্য হওয়া, যে যখনই আমার ভালো লাগার বা আনন্দদায়ক মুক্তির প্রয়োজন হয়, তখনই আমি পর্নোগ্রাফির দিকে ঝুঁকে পড়ি এবং তাৎক্ষণিকভাবে তৃপ্তি পাই? আমার মনে হয় যে আমার জীবনে সবকিছু স্বাভাবিক থাকা সত্ত্বেও, অথবা ঠিক থাকা সত্ত্বেও, আমি কেন বিষণ্ণ বোধ করি তার পেছনে পর্নোগ্রাফি একটি বড় ভূমিকা পালন করেছে। এটা কি এই কারণে যে আমি আমার মস্তিষ্কে ভালো লাগার রাসায়নিক পদার্থ ঢেলে দিয়েছি, এবং এখন আমার জীবনের ইতিবাচক অভিজ্ঞতা থেকে আমি স্বাভাবিকভাবে তা পেতে পারছি না? এটা এতটাই খারাপ সমস্যা যে আমি নিয়ন্ত্রণের বাইরে চলে যেতে দিয়েছি, এবং পর্নোগ্রাফি দেখার বা অংশগ্রহণের তাগিদকে কীভাবে দমন করা যায় সে সম্পর্কে যেকোনো পরামর্শ পেলে আমি কৃতজ্ঞ থাকব।</v>
      </c>
    </row>
    <row r="532" spans="1:3" ht="15" x14ac:dyDescent="0.25">
      <c r="A532" s="3" t="s">
        <v>533</v>
      </c>
      <c r="B532" s="3" t="s">
        <v>4</v>
      </c>
      <c r="C532" s="4" t="str">
        <f ca="1">IFERROR(__xludf.DUMMYFUNCTION("GOOGLETRANSLATE(A532, ""auto"", ""bn"")"),"এটা কি একটা নেশা? তাই জীবনের একটা খারাপ সময়ে আমি ঘুমের বড়ি খেয়েছিলাম। শুরুতে দিনে ৪টা করে ঘুমের বড়ি খেয়েছিলাম, যা ১৭-২০ বছর পর্যন্ত স্থায়ী হত এবং আমার শরীর ঠিকঠাক থাকত। এগুলো আমার মানসিক ও শারীরিক অবস্থা নষ্ট করে দেয়। আমি ব্যথা ভুলে যাওয়ার জন্য প্"&amp;"রতি রাতে এটি ব্যবহার করতাম কিন্তু কিছুক্ষণ পর যখন আর্থিক কারণে আর কিনতে পারতাম না, তখন আর কিনতে পারতাম না। আমি কেবল এটি বন্ধ করে দিয়েছিলাম, কিন্তু প্রতিবারই যখনই আমি চাকরি পাই, আমার শেষেরটি নেওয়ার পর কয়েক মাস হয়ে গেলেও, আমি কোনও না কোনওভাবে সেই খারাপ "&amp;"অভ্যাসটি থেকে মুক্তি পাই। তাছাড়া, আমি মাসের পর মাস এটি ছাড়া থাকতে পারি কিন্তু যদি আমি কোনও দোকানে এটির পাশ দিয়ে যাই, তাহলে আমাকে থামিয়ে কিছু কেনার কথা ভাবতে বাধ্য করে। এটা এতটাই খারাপ যে আমাকে তরল জিনিসের দিকে যেতে হয়েছিল কারণ আমার শরীর শারীরিকভাবে দ"&amp;"ুর্বল হয়ে পড়ে এবং সেই ছোট নীল বড়িগুলির কথা ভাবলেই বমি বমি ভাব হয়। আমার মনে হয় এটি একটি আসক্তি, কিন্তু আমি সহজেই এটিকে চেপে রাখতে পারি এবং কেবল থামাতে পারি?। যদিও আমি আরও কয়েক মাস পরে শেষ পর্যন্ত পান করি। যেমনটা তুমি অনুমান করেছ আমি আবার এটি শুরু করে"&amp;"ছি। এবং আমি ইতিমধ্যে আরও কেনার পরিকল্পনা করছি। এটা কী?")</f>
        <v>এটা কি একটা নেশা? তাই জীবনের একটা খারাপ সময়ে আমি ঘুমের বড়ি খেয়েছিলাম। শুরুতে দিনে ৪টা করে ঘুমের বড়ি খেয়েছিলাম, যা ১৭-২০ বছর পর্যন্ত স্থায়ী হত এবং আমার শরীর ঠিকঠাক থাকত। এগুলো আমার মানসিক ও শারীরিক অবস্থা নষ্ট করে দেয়। আমি ব্যথা ভুলে যাওয়ার জন্য প্রতি রাতে এটি ব্যবহার করতাম কিন্তু কিছুক্ষণ পর যখন আর্থিক কারণে আর কিনতে পারতাম না, তখন আর কিনতে পারতাম না। আমি কেবল এটি বন্ধ করে দিয়েছিলাম, কিন্তু প্রতিবারই যখনই আমি চাকরি পাই, আমার শেষেরটি নেওয়ার পর কয়েক মাস হয়ে গেলেও, আমি কোনও না কোনওভাবে সেই খারাপ অভ্যাসটি থেকে মুক্তি পাই। তাছাড়া, আমি মাসের পর মাস এটি ছাড়া থাকতে পারি কিন্তু যদি আমি কোনও দোকানে এটির পাশ দিয়ে যাই, তাহলে আমাকে থামিয়ে কিছু কেনার কথা ভাবতে বাধ্য করে। এটা এতটাই খারাপ যে আমাকে তরল জিনিসের দিকে যেতে হয়েছিল কারণ আমার শরীর শারীরিকভাবে দুর্বল হয়ে পড়ে এবং সেই ছোট নীল বড়িগুলির কথা ভাবলেই বমি বমি ভাব হয়। আমার মনে হয় এটি একটি আসক্তি, কিন্তু আমি সহজেই এটিকে চেপে রাখতে পারি এবং কেবল থামাতে পারি?। যদিও আমি আরও কয়েক মাস পরে শেষ পর্যন্ত পান করি। যেমনটা তুমি অনুমান করেছ আমি আবার এটি শুরু করেছি। এবং আমি ইতিমধ্যে আরও কেনার পরিকল্পনা করছি। এটা কী?</v>
      </c>
    </row>
    <row r="533" spans="1:3" ht="15" x14ac:dyDescent="0.25">
      <c r="A533" s="3" t="s">
        <v>534</v>
      </c>
      <c r="B533" s="3" t="s">
        <v>4</v>
      </c>
      <c r="C533" s="4" t="str">
        <f ca="1">IFERROR(__xludf.DUMMYFUNCTION("GOOGLETRANSLATE(A533, ""auto"", ""bn"")"),"আমার বয়স এখন ১৮, আমি বেশিরভাগই DXM আর গাঁজার প্রতি আসক্ত ছিলাম, কিন্তু আমি একজন পলি-আসক্ত। আজ আমার ১৮তম জন্মদিন এবং আমি একটা নিষ্ক্রিয় জন্মদিন সহ্য করতে পারছিলাম না, তাই দোকানে গিয়ে মদ কিনেছিলাম, আর এখন আমি স্কুলে মাতাল... বারবার মদ্যপানের জন্য নিজেকে ঘৃ"&amp;"ণা করি, কিন্তু এটা খুব ভালো লাগে... আমার দেশে ১৮ বছর হলো মদ্যপানের বৈধ বয়স, তাই আমি মদ্যপ হওয়ার ভয় পাচ্ছি কারণ এই মুহূর্তে আমার অন্য কোনও মাদকের অ্যাক্সেস নেই...")</f>
        <v>আমার বয়স এখন ১৮, আমি বেশিরভাগই DXM আর গাঁজার প্রতি আসক্ত ছিলাম, কিন্তু আমি একজন পলি-আসক্ত। আজ আমার ১৮তম জন্মদিন এবং আমি একটা নিষ্ক্রিয় জন্মদিন সহ্য করতে পারছিলাম না, তাই দোকানে গিয়ে মদ কিনেছিলাম, আর এখন আমি স্কুলে মাতাল... বারবার মদ্যপানের জন্য নিজেকে ঘৃণা করি, কিন্তু এটা খুব ভালো লাগে... আমার দেশে ১৮ বছর হলো মদ্যপানের বৈধ বয়স, তাই আমি মদ্যপ হওয়ার ভয় পাচ্ছি কারণ এই মুহূর্তে আমার অন্য কোনও মাদকের অ্যাক্সেস নেই...</v>
      </c>
    </row>
    <row r="534" spans="1:3" ht="15" x14ac:dyDescent="0.25">
      <c r="A534" s="3" t="s">
        <v>535</v>
      </c>
      <c r="B534" s="3" t="s">
        <v>4</v>
      </c>
      <c r="C534" s="4" t="str">
        <f ca="1">IFERROR(__xludf.DUMMYFUNCTION("GOOGLETRANSLATE(A534, ""auto"", ""bn"")"),"আমি কি একমাত্র ব্যক্তি যে আফিম খেয়ে এত ওজন কমিয়েছি যে আমার ওজন প্রায় ৫ কেজি কমেছে এবং আমি স্বাভাবিকভাবেই রোগা মানুষ। আমার ওজন আগে ৬০ কেজি ছিল, এখন আমি ৫৬ কেজি? আমার উচ্চতা ১৭১-১৭২ সেমি কিন্তু আমার শরীর আমার খুব খারাপ লাগে। আমার মুখ ফ্যাকাশে এবং আমি এত "&amp;"রোগা যে দেখতেও খারাপ লাগছে।")</f>
        <v>আমি কি একমাত্র ব্যক্তি যে আফিম খেয়ে এত ওজন কমিয়েছি যে আমার ওজন প্রায় ৫ কেজি কমেছে এবং আমি স্বাভাবিকভাবেই রোগা মানুষ। আমার ওজন আগে ৬০ কেজি ছিল, এখন আমি ৫৬ কেজি? আমার উচ্চতা ১৭১-১৭২ সেমি কিন্তু আমার শরীর আমার খুব খারাপ লাগে। আমার মুখ ফ্যাকাশে এবং আমি এত রোগা যে দেখতেও খারাপ লাগছে।</v>
      </c>
    </row>
    <row r="535" spans="1:3" ht="15" x14ac:dyDescent="0.25">
      <c r="A535" s="3" t="s">
        <v>536</v>
      </c>
      <c r="B535" s="3" t="s">
        <v>4</v>
      </c>
      <c r="C535" s="4" t="str">
        <f ca="1">IFERROR(__xludf.DUMMYFUNCTION("GOOGLETRANSLATE(A535, ""auto"", ""bn"")"),"আমার সান জোয়াকিনের স্বাস্থ্য বীমা পরিকল্পনা আছে, কিন্তু তারা বলে যে তারা পুনর্বাসনের খরচ বহন করে না, জীবন-হুমকির ঝুঁকি থাকলেও কি সত্যিই কোনও উপায় নেই? কারণ আমার কাছে অবশ্যই হাজার হাজার ডলার নেই।")</f>
        <v>আমার সান জোয়াকিনের স্বাস্থ্য বীমা পরিকল্পনা আছে, কিন্তু তারা বলে যে তারা পুনর্বাসনের খরচ বহন করে না, জীবন-হুমকির ঝুঁকি থাকলেও কি সত্যিই কোনও উপায় নেই? কারণ আমার কাছে অবশ্যই হাজার হাজার ডলার নেই।</v>
      </c>
    </row>
    <row r="536" spans="1:3" ht="15" x14ac:dyDescent="0.25">
      <c r="A536" s="3" t="s">
        <v>537</v>
      </c>
      <c r="B536" s="3" t="s">
        <v>4</v>
      </c>
      <c r="C536" s="4" t="str">
        <f ca="1">IFERROR(__xludf.DUMMYFUNCTION("GOOGLETRANSLATE(A536, ""auto"", ""bn"")"),"আমার জ্ঞান ফেরার আগেই স্ত্রী আমাকে ৩ বার মার্কান দিয়ে আঘাত করেছিল। ঘুম থেকে উঠে দেখি ১০ জন পুলিশ/ইএমটি/ইত্যাদি আমাকে আমার ডোপ খুঁজতে সাহায্য করছে। অ্যাম্বুলেন্সে করে তার কাছে যাওয়া হয়েছে, আর তারা কয়েক ঘন্টা ধরে আমার দিকে নজর রাখছে। আমি মাত্র ৩ সপ্তাহ আগে "&amp;"পুনর্বাসন থেকে বেরিয়ে এসেছি। সে আমাকে আবার যেতে বাধ্য করার চেষ্টা করছে, আর তারা বলেছে যেহেতু আমি কেবল একবার ব্যবহার করেছি বীমা করলে টাকা পাওয়া যাবে না। আমাকে অন্য জায়গায় যেতে হতে পারে এবং আমার ব্যবহারের বিষয়ে মিথ্যা বলতে হতে পারে। ডিসিএস সম্ভবত এতে জড়িত"&amp;" থাকবে কারণ বাড়িতে বাচ্চারা (ঘুমন্ত) ছিল। কী করব বা কেন আমি পোস্ট করছি তাও বুঝতে পারছি না, তবে আমি এখন জীবনকে ঘৃণা করি যদিও আমি বেঁচে থাকার জন্য কৃতজ্ঞ। জানি না কতক্ষণ বাইরে ছিলাম, কিন্তু স্ত্রী বলেছিল আমার গায়ে লালচে ভাব এবং মুখ ফেনা বেরোচ্ছে। পড়ে যাওয়া"&amp;"র কারণে রক্তে ঢাকা। পুনর্বাসনে এটাই ছিল আমার প্রথমবার এবং আমি ভেবেছিলাম আমি ঠিক হয়ে যাব। আমার ভালো লাগছে। এটি ছিল আমার প্রথম ওভারডোজ যেখানে আমি মার্কান নিয়েছিলাম এবং হাসপাতালে গিয়েছিলাম।")</f>
        <v>আমার জ্ঞান ফেরার আগেই স্ত্রী আমাকে ৩ বার মার্কান দিয়ে আঘাত করেছিল। ঘুম থেকে উঠে দেখি ১০ জন পুলিশ/ইএমটি/ইত্যাদি আমাকে আমার ডোপ খুঁজতে সাহায্য করছে। অ্যাম্বুলেন্সে করে তার কাছে যাওয়া হয়েছে, আর তারা কয়েক ঘন্টা ধরে আমার দিকে নজর রাখছে। আমি মাত্র ৩ সপ্তাহ আগে পুনর্বাসন থেকে বেরিয়ে এসেছি। সে আমাকে আবার যেতে বাধ্য করার চেষ্টা করছে, আর তারা বলেছে যেহেতু আমি কেবল একবার ব্যবহার করেছি বীমা করলে টাকা পাওয়া যাবে না। আমাকে অন্য জায়গায় যেতে হতে পারে এবং আমার ব্যবহারের বিষয়ে মিথ্যা বলতে হতে পারে। ডিসিএস সম্ভবত এতে জড়িত থাকবে কারণ বাড়িতে বাচ্চারা (ঘুমন্ত) ছিল। কী করব বা কেন আমি পোস্ট করছি তাও বুঝতে পারছি না, তবে আমি এখন জীবনকে ঘৃণা করি যদিও আমি বেঁচে থাকার জন্য কৃতজ্ঞ। জানি না কতক্ষণ বাইরে ছিলাম, কিন্তু স্ত্রী বলেছিল আমার গায়ে লালচে ভাব এবং মুখ ফেনা বেরোচ্ছে। পড়ে যাওয়ার কারণে রক্তে ঢাকা। পুনর্বাসনে এটাই ছিল আমার প্রথমবার এবং আমি ভেবেছিলাম আমি ঠিক হয়ে যাব। আমার ভালো লাগছে। এটি ছিল আমার প্রথম ওভারডোজ যেখানে আমি মার্কান নিয়েছিলাম এবং হাসপাতালে গিয়েছিলাম।</v>
      </c>
    </row>
    <row r="537" spans="1:3" ht="15" x14ac:dyDescent="0.25">
      <c r="A537" s="3" t="s">
        <v>538</v>
      </c>
      <c r="B537" s="3" t="s">
        <v>4</v>
      </c>
      <c r="C537" s="4" t="str">
        <f ca="1">IFERROR(__xludf.DUMMYFUNCTION("GOOGLETRANSLATE(A537, ""auto"", ""bn"")"),"যদিও আমার অ-অ্যাসিড ধরা পড়েছিল, তবুও আমি রিটালিনের সাথে কথা বলছি। এটি পড়াশোনায় সাহায্য করে, কিন্তু আমি থামাতে চাই...")</f>
        <v>যদিও আমার অ-অ্যাসিড ধরা পড়েছিল, তবুও আমি রিটালিনের সাথে কথা বলছি। এটি পড়াশোনায় সাহায্য করে, কিন্তু আমি থামাতে চাই...</v>
      </c>
    </row>
    <row r="538" spans="1:3" ht="15" x14ac:dyDescent="0.25">
      <c r="A538" s="3" t="s">
        <v>539</v>
      </c>
      <c r="B538" s="3" t="s">
        <v>4</v>
      </c>
      <c r="C538" s="4" t="str">
        <f ca="1">IFERROR(__xludf.DUMMYFUNCTION("GOOGLETRANSLATE(A538, ""auto"", ""bn"")"),"গতকাল আমি ৭ বছর পরিষ্কার-পরিচ্ছন্নতা এবং সুস্থতার সাথে উদযাপন করেছি।")</f>
        <v>গতকাল আমি ৭ বছর পরিষ্কার-পরিচ্ছন্নতা এবং সুস্থতার সাথে উদযাপন করেছি।</v>
      </c>
    </row>
    <row r="539" spans="1:3" ht="15" x14ac:dyDescent="0.25">
      <c r="A539" s="3" t="s">
        <v>540</v>
      </c>
      <c r="B539" s="3" t="s">
        <v>4</v>
      </c>
      <c r="C539" s="4" t="str">
        <f ca="1">IFERROR(__xludf.DUMMYFUNCTION("GOOGLETRANSLATE(A539, ""auto"", ""bn"")"),"আমি ১৭ দিন ধরে ফেন্টানিলের কারণে সুস্থ ছিলাম এবং ঠান্ডা লেগেছিল। তাই আমি সাবসক্রিপশন নেব না। দয়া করে এগুলো নিয়ে কিছু বলবেন না। কিন্তু আমি প্রতি ৩০ সেকেন্ডে প্রায় ২৫টি প্রেসড ফেক নিচ্ছিলাম। তাই আমি জানি এতে কিছুটা সময় লাগতে পারে। কিন্তু আমি শুধু কিছু ধারণা"&amp;" পাওয়ার চেষ্টা করছি। কেউ কি জানেন এই অনিদ্রা কতক্ষণ থাকে? আমি হয়তো এই দীর্ঘ দিন ধরে ৪ ঘন্টা ঘুমিয়েছি। কেউ কি এমন কিছু সুপারিশ করতে পারেন যা আসক্তিহীন। আমি সুস্থ থাকার চেষ্টা করছি এবং জুস ডাব্লিউআরএলডি ওষুধ বন্ধ রাখার চেষ্টা করছি। আমি আগাছা, মেলাটোনিন, অ্য"&amp;"াটম এবং আরও কিছু ওষুধ ব্যবহার করেছি কিন্তু কাজ না করায় বন্ধ করে দিয়েছি? আমি শুধু একটু ঘুম চাই যাতে আমি ভালো বোধ করতে পারি।")</f>
        <v>আমি ১৭ দিন ধরে ফেন্টানিলের কারণে সুস্থ ছিলাম এবং ঠান্ডা লেগেছিল। তাই আমি সাবসক্রিপশন নেব না। দয়া করে এগুলো নিয়ে কিছু বলবেন না। কিন্তু আমি প্রতি ৩০ সেকেন্ডে প্রায় ২৫টি প্রেসড ফেক নিচ্ছিলাম। তাই আমি জানি এতে কিছুটা সময় লাগতে পারে। কিন্তু আমি শুধু কিছু ধারণা পাওয়ার চেষ্টা করছি। কেউ কি জানেন এই অনিদ্রা কতক্ষণ থাকে? আমি হয়তো এই দীর্ঘ দিন ধরে ৪ ঘন্টা ঘুমিয়েছি। কেউ কি এমন কিছু সুপারিশ করতে পারেন যা আসক্তিহীন। আমি সুস্থ থাকার চেষ্টা করছি এবং জুস ডাব্লিউআরএলডি ওষুধ বন্ধ রাখার চেষ্টা করছি। আমি আগাছা, মেলাটোনিন, অ্যাটম এবং আরও কিছু ওষুধ ব্যবহার করেছি কিন্তু কাজ না করায় বন্ধ করে দিয়েছি? আমি শুধু একটু ঘুম চাই যাতে আমি ভালো বোধ করতে পারি।</v>
      </c>
    </row>
    <row r="540" spans="1:3" ht="15" x14ac:dyDescent="0.25">
      <c r="A540" s="3" t="s">
        <v>541</v>
      </c>
      <c r="B540" s="3" t="s">
        <v>4</v>
      </c>
      <c r="C540" s="4" t="str">
        <f ca="1">IFERROR(__xludf.DUMMYFUNCTION("GOOGLETRANSLATE(A540, ""auto"", ""bn"")"),"মাদকাসক্তদের সাথে অন্য যে কোনও রোগের সাথে একই আচরণ করা উচিত। সত্যি বলতে, আমি অবাক হয়েছি যে এখনও কত মানুষ আসক্তিকে একটি পছন্দ হিসেবে দেখে। আজ আমি প্রতিক্রিয়া হিসেবে এই ভিডিওটি পোস্ট করার চেষ্টা করেছি এবং আমার পোস্টটি আবার সরিয়ে ফেলা হয়েছে। মস্তিষ্কে আস"&amp;"ক্তি কীভাবে ঘটে এবং এর পিছনের স্নায়ুবিজ্ঞানের সবচেয়ে ভালো ব্যাখ্যা হল এই ভিডিওটি। এটি স্পষ্টভাবে প্রমাণ করে যে আসক্তি একটি রোগ।")</f>
        <v>মাদকাসক্তদের সাথে অন্য যে কোনও রোগের সাথে একই আচরণ করা উচিত। সত্যি বলতে, আমি অবাক হয়েছি যে এখনও কত মানুষ আসক্তিকে একটি পছন্দ হিসেবে দেখে। আজ আমি প্রতিক্রিয়া হিসেবে এই ভিডিওটি পোস্ট করার চেষ্টা করেছি এবং আমার পোস্টটি আবার সরিয়ে ফেলা হয়েছে। মস্তিষ্কে আসক্তি কীভাবে ঘটে এবং এর পিছনের স্নায়ুবিজ্ঞানের সবচেয়ে ভালো ব্যাখ্যা হল এই ভিডিওটি। এটি স্পষ্টভাবে প্রমাণ করে যে আসক্তি একটি রোগ।</v>
      </c>
    </row>
    <row r="541" spans="1:3" ht="15" x14ac:dyDescent="0.25">
      <c r="A541" s="3" t="s">
        <v>542</v>
      </c>
      <c r="B541" s="3" t="s">
        <v>4</v>
      </c>
      <c r="C541" s="4" t="str">
        <f ca="1">IFERROR(__xludf.DUMMYFUNCTION("GOOGLETRANSLATE(A541, ""auto"", ""bn"")"),"কেউ কি আমাকে বলতে পারবেন যে তারা কতক্ষণ ধরে অ্যাডেরাল খাচ্ছিলেন এবং বুঝতে পারলেন না যে তারা এতে আসক্ত?")</f>
        <v>কেউ কি আমাকে বলতে পারবেন যে তারা কতক্ষণ ধরে অ্যাডেরাল খাচ্ছিলেন এবং বুঝতে পারলেন না যে তারা এতে আসক্ত?</v>
      </c>
    </row>
    <row r="542" spans="1:3" ht="15" x14ac:dyDescent="0.25">
      <c r="A542" s="3" t="s">
        <v>543</v>
      </c>
      <c r="B542" s="3" t="s">
        <v>4</v>
      </c>
      <c r="C542" s="4" t="str">
        <f ca="1">IFERROR(__xludf.DUMMYFUNCTION("GOOGLETRANSLATE(A542, ""auto"", ""bn"")"),"হ্যালো সবাই, আমি ভেবেছিলাম এখানে কিছু পরামর্শের জন্য আসব। আমি একজন তরুণ এবং সত্যি কথা বলতে আমার বয়স ১৪ বছর এবং পর্নোগ্রাফির প্রতি আমার খুব খারাপ আসক্তি আছে, এটা আমার জীবনকে ধ্বংস করে দিচ্ছে। আমি এটাকে এতটাই ঘৃণা করি যে এটা করাও ভালো নয়। এখন কিন্তু আমি এ"&amp;"খনও এটাতেই ফিরে যাই। আমি অনেকবার ত্যাগ করার চেষ্টা করেছি কিন্তু থামাতে পারছি না, এটা এমন পর্যায়ে পৌঁছেছে যে আমি একটি মেয়ের সাথে সহবাস করেছি এবং আমি তাও করতে পারিনি। তারপর থেকে আমার খুব খারাপ লাগছিল। আমি বারবার বলেছি, ""আজই আমি ত্যাগ করব?"" কিন্তু কখনও ত"&amp;"া হয় না। কারো কি আমাকে সাহায্য করার জন্য কোন পরামর্শ আছে?")</f>
        <v>হ্যালো সবাই, আমি ভেবেছিলাম এখানে কিছু পরামর্শের জন্য আসব। আমি একজন তরুণ এবং সত্যি কথা বলতে আমার বয়স ১৪ বছর এবং পর্নোগ্রাফির প্রতি আমার খুব খারাপ আসক্তি আছে, এটা আমার জীবনকে ধ্বংস করে দিচ্ছে। আমি এটাকে এতটাই ঘৃণা করি যে এটা করাও ভালো নয়। এখন কিন্তু আমি এখনও এটাতেই ফিরে যাই। আমি অনেকবার ত্যাগ করার চেষ্টা করেছি কিন্তু থামাতে পারছি না, এটা এমন পর্যায়ে পৌঁছেছে যে আমি একটি মেয়ের সাথে সহবাস করেছি এবং আমি তাও করতে পারিনি। তারপর থেকে আমার খুব খারাপ লাগছিল। আমি বারবার বলেছি, "আজই আমি ত্যাগ করব?" কিন্তু কখনও তা হয় না। কারো কি আমাকে সাহায্য করার জন্য কোন পরামর্শ আছে?</v>
      </c>
    </row>
    <row r="543" spans="1:3" ht="15" x14ac:dyDescent="0.25">
      <c r="A543" s="3" t="s">
        <v>544</v>
      </c>
      <c r="B543" s="3" t="s">
        <v>4</v>
      </c>
      <c r="C543" s="4" t="str">
        <f ca="1">IFERROR(__xludf.DUMMYFUNCTION("GOOGLETRANSLATE(A543, ""auto"", ""bn"")"),"আমি বর্তমানে গাঁজার প্রতি খুব আসক্ত, ঘুম থেকে ওঠার পর থেকে রাত পর্যন্ত আমি এটি সেবন করি। বেশিরভাগ দিন আমি এক ধরণের ধোঁয়ার মধ্যে কাটাই, বসে থাকি এবং এক বা দুই খাবারের বেশি খাই না। আমি গত ৫ বছর ধরে প্রচুর পরিমাণে গাঁজা ব্যবহার করছি এবং গত দুই বছর ধরে প্রতি"&amp;"দিন সারাদিন সেবন করছি। আমার প্রশ্ন হল, আমি কীভাবে থামাবো? আমি কি আমার স্বাস্থ্যের জন্য কোনও গুরুতর ঝুঁকি ছাড়াই কোল্ড টার্কি বন্ধ করতে পারি? যদি তাই হয় তবে আমার পরিকল্পনা হল কোল্ড টার্কি বন্ধ করার চেষ্টা করা, তবে আমি দেখতে চেয়েছিলাম যে এটি সবচেয়ে কার্য"&amp;"কর কৌশল কিনা নাকি আমি এটি করে গুরুতর ঝুঁকি নিয়েছি। জীবনযাত্রার পরিবর্তনের সাথে মানসিকভাবে কীভাবে মোকাবিলা করব সে সম্পর্কে কোনও পরামর্শও কার্যকর হবে। দয়া করে আমাকে সাহায্য করুন আমি চাই আমার জীবন আরও ভালো হোক এবং এটিই প্রথম পদক্ষেপ।")</f>
        <v>আমি বর্তমানে গাঁজার প্রতি খুব আসক্ত, ঘুম থেকে ওঠার পর থেকে রাত পর্যন্ত আমি এটি সেবন করি। বেশিরভাগ দিন আমি এক ধরণের ধোঁয়ার মধ্যে কাটাই, বসে থাকি এবং এক বা দুই খাবারের বেশি খাই না। আমি গত ৫ বছর ধরে প্রচুর পরিমাণে গাঁজা ব্যবহার করছি এবং গত দুই বছর ধরে প্রতিদিন সারাদিন সেবন করছি। আমার প্রশ্ন হল, আমি কীভাবে থামাবো? আমি কি আমার স্বাস্থ্যের জন্য কোনও গুরুতর ঝুঁকি ছাড়াই কোল্ড টার্কি বন্ধ করতে পারি? যদি তাই হয় তবে আমার পরিকল্পনা হল কোল্ড টার্কি বন্ধ করার চেষ্টা করা, তবে আমি দেখতে চেয়েছিলাম যে এটি সবচেয়ে কার্যকর কৌশল কিনা নাকি আমি এটি করে গুরুতর ঝুঁকি নিয়েছি। জীবনযাত্রার পরিবর্তনের সাথে মানসিকভাবে কীভাবে মোকাবিলা করব সে সম্পর্কে কোনও পরামর্শও কার্যকর হবে। দয়া করে আমাকে সাহায্য করুন আমি চাই আমার জীবন আরও ভালো হোক এবং এটিই প্রথম পদক্ষেপ।</v>
      </c>
    </row>
    <row r="544" spans="1:3" ht="15" x14ac:dyDescent="0.25">
      <c r="A544" s="3" t="s">
        <v>545</v>
      </c>
      <c r="B544" s="3" t="s">
        <v>4</v>
      </c>
      <c r="C544" s="4" t="str">
        <f ca="1">IFERROR(__xludf.DUMMYFUNCTION("GOOGLETRANSLATE(A544, ""auto"", ""bn"")"),"এই প্রশ্নটি করার জন্য Subreddit কোথা থেকে সবচেয়ে ভালো হবে তা আমি জানি না, তবে আমার মনে হয়েছে এটিই শুরু করার সবচেয়ে ভালো জায়গা। যদি আপনারা আমাকে কোনওভাবে সাহায্য করতে পারেন, তাহলে আমি কৃতজ্ঞ থাকব। এখানে কিছু প্রেক্ষাপট দেওয়া হল। বহু বছর ধরে আমার ভাই বার"&amp;"বার আসক্তির সাথে লড়াই করে আসছে। সেটা বড়ি, গাঁজা, কোকেন এবং মূলত যে কোনও মাদকই হোক না কেন। কিছুর কথা আমি কখনও শুনিনি। গত ৪ মাস ধরে সে তার অভ্যাসটি পরিষ্কার করেছে, পরিষ্কার হয়েছে, আবার কাজে এবং জিমে গেছে। আমাদের বিষাক্ত বাবার কাছ থেকে দূরে থাকার জন্য সে "&amp;"আমার সাথে চলে গেছে, যার সাথে আমরা আর কথা বলি না। সে খুব ভালোই করছিল কিন্তু কোভিড এবং আরও লকডাউন ফিরে আসার সাথে সাথে সে খুব সম্প্রতি আবার অসুস্থ হয়ে পড়ে। আমি হালকাভাবে তাকে এই বিষয়ে মুখোমুখি হওয়ার চেষ্টা করেছি কারণ সে যখন ব্যবহার করছে তখন এটি বেশ স্পষ্"&amp;"ট। সে অবশেষে কাঁদতে কাঁদতে আমার কাছে স্বীকার করেছে, সে আবার অসুস্থ হয়ে পড়েছে, এবং আমাদের মধ্যে এটি নিয়ে হৃদয় থেকে হৃদয়ে কথা হয়েছে। যখন সে ব্যবহার করে তখন সে আমার সাথে খুব বেশি কথা বলে না, এমনকি আমাকে এড়িয়েও চলে। সে দীর্ঘ সময় এবং দিন/রাতের অনিয়মি"&amp;"ত সময়ের জন্য অদৃশ্য হয়ে যায়। আর সে যে প্রচুর ওষুধ খায়, বিশেষ করে কোকেন, তার কারণে সে খুব আক্রমণাত্মক হয়ে উঠতে পারে। এটা আমাকে ভয় পাইয়ে দেয়। তার অসুস্থতা ফিরে আসার কথা বলার পর আমার মনে হয়েছিল পরিস্থিতি আরও খারাপ হতে শুরু করবে। পরিস্থিতি আরও খারাপ হয়েছে"&amp;"। সে আবার আত্ম-বিচ্ছিন্নতায় চলে গেছে, অদৃশ্য হয়ে গেছে, আর আজ রাতে খুব ছোট একটা বিষয়ে সে বিরক্ত হয়ে আমার দিকে চিৎকার করে বলে। তাকে এভাবে দেখে আমার খুব কষ্ট হয়। যখন সে মাদকাসক্ত হয়, তখন সে এমন একজন হয়ে যায় যাকে আমি চিনতে পারি না, আর এখন আমি তার সাথে যে কোনও"&amp;" বিষয়ে কথা বলতে ভয় পাই, যতটা আক্রমণাত্মক হতে পারে। তাই আমি তোমাদের জিজ্ঞাসা করছি। আমি আর কী করতে পারি? আমি কি তার সাথে কথা বলার চেষ্টা চালিয়ে যাব? আমি কি তাকে এখনই স্থান দেব? আমি জানি সে কেবল নিজেই পরিষ্কার হতে পারে, কিন্তু আমার জানা দরকার যে আমি তাকে স"&amp;"াহায্য করার জন্য আমার যথাসাধ্য চেষ্টা করছি। দীর্ঘ প্রবন্ধের জন্য আমি দুঃখিত। তাকে হারানোর চিন্তায় আমি পাগল হয়ে যাচ্ছি, সে আমার কাছে পৃথিবীর সবচেয়ে গুরুত্বপূর্ণ ব্যক্তি। তোমার সময়ের জন্য ধন্যবাদ।")</f>
        <v>এই প্রশ্নটি করার জন্য Subreddit কোথা থেকে সবচেয়ে ভালো হবে তা আমি জানি না, তবে আমার মনে হয়েছে এটিই শুরু করার সবচেয়ে ভালো জায়গা। যদি আপনারা আমাকে কোনওভাবে সাহায্য করতে পারেন, তাহলে আমি কৃতজ্ঞ থাকব। এখানে কিছু প্রেক্ষাপট দেওয়া হল। বহু বছর ধরে আমার ভাই বারবার আসক্তির সাথে লড়াই করে আসছে। সেটা বড়ি, গাঁজা, কোকেন এবং মূলত যে কোনও মাদকই হোক না কেন। কিছুর কথা আমি কখনও শুনিনি। গত ৪ মাস ধরে সে তার অভ্যাসটি পরিষ্কার করেছে, পরিষ্কার হয়েছে, আবার কাজে এবং জিমে গেছে। আমাদের বিষাক্ত বাবার কাছ থেকে দূরে থাকার জন্য সে আমার সাথে চলে গেছে, যার সাথে আমরা আর কথা বলি না। সে খুব ভালোই করছিল কিন্তু কোভিড এবং আরও লকডাউন ফিরে আসার সাথে সাথে সে খুব সম্প্রতি আবার অসুস্থ হয়ে পড়ে। আমি হালকাভাবে তাকে এই বিষয়ে মুখোমুখি হওয়ার চেষ্টা করেছি কারণ সে যখন ব্যবহার করছে তখন এটি বেশ স্পষ্ট। সে অবশেষে কাঁদতে কাঁদতে আমার কাছে স্বীকার করেছে, সে আবার অসুস্থ হয়ে পড়েছে, এবং আমাদের মধ্যে এটি নিয়ে হৃদয় থেকে হৃদয়ে কথা হয়েছে। যখন সে ব্যবহার করে তখন সে আমার সাথে খুব বেশি কথা বলে না, এমনকি আমাকে এড়িয়েও চলে। সে দীর্ঘ সময় এবং দিন/রাতের অনিয়মিত সময়ের জন্য অদৃশ্য হয়ে যায়। আর সে যে প্রচুর ওষুধ খায়, বিশেষ করে কোকেন, তার কারণে সে খুব আক্রমণাত্মক হয়ে উঠতে পারে। এটা আমাকে ভয় পাইয়ে দেয়। তার অসুস্থতা ফিরে আসার কথা বলার পর আমার মনে হয়েছিল পরিস্থিতি আরও খারাপ হতে শুরু করবে। পরিস্থিতি আরও খারাপ হয়েছে। সে আবার আত্ম-বিচ্ছিন্নতায় চলে গেছে, অদৃশ্য হয়ে গেছে, আর আজ রাতে খুব ছোট একটা বিষয়ে সে বিরক্ত হয়ে আমার দিকে চিৎকার করে বলে। তাকে এভাবে দেখে আমার খুব কষ্ট হয়। যখন সে মাদকাসক্ত হয়, তখন সে এমন একজন হয়ে যায় যাকে আমি চিনতে পারি না, আর এখন আমি তার সাথে যে কোনও বিষয়ে কথা বলতে ভয় পাই, যতটা আক্রমণাত্মক হতে পারে। তাই আমি তোমাদের জিজ্ঞাসা করছি। আমি আর কী করতে পারি? আমি কি তার সাথে কথা বলার চেষ্টা চালিয়ে যাব? আমি কি তাকে এখনই স্থান দেব? আমি জানি সে কেবল নিজেই পরিষ্কার হতে পারে, কিন্তু আমার জানা দরকার যে আমি তাকে সাহায্য করার জন্য আমার যথাসাধ্য চেষ্টা করছি। দীর্ঘ প্রবন্ধের জন্য আমি দুঃখিত। তাকে হারানোর চিন্তায় আমি পাগল হয়ে যাচ্ছি, সে আমার কাছে পৃথিবীর সবচেয়ে গুরুত্বপূর্ণ ব্যক্তি। তোমার সময়ের জন্য ধন্যবাদ।</v>
      </c>
    </row>
    <row r="545" spans="1:3" ht="15" x14ac:dyDescent="0.25">
      <c r="A545" s="3" t="s">
        <v>546</v>
      </c>
      <c r="B545" s="3" t="s">
        <v>4</v>
      </c>
      <c r="C545" s="4" t="str">
        <f ca="1">IFERROR(__xludf.DUMMYFUNCTION("GOOGLETRANSLATE(A545, ""auto"", ""bn"")"),"আমার বিশ্বাস: সম্প্রতি Reddit-এ আমি দেখতে পাচ্ছি যে ""যদি কোনও সমস্যার সমাধান ত্রুটিহীন না হয় তবে তা খারাপ?"" ক্যাম্পে প্রচুর লোক আছে। এই মিটিংগুলির জন্য আমি বলতে চাই, এটি সম্পূর্ণরূপে আপনার মনোভাবের উপর নির্ভর করে। আপনি যদি খোলা মনে যান অথবা যদি আপনি সে"&amp;"খানে বসে আপনার নিন্দার সাথে সবকিছু আলাদা করেন, তবে এটি আপনার জন্য ক্ষতিকারক নাকি সহায়ক তা নির্ধারণ করে। হ্যাঁ, আমি ""ক্ষমতাহীনতা"" বাজে কথা (আমরা যদি সকলেই শক্তিহীন FFS হতাম তবে সেই কক্ষগুলিতে কেউ থাকত না), এবং অনস্বীকার্য ধর্মীয় অনুভূতিতে গর্ত করতে পার"&amp;"ি? প্রাথমিকভাবে পুনরুদ্ধারের সময়, আমি মিটিংগুলিকে ছোটবেলায় গির্জার মতো আচরণ করেছিলাম: ""ঠিক আছে আমি এই সমস্ত কিছু কিনছি না, তবে আমি এই লোকদের মধ্যে কিছুকে পছন্দ করি এবং আমি তাদের জন্য এটি নষ্ট করব না।"" গল্পের জন্য যান (তারা সত্য হোক বা না হোক? কে পরোয়"&amp;"া করে?), মানুষের জন্য থাকুন, সংযোগ, স্মৃতি, এবং তাদের কাছ থেকে গুরুত্বপূর্ণ একমাত্র শিক্ষাটি নিয়ে যান। সুবর্ণ নিয়ম।")</f>
        <v>আমার বিশ্বাস: সম্প্রতি Reddit-এ আমি দেখতে পাচ্ছি যে "যদি কোনও সমস্যার সমাধান ত্রুটিহীন না হয় তবে তা খারাপ?" ক্যাম্পে প্রচুর লোক আছে। এই মিটিংগুলির জন্য আমি বলতে চাই, এটি সম্পূর্ণরূপে আপনার মনোভাবের উপর নির্ভর করে। আপনি যদি খোলা মনে যান অথবা যদি আপনি সেখানে বসে আপনার নিন্দার সাথে সবকিছু আলাদা করেন, তবে এটি আপনার জন্য ক্ষতিকারক নাকি সহায়ক তা নির্ধারণ করে। হ্যাঁ, আমি "ক্ষমতাহীনতা" বাজে কথা (আমরা যদি সকলেই শক্তিহীন FFS হতাম তবে সেই কক্ষগুলিতে কেউ থাকত না), এবং অনস্বীকার্য ধর্মীয় অনুভূতিতে গর্ত করতে পারি? প্রাথমিকভাবে পুনরুদ্ধারের সময়, আমি মিটিংগুলিকে ছোটবেলায় গির্জার মতো আচরণ করেছিলাম: "ঠিক আছে আমি এই সমস্ত কিছু কিনছি না, তবে আমি এই লোকদের মধ্যে কিছুকে পছন্দ করি এবং আমি তাদের জন্য এটি নষ্ট করব না।" গল্পের জন্য যান (তারা সত্য হোক বা না হোক? কে পরোয়া করে?), মানুষের জন্য থাকুন, সংযোগ, স্মৃতি, এবং তাদের কাছ থেকে গুরুত্বপূর্ণ একমাত্র শিক্ষাটি নিয়ে যান। সুবর্ণ নিয়ম।</v>
      </c>
    </row>
    <row r="546" spans="1:3" ht="15" x14ac:dyDescent="0.25">
      <c r="A546" s="3" t="s">
        <v>547</v>
      </c>
      <c r="B546" s="3" t="s">
        <v>4</v>
      </c>
      <c r="C546" s="4" t="str">
        <f ca="1">IFERROR(__xludf.DUMMYFUNCTION("GOOGLETRANSLATE(A546, ""auto"", ""bn"")"),"ঋতুস্রাব বন্ধ করে মারা যেতে পারেন? ঋতুস্রাব বন্ধ করে দেওয়া কি ভালো ধারণা? ঋতুস্রাব বন্ধ করে দেওয়া সবচেয়ে খারাপ। প্রায় দুই দিন ঋতুস্রাব বন্ধ করে রেখেছিলাম, আর মনে হচ্ছিল যেন নোংরামি।")</f>
        <v>ঋতুস্রাব বন্ধ করে মারা যেতে পারেন? ঋতুস্রাব বন্ধ করে দেওয়া কি ভালো ধারণা? ঋতুস্রাব বন্ধ করে দেওয়া সবচেয়ে খারাপ। প্রায় দুই দিন ঋতুস্রাব বন্ধ করে রেখেছিলাম, আর মনে হচ্ছিল যেন নোংরামি।</v>
      </c>
    </row>
    <row r="547" spans="1:3" ht="15" x14ac:dyDescent="0.25">
      <c r="A547" s="3" t="s">
        <v>548</v>
      </c>
      <c r="B547" s="3" t="s">
        <v>4</v>
      </c>
      <c r="C547" s="4" t="str">
        <f ca="1">IFERROR(__xludf.DUMMYFUNCTION("GOOGLETRANSLATE(A547, ""auto"", ""bn"")"),"আমার GF এবং IDK-এর সাথে ফোনে কথা বলতে বলতে আমি খুব রেগে গেলাম, সাহায্য করার জন্য কী করব? গত রাতে আমার বান্ধবীকে ফোন করার সময় আমি সত্যিই রেগে গেলাম এবং অনেক খারাপ কথা বলে ফেললাম যা আমি মোটেও বলতে চাইনি, এবং আমি জানি না কিভাবে এটা ঠিক করব বা সাহায্য করব এব"&amp;"ং আমি জানি না কী করব। আমি খুব ভয় পাচ্ছি।")</f>
        <v>আমার GF এবং IDK-এর সাথে ফোনে কথা বলতে বলতে আমি খুব রেগে গেলাম, সাহায্য করার জন্য কী করব? গত রাতে আমার বান্ধবীকে ফোন করার সময় আমি সত্যিই রেগে গেলাম এবং অনেক খারাপ কথা বলে ফেললাম যা আমি মোটেও বলতে চাইনি, এবং আমি জানি না কিভাবে এটা ঠিক করব বা সাহায্য করব এবং আমি জানি না কী করব। আমি খুব ভয় পাচ্ছি।</v>
      </c>
    </row>
    <row r="548" spans="1:3" ht="15" x14ac:dyDescent="0.25">
      <c r="A548" s="3" t="s">
        <v>549</v>
      </c>
      <c r="B548" s="3" t="s">
        <v>4</v>
      </c>
      <c r="C548" s="4" t="str">
        <f ca="1">IFERROR(__xludf.DUMMYFUNCTION("GOOGLETRANSLATE(A548, ""auto"", ""bn"")"),"আসক্তিকর চিন্তাভাবনা আসক্তি ছাড়াই আমি কীভাবে আসক্তিকর চিন্তাভাবনার জন্য সাহায্য পেতে পারি? আমি নিজের ক্ষতি করতে আসক্ত এবং আমি খাওয়ার প্রতি আসক্ত কিন্তু আমি কখনও মাদক গ্রহণ করিনি। আমি একটি আসক্ত পরিবারে বড় হয়েছি, আমার বয়স যখন ১৮ বছর তখন মাদক আমার বাবা"&amp;"কে আমার কাছ থেকে কেড়ে নিয়েছিল। আমার বয়স এখন প্রায় ২২ এবং প্রায় এক বছর ধরে, আমার মনে নানান চিন্তাভাবনা আসছিল যে আমি কোক, মলি বা অ্যাডেরল চেষ্টা করতে বলি। আমার মা বা বাবা যে ওষুধগুলিতে আসক্ত ছিলেন সেগুলি চেষ্টা করার কথা আমার কখনও মনে হয়নি। তাছাড়া, আম"&amp;"ি আসলে জানি না এটি সম্পর্কে কী করব। আমি কখনও এটিতে কাজ করিনি, কারণ আমি মনে করি কেউ প্রস্তাব দেয়নি। আমি কয়েকবার একজন বন্ধুকে কিছু অ্যাড খুঁজে পেতে বলেছি, কিন্তু সে হয় ভাগ্যবান হয়নি অথবা সে পারবে না। তাছাড়া, আমার আসলে এটি সম্পর্কে কথা বলার মতো কেউ নেই,"&amp;" যতবার আমি এটি চেষ্টা করেছি ""শুধু এটি করো না?"" কিন্তু আমার শরীরের প্রতিটি তন্তু আমাকে বলছে")</f>
        <v>আসক্তিকর চিন্তাভাবনা আসক্তি ছাড়াই আমি কীভাবে আসক্তিকর চিন্তাভাবনার জন্য সাহায্য পেতে পারি? আমি নিজের ক্ষতি করতে আসক্ত এবং আমি খাওয়ার প্রতি আসক্ত কিন্তু আমি কখনও মাদক গ্রহণ করিনি। আমি একটি আসক্ত পরিবারে বড় হয়েছি, আমার বয়স যখন ১৮ বছর তখন মাদক আমার বাবাকে আমার কাছ থেকে কেড়ে নিয়েছিল। আমার বয়স এখন প্রায় ২২ এবং প্রায় এক বছর ধরে, আমার মনে নানান চিন্তাভাবনা আসছিল যে আমি কোক, মলি বা অ্যাডেরল চেষ্টা করতে বলি। আমার মা বা বাবা যে ওষুধগুলিতে আসক্ত ছিলেন সেগুলি চেষ্টা করার কথা আমার কখনও মনে হয়নি। তাছাড়া, আমি আসলে জানি না এটি সম্পর্কে কী করব। আমি কখনও এটিতে কাজ করিনি, কারণ আমি মনে করি কেউ প্রস্তাব দেয়নি। আমি কয়েকবার একজন বন্ধুকে কিছু অ্যাড খুঁজে পেতে বলেছি, কিন্তু সে হয় ভাগ্যবান হয়নি অথবা সে পারবে না। তাছাড়া, আমার আসলে এটি সম্পর্কে কথা বলার মতো কেউ নেই, যতবার আমি এটি চেষ্টা করেছি "শুধু এটি করো না?" কিন্তু আমার শরীরের প্রতিটি তন্তু আমাকে বলছে</v>
      </c>
    </row>
    <row r="549" spans="1:3" ht="15" x14ac:dyDescent="0.25">
      <c r="A549" s="3" t="s">
        <v>550</v>
      </c>
      <c r="B549" s="3" t="s">
        <v>4</v>
      </c>
      <c r="C549" s="4" t="str">
        <f ca="1">IFERROR(__xludf.DUMMYFUNCTION("GOOGLETRANSLATE(A549, ""auto"", ""bn"")"),"কী করব? রেডিটে সবাই আমাকে ঘৃণা করে। তারা আমাকে পাথরবাজ বা হিন্দি/ভারতীয় ভাষায় 'ভাং' বলে ডাকে। আমি যেকোনো পোস্টে যেকোনো মন্তব্য করি, আর তারা আমাকে গালিগালাজ করতে শুরু করে। এখন কী করব? দয়া করে আমাকে সাহায্য করুন। আমি শান্ত।")</f>
        <v>কী করব? রেডিটে সবাই আমাকে ঘৃণা করে। তারা আমাকে পাথরবাজ বা হিন্দি/ভারতীয় ভাষায় 'ভাং' বলে ডাকে। আমি যেকোনো পোস্টে যেকোনো মন্তব্য করি, আর তারা আমাকে গালিগালাজ করতে শুরু করে। এখন কী করব? দয়া করে আমাকে সাহায্য করুন। আমি শান্ত।</v>
      </c>
    </row>
    <row r="550" spans="1:3" ht="15" x14ac:dyDescent="0.25">
      <c r="A550" s="3" t="s">
        <v>551</v>
      </c>
      <c r="B550" s="3" t="s">
        <v>4</v>
      </c>
      <c r="C550" s="4" t="str">
        <f ca="1">IFERROR(__xludf.DUMMYFUNCTION("GOOGLETRANSLATE(A550, ""auto"", ""bn"")"),"আমার প্রেমিক তার মাদকাসক্তি গোপন করার প্রতিক্রিয়া জানাতে কী বলবো বুঝতে পারছি না। আমার বয়স ৩৬ বছর, প্রেমিকার বয়স ৪১ বছর। আমরা আড়াই বছর ধরে একসাথে আছি। আমরা তার দুই সন্তানদের সাথে থাকি যাদের সাথে সে হাফটাইম কাজ করে। যখন আমাদের দেখা হয় তখন আমার প্রেমিক সম্প্"&amp;"রতি দীর্ঘদিনের সম্পর্কের বাইরে ছিল, এবং আমি জানতাম সে বিষণ্ণতার সাথে লড়াই করছে। আমরা ধীরে ধীরে ব্যাপারটা নিয়েছিলাম। অতীতে তার মাদকাসক্তির সমস্যা সম্পর্কে সে স্পষ্টভাবে কথা বলেছিল। আমার ধারণা ছিল যে তার হার্ড ড্রাগ (কোকেন, বেজোস, ওপিওয়েড) ব্যবহার অতীতের।"&amp;" আমি জানতাম সে প্রচুর পরিমাণে মদ্যপান করত, কিন্তু আমাদের প্রথম বছর ধরে সে তার মদ্যপান নিয়ন্ত্রণ করেছিল, পর্যায়ক্রমে মদ্যপান ছেড়ে দিয়েছিল এবং রাতে কয়েকটি বিয়ারে লেগে ছিল। মনে হচ্ছিল সে নিজের উপর কাজ করছে এবং ইতিবাচক পরিবর্তন আনছে। আমরা প্রায় ১ বছর ধ"&amp;"রে একসাথে বসবাস করছি। একসাথে থাকার পর থেকে আমি মাঝে মাঝে কিছু অদ্ভুত আচরণ লক্ষ্য করেছি। চরম কিছু নয়, তবে সংকুচিত ছাত্রছাত্রী, অলসতা, উত্থান বজায় রাখতে অসুবিধা। আর আমি বেশিরভাগ সময় তাদের চাপের মধ্যে রাখতাম কারণ আমার প্রেমিকের পূর্ণকালীন চাকরি থাকে, সে ত"&amp;"ার বাচ্চাদের দেখাশোনা করে ইত্যাদি। কিন্তু গত ছয় মাস ধরে আমি ক্রমশ সন্দেহজনক হয়ে উঠছি। আমার প্রেমিকের কিছু আর্থিক সমস্যা ছিল (কোনও বিপর্যয়কর কিছু নয়, তবে অল্প পরিমাণে অর্থ অনুপস্থিত, ভাড়ার অভাব ইত্যাদি), আমি প্রায়শই সংকুচিত ছাত্রদের লক্ষ্য করেছি... আ"&amp;"মি আসক্তির আশেপাশে বড় হয়েছি এবং আমার মনে হচ্ছিল যে কিছু একটা খারাপ হচ্ছে। আমি জানি আসক্তির সাথে লড়াই করা লোকেরা উচ্চ কার্যকারিতার অধিকারী হতে পারে, এবং আমি যা দেখছিলাম তা উপেক্ষা করা আমার পক্ষে কঠিন হয়ে পড়েছিল। তাই আমি একটি পুরানো মোবাইল ফোনের দিকে ন"&amp;"জর রাখলাম (আমি জানি, আমি লজ্জিত)। আমি জানতে পারলাম যে আমরা যখন প্রথম দেখা করি তখন সে খুব বেশি ব্যবহার করছিল এবং তারপর থেকে তার ব্যবহার ধীর করতে এবং বন্ধ করতে লড়াই করছিল। কিন্তু এটাও দেখেছি যে সে এখন পর্যন্ত তার ডিলারের সাথে নিয়মিত যোগাযোগ করছিল। আমি তখন"&amp;" থেকে আমাদের শেয়ার করা মোবাইল ফোন বিলটি দেখেছি এবং দেখেছি যে তারা নিয়মিত যোগাযোগ করে যদিও আমার প্রেমিক বলে যে তারা আর বন্ধু নয়। এই সপ্তাহান্তে আমি সম্ভাব্য ব্যবহারের সাথে সম্পর্কিত লক্ষণগুলি লক্ষ্য করেছি, দেখেছি সে তার ডিলারকে টেক্সট করছে, এবং আমার প্র"&amp;"েমিককে জিজ্ঞাসা করেছে যে তার সাথে কিছু, কিছু চলছে কিনা। আমি যা জানতাম না। আমি নির্দিষ্ট করে বলতে পারিনি, এবং সে অস্বীকার করেছে যে কিছু ঘটছে। আজ সকালে আমি তার প্যান্টের পকেটে তাকিয়ে একটা ম্যাগি পেলাম, যার একটা ফাঁকা কলম এবং কিছু সাদা অংশ ছিল। আমি আমার প্র"&amp;"েমিককে ভালোবাসি। সে একজন দয়ালু, ভদ্র মানুষ। সে আমার অনুভূতির যত্ন নেয়। আমি সত্যিই ভেবেছিলাম আমরা একে অপরের সাথে সৎ। আমি এই বিষয়টি নিয়ে আমার মনকে বিভ্রান্ত করতে পারছি না যে সে আমার কাছ থেকে এই বিষয়টি লুকিয়ে রেখেছিল। সে জানে আমি মাদক এবং আসক্তির আশেপা"&amp;"শে বেড়ে উঠেছি এবং অতিরিক্ত মাত্রায় একজন বাবা-মাকে হারিয়েছি। আমার সবচেয়ে উদার ব্যাখ্যা হল সে আমাকে ভয় দেখাতে চায়নি। আমি এটাও জানি যে তার ব্যবহার তার বেদনাদায়ক শৈশব থেকে এসেছে (সে শারীরিক, যৌন এবং মানসিক নির্যাতনের শিকার হয়েছিল)। এবং সে হয়তো আমাকে "&amp;"বলতে খুব লজ্জা পেয়েছিল। কিন্তু এত কিছু বলার পরেও আমি এখনও জানি না কী করব। আমার প্রেমিক উচ্চ কার্যকারিতা সম্পন্ন, এবং যদি আমি মাদকের আশেপাশে বেড়ে না উঠি তবে আমি হয়তো লক্ষ্য করতাম না। আমি গোপনে থাকার জন্য তীব্র অপরাধবোধ অনুভব করি, তবে এতে আফসোসও করি না। "&amp;"আমার মনে হচ্ছিল আমি মাদকাসক্তির কারণে আমার নিজের আঘাত তার উপর চাপিয়ে দিচ্ছি, কিন্তু এখন এটা স্পষ্ট যে আমি তা করছি না। তাছাড়া, আমি জানি আমাদের এটা নিয়ে কথা বলা উচিত... কিন্তু সেই কথোপকথন শুরু করার সবচেয়ে ভালো উপায় কী? আমার কোন সীমারেখা টানার জন্য প্রস"&amp;"্তুত থাকা উচিত? আমি কি চলে যাওয়ার কথা ভাবছি? এটা সাধারণ পরামর্শ বলে মনে হচ্ছে, কিন্তু এটা আমার জন্য খুবই কঠিন হবে। আমি বিশ্বাস করি সে একজন চমৎকার ব্যক্তি যার সাথে মানিয়ে নিতে কষ্ট হয়। আমি কি তাকে চিকিৎসা নিতে বলব? আমার ভয় হচ্ছে তার জন্য সবকিছুই ক্রমশ "&amp;"বেড়ে যাবে। এখন তার কিছুটা নিয়ন্ত্রণ আছে, কিন্তু আমরা সবসময় তাই করি? এবং আমি জানি না আমি অসততা কাটিয়ে উঠতে পারব কিনা। এটাই সবচেয়ে বেশি কষ্ট দেয়। আমি চিন্তিত যে আমি সবসময় মনে করব যেন আমার সাথে মিথ্যা বলছে। দুঃখিত যদি এটি এর জন্য সেরা ফোরাম না হয়, তব"&amp;"ে আমি সম্পর্কের ক্ষেত্রে আসক্ত ব্যক্তিদের প্রতি সত্যিই নেতিবাচক মনোভাব দেখেছি। আমি আশা করি এখানে যে কেউ আরও সহানুভূতিশীল দৃষ্টিভঙ্গি পোষণ করবেন।")</f>
        <v>আমার প্রেমিক তার মাদকাসক্তি গোপন করার প্রতিক্রিয়া জানাতে কী বলবো বুঝতে পারছি না। আমার বয়স ৩৬ বছর, প্রেমিকার বয়স ৪১ বছর। আমরা আড়াই বছর ধরে একসাথে আছি। আমরা তার দুই সন্তানদের সাথে থাকি যাদের সাথে সে হাফটাইম কাজ করে। যখন আমাদের দেখা হয় তখন আমার প্রেমিক সম্প্রতি দীর্ঘদিনের সম্পর্কের বাইরে ছিল, এবং আমি জানতাম সে বিষণ্ণতার সাথে লড়াই করছে। আমরা ধীরে ধীরে ব্যাপারটা নিয়েছিলাম। অতীতে তার মাদকাসক্তির সমস্যা সম্পর্কে সে স্পষ্টভাবে কথা বলেছিল। আমার ধারণা ছিল যে তার হার্ড ড্রাগ (কোকেন, বেজোস, ওপিওয়েড) ব্যবহার অতীতের। আমি জানতাম সে প্রচুর পরিমাণে মদ্যপান করত, কিন্তু আমাদের প্রথম বছর ধরে সে তার মদ্যপান নিয়ন্ত্রণ করেছিল, পর্যায়ক্রমে মদ্যপান ছেড়ে দিয়েছিল এবং রাতে কয়েকটি বিয়ারে লেগে ছিল। মনে হচ্ছিল সে নিজের উপর কাজ করছে এবং ইতিবাচক পরিবর্তন আনছে। আমরা প্রায় ১ বছর ধরে একসাথে বসবাস করছি। একসাথে থাকার পর থেকে আমি মাঝে মাঝে কিছু অদ্ভুত আচরণ লক্ষ্য করেছি। চরম কিছু নয়, তবে সংকুচিত ছাত্রছাত্রী, অলসতা, উত্থান বজায় রাখতে অসুবিধা। আর আমি বেশিরভাগ সময় তাদের চাপের মধ্যে রাখতাম কারণ আমার প্রেমিকের পূর্ণকালীন চাকরি থাকে, সে তার বাচ্চাদের দেখাশোনা করে ইত্যাদি। কিন্তু গত ছয় মাস ধরে আমি ক্রমশ সন্দেহজনক হয়ে উঠছি। আমার প্রেমিকের কিছু আর্থিক সমস্যা ছিল (কোনও বিপর্যয়কর কিছু নয়, তবে অল্প পরিমাণে অর্থ অনুপস্থিত, ভাড়ার অভাব ইত্যাদি), আমি প্রায়শই সংকুচিত ছাত্রদের লক্ষ্য করেছি... আমি আসক্তির আশেপাশে বড় হয়েছি এবং আমার মনে হচ্ছিল যে কিছু একটা খারাপ হচ্ছে। আমি জানি আসক্তির সাথে লড়াই করা লোকেরা উচ্চ কার্যকারিতার অধিকারী হতে পারে, এবং আমি যা দেখছিলাম তা উপেক্ষা করা আমার পক্ষে কঠিন হয়ে পড়েছিল। তাই আমি একটি পুরানো মোবাইল ফোনের দিকে নজর রাখলাম (আমি জানি, আমি লজ্জিত)। আমি জানতে পারলাম যে আমরা যখন প্রথম দেখা করি তখন সে খুব বেশি ব্যবহার করছিল এবং তারপর থেকে তার ব্যবহার ধীর করতে এবং বন্ধ করতে লড়াই করছিল। কিন্তু এটাও দেখেছি যে সে এখন পর্যন্ত তার ডিলারের সাথে নিয়মিত যোগাযোগ করছিল। আমি তখন থেকে আমাদের শেয়ার করা মোবাইল ফোন বিলটি দেখেছি এবং দেখেছি যে তারা নিয়মিত যোগাযোগ করে যদিও আমার প্রেমিক বলে যে তারা আর বন্ধু নয়। এই সপ্তাহান্তে আমি সম্ভাব্য ব্যবহারের সাথে সম্পর্কিত লক্ষণগুলি লক্ষ্য করেছি, দেখেছি সে তার ডিলারকে টেক্সট করছে, এবং আমার প্রেমিককে জিজ্ঞাসা করেছে যে তার সাথে কিছু, কিছু চলছে কিনা। আমি যা জানতাম না। আমি নির্দিষ্ট করে বলতে পারিনি, এবং সে অস্বীকার করেছে যে কিছু ঘটছে। আজ সকালে আমি তার প্যান্টের পকেটে তাকিয়ে একটা ম্যাগি পেলাম, যার একটা ফাঁকা কলম এবং কিছু সাদা অংশ ছিল। আমি আমার প্রেমিককে ভালোবাসি। সে একজন দয়ালু, ভদ্র মানুষ। সে আমার অনুভূতির যত্ন নেয়। আমি সত্যিই ভেবেছিলাম আমরা একে অপরের সাথে সৎ। আমি এই বিষয়টি নিয়ে আমার মনকে বিভ্রান্ত করতে পারছি না যে সে আমার কাছ থেকে এই বিষয়টি লুকিয়ে রেখেছিল। সে জানে আমি মাদক এবং আসক্তির আশেপাশে বেড়ে উঠেছি এবং অতিরিক্ত মাত্রায় একজন বাবা-মাকে হারিয়েছি। আমার সবচেয়ে উদার ব্যাখ্যা হল সে আমাকে ভয় দেখাতে চায়নি। আমি এটাও জানি যে তার ব্যবহার তার বেদনাদায়ক শৈশব থেকে এসেছে (সে শারীরিক, যৌন এবং মানসিক নির্যাতনের শিকার হয়েছিল)। এবং সে হয়তো আমাকে বলতে খুব লজ্জা পেয়েছিল। কিন্তু এত কিছু বলার পরেও আমি এখনও জানি না কী করব। আমার প্রেমিক উচ্চ কার্যকারিতা সম্পন্ন, এবং যদি আমি মাদকের আশেপাশে বেড়ে না উঠি তবে আমি হয়তো লক্ষ্য করতাম না। আমি গোপনে থাকার জন্য তীব্র অপরাধবোধ অনুভব করি, তবে এতে আফসোসও করি না। আমার মনে হচ্ছিল আমি মাদকাসক্তির কারণে আমার নিজের আঘাত তার উপর চাপিয়ে দিচ্ছি, কিন্তু এখন এটা স্পষ্ট যে আমি তা করছি না। তাছাড়া, আমি জানি আমাদের এটা নিয়ে কথা বলা উচিত... কিন্তু সেই কথোপকথন শুরু করার সবচেয়ে ভালো উপায় কী? আমার কোন সীমারেখা টানার জন্য প্রস্তুত থাকা উচিত? আমি কি চলে যাওয়ার কথা ভাবছি? এটা সাধারণ পরামর্শ বলে মনে হচ্ছে, কিন্তু এটা আমার জন্য খুবই কঠিন হবে। আমি বিশ্বাস করি সে একজন চমৎকার ব্যক্তি যার সাথে মানিয়ে নিতে কষ্ট হয়। আমি কি তাকে চিকিৎসা নিতে বলব? আমার ভয় হচ্ছে তার জন্য সবকিছুই ক্রমশ বেড়ে যাবে। এখন তার কিছুটা নিয়ন্ত্রণ আছে, কিন্তু আমরা সবসময় তাই করি? এবং আমি জানি না আমি অসততা কাটিয়ে উঠতে পারব কিনা। এটাই সবচেয়ে বেশি কষ্ট দেয়। আমি চিন্তিত যে আমি সবসময় মনে করব যেন আমার সাথে মিথ্যা বলছে। দুঃখিত যদি এটি এর জন্য সেরা ফোরাম না হয়, তবে আমি সম্পর্কের ক্ষেত্রে আসক্ত ব্যক্তিদের প্রতি সত্যিই নেতিবাচক মনোভাব দেখেছি। আমি আশা করি এখানে যে কেউ আরও সহানুভূতিশীল দৃষ্টিভঙ্গি পোষণ করবেন।</v>
      </c>
    </row>
    <row r="551" spans="1:3" ht="15" x14ac:dyDescent="0.25">
      <c r="A551" s="3" t="s">
        <v>552</v>
      </c>
      <c r="B551" s="3" t="s">
        <v>4</v>
      </c>
      <c r="C551" s="4" t="str">
        <f ca="1">IFERROR(__xludf.DUMMYFUNCTION("GOOGLETRANSLATE(A551, ""auto"", ""bn"")"),"ওপিওয়েড না খাওয়া ছাড়া আমি একদিনও চলতে পারি না, আমি দেখতে পাচ্ছি যে ওপিওয়েড খেলে সারাদিন আমার উপকার হয়, ওপিওয়েড ছাড়া আমি আক্ষরিক অর্থেই কাজ করতে পারি না। যদি ওপিওয়েড না খাওয়া যায় তাহলে আমি আক্ষরিক অর্থেই পাগল হয়ে যাব, আমি কেবল ভয়াবহ হাস্যরসে মেতে উঠব। আমি "&amp;"আমার বান্ধবীকে বলতেও পারছি না কী হচ্ছে, ভণ্ড বন্ধুদের কাছ থেকে কেমোথেরাপির সমস্ত পরামর্শও চাই না।")</f>
        <v>ওপিওয়েড না খাওয়া ছাড়া আমি একদিনও চলতে পারি না, আমি দেখতে পাচ্ছি যে ওপিওয়েড খেলে সারাদিন আমার উপকার হয়, ওপিওয়েড ছাড়া আমি আক্ষরিক অর্থেই কাজ করতে পারি না। যদি ওপিওয়েড না খাওয়া যায় তাহলে আমি আক্ষরিক অর্থেই পাগল হয়ে যাব, আমি কেবল ভয়াবহ হাস্যরসে মেতে উঠব। আমি আমার বান্ধবীকে বলতেও পারছি না কী হচ্ছে, ভণ্ড বন্ধুদের কাছ থেকে কেমোথেরাপির সমস্ত পরামর্শও চাই না।</v>
      </c>
    </row>
    <row r="552" spans="1:3" ht="15" x14ac:dyDescent="0.25">
      <c r="A552" s="3" t="s">
        <v>553</v>
      </c>
      <c r="B552" s="3" t="s">
        <v>4</v>
      </c>
      <c r="C552" s="4" t="str">
        <f ca="1">IFERROR(__xludf.DUMMYFUNCTION("GOOGLETRANSLATE(A552, ""auto"", ""bn"")"),"আমি শীঘ্রই একটি নতুন জীবন শুরু করছি এবং সবার সাথে যোগাযোগ বিচ্ছিন্ন করছি। এটি একটি দীর্ঘ গল্প কিন্তু আমি দীর্ঘদিন ধরে আসক্তি এবং বিষণ্ণতার সাথে লড়াই করেছি। তাই, যদি কেউ এটি পড়ছেন এবং আমার ইন্টারনেট বন্ধু হতে আগ্রহী হন, তাহলে দয়া করে আমাকে বার্তা দিন।")</f>
        <v>আমি শীঘ্রই একটি নতুন জীবন শুরু করছি এবং সবার সাথে যোগাযোগ বিচ্ছিন্ন করছি। এটি একটি দীর্ঘ গল্প কিন্তু আমি দীর্ঘদিন ধরে আসক্তি এবং বিষণ্ণতার সাথে লড়াই করেছি। তাই, যদি কেউ এটি পড়ছেন এবং আমার ইন্টারনেট বন্ধু হতে আগ্রহী হন, তাহলে দয়া করে আমাকে বার্তা দিন।</v>
      </c>
    </row>
    <row r="553" spans="1:3" ht="15" x14ac:dyDescent="0.25">
      <c r="A553" s="3" t="s">
        <v>554</v>
      </c>
      <c r="B553" s="3" t="s">
        <v>4</v>
      </c>
      <c r="C553" s="4" t="str">
        <f ca="1">IFERROR(__xludf.DUMMYFUNCTION("GOOGLETRANSLATE(A553, ""auto"", ""bn"")"),"আমার বয়স ১৯ বছর, আর ১৮ বছর বয়স হওয়ার পর থেকে আমি প্রায় একদিনও জুয়া খেলতে যাই না, যদিও সামান্য কিছু টাকা জুয়া খেলি, কিন্তু বেশিরভাগ সময়ই আমার পুরো সপ্তাহের বেতন পাওয়ার দুই দিনের মধ্যেই শেষ হয়ে যায়। বাকি সপ্তাহটা কেবল অনুশোচনা এবং আবার বেতন পাওয়ার পর চক্রটি"&amp;" চলতে থাকে। আমি এটাও বুঝতে পারি যে আমি একটি পাব-এ কাজ করি এবং আমার কাজের একটা বড় অংশ জুয়ার আসরে যাওয়া, যা কাজের পরে খেলার জন্য আমার জন্য একটা বড় ট্রিগার। চাকরি ছেড়ে দেওয়াটাও প্রশ্নাতীত কারণ এটা এমন একটা জিনিস যা আমি সত্যিই উপভোগ করি এবং মনে করি আমি এতে বে"&amp;"শ ভালো, কিন্তু কারো কি সাহায্য করার জন্য কোন পরামর্শ আছে? জুয়ার সাহায্যের জন্য অনলাইন পড়া প্রতিটি সাইটে কপি-পেস্ট করা খুব ভালো লাগে এবং আমি জানতে চাই যে একই সমস্যায় অন্যদের কী সাহায্য করেছে।")</f>
        <v>আমার বয়স ১৯ বছর, আর ১৮ বছর বয়স হওয়ার পর থেকে আমি প্রায় একদিনও জুয়া খেলতে যাই না, যদিও সামান্য কিছু টাকা জুয়া খেলি, কিন্তু বেশিরভাগ সময়ই আমার পুরো সপ্তাহের বেতন পাওয়ার দুই দিনের মধ্যেই শেষ হয়ে যায়। বাকি সপ্তাহটা কেবল অনুশোচনা এবং আবার বেতন পাওয়ার পর চক্রটি চলতে থাকে। আমি এটাও বুঝতে পারি যে আমি একটি পাব-এ কাজ করি এবং আমার কাজের একটা বড় অংশ জুয়ার আসরে যাওয়া, যা কাজের পরে খেলার জন্য আমার জন্য একটা বড় ট্রিগার। চাকরি ছেড়ে দেওয়াটাও প্রশ্নাতীত কারণ এটা এমন একটা জিনিস যা আমি সত্যিই উপভোগ করি এবং মনে করি আমি এতে বেশ ভালো, কিন্তু কারো কি সাহায্য করার জন্য কোন পরামর্শ আছে? জুয়ার সাহায্যের জন্য অনলাইন পড়া প্রতিটি সাইটে কপি-পেস্ট করা খুব ভালো লাগে এবং আমি জানতে চাই যে একই সমস্যায় অন্যদের কী সাহায্য করেছে।</v>
      </c>
    </row>
    <row r="554" spans="1:3" ht="15" x14ac:dyDescent="0.25">
      <c r="A554" s="3" t="s">
        <v>555</v>
      </c>
      <c r="B554" s="3" t="s">
        <v>4</v>
      </c>
      <c r="C554" s="4" t="str">
        <f ca="1">IFERROR(__xludf.DUMMYFUNCTION("GOOGLETRANSLATE(A554, ""auto"", ""bn"")"),"এক বছর আগে আমার সুস্থতার প্রথম সপ্তাহে আমি এখানে অনেক পোস্ট করতাম। আমি নিজের সম্পর্কে এমন অনেক কিছু শেয়ার করতাম যা আমার ব্যক্তিগত জীবনে কেউ জানত না। তাছাড়া, আমি গ্রুপটিকে ""জার্নাল"" হিসেবে ব্যবহার করতাম। যাদের সাথে আমি কথা বলেছিলাম তারা আমাকে সাহায্য ক"&amp;"রেছিল এবং ইন্টারনেটে একজন সম্পূর্ণ অপরিচিত ব্যক্তির প্রতি তাদের দয়া এবং সহানুভূতির জন্য আমি তাদের যথেষ্ট ধন্যবাদ জানাতে পারিনি। আমি ৫ মাস ধরে শান্ত ছিলাম। প্রথম মাসটি ছিল নরক। মানসিক স্বাস্থ্য সমস্যা নিয়ে শান্ত থাকা পরিস্থিতি আরও খারাপ করে তোলে (অন্তত আ"&amp;"মার মতে)। আমি ওষুধ সেবন করি। আমি নিজের যত্ন নিতে শুরু করি। আমি নিজের উপর গর্বিত ছিলাম। তাছাড়া, আমি বছরের পর বছর ধরে প্রথমবারের মতো খুশি ছিলাম। তাছাড়া, আমি নিজের জন্য একটি ভবিষ্যত দেখেছিলাম। তাছাড়া, আমি আসলে একজন ব্যক্তির মতো অনুভব করেছি। তাছাড়া, আমি এ"&amp;"মনকি নিরামিষাশীও হয়ে গিয়েছিলাম হা হা, আমি এটাকে ভুল করে ফেলেছিলাম। তাছাড়া, আমি ভেবেছিলাম একবার ব্যবহার করলেই আমি ঠিক হয়ে যাব। প্রথম ভুল। এখন ৬ মাস পরে এটি আমার দৈনন্দিন ব্যবহারে ফিরে এসেছে। স্বাভাবিক বোধ করার জন্য আমার আবার এটির প্রয়োজন। আত্ম-বিদ্বেষ"&amp;", আত্মহত্যার ধারণা এবং অন্যান্য সমস্ত মজার বিষয়গুলিতে ফিরে এসেছি। আমি আমার NA কাউন্সেলরের সাথে কথা বলা বন্ধ করে দিয়েছি। আমার মনে হচ্ছে যেন আমি তার সময় নষ্ট করেছি। তাছাড়া, আমি অসহায় বোধ করছি। তাছাড়া, আমি একা বোধ করছি। তাছাড়া, আমার মনে হচ্ছে আমি আমার"&amp;" সুস্থ হওয়ার একমাত্র সুযোগ নষ্ট করেছি। যদি আমি একবার পুনরায় অসুস্থ হয়ে পড়ি, তাহলে আর কি হবে না? আমি কি মৃত্যুর আগ পর্যন্ত এই অন্তহীন চক্রে থাকব? আমি জানি সবাই বলে ""পুনরাবৃত্তি পুনরুদ্ধারের একটি অংশ""। আমি এটা বুঝতে পারছি। তাছাড়া, আমি এটা বিশ্বাস করত"&amp;"ে চাই। তাছাড়া, আমি সত্যিই থামতে চাই। তাছাড়া, আমার সবসময় ছেড়ে দেওয়ার পরিকল্পনা থাকে এবং তারপর এমন দিন আসে যখন আমি বাইরে থাকি, এবং আমার আবার এটি প্রয়োজন। তাছাড়া, আমি ছেড়ে দিতে চাই। তাছাড়া, আমি সত্যিই তা করি। তাছাড়া, আমার মনে হচ্ছে এবার এটি আরও কঠি"&amp;"ন। তাছাড়া, আমার কেবল ইন্টারনেটের মতো কিছু সদয় লোকের প্রয়োজন যারা আমাকে বলবেন যে আমি এটি করতে পারি, আমি মনে করি হা হা। এই গ্রুপটি আমাকে একবার সাহায্য করেছিল। আমি আশা করছি এটি দ্বিতীয়বারের জন্য সম্ভব হবে।")</f>
        <v>এক বছর আগে আমার সুস্থতার প্রথম সপ্তাহে আমি এখানে অনেক পোস্ট করতাম। আমি নিজের সম্পর্কে এমন অনেক কিছু শেয়ার করতাম যা আমার ব্যক্তিগত জীবনে কেউ জানত না। তাছাড়া, আমি গ্রুপটিকে "জার্নাল" হিসেবে ব্যবহার করতাম। যাদের সাথে আমি কথা বলেছিলাম তারা আমাকে সাহায্য করেছিল এবং ইন্টারনেটে একজন সম্পূর্ণ অপরিচিত ব্যক্তির প্রতি তাদের দয়া এবং সহানুভূতির জন্য আমি তাদের যথেষ্ট ধন্যবাদ জানাতে পারিনি। আমি ৫ মাস ধরে শান্ত ছিলাম। প্রথম মাসটি ছিল নরক। মানসিক স্বাস্থ্য সমস্যা নিয়ে শান্ত থাকা পরিস্থিতি আরও খারাপ করে তোলে (অন্তত আমার মতে)। আমি ওষুধ সেবন করি। আমি নিজের যত্ন নিতে শুরু করি। আমি নিজের উপর গর্বিত ছিলাম। তাছাড়া, আমি বছরের পর বছর ধরে প্রথমবারের মতো খুশি ছিলাম। তাছাড়া, আমি নিজের জন্য একটি ভবিষ্যত দেখেছিলাম। তাছাড়া, আমি আসলে একজন ব্যক্তির মতো অনুভব করেছি। তাছাড়া, আমি এমনকি নিরামিষাশীও হয়ে গিয়েছিলাম হা হা, আমি এটাকে ভুল করে ফেলেছিলাম। তাছাড়া, আমি ভেবেছিলাম একবার ব্যবহার করলেই আমি ঠিক হয়ে যাব। প্রথম ভুল। এখন ৬ মাস পরে এটি আমার দৈনন্দিন ব্যবহারে ফিরে এসেছে। স্বাভাবিক বোধ করার জন্য আমার আবার এটির প্রয়োজন। আত্ম-বিদ্বেষ, আত্মহত্যার ধারণা এবং অন্যান্য সমস্ত মজার বিষয়গুলিতে ফিরে এসেছি। আমি আমার NA কাউন্সেলরের সাথে কথা বলা বন্ধ করে দিয়েছি। আমার মনে হচ্ছে যেন আমি তার সময় নষ্ট করেছি। তাছাড়া, আমি অসহায় বোধ করছি। তাছাড়া, আমি একা বোধ করছি। তাছাড়া, আমার মনে হচ্ছে আমি আমার সুস্থ হওয়ার একমাত্র সুযোগ নষ্ট করেছি। যদি আমি একবার পুনরায় অসুস্থ হয়ে পড়ি, তাহলে আর কি হবে না? আমি কি মৃত্যুর আগ পর্যন্ত এই অন্তহীন চক্রে থাকব? আমি জানি সবাই বলে "পুনরাবৃত্তি পুনরুদ্ধারের একটি অংশ"। আমি এটা বুঝতে পারছি। তাছাড়া, আমি এটা বিশ্বাস করতে চাই। তাছাড়া, আমি সত্যিই থামতে চাই। তাছাড়া, আমার সবসময় ছেড়ে দেওয়ার পরিকল্পনা থাকে এবং তারপর এমন দিন আসে যখন আমি বাইরে থাকি, এবং আমার আবার এটি প্রয়োজন। তাছাড়া, আমি ছেড়ে দিতে চাই। তাছাড়া, আমি সত্যিই তা করি। তাছাড়া, আমার মনে হচ্ছে এবার এটি আরও কঠিন। তাছাড়া, আমার কেবল ইন্টারনেটের মতো কিছু সদয় লোকের প্রয়োজন যারা আমাকে বলবেন যে আমি এটি করতে পারি, আমি মনে করি হা হা। এই গ্রুপটি আমাকে একবার সাহায্য করেছিল। আমি আশা করছি এটি দ্বিতীয়বারের জন্য সম্ভব হবে।</v>
      </c>
    </row>
    <row r="555" spans="1:3" ht="15" x14ac:dyDescent="0.25">
      <c r="A555" s="3" t="s">
        <v>556</v>
      </c>
      <c r="B555" s="3" t="s">
        <v>4</v>
      </c>
      <c r="C555" s="4" t="str">
        <f ca="1">IFERROR(__xludf.DUMMYFUNCTION("GOOGLETRANSLATE(A555, ""auto"", ""bn"")"),"চিকিৎসার জন্য আমার জন্য সবচেয়ে ভালো বিকল্প কি? আমি মাধ্যমিক বিদ্যালয়ে পড়ার সময় থেকেই মানসিক অসুস্থতা এবং আসক্তির সাথে লড়াই করছি এবং আমি সত্যিই সুস্থ হওয়ার চেষ্টা করছি, কিন্তু আমার স্বাস্থ্য বীমা নেই। এই সময় আমি প্রায় এক মাস ধরে সুস্থ ছিলাম এবং আমি"&amp;" সত্যিই সংগ্রাম করছি। আমি মোটামুটি নিশ্চিত যে আমার BPD আছে এবং আমি আরও ভালো হওয়ার জন্য মরিয়া চেষ্টা করছি। আমি প্রায় তিন বছর সুস্থ ছিলাম এবং তারপর গত বছর আবার 8 মাস। AA-এর সমস্ত ধাপ অতিক্রম করেছি এবং খুব সক্রিয় ছিলাম কিন্তু তবুও সংগ্রাম করছি। গত বছর থে"&amp;"কে আমি সুস্থ থাকতে পারিনি এবং আমি অবশেষে স্বীকার করছি যে আমার একটি মানসিক অসুস্থতা আছে যা আমাকে মোকাবেলা করতে হবে। আমি ভাবছি কেউ কি মার্কিন যুক্তরাষ্ট্রে এমন কোনও দীর্ঘমেয়াদী চিকিৎসা কেন্দ্র সম্পর্কে জানেন যা বিনামূল্যে বা এমনকি কম খরচে পাওয়া যায়। আমার"&amp;" শহরের বেশিরভাগ জায়গাই ভয়াবহ এবং আপনাকে ওষুধ খেতে বাধ্য করে এবং আপনাকে তাড়িয়ে দেয়। আমি এভাবে বেঁচে থাকতে পারব না। আমার সত্যিই সাহায্যের প্রয়োজন।")</f>
        <v>চিকিৎসার জন্য আমার জন্য সবচেয়ে ভালো বিকল্প কি? আমি মাধ্যমিক বিদ্যালয়ে পড়ার সময় থেকেই মানসিক অসুস্থতা এবং আসক্তির সাথে লড়াই করছি এবং আমি সত্যিই সুস্থ হওয়ার চেষ্টা করছি, কিন্তু আমার স্বাস্থ্য বীমা নেই। এই সময় আমি প্রায় এক মাস ধরে সুস্থ ছিলাম এবং আমি সত্যিই সংগ্রাম করছি। আমি মোটামুটি নিশ্চিত যে আমার BPD আছে এবং আমি আরও ভালো হওয়ার জন্য মরিয়া চেষ্টা করছি। আমি প্রায় তিন বছর সুস্থ ছিলাম এবং তারপর গত বছর আবার 8 মাস। AA-এর সমস্ত ধাপ অতিক্রম করেছি এবং খুব সক্রিয় ছিলাম কিন্তু তবুও সংগ্রাম করছি। গত বছর থেকে আমি সুস্থ থাকতে পারিনি এবং আমি অবশেষে স্বীকার করছি যে আমার একটি মানসিক অসুস্থতা আছে যা আমাকে মোকাবেলা করতে হবে। আমি ভাবছি কেউ কি মার্কিন যুক্তরাষ্ট্রে এমন কোনও দীর্ঘমেয়াদী চিকিৎসা কেন্দ্র সম্পর্কে জানেন যা বিনামূল্যে বা এমনকি কম খরচে পাওয়া যায়। আমার শহরের বেশিরভাগ জায়গাই ভয়াবহ এবং আপনাকে ওষুধ খেতে বাধ্য করে এবং আপনাকে তাড়িয়ে দেয়। আমি এভাবে বেঁচে থাকতে পারব না। আমার সত্যিই সাহায্যের প্রয়োজন।</v>
      </c>
    </row>
    <row r="556" spans="1:3" ht="15" x14ac:dyDescent="0.25">
      <c r="A556" s="3" t="s">
        <v>557</v>
      </c>
      <c r="B556" s="3" t="s">
        <v>4</v>
      </c>
      <c r="C556" s="4" t="str">
        <f ca="1">IFERROR(__xludf.DUMMYFUNCTION("GOOGLETRANSLATE(A556, ""auto"", ""bn"")"),"শুধু ঠান্ডা লাগাচ্ছি, হাতকড়া পরিয়ে ঘরের সাথে নিজেকে বেঁধে ফেলার কথা ভাবছি। মনে হচ্ছে মুক্ত হওয়ার সাথে সাথেই আমি সম্ভবত এটি ব্যবহার করব। আত্মহত্যা আমার মাথার পিছনে ঘুরপাক খাচ্ছে। কিছুক্ষণের জন্য আমি ভাবলাম আমার গাড়ির জানালায় আমার এক্সস্ট টিউব ঢেলে দিয়ে"&amp;" দিয়েছি। কিন্তু আমি ফেন্টানাইল প্রায় অনেকবার খেয়ে ফেলেছি এবং কখনও কিছুই অনুভব করিনি। প্রচুর ধূমপান করলে কি হবে? হ্যাঁ, আমি জানি এই পোস্টটি সমাধান করবে এমন কিছুই নেই। এটি কোনও জাদুকরী উত্তর বা প্রোগ্রাম নয়? সত্যিই আমি এটি আমার বুক থেকে সরিয়ে দেওয়ার চেষ"&amp;"্টা করছি। কারণ পরিবার ছাড়া কেউ টুইকারের কথা চিন্তা করে না এবং এত নাটকের পরেও আমার মনে হয় না তারা আমার অভিযোগ শুনতে চায়? আমি মনে করি আমি কেবল দুর্বল? নাকি IDK কিন্তু জীবন কেবল কঠিন বলে মনে হচ্ছে এবং মানুষ আসলে কেবল নিজের সম্পর্কে চিন্তা করে?")</f>
        <v>শুধু ঠান্ডা লাগাচ্ছি, হাতকড়া পরিয়ে ঘরের সাথে নিজেকে বেঁধে ফেলার কথা ভাবছি। মনে হচ্ছে মুক্ত হওয়ার সাথে সাথেই আমি সম্ভবত এটি ব্যবহার করব। আত্মহত্যা আমার মাথার পিছনে ঘুরপাক খাচ্ছে। কিছুক্ষণের জন্য আমি ভাবলাম আমার গাড়ির জানালায় আমার এক্সস্ট টিউব ঢেলে দিয়ে দিয়েছি। কিন্তু আমি ফেন্টানাইল প্রায় অনেকবার খেয়ে ফেলেছি এবং কখনও কিছুই অনুভব করিনি। প্রচুর ধূমপান করলে কি হবে? হ্যাঁ, আমি জানি এই পোস্টটি সমাধান করবে এমন কিছুই নেই। এটি কোনও জাদুকরী উত্তর বা প্রোগ্রাম নয়? সত্যিই আমি এটি আমার বুক থেকে সরিয়ে দেওয়ার চেষ্টা করছি। কারণ পরিবার ছাড়া কেউ টুইকারের কথা চিন্তা করে না এবং এত নাটকের পরেও আমার মনে হয় না তারা আমার অভিযোগ শুনতে চায়? আমি মনে করি আমি কেবল দুর্বল? নাকি IDK কিন্তু জীবন কেবল কঠিন বলে মনে হচ্ছে এবং মানুষ আসলে কেবল নিজের সম্পর্কে চিন্তা করে?</v>
      </c>
    </row>
    <row r="557" spans="1:3" ht="15" x14ac:dyDescent="0.25">
      <c r="A557" s="3" t="s">
        <v>558</v>
      </c>
      <c r="B557" s="3" t="s">
        <v>4</v>
      </c>
      <c r="C557" s="4" t="str">
        <f ca="1">IFERROR(__xludf.DUMMYFUNCTION("GOOGLETRANSLATE(A557, ""auto"", ""bn"")"),"আমি আমার স্বামীকে ছেড়ে চলে এসেছি। সে ৭ বছর ধরে কোকেন এবং হেরোইনের প্রতি আসক্ত ছিল। তার সাথে আমার দেখা প্রায় এক বছর আগে হয়েছিল। আমাদের বিয়ে হয়েছিল ২ মাস আগে। যখন আমি তার সাথে দেখা করি তখন সে আমাকে বলেছিল যে সে ২ বছর ধরে সুস্থ, কিন্তু সে প্রতিদিন এক বো"&amp;"তল মদ পান করতে শুরু করেছে, এবং সে জ্যানাক্স ব্যবহার করছে এবং নিজেকে ইনজেকশন দিচ্ছে। সে কিছুদিনের জন্য সুস্থ হওয়ার জন্য একটি ক্লিনিকে গিয়েছিল, কিন্তু আমার মনে হয়েছিল আমার দেশে ফিরে যাওয়া উচিত কারণ আমি ইতিমধ্যেই একা ছিলাম এবং এর সাথে মোকাবিলা করা আমাকে "&amp;"ধ্বংস করে দিচ্ছে। আমি কি খারাপ মানুষ? এতে কি সে বুঝতে পারবে যে তার সংযত থাকা দরকার, এবং সে আমার জন্য বদলে যাবে? আমি বিবাহবিচ্ছেদ পেতে চাই না, আমি তাকে ভালোবাসি, কিন্তু আমি আশা করছি এই সময় আলাদা হওয়ার সাথে সাথে সে বদলে যাবে? এবং কারণ আমি জানতাম না কী করত"&amp;"ে হবে, তাই আমি আমার দেশে ফিরে এসেছি।")</f>
        <v>আমি আমার স্বামীকে ছেড়ে চলে এসেছি। সে ৭ বছর ধরে কোকেন এবং হেরোইনের প্রতি আসক্ত ছিল। তার সাথে আমার দেখা প্রায় এক বছর আগে হয়েছিল। আমাদের বিয়ে হয়েছিল ২ মাস আগে। যখন আমি তার সাথে দেখা করি তখন সে আমাকে বলেছিল যে সে ২ বছর ধরে সুস্থ, কিন্তু সে প্রতিদিন এক বোতল মদ পান করতে শুরু করেছে, এবং সে জ্যানাক্স ব্যবহার করছে এবং নিজেকে ইনজেকশন দিচ্ছে। সে কিছুদিনের জন্য সুস্থ হওয়ার জন্য একটি ক্লিনিকে গিয়েছিল, কিন্তু আমার মনে হয়েছিল আমার দেশে ফিরে যাওয়া উচিত কারণ আমি ইতিমধ্যেই একা ছিলাম এবং এর সাথে মোকাবিলা করা আমাকে ধ্বংস করে দিচ্ছে। আমি কি খারাপ মানুষ? এতে কি সে বুঝতে পারবে যে তার সংযত থাকা দরকার, এবং সে আমার জন্য বদলে যাবে? আমি বিবাহবিচ্ছেদ পেতে চাই না, আমি তাকে ভালোবাসি, কিন্তু আমি আশা করছি এই সময় আলাদা হওয়ার সাথে সাথে সে বদলে যাবে? এবং কারণ আমি জানতাম না কী করতে হবে, তাই আমি আমার দেশে ফিরে এসেছি।</v>
      </c>
    </row>
    <row r="558" spans="1:3" ht="15" x14ac:dyDescent="0.25">
      <c r="A558" s="3" t="s">
        <v>559</v>
      </c>
      <c r="B558" s="3" t="s">
        <v>4</v>
      </c>
      <c r="C558" s="4" t="str">
        <f ca="1">IFERROR(__xludf.DUMMYFUNCTION("GOOGLETRANSLATE(A558, ""auto"", ""bn"")"),"তাই আমি ডিটক্স নেওয়ার কথা ভাবছিলাম, আমার শহরের সব জায়গায় ফোন করে একটাই উত্তর পেলাম, আমরা সবাই ভর্তি, অপেক্ষার তালিকা কমপক্ষে ২ মাস? তাহলে আমার নেশা তেমন খারাপ নয়, ৪-৫ মাস প্রতিদিন ৩-৪টি আফিম শুঁকে (আমার মনে হয় এটা তেমন খারাপ নেশা নয় কারণ কিছু মানুষ প্রতিদ"&amp;"িন কয়েক বছর ধরে মাদক সেবন করে)। আমি কাউকে বিচার করছি না। তাহলে আমি যা বলতে চাইছিলাম তা হলো ২ মাস অপেক্ষা করা??? যদি কারো অবস্থা খারাপ হয়, এবং তারা অতিরিক্ত মাত্রায় মাদক সেবন করে এবং ডিটক্স নেওয়ার অপেক্ষায় মারা যেতে পারে? আমার মনে হয় যারা আসক্ত নয় তারা মাঝ"&amp;"ে মাঝে আমাদের সাথে এমন আচরণ করে যেন আমরা মানুষ নই, এবং আমরা নিজেরাই আসক্ত হয়ে পড়ি। আমি ব্যক্তিগতভাবে আসক্ত হয়ে পড়ি এবং হাসপাতালে থাকার কারণে আফিম কী তা জানতাম। আমার বয়স ১৭-১৮ বছর। আমার আঙুল ভেঙে যাওয়ার পর অস্ত্রোপচার করা হয়, এবং তারা আমাকে পুরো এক মাস ধরে"&amp;" মরফিন বড়ি দিয়েছিল এবং তখনই আমি বড়ি ইত্যাদি খুঁজতে শুরু করি। এর আগে আমি জানতাম না যে এই জিনিসটা আছে, আমি আসক্ত হওয়ার জন্য নিজেকে ঘৃণা করি। কিন্তু আমার মনে হচ্ছে যদি আসক্তদের জন্য আরও সাহায্য/সুযোগ এবং বিকল্প থাকত, তাহলে আমাদের অনেকেই এই যুদ্ধে জিততে পার"&amp;"ত, কিন্তু যেহেতু আমাদের আসলেই আমাদের যা করতে হচ্ছে তা মোকাবেলা করার জন্য কোনও জিনিসপত্র নেই, তাই ব্যক্তিগত ডিটক্স বন্ধ করাও কঠিন, তাই মাসের পর মাস অপেক্ষা করতে হয়, এর কোনও মানে হয় না। দুঃখিত, যদি মাঝে মাঝে আমার লেখার কোনও মানে না হয়, অথবা আমি মাঝে মাঝে"&amp;" কিছু ভুল করে থাকি, তাহলে ইংরেজি আমার তৃতীয় ভাষা। আশা করি তোমাদের সকলের রাত/দিন ভালো কাটবে এবং হাল ছাড়বে না।")</f>
        <v>তাই আমি ডিটক্স নেওয়ার কথা ভাবছিলাম, আমার শহরের সব জায়গায় ফোন করে একটাই উত্তর পেলাম, আমরা সবাই ভর্তি, অপেক্ষার তালিকা কমপক্ষে ২ মাস? তাহলে আমার নেশা তেমন খারাপ নয়, ৪-৫ মাস প্রতিদিন ৩-৪টি আফিম শুঁকে (আমার মনে হয় এটা তেমন খারাপ নেশা নয় কারণ কিছু মানুষ প্রতিদিন কয়েক বছর ধরে মাদক সেবন করে)। আমি কাউকে বিচার করছি না। তাহলে আমি যা বলতে চাইছিলাম তা হলো ২ মাস অপেক্ষা করা??? যদি কারো অবস্থা খারাপ হয়, এবং তারা অতিরিক্ত মাত্রায় মাদক সেবন করে এবং ডিটক্স নেওয়ার অপেক্ষায় মারা যেতে পারে? আমার মনে হয় যারা আসক্ত নয় তারা মাঝে মাঝে আমাদের সাথে এমন আচরণ করে যেন আমরা মানুষ নই, এবং আমরা নিজেরাই আসক্ত হয়ে পড়ি। আমি ব্যক্তিগতভাবে আসক্ত হয়ে পড়ি এবং হাসপাতালে থাকার কারণে আফিম কী তা জানতাম। আমার বয়স ১৭-১৮ বছর। আমার আঙুল ভেঙে যাওয়ার পর অস্ত্রোপচার করা হয়, এবং তারা আমাকে পুরো এক মাস ধরে মরফিন বড়ি দিয়েছিল এবং তখনই আমি বড়ি ইত্যাদি খুঁজতে শুরু করি। এর আগে আমি জানতাম না যে এই জিনিসটা আছে, আমি আসক্ত হওয়ার জন্য নিজেকে ঘৃণা করি। কিন্তু আমার মনে হচ্ছে যদি আসক্তদের জন্য আরও সাহায্য/সুযোগ এবং বিকল্প থাকত, তাহলে আমাদের অনেকেই এই যুদ্ধে জিততে পারত, কিন্তু যেহেতু আমাদের আসলেই আমাদের যা করতে হচ্ছে তা মোকাবেলা করার জন্য কোনও জিনিসপত্র নেই, তাই ব্যক্তিগত ডিটক্স বন্ধ করাও কঠিন, তাই মাসের পর মাস অপেক্ষা করতে হয়, এর কোনও মানে হয় না। দুঃখিত, যদি মাঝে মাঝে আমার লেখার কোনও মানে না হয়, অথবা আমি মাঝে মাঝে কিছু ভুল করে থাকি, তাহলে ইংরেজি আমার তৃতীয় ভাষা। আশা করি তোমাদের সকলের রাত/দিন ভালো কাটবে এবং হাল ছাড়বে না।</v>
      </c>
    </row>
    <row r="559" spans="1:3" ht="15" x14ac:dyDescent="0.25">
      <c r="A559" s="3" t="s">
        <v>560</v>
      </c>
      <c r="B559" s="3" t="s">
        <v>4</v>
      </c>
      <c r="C559" s="4" t="str">
        <f ca="1">IFERROR(__xludf.DUMMYFUNCTION("GOOGLETRANSLATE(A559, ""auto"", ""bn"")"),"কয়েক বছর ধরে সক্রিয় আসক্তির পর ১০ মাসের একটি প্রোগ্রামে গিয়েছিলাম। আমি আমার ব্যবহার, আমি আমার ডায়েট এবং প্রশিক্ষণের উপর অতিরিক্ত মনোযোগী ছিলাম। চিকিৎসা শুরু করার আগে আমার ওজন কমে গিয়েছিল। গত ৩ মাসে এখন আমার ওজন ২০ পাউন্ড বেড়ে গেছে এবং আমি আমার পেটের"&amp;" পেশীও দেখতে পাচ্ছি না। প্রথম দিকে আমি খাওয়ার তাড়নায় ডুবে গিয়েছিলাম এবং প্রচুর পরিমাণে জাঙ্ক ক্যালোরি খেয়েছিলাম। এটা সত্যিই আমার কাছে এমন একটা অনুভূতির কারণ হয়ে দাঁড়িয়েছে যে আমি আর কী খাচ্ছি তা নিয়ন্ত্রণ করতে এবং ট্র্যাক করতে পারছি না। আমি প্রশিক"&amp;"্ষণ চালিয়ে যাচ্ছি এবং আমি পেট হারাতে চাই কিন্তু বর্তমানে আমার পক্ষে এটা সম্ভব বলে মনে হচ্ছে না। এই সপ্তাহে আমি আমার ডায়েটকে আবার সঠিক পথে আনার চেষ্টা করেছি এবং খুব বেশি পরিশ্রম করেছি, শক্তি কম ছিল এবং এখন আমি প্রচুর পরিমাণে মিষ্টি খাচ্ছি এবং এটি নিয়ে খ"&amp;"ারাপ বোধ করছি। আমি কেবল এটি মোকাবেলা করার চেষ্টা করছি এবং নিজেকে বলতে চাইছি যে আমি যখন এখান থেকে বেরিয়ে আসব তখন আমি আবার এটিতে ফিরে আসতে পারব। এটি আমার উপর অনেক চাপ সৃষ্টি করছে এবং আপনাদের সকলের কাছ থেকে কিছু পরামর্শ বা মতামত পাওয়ার জন্য এটি পোস্ট করছি।")</f>
        <v>কয়েক বছর ধরে সক্রিয় আসক্তির পর ১০ মাসের একটি প্রোগ্রামে গিয়েছিলাম। আমি আমার ব্যবহার, আমি আমার ডায়েট এবং প্রশিক্ষণের উপর অতিরিক্ত মনোযোগী ছিলাম। চিকিৎসা শুরু করার আগে আমার ওজন কমে গিয়েছিল। গত ৩ মাসে এখন আমার ওজন ২০ পাউন্ড বেড়ে গেছে এবং আমি আমার পেটের পেশীও দেখতে পাচ্ছি না। প্রথম দিকে আমি খাওয়ার তাড়নায় ডুবে গিয়েছিলাম এবং প্রচুর পরিমাণে জাঙ্ক ক্যালোরি খেয়েছিলাম। এটা সত্যিই আমার কাছে এমন একটা অনুভূতির কারণ হয়ে দাঁড়িয়েছে যে আমি আর কী খাচ্ছি তা নিয়ন্ত্রণ করতে এবং ট্র্যাক করতে পারছি না। আমি প্রশিক্ষণ চালিয়ে যাচ্ছি এবং আমি পেট হারাতে চাই কিন্তু বর্তমানে আমার পক্ষে এটা সম্ভব বলে মনে হচ্ছে না। এই সপ্তাহে আমি আমার ডায়েটকে আবার সঠিক পথে আনার চেষ্টা করেছি এবং খুব বেশি পরিশ্রম করেছি, শক্তি কম ছিল এবং এখন আমি প্রচুর পরিমাণে মিষ্টি খাচ্ছি এবং এটি নিয়ে খারাপ বোধ করছি। আমি কেবল এটি মোকাবেলা করার চেষ্টা করছি এবং নিজেকে বলতে চাইছি যে আমি যখন এখান থেকে বেরিয়ে আসব তখন আমি আবার এটিতে ফিরে আসতে পারব। এটি আমার উপর অনেক চাপ সৃষ্টি করছে এবং আপনাদের সকলের কাছ থেকে কিছু পরামর্শ বা মতামত পাওয়ার জন্য এটি পোস্ট করছি।</v>
      </c>
    </row>
    <row r="560" spans="1:3" ht="15" x14ac:dyDescent="0.25">
      <c r="A560" s="3" t="s">
        <v>561</v>
      </c>
      <c r="B560" s="3" t="s">
        <v>4</v>
      </c>
      <c r="C560" s="4" t="str">
        <f ca="1">IFERROR(__xludf.DUMMYFUNCTION("GOOGLETRANSLATE(A560, ""auto"", ""bn"")"),"আমি এখানে মাঝেমধ্যেই কয়েকবার পোস্ট করেছি। আমার মনে হয় আমি এই সাব-টি ব্যবহার করে সামনের দিকে এগিয়ে যাওয়ার জন্য একটা জার্নাল তৈরি করব। যাই হোক? আমার নেশা অনেক বেশি ছড়িয়ে পড়েছে। আমি একজন কোকেন আসক্ত। আমি একটা বেতনভুক্ত অবস্থান বজায় রাখি যা আমি উপভোগ "&amp;"করি এবং আমার একটা ভালো বন্ধুগোষ্ঠীও আছে। তাছাড়া, আমি উদ্বিগ্ন যে আমার নেশা আমার জীবনের দুটো অংশই কেড়ে নেবে, এর সাথে সাথে এটি ইতিমধ্যে যা নিয়েছে তাও। গত সপ্তাহান্তে আমার এক সেরা বন্ধু জন্মদিনের ডিনারের আয়োজন করেছিল যার জন্য আমি সম্পূর্ণরূপে MIA ছিলাম। "&amp;"আমি শেষ মুহূর্তে তাকে বলেছিলাম যে আমি যেতে পারব না এবং ঠিক ছিলাম না। সত্য কথা হল আমি ঠিক ছিলাম না? কিন্তু কোকেনের নেশায়ও ছিলাম এবং মুখ দেখাতে পারছিলাম না। আমি উদ্বিগ্ন যে আমি হয়তো এর জন্য আমার একজন সেরা বন্ধুকে হারিয়ে ফেলেছি। আমি জানি না আমার জীবনের এই"&amp;" অংশটি মুছে ফেলার জন্য কী করতে হবে। এটা ভীতিকর এবং প্রতিবার যখন আমি নিজেকে বলি যে আমি ছাড়ব এবং ছাড়ব না তখন আমি ব্যর্থতার মতো অনুভব করি। আমি জানি যে নিছক ইচ্ছাশক্তি যথেষ্ট নয়; এবং আমি জানি যে আমাকে ""প্রতিস্থাপন"" করতে হবে। আমার নেশা। কিন্তু আমি জানি না"&amp;" কিভাবে বা কি দিয়ে।")</f>
        <v>আমি এখানে মাঝেমধ্যেই কয়েকবার পোস্ট করেছি। আমার মনে হয় আমি এই সাব-টি ব্যবহার করে সামনের দিকে এগিয়ে যাওয়ার জন্য একটা জার্নাল তৈরি করব। যাই হোক? আমার নেশা অনেক বেশি ছড়িয়ে পড়েছে। আমি একজন কোকেন আসক্ত। আমি একটা বেতনভুক্ত অবস্থান বজায় রাখি যা আমি উপভোগ করি এবং আমার একটা ভালো বন্ধুগোষ্ঠীও আছে। তাছাড়া, আমি উদ্বিগ্ন যে আমার নেশা আমার জীবনের দুটো অংশই কেড়ে নেবে, এর সাথে সাথে এটি ইতিমধ্যে যা নিয়েছে তাও। গত সপ্তাহান্তে আমার এক সেরা বন্ধু জন্মদিনের ডিনারের আয়োজন করেছিল যার জন্য আমি সম্পূর্ণরূপে MIA ছিলাম। আমি শেষ মুহূর্তে তাকে বলেছিলাম যে আমি যেতে পারব না এবং ঠিক ছিলাম না। সত্য কথা হল আমি ঠিক ছিলাম না? কিন্তু কোকেনের নেশায়ও ছিলাম এবং মুখ দেখাতে পারছিলাম না। আমি উদ্বিগ্ন যে আমি হয়তো এর জন্য আমার একজন সেরা বন্ধুকে হারিয়ে ফেলেছি। আমি জানি না আমার জীবনের এই অংশটি মুছে ফেলার জন্য কী করতে হবে। এটা ভীতিকর এবং প্রতিবার যখন আমি নিজেকে বলি যে আমি ছাড়ব এবং ছাড়ব না তখন আমি ব্যর্থতার মতো অনুভব করি। আমি জানি যে নিছক ইচ্ছাশক্তি যথেষ্ট নয়; এবং আমি জানি যে আমাকে "প্রতিস্থাপন" করতে হবে। আমার নেশা। কিন্তু আমি জানি না কিভাবে বা কি দিয়ে।</v>
      </c>
    </row>
    <row r="561" spans="1:3" ht="15" x14ac:dyDescent="0.25">
      <c r="A561" s="3" t="s">
        <v>562</v>
      </c>
      <c r="B561" s="3" t="s">
        <v>4</v>
      </c>
      <c r="C561" s="4" t="str">
        <f ca="1">IFERROR(__xludf.DUMMYFUNCTION("GOOGLETRANSLATE(A561, ""auto"", ""bn"")"),"আমার শখ হলো পপ সংস্কৃতির চারপাশের জিনিসপত্র সংগ্রহ করা, যা আমি উপভোগ করি। আজ যখন আমি দেখার সিদ্ধান্ত নিলাম যে এটি আমার হাতের বাইরে চলে গেছে, তখন আমি লজ্জা না পেয়ে পারছি না। আমি বছরের পর বছর ধরে কেনা বেশিরভাগ জিনিসপত্রের তালিকা লিখে রেখেছি এবং আমার তালিকা"&amp;" যত দীর্ঘ হতে থাকে এবং এই জিনিসের দাম লাফিয়ে লাফিয়ে বাড়তে থাকে, পেটের ভেতরের অনুভূতি আরও খারাপ হতে থাকে। আমি আমার এক বন্ধুকে এই বিষয়ে বললাম এবং তারা হেসে ফেলল কিন্তু হতবাক হয়ে গেলাম, এবং আমি আরও খারাপ অনুভব করতে পারলাম না। তাছাড়া, আমি নিশ্চিত নই যে "&amp;"এটি আসলে একটি আসক্তি বলে বিবেচিত হয় কিনা, তবে আমার মনে হয়েছিল যে এটি নিয়ন্ত্রণে আনার জন্য আমার এটি বের করা দরকার। তাছাড়া, আমি ইতিমধ্যেই অর্ডার করা অনেক জিনিস বাতিল করেছি এবং আমার যে অ্যাপগুলি থেকে জিনিসপত্র কেনা হত সেগুলি মুছে ফেলেছি। আমার একটি অংশ মন"&amp;"ে হচ্ছে যে আমি এটিকে প্রথমেই হাতের বাইরে যেতে দিয়ে ব্যর্থ হয়েছি।")</f>
        <v>আমার শখ হলো পপ সংস্কৃতির চারপাশের জিনিসপত্র সংগ্রহ করা, যা আমি উপভোগ করি। আজ যখন আমি দেখার সিদ্ধান্ত নিলাম যে এটি আমার হাতের বাইরে চলে গেছে, তখন আমি লজ্জা না পেয়ে পারছি না। আমি বছরের পর বছর ধরে কেনা বেশিরভাগ জিনিসপত্রের তালিকা লিখে রেখেছি এবং আমার তালিকা যত দীর্ঘ হতে থাকে এবং এই জিনিসের দাম লাফিয়ে লাফিয়ে বাড়তে থাকে, পেটের ভেতরের অনুভূতি আরও খারাপ হতে থাকে। আমি আমার এক বন্ধুকে এই বিষয়ে বললাম এবং তারা হেসে ফেলল কিন্তু হতবাক হয়ে গেলাম, এবং আমি আরও খারাপ অনুভব করতে পারলাম না। তাছাড়া, আমি নিশ্চিত নই যে এটি আসলে একটি আসক্তি বলে বিবেচিত হয় কিনা, তবে আমার মনে হয়েছিল যে এটি নিয়ন্ত্রণে আনার জন্য আমার এটি বের করা দরকার। তাছাড়া, আমি ইতিমধ্যেই অর্ডার করা অনেক জিনিস বাতিল করেছি এবং আমার যে অ্যাপগুলি থেকে জিনিসপত্র কেনা হত সেগুলি মুছে ফেলেছি। আমার একটি অংশ মনে হচ্ছে যে আমি এটিকে প্রথমেই হাতের বাইরে যেতে দিয়ে ব্যর্থ হয়েছি।</v>
      </c>
    </row>
    <row r="562" spans="1:3" ht="15" x14ac:dyDescent="0.25">
      <c r="A562" s="3" t="s">
        <v>563</v>
      </c>
      <c r="B562" s="3" t="s">
        <v>4</v>
      </c>
      <c r="C562" s="4" t="str">
        <f ca="1">IFERROR(__xludf.DUMMYFUNCTION("GOOGLETRANSLATE(A562, ""auto"", ""bn"")"),"আমি এই ওষুধ ব্যবহার শুরু করার আক্ষরিক অর্থেই অর্ধেক কারণ হল আমার কোমরের নিচের অংশে ব্যথা, ডান হাঁটুতে ব্যথা এবং পায়ের ব্যথা। এক বছরেরও বেশি সময় ধরে আমি সুস্থ আছি এবং প্রতিদিনের এই ব্যথা মোকাবেলা করা কঠিন হয়ে উঠছে। আমি আমার ডাক্তারের কাছে অনেক কিছু বলতে"&amp;" ভয় পাচ্ছি কারণ আমি চাই না যে তিনি ভাবুন যে আমি ব্যথার ওষুধ খাওয়ার চেষ্টা করছি। আমি যা করার চেষ্টা করছি তা নয়। আমি কেবল এমন কিছু খুঁজে পেতে চাই যা প্রতিদিন আরও সহনীয় করে তুলতে সাহায্য করবে। কী করতে হবে সে সম্পর্কে কোনও পরামর্শ?")</f>
        <v>আমি এই ওষুধ ব্যবহার শুরু করার আক্ষরিক অর্থেই অর্ধেক কারণ হল আমার কোমরের নিচের অংশে ব্যথা, ডান হাঁটুতে ব্যথা এবং পায়ের ব্যথা। এক বছরেরও বেশি সময় ধরে আমি সুস্থ আছি এবং প্রতিদিনের এই ব্যথা মোকাবেলা করা কঠিন হয়ে উঠছে। আমি আমার ডাক্তারের কাছে অনেক কিছু বলতে ভয় পাচ্ছি কারণ আমি চাই না যে তিনি ভাবুন যে আমি ব্যথার ওষুধ খাওয়ার চেষ্টা করছি। আমি যা করার চেষ্টা করছি তা নয়। আমি কেবল এমন কিছু খুঁজে পেতে চাই যা প্রতিদিন আরও সহনীয় করে তুলতে সাহায্য করবে। কী করতে হবে সে সম্পর্কে কোনও পরামর্শ?</v>
      </c>
    </row>
    <row r="563" spans="1:3" ht="15" x14ac:dyDescent="0.25">
      <c r="A563" s="3" t="s">
        <v>564</v>
      </c>
      <c r="B563" s="3" t="s">
        <v>4</v>
      </c>
      <c r="C563" s="4" t="str">
        <f ca="1">IFERROR(__xludf.DUMMYFUNCTION("GOOGLETRANSLATE(A563, ""auto"", ""bn"")"),"আমি ৬ বছর ধরে ধূমপান করছি, কিন্তু আমার কলেজ থেকে স্নাতক হতে চলেছে এবং কাজের জন্য মাদক পরীক্ষায় উত্তীর্ণ হওয়ার জন্য আমাকে ধূমপান ত্যাগ করতে হবে (আমি জানি এর জন্য সম্পূর্ণরূপে ধূমপান ত্যাগ করার প্রয়োজন নেই), তবে আমার মনে হয় যদি আমি আমার ব্যবহার বন্ধ করত"&amp;"ে পারি তবে আমি সামগ্রিকভাবে আরও ভালো মানুষ হব। আমি প্রতিদিন, দিনে দুবার বা তিনবার ধূমপান করি। তাছাড়া, আমি বুঝতে পারি যে প্রথমে আমাকে ধূমপানের মৌখিক আসক্তি কাটিয়ে উঠতে হবে তাই এটি মোকাবেলা করার জন্য আমি ভোজ্য খাবারের পরিমাণ বাড়িয়েছি। তারপর আমি প্রতিদিন "&amp;"আমার ভোজ্য খাবার গ্রহণ কমানোর পরিকল্পনা করছি যতক্ষণ না আমি কোনও THC গ্রহণ ছাড়াই পুরো দিন কাটাতে স্বাচ্ছন্দ্য বোধ করি, এবং তারপর আমি সেখান থেকে তা গ্রহণ করব। যদি আপনি আগে আগাছা ত্যাগ করে থাকেন তবে আমি এমন কোনও টিপস বা কৌশল উপভোগ করব যা আপনাকে এই তাড়না কা"&amp;"টিয়ে উঠতে সাহায্য করবে! আপনার সময়ের জন্য ধন্যবাদ, আশা করি আপনি সকলেই আপনার ছোট ছোট লড়াইয়ে জিতবেন!")</f>
        <v>আমি ৬ বছর ধরে ধূমপান করছি, কিন্তু আমার কলেজ থেকে স্নাতক হতে চলেছে এবং কাজের জন্য মাদক পরীক্ষায় উত্তীর্ণ হওয়ার জন্য আমাকে ধূমপান ত্যাগ করতে হবে (আমি জানি এর জন্য সম্পূর্ণরূপে ধূমপান ত্যাগ করার প্রয়োজন নেই), তবে আমার মনে হয় যদি আমি আমার ব্যবহার বন্ধ করতে পারি তবে আমি সামগ্রিকভাবে আরও ভালো মানুষ হব। আমি প্রতিদিন, দিনে দুবার বা তিনবার ধূমপান করি। তাছাড়া, আমি বুঝতে পারি যে প্রথমে আমাকে ধূমপানের মৌখিক আসক্তি কাটিয়ে উঠতে হবে তাই এটি মোকাবেলা করার জন্য আমি ভোজ্য খাবারের পরিমাণ বাড়িয়েছি। তারপর আমি প্রতিদিন আমার ভোজ্য খাবার গ্রহণ কমানোর পরিকল্পনা করছি যতক্ষণ না আমি কোনও THC গ্রহণ ছাড়াই পুরো দিন কাটাতে স্বাচ্ছন্দ্য বোধ করি, এবং তারপর আমি সেখান থেকে তা গ্রহণ করব। যদি আপনি আগে আগাছা ত্যাগ করে থাকেন তবে আমি এমন কোনও টিপস বা কৌশল উপভোগ করব যা আপনাকে এই তাড়না কাটিয়ে উঠতে সাহায্য করবে! আপনার সময়ের জন্য ধন্যবাদ, আশা করি আপনি সকলেই আপনার ছোট ছোট লড়াইয়ে জিতবেন!</v>
      </c>
    </row>
    <row r="564" spans="1:3" ht="15" x14ac:dyDescent="0.25">
      <c r="A564" s="3" t="s">
        <v>565</v>
      </c>
      <c r="B564" s="3" t="s">
        <v>4</v>
      </c>
      <c r="C564" s="4" t="str">
        <f ca="1">IFERROR(__xludf.DUMMYFUNCTION("GOOGLETRANSLATE(A564, ""auto"", ""bn"")"),"হাই, আমি (২১°F) ১৬ বছর বয়সে ধূমপান শুরু করি এবং ২ বছর পর থেকে আমি অন্য এক স্তরে পৌঁছে গেছি যেখানে ঘুম থেকে ওঠার পর আমি অতিরিক্ত ঘুমিয়ে পড়ি। আমি ৭০ টাকায় কিনি? এক সপ্তাহ তাই প্রতিদিন ১ গ্রাম; এবং আমি এতে মোটেও গর্বিত নই। ব্যাপারটা হল আগাছা আমাকে উচ্চ উদ"&amp;"্বেগ মোকাবেলায় অনেক সাহায্য করে; কিন্তু আমি অনুভব করতে পারি যে আমার শারীরিক স্বাস্থ্যের অবনতি থামছে না। তাই আপাতত আমি এক ধরণের ভ্যাপ কিনতে পারার আগে কিন্তু আগাছার জন্য (নাম মনে করতে পারছি না), আমি কেবল সপ্তাহান্তে ধূমপান করতে চাই। কিন্তু আমি সক্ষম বোধ কর"&amp;"ছি না, অনেক দিন হয়ে গেছে যে আমি এক দিনের বেশি সময় ধরে মাদকাসক্ত ছিলাম, আমি অনেক কিছুর ভয় পাই এবং আমি জানি যে এটি কেবল এক সপ্তাহের জন্য সংগ্রাম হবে (আমি প্রায়শই ধূমপান ছেড়ে দিতাম, তাই মাদকাসক্ত হওয়ার অভিজ্ঞতা আমি জানি), কিন্তু যদি আমি সবসময়ের মতো চি"&amp;"ন্তা না করি এবং চালিয়ে যাই? আমি কেবল সবকিছু ছেড়ে দিতে চেয়েছিলাম, পড়ার জন্য ধন্যবাদ, আপনার মতামত বলুন।")</f>
        <v>হাই, আমি (২১°F) ১৬ বছর বয়সে ধূমপান শুরু করি এবং ২ বছর পর থেকে আমি অন্য এক স্তরে পৌঁছে গেছি যেখানে ঘুম থেকে ওঠার পর আমি অতিরিক্ত ঘুমিয়ে পড়ি। আমি ৭০ টাকায় কিনি? এক সপ্তাহ তাই প্রতিদিন ১ গ্রাম; এবং আমি এতে মোটেও গর্বিত নই। ব্যাপারটা হল আগাছা আমাকে উচ্চ উদ্বেগ মোকাবেলায় অনেক সাহায্য করে; কিন্তু আমি অনুভব করতে পারি যে আমার শারীরিক স্বাস্থ্যের অবনতি থামছে না। তাই আপাতত আমি এক ধরণের ভ্যাপ কিনতে পারার আগে কিন্তু আগাছার জন্য (নাম মনে করতে পারছি না), আমি কেবল সপ্তাহান্তে ধূমপান করতে চাই। কিন্তু আমি সক্ষম বোধ করছি না, অনেক দিন হয়ে গেছে যে আমি এক দিনের বেশি সময় ধরে মাদকাসক্ত ছিলাম, আমি অনেক কিছুর ভয় পাই এবং আমি জানি যে এটি কেবল এক সপ্তাহের জন্য সংগ্রাম হবে (আমি প্রায়শই ধূমপান ছেড়ে দিতাম, তাই মাদকাসক্ত হওয়ার অভিজ্ঞতা আমি জানি), কিন্তু যদি আমি সবসময়ের মতো চিন্তা না করি এবং চালিয়ে যাই? আমি কেবল সবকিছু ছেড়ে দিতে চেয়েছিলাম, পড়ার জন্য ধন্যবাদ, আপনার মতামত বলুন।</v>
      </c>
    </row>
    <row r="565" spans="1:3" ht="15" x14ac:dyDescent="0.25">
      <c r="A565" s="3" t="s">
        <v>566</v>
      </c>
      <c r="B565" s="3" t="s">
        <v>4</v>
      </c>
      <c r="C565" s="4" t="str">
        <f ca="1">IFERROR(__xludf.DUMMYFUNCTION("GOOGLETRANSLATE(A565, ""auto"", ""bn"")"),"সে বছরের পর বছর ধরে নিয়মিত ওষুধ খায় না এবং তার শেষ ""স্লিপ আপ"" এর পর থেকে এখন এক বছরেরও বেশি সময় পার করেছে। অতিরিক্ত ওষুধ সেবনের কারণে অথবা আত্মহত্যার কারণে চিকিৎসাধীন তার অনেক বন্ধুকে সে হারিয়েছে - আমার মনে হয় গত বছরে ৬ জন। চিকিৎসার সময় তার তৈরি দুই"&amp;" সেরা বন্ধু গত বছর একই দিনে মারা গেছে - যদিও তারা কখনও দেখা করেনি - ৪ ফেব্রুয়ারী, ২০২১। আমার সঙ্গী, ভুক্তভোগীদের পরিবার এবং এই মহামারীতে আক্রান্ত সকলের জন্য এটি আমাকে খুব দুঃখিত করে। আমি এটা ঘৃণা করি। যাই হোক, আমি সত্যিই নিশ্চিত করতে চাই যে ৪ ফেব্রুয়ারী"&amp;" আমরা ব্যস্ত থাকি। আমরা কীভাবে প্রতিদান দিতে পারি সে সম্পর্কে কারও কি ধারণা আছে? আসক্তদের, গৃহহীনদের সম্মুখীন ব্যক্তিদের, অথবা সমস্যাগ্রস্ত কিশোর-কিশোরীদের সংগ্রাম/পুনরুদ্ধারে সাহায্য করার জন্য স্বেচ্ছাসেবক সুযোগ? অথবা সেই দিনে কী করতে হবে তার জন্য অন্য ক"&amp;"োনও ধারণা?")</f>
        <v>সে বছরের পর বছর ধরে নিয়মিত ওষুধ খায় না এবং তার শেষ "স্লিপ আপ" এর পর থেকে এখন এক বছরেরও বেশি সময় পার করেছে। অতিরিক্ত ওষুধ সেবনের কারণে অথবা আত্মহত্যার কারণে চিকিৎসাধীন তার অনেক বন্ধুকে সে হারিয়েছে - আমার মনে হয় গত বছরে ৬ জন। চিকিৎসার সময় তার তৈরি দুই সেরা বন্ধু গত বছর একই দিনে মারা গেছে - যদিও তারা কখনও দেখা করেনি - ৪ ফেব্রুয়ারী, ২০২১। আমার সঙ্গী, ভুক্তভোগীদের পরিবার এবং এই মহামারীতে আক্রান্ত সকলের জন্য এটি আমাকে খুব দুঃখিত করে। আমি এটা ঘৃণা করি। যাই হোক, আমি সত্যিই নিশ্চিত করতে চাই যে ৪ ফেব্রুয়ারী আমরা ব্যস্ত থাকি। আমরা কীভাবে প্রতিদান দিতে পারি সে সম্পর্কে কারও কি ধারণা আছে? আসক্তদের, গৃহহীনদের সম্মুখীন ব্যক্তিদের, অথবা সমস্যাগ্রস্ত কিশোর-কিশোরীদের সংগ্রাম/পুনরুদ্ধারে সাহায্য করার জন্য স্বেচ্ছাসেবক সুযোগ? অথবা সেই দিনে কী করতে হবে তার জন্য অন্য কোনও ধারণা?</v>
      </c>
    </row>
    <row r="566" spans="1:3" ht="15" x14ac:dyDescent="0.25">
      <c r="A566" s="3" t="s">
        <v>567</v>
      </c>
      <c r="B566" s="3" t="s">
        <v>4</v>
      </c>
      <c r="C566" s="4" t="str">
        <f ca="1">IFERROR(__xludf.DUMMYFUNCTION("GOOGLETRANSLATE(A566, ""auto"", ""bn"")"),"আমি ২১ বছর বয়সী একজন পুরুষ এবং আমি পলিটক্সে আক্রান্ত এবং আমার ADD আছে। আগে আমি অনেক কুকুরকে আজীবন আগাছা ওপিয়েটস সেবন করতাম। এখন আমি একটি রিকভারি ক্লিনিকে পূর্ণকালীন আছি। এখন আমি অনেক ভালো বোধ করছি, আমি এখনও আমার ডাক্তারের দেওয়া ইভান্স ব্যবহার করছি। আমি"&amp;" এখনও সিগারেট, পর্ন এবং যৌনকর্মীদের সাথে দেখা করার অনুভূতির পিছনে ছুটছি। তাছাড়া, আমি আসলে কারো সাথে এই বিষয়ে কথা বলতে পারি না। যখন আমি সেক্স করি তখন আমার সেদিন ভালো লাগে কিন্তু পরের দিন আমার মন খারাপ থাকে এবং আমি আরও চাই। আমি সবসময় এই বিষয়গুলি নিয়ে চ"&amp;"িন্তা করি এবং আমি উদ্বিগ্ন থাকি কারণ আমি নতুন কোনও আসক্তিতে পড়তে চাই না। এখন যা আছে তা উপভোগ করা আমার পক্ষে কঠিন। আমি কখনও সম্পূর্ণ বোধ করি না। কেউ কি এর সাথে লড়াই করে?")</f>
        <v>আমি ২১ বছর বয়সী একজন পুরুষ এবং আমি পলিটক্সে আক্রান্ত এবং আমার ADD আছে। আগে আমি অনেক কুকুরকে আজীবন আগাছা ওপিয়েটস সেবন করতাম। এখন আমি একটি রিকভারি ক্লিনিকে পূর্ণকালীন আছি। এখন আমি অনেক ভালো বোধ করছি, আমি এখনও আমার ডাক্তারের দেওয়া ইভান্স ব্যবহার করছি। আমি এখনও সিগারেট, পর্ন এবং যৌনকর্মীদের সাথে দেখা করার অনুভূতির পিছনে ছুটছি। তাছাড়া, আমি আসলে কারো সাথে এই বিষয়ে কথা বলতে পারি না। যখন আমি সেক্স করি তখন আমার সেদিন ভালো লাগে কিন্তু পরের দিন আমার মন খারাপ থাকে এবং আমি আরও চাই। আমি সবসময় এই বিষয়গুলি নিয়ে চিন্তা করি এবং আমি উদ্বিগ্ন থাকি কারণ আমি নতুন কোনও আসক্তিতে পড়তে চাই না। এখন যা আছে তা উপভোগ করা আমার পক্ষে কঠিন। আমি কখনও সম্পূর্ণ বোধ করি না। কেউ কি এর সাথে লড়াই করে?</v>
      </c>
    </row>
    <row r="567" spans="1:3" ht="15" x14ac:dyDescent="0.25">
      <c r="A567" s="3" t="s">
        <v>568</v>
      </c>
      <c r="B567" s="3" t="s">
        <v>4</v>
      </c>
      <c r="C567" s="4" t="str">
        <f ca="1">IFERROR(__xludf.DUMMYFUNCTION("GOOGLETRANSLATE(A567, ""auto"", ""bn"")"),"আমি এবং আরেকজন এই Subreddit-এ আসক্তি সম্পর্কে আমাদের কবিতা লিখেছিলাম এবং আমরা দুজনেই এটি বাতিল করে দিয়েছিলাম কারণ আমরা কেবল অন্যদের কাছ থেকে ঘৃণা এবং বড় হাতের অক্ষরের অতিরিক্ত ব্যবহার সম্পর্কে বোকা মন্তব্য পেয়েছি। আমার মনে হয়েছিল এটি এমন একটি দল যা এক"&amp;"ে অপরকে সমর্থন করে এবং একে অপরকে তুলে ধরে এবং অন্য ব্যক্তিকে বলে যে তারা কতটা সাহসী যে তারা এখানে তাদের হৃদয় ও আত্মা উজাড় করে দিয়েছে কেবল ঘৃণা এবং বিচারের সম্মুখীন হওয়ার জন্য। আমি শুরু থেকেই ব্যবহার শুরু করার কিছু কারণ ছিল। ভালোবাসা কোথায়? সমর্থন কোথ"&amp;"ায়? সম্প্রদায়ের অনুভূতি কোথায়? এটা দুঃখজনক। এটা কষ্ট দেয়। এবং এটি আমার মানবতার উপর বিশ্বাস হারিয়ে ফেলে। আমার বড় হাতের অক্ষরগুলি যদি কাউকে খুব বেশি বিরক্ত করে তবে আমি দুঃখিত। আমি জানি এটি সবচেয়ে খারাপ মানুষকেও প্রকাশ করতে পারে! আমি কখনই অন্য কাউকে আ"&amp;"ঘাত করতে চাই না যারা আঘাত করছে। অথবা এমন কাউকে বিচার করতে চাই যা ইতিমধ্যেই বিচারিত বোধ করছে। আমরা কি একে অপরকে ভালোবাসতে পারি? আমার মনে হয় আমরা পারব।")</f>
        <v>আমি এবং আরেকজন এই Subreddit-এ আসক্তি সম্পর্কে আমাদের কবিতা লিখেছিলাম এবং আমরা দুজনেই এটি বাতিল করে দিয়েছিলাম কারণ আমরা কেবল অন্যদের কাছ থেকে ঘৃণা এবং বড় হাতের অক্ষরের অতিরিক্ত ব্যবহার সম্পর্কে বোকা মন্তব্য পেয়েছি। আমার মনে হয়েছিল এটি এমন একটি দল যা একে অপরকে সমর্থন করে এবং একে অপরকে তুলে ধরে এবং অন্য ব্যক্তিকে বলে যে তারা কতটা সাহসী যে তারা এখানে তাদের হৃদয় ও আত্মা উজাড় করে দিয়েছে কেবল ঘৃণা এবং বিচারের সম্মুখীন হওয়ার জন্য। আমি শুরু থেকেই ব্যবহার শুরু করার কিছু কারণ ছিল। ভালোবাসা কোথায়? সমর্থন কোথায়? সম্প্রদায়ের অনুভূতি কোথায়? এটা দুঃখজনক। এটা কষ্ট দেয়। এবং এটি আমার মানবতার উপর বিশ্বাস হারিয়ে ফেলে। আমার বড় হাতের অক্ষরগুলি যদি কাউকে খুব বেশি বিরক্ত করে তবে আমি দুঃখিত। আমি জানি এটি সবচেয়ে খারাপ মানুষকেও প্রকাশ করতে পারে! আমি কখনই অন্য কাউকে আঘাত করতে চাই না যারা আঘাত করছে। অথবা এমন কাউকে বিচার করতে চাই যা ইতিমধ্যেই বিচারিত বোধ করছে। আমরা কি একে অপরকে ভালোবাসতে পারি? আমার মনে হয় আমরা পারব।</v>
      </c>
    </row>
    <row r="568" spans="1:3" ht="15" x14ac:dyDescent="0.25">
      <c r="A568" s="3" t="s">
        <v>569</v>
      </c>
      <c r="B568" s="3" t="s">
        <v>4</v>
      </c>
      <c r="C568" s="4" t="str">
        <f ca="1">IFERROR(__xludf.DUMMYFUNCTION("GOOGLETRANSLATE(A568, ""auto"", ""bn"")"),"হে সকল, প্রথম পোস্টের শিরোনামই সব বলে দিচ্ছে। ১৬ বছর বয়স থেকেই (এখন ২৮ বছর) আমি মদ্যপানের সাথে লড়াই করে আসছি এবং গত ৫ বছরে আমি অসহায়ভাবে কোকেনের প্রতি আসক্ত হয়ে পড়েছি। এটি আমার সম্পর্ক নষ্ট করছে, আমার শারীরিক স্বাস্থ্যের উল্লেখযোগ্য ক্ষতি করছে, এটি আ"&amp;"মার বেশ কয়েকটি চাকরি হারিয়েছে এবং এটি আমাকে আর্থিকভাবে ধ্বংস করছে। আমি আসলে জানি না কীভাবে এগিয়ে যাব। ইন্টারনেটে এটি স্বীকার করাই ভালো ধারণা বলে মনে হচ্ছে। যদি কারো কোন অন্তর্দৃষ্টি থাকে তবে আমি এটির জন্য কৃতজ্ঞ থাকব।")</f>
        <v>হে সকল, প্রথম পোস্টের শিরোনামই সব বলে দিচ্ছে। ১৬ বছর বয়স থেকেই (এখন ২৮ বছর) আমি মদ্যপানের সাথে লড়াই করে আসছি এবং গত ৫ বছরে আমি অসহায়ভাবে কোকেনের প্রতি আসক্ত হয়ে পড়েছি। এটি আমার সম্পর্ক নষ্ট করছে, আমার শারীরিক স্বাস্থ্যের উল্লেখযোগ্য ক্ষতি করছে, এটি আমার বেশ কয়েকটি চাকরি হারিয়েছে এবং এটি আমাকে আর্থিকভাবে ধ্বংস করছে। আমি আসলে জানি না কীভাবে এগিয়ে যাব। ইন্টারনেটে এটি স্বীকার করাই ভালো ধারণা বলে মনে হচ্ছে। যদি কারো কোন অন্তর্দৃষ্টি থাকে তবে আমি এটির জন্য কৃতজ্ঞ থাকব।</v>
      </c>
    </row>
    <row r="569" spans="1:3" ht="15" x14ac:dyDescent="0.25">
      <c r="A569" s="3" t="s">
        <v>570</v>
      </c>
      <c r="B569" s="3" t="s">
        <v>4</v>
      </c>
      <c r="C569" s="4" t="str">
        <f ca="1">IFERROR(__xludf.DUMMYFUNCTION("GOOGLETRANSLATE(A569, ""auto"", ""bn"")"),"আমার কাছে: আমার বয়স এম (২৯) এবং ৫ বছর আগে আমি একাধিক মাদকের প্রতি আসক্ত ছিলাম। সেই সময় আমি কেবল গাঁজা ধূমপান করতাম। এখন আমি ৬ মাস ধরে সুস্থ। আমার একটা ভালো চাকরি আছে যেখানে বস আমাকে কোম্পানির দায়িত্ব নেওয়ার সুযোগ দিয়েছেন (এটি একটি ছোট বৈদ্যুতিক কোম্প"&amp;"ানি যা তিনি স্বাস্থ্যগত সমস্যার কারণে অবসর নিতে চান)। আমার একজন খুব স্নেহশীল প্রেমিক আছে যে আমাকে মাদক ব্যবহারের অতল গহ্বর থেকে বের করে আনতে সাহায্য করেছে। তাছাড়া, আমাকে আমার ""বন্ধুদের"" ছেড়ে যেতে হয়েছিল? আমার পিছনে কারণ তাদের প্রত্যেকেই মাদকাসক্ত। এখ"&amp;"ন আমি সুস্থ হয়ে উঠছি, আমি এটাও জানি যে আমার জীবনে আমার কখনও বন্ধু ছিল না (সবকিছুই শুরু হয়েছিল যখন আমি ১৪ বছর বয়সে)। গত ৫ বছর ধরে আমার প্রেমিক আমার সাথে থাকলেই আমি ভালো ছিলাম। কিন্তু নববর্ষের আগের দিন থেকে আমি ভাবতে শুরু করেছি যে আমার কাছে একজন সেরা বন্"&amp;"ধু বা এমনকি এমন একজন বন্ধু থাকলে কেমন হত যে আমার সাথে চিন্তাভাবনা বা সমস্যা ভাগ করে নেবে অথবা বাইরে ঘুরতে ঘুরতে ভালো সময় কাটাবে। আমি জানি না কিভাবে ""স্বাভাবিক"" মানুষ বন্ধু হয়?? একজন মাদকাসক্ত হিসেবে এটা বেশ সহজ ছিল? ""ওহ, তুমি কি একই ওষুধ খাও? চলো একস"&amp;"াথে আড্ডা দেই?""")</f>
        <v>আমার কাছে: আমার বয়স এম (২৯) এবং ৫ বছর আগে আমি একাধিক মাদকের প্রতি আসক্ত ছিলাম। সেই সময় আমি কেবল গাঁজা ধূমপান করতাম। এখন আমি ৬ মাস ধরে সুস্থ। আমার একটা ভালো চাকরি আছে যেখানে বস আমাকে কোম্পানির দায়িত্ব নেওয়ার সুযোগ দিয়েছেন (এটি একটি ছোট বৈদ্যুতিক কোম্পানি যা তিনি স্বাস্থ্যগত সমস্যার কারণে অবসর নিতে চান)। আমার একজন খুব স্নেহশীল প্রেমিক আছে যে আমাকে মাদক ব্যবহারের অতল গহ্বর থেকে বের করে আনতে সাহায্য করেছে। তাছাড়া, আমাকে আমার "বন্ধুদের" ছেড়ে যেতে হয়েছিল? আমার পিছনে কারণ তাদের প্রত্যেকেই মাদকাসক্ত। এখন আমি সুস্থ হয়ে উঠছি, আমি এটাও জানি যে আমার জীবনে আমার কখনও বন্ধু ছিল না (সবকিছুই শুরু হয়েছিল যখন আমি ১৪ বছর বয়সে)। গত ৫ বছর ধরে আমার প্রেমিক আমার সাথে থাকলেই আমি ভালো ছিলাম। কিন্তু নববর্ষের আগের দিন থেকে আমি ভাবতে শুরু করেছি যে আমার কাছে একজন সেরা বন্ধু বা এমনকি এমন একজন বন্ধু থাকলে কেমন হত যে আমার সাথে চিন্তাভাবনা বা সমস্যা ভাগ করে নেবে অথবা বাইরে ঘুরতে ঘুরতে ভালো সময় কাটাবে। আমি জানি না কিভাবে "স্বাভাবিক" মানুষ বন্ধু হয়?? একজন মাদকাসক্ত হিসেবে এটা বেশ সহজ ছিল? "ওহ, তুমি কি একই ওষুধ খাও? চলো একসাথে আড্ডা দেই?"</v>
      </c>
    </row>
    <row r="570" spans="1:3" ht="15" x14ac:dyDescent="0.25">
      <c r="A570" s="3" t="s">
        <v>571</v>
      </c>
      <c r="B570" s="3" t="s">
        <v>4</v>
      </c>
      <c r="C570" s="4" t="str">
        <f ca="1">IFERROR(__xludf.DUMMYFUNCTION("GOOGLETRANSLATE(A570, ""auto"", ""bn"")"),"আমি বলবো গ্রীষ্মকালে আমার আসক্তির চরম সীমা ছিল, কিন্তু সম্প্রতি (ডিসেম্বর থেকে জানুয়ারী) আমি যতটা সম্ভব নেশাগ্রস্ত/মাতাল ছিলাম। কিন্তু আজ আমি প্রায় এক সপ্তাহ পার করে ফেলেছি যা আমার কাছে অনেক বড় ব্যাপার। পরের বার আমি পুরো এক সপ্তাহ + কয়েক দিন চেষ্টা কর"&amp;"ব :)")</f>
        <v>আমি বলবো গ্রীষ্মকালে আমার আসক্তির চরম সীমা ছিল, কিন্তু সম্প্রতি (ডিসেম্বর থেকে জানুয়ারী) আমি যতটা সম্ভব নেশাগ্রস্ত/মাতাল ছিলাম। কিন্তু আজ আমি প্রায় এক সপ্তাহ পার করে ফেলেছি যা আমার কাছে অনেক বড় ব্যাপার। পরের বার আমি পুরো এক সপ্তাহ + কয়েক দিন চেষ্টা করব :)</v>
      </c>
    </row>
    <row r="571" spans="1:3" ht="15" x14ac:dyDescent="0.25">
      <c r="A571" s="3" t="s">
        <v>572</v>
      </c>
      <c r="B571" s="3" t="s">
        <v>4</v>
      </c>
      <c r="C571" s="4" t="str">
        <f ca="1">IFERROR(__xludf.DUMMYFUNCTION("GOOGLETRANSLATE(A571, ""auto"", ""bn"")"),"আমি এক বছর ধরে প্রতিদিন কোকেন ব্যবহার করছিলাম। যদি আমি এটা না করতাম তাহলে আমি এটা নিয়ে ভাবতাম এবং কিভাবে যত তাড়াতাড়ি সম্ভব এটা থেকে মুক্তি পাবো, আর এটা আমাকে অনেক ক্ষেত্রেই ধ্বংস করে দিচ্ছিল। শারীরিক, মানসিক, আধ্যাত্মিকভাবে। আমি যদি বলতে পারতাম যে আমি "&amp;"এটা শেষ করে ফেলেছি কিন্তু এটা ছাড়া থাকার নমুনা আকার খুব বেশি নয়। তবে, যদি আমার কথাগুলো কাউকে ১ সপ্তাহের ছুটি পেতে সাহায্য করতে পারে, সে যাই আসক্ত হোক না কেন, আমি এই পোস্টের যোগ্য হব। আমি কিছু পয়েন্ট উল্লেখ করতে যাচ্ছি। তোমাকে প্রতিশ্রুতি দিতে হবে যে তু"&amp;"মি আসলেই পরিবর্তনের সিদ্ধান্ত না নিবে (আমি জানি পিছনের কণ্ঠস্বর আসল, কিন্তু যদি তোমাকে তা করতেই হয়, তাহলে তোমার উদ্দেশ্যটা জোরে জোরে বলতে হবে এবং সিদ্ধান্ত নেওয়ার ব্যাপারে কঠোর হতে হবে)। তোমাকে হয়তো সেই বিন্দুতে পৌঁছানোর জন্য খুব কষ্ট করতে হতে পারে যেখ"&amp;"ানে তুমি সত্যিই পরিবর্তন করার সিদ্ধান্ত নিবে। এটা হতে পারে কিন্তু এটা করার দরকার নেই। লিখে রাখো। এই পদার্থ তোমার সাথে যে সমস্ত অনুভূতি এবং জিনিস করে। সব ভালো-মন্দ। তুমি দেখতে পাবে এর কোন ভালো-মন্দ নেই। এটা কীভাবে তোমার জীবনকে নষ্ট করে দিচ্ছে, শুধু কিছু না"&amp;" করেই। ১৫ মিনিটের আনন্দের আনন্দ যা তুমি পেতে পারো, যা আমাকে চতুর্থ নম্বরে নিয়ে যায়। তোমার অভ্যাস পরিবর্তন করো। ট্রিগারগুলো তোমাকে আবার এতেই পড়তে বাধ্য করতে পারে, তাই অভ্যাস পরিবর্তন করো এবং কেন তুমি এমন করছো তা জেনে নাও। দৌড়াও, প্রচুর পানি পান করো, গো"&amp;"সল করো, বই পড়ো, কাজে যাও, কোনও প্রকল্প শুরু করো। তোমার মনকে দখল করো। প্রথম দিনগুলো সবচেয়ে কঠিন। এটা সহজ হয়ে যায়, খারাপ প্রত্যাহার নরম হয়ে যায়। মনে রেখো কেন তুমি তোমার জীবন পরিবর্তন করছো। কারণ তুমি নিজেকে ভালোবাসো! তুমি এর যোগ্য নও। এই জিনিসের জন্য ত"&amp;"োমার জীবন, বন্ধু, পরিবার, চাকরি কেড়ে নেওয়া হচ্ছে। মনে রেখো যারা এটা করে, তারা তোমাকে পাত্তা দেয় না!!! তুমি যদি জীবিত থাকো বা মৃত, তাদের কাছে খারাপ কিছু নয়। আমার মনে হয় তুমি বেঁচে থাকাই ভালো, জম্বির মতো বেঁচে থাকা এবং তাদের পদার্থ গ্রহণ করে ক্রমশ আসক্"&amp;"ত হয়ে পড়া। ঐশ্বরিকতার সাথে সংযোগ অনুশীলন করো। আমি সত্যি বলছি!!! সেটা যোগব্যায়াম, শামানবাদ, ক্যাথলিকবাদ, ধর্মপ্রচার যাই হোক না কেন। কোন ব্যাপার না! কিছুতে বিশ্বাস রাখো। নিজেকে খুঁজে বের করো। তোমার ঘর পরিষ্কার করো। পরিষ্কার করো। নিজেকে পরিষ্কার করো। বাতা"&amp;"সে শ্বাস নাও। নিজেকে ভালোবাসো। প্রতিদিন তুমি কীসের জন্য কৃতজ্ঞ তা লিখে রাখো। সত্যি বলতে, এটা করো!!! তোমার পরিবার? তোমার কুকুর? বন্ধুরা? লিখে রাখো। কৃতজ্ঞ থাকো। তোমার হৃদয় খুলে দাও। নিজের জন্য শুভকামনা জানাও। তুমি এটা করতে পারো। আমি এটা করতে পারি। আমরা এট"&amp;"া করতে পারি। আমি সকলের ইচ্ছাশক্তি, শক্তি এবং সংকল্প কামনা করি। এটা দেখতে বা মনে নাও হতে পারে, কিন্তু আমরা একসাথে এই পরিস্থিতিতে আছি। অনেক মানুষ এটা জয় করেছে, এবং আমরা এটা করতে পারি। আরও ভালো জীবনযাপন করো। সহজ জিনিস উপভোগ করো এবং সবচেয়ে গুরুত্বপূর্ণ হলো,"&amp;" অন্তরের শান্তি অনুভব করা। এগুলো আমার মতামত!!! আমি চাই না কেউ ভাবুক যে আমি আমার সত্যকে কারো মুখে চাপা দেওয়ার চেষ্টা করছি। আশা করি এটা সাহায্য করবে। ঈশ্বর তোমাকে ভালোবাসেন!!!!")</f>
        <v>আমি এক বছর ধরে প্রতিদিন কোকেন ব্যবহার করছিলাম। যদি আমি এটা না করতাম তাহলে আমি এটা নিয়ে ভাবতাম এবং কিভাবে যত তাড়াতাড়ি সম্ভব এটা থেকে মুক্তি পাবো, আর এটা আমাকে অনেক ক্ষেত্রেই ধ্বংস করে দিচ্ছিল। শারীরিক, মানসিক, আধ্যাত্মিকভাবে। আমি যদি বলতে পারতাম যে আমি এটা শেষ করে ফেলেছি কিন্তু এটা ছাড়া থাকার নমুনা আকার খুব বেশি নয়। তবে, যদি আমার কথাগুলো কাউকে ১ সপ্তাহের ছুটি পেতে সাহায্য করতে পারে, সে যাই আসক্ত হোক না কেন, আমি এই পোস্টের যোগ্য হব। আমি কিছু পয়েন্ট উল্লেখ করতে যাচ্ছি। তোমাকে প্রতিশ্রুতি দিতে হবে যে তুমি আসলেই পরিবর্তনের সিদ্ধান্ত না নিবে (আমি জানি পিছনের কণ্ঠস্বর আসল, কিন্তু যদি তোমাকে তা করতেই হয়, তাহলে তোমার উদ্দেশ্যটা জোরে জোরে বলতে হবে এবং সিদ্ধান্ত নেওয়ার ব্যাপারে কঠোর হতে হবে)। তোমাকে হয়তো সেই বিন্দুতে পৌঁছানোর জন্য খুব কষ্ট করতে হতে পারে যেখানে তুমি সত্যিই পরিবর্তন করার সিদ্ধান্ত নিবে। এটা হতে পারে কিন্তু এটা করার দরকার নেই। লিখে রাখো। এই পদার্থ তোমার সাথে যে সমস্ত অনুভূতি এবং জিনিস করে। সব ভালো-মন্দ। তুমি দেখতে পাবে এর কোন ভালো-মন্দ নেই। এটা কীভাবে তোমার জীবনকে নষ্ট করে দিচ্ছে, শুধু কিছু না করেই। ১৫ মিনিটের আনন্দের আনন্দ যা তুমি পেতে পারো, যা আমাকে চতুর্থ নম্বরে নিয়ে যায়। তোমার অভ্যাস পরিবর্তন করো। ট্রিগারগুলো তোমাকে আবার এতেই পড়তে বাধ্য করতে পারে, তাই অভ্যাস পরিবর্তন করো এবং কেন তুমি এমন করছো তা জেনে নাও। দৌড়াও, প্রচুর পানি পান করো, গোসল করো, বই পড়ো, কাজে যাও, কোনও প্রকল্প শুরু করো। তোমার মনকে দখল করো। প্রথম দিনগুলো সবচেয়ে কঠিন। এটা সহজ হয়ে যায়, খারাপ প্রত্যাহার নরম হয়ে যায়। মনে রেখো কেন তুমি তোমার জীবন পরিবর্তন করছো। কারণ তুমি নিজেকে ভালোবাসো! তুমি এর যোগ্য নও। এই জিনিসের জন্য তোমার জীবন, বন্ধু, পরিবার, চাকরি কেড়ে নেওয়া হচ্ছে। মনে রেখো যারা এটা করে, তারা তোমাকে পাত্তা দেয় না!!! তুমি যদি জীবিত থাকো বা মৃত, তাদের কাছে খারাপ কিছু নয়। আমার মনে হয় তুমি বেঁচে থাকাই ভালো, জম্বির মতো বেঁচে থাকা এবং তাদের পদার্থ গ্রহণ করে ক্রমশ আসক্ত হয়ে পড়া। ঐশ্বরিকতার সাথে সংযোগ অনুশীলন করো। আমি সত্যি বলছি!!! সেটা যোগব্যায়াম, শামানবাদ, ক্যাথলিকবাদ, ধর্মপ্রচার যাই হোক না কেন। কোন ব্যাপার না! কিছুতে বিশ্বাস রাখো। নিজেকে খুঁজে বের করো। তোমার ঘর পরিষ্কার করো। পরিষ্কার করো। নিজেকে পরিষ্কার করো। বাতাসে শ্বাস নাও। নিজেকে ভালোবাসো। প্রতিদিন তুমি কীসের জন্য কৃতজ্ঞ তা লিখে রাখো। সত্যি বলতে, এটা করো!!! তোমার পরিবার? তোমার কুকুর? বন্ধুরা? লিখে রাখো। কৃতজ্ঞ থাকো। তোমার হৃদয় খুলে দাও। নিজের জন্য শুভকামনা জানাও। তুমি এটা করতে পারো। আমি এটা করতে পারি। আমরা এটা করতে পারি। আমি সকলের ইচ্ছাশক্তি, শক্তি এবং সংকল্প কামনা করি। এটা দেখতে বা মনে নাও হতে পারে, কিন্তু আমরা একসাথে এই পরিস্থিতিতে আছি। অনেক মানুষ এটা জয় করেছে, এবং আমরা এটা করতে পারি। আরও ভালো জীবনযাপন করো। সহজ জিনিস উপভোগ করো এবং সবচেয়ে গুরুত্বপূর্ণ হলো, অন্তরের শান্তি অনুভব করা। এগুলো আমার মতামত!!! আমি চাই না কেউ ভাবুক যে আমি আমার সত্যকে কারো মুখে চাপা দেওয়ার চেষ্টা করছি। আশা করি এটা সাহায্য করবে। ঈশ্বর তোমাকে ভালোবাসেন!!!!</v>
      </c>
    </row>
    <row r="572" spans="1:3" ht="15" x14ac:dyDescent="0.25">
      <c r="A572" s="3" t="s">
        <v>573</v>
      </c>
      <c r="B572" s="3" t="s">
        <v>4</v>
      </c>
      <c r="C572" s="4" t="str">
        <f ca="1">IFERROR(__xludf.DUMMYFUNCTION("GOOGLETRANSLATE(A572, ""auto"", ""bn"")"),"আমার মনে হয়েছিল এটা কোন আসক্তি নিয়ে কথা বলার একটা উপায়? তবুও আমি দেখেছি অনেক মানুষ গাঁজা আসক্তদের অবৈধ ঘোষণা করে। আপনি আক্ষরিক অর্থেই যেকোনো কিছুর প্রতি আসক্ত হতে পারেন। যখন কেউ সাহায্যের জন্য মুখ খুলতে বা সাহায্যের জন্য এগিয়ে আসার চেষ্টা করছে তখন নিপীড়"&amp;"ন অলিম্পিক খেলা ঠিক নয়। আমি এখানে সমর্থন বা স্বাগত বোধ করি না।")</f>
        <v>আমার মনে হয়েছিল এটা কোন আসক্তি নিয়ে কথা বলার একটা উপায়? তবুও আমি দেখেছি অনেক মানুষ গাঁজা আসক্তদের অবৈধ ঘোষণা করে। আপনি আক্ষরিক অর্থেই যেকোনো কিছুর প্রতি আসক্ত হতে পারেন। যখন কেউ সাহায্যের জন্য মুখ খুলতে বা সাহায্যের জন্য এগিয়ে আসার চেষ্টা করছে তখন নিপীড়ন অলিম্পিক খেলা ঠিক নয়। আমি এখানে সমর্থন বা স্বাগত বোধ করি না।</v>
      </c>
    </row>
    <row r="573" spans="1:3" ht="15" x14ac:dyDescent="0.25">
      <c r="A573" s="3" t="s">
        <v>574</v>
      </c>
      <c r="B573" s="3" t="s">
        <v>4</v>
      </c>
      <c r="C573" s="4" t="str">
        <f ca="1">IFERROR(__xludf.DUMMYFUNCTION("GOOGLETRANSLATE(A573, ""auto"", ""bn"")"),"সম্প্রতি আমি এটা করা বন্ধ করে দিয়েছি কারণ একজন উন্মত্ত সহকর্মীর চাপের কারণে আমি কাজকে নরক করে তুলছি এবং আমি এগুলোকে হাতের মুঠোয় রাখতে চাই না কারণ আমি আসলে আমার জ্ঞান হারানোর কাছাকাছি। পরিস্থিতি যথেষ্ট উদ্বেগের কারণ, কিন্তু আমি ভাবছি যে এত ঘন ঘন এই সময় "&amp;"কাটানোর ফলে কি আমার মেজাজ খারাপ হতে পারে এবং চিন্তাভাবনাও খারাপ হতে পারে।")</f>
        <v>সম্প্রতি আমি এটা করা বন্ধ করে দিয়েছি কারণ একজন উন্মত্ত সহকর্মীর চাপের কারণে আমি কাজকে নরক করে তুলছি এবং আমি এগুলোকে হাতের মুঠোয় রাখতে চাই না কারণ আমি আসলে আমার জ্ঞান হারানোর কাছাকাছি। পরিস্থিতি যথেষ্ট উদ্বেগের কারণ, কিন্তু আমি ভাবছি যে এত ঘন ঘন এই সময় কাটানোর ফলে কি আমার মেজাজ খারাপ হতে পারে এবং চিন্তাভাবনাও খারাপ হতে পারে।</v>
      </c>
    </row>
    <row r="574" spans="1:3" ht="15" x14ac:dyDescent="0.25">
      <c r="A574" s="3" t="s">
        <v>575</v>
      </c>
      <c r="B574" s="3" t="s">
        <v>4</v>
      </c>
      <c r="C574" s="4" t="str">
        <f ca="1">IFERROR(__xludf.DUMMYFUNCTION("GOOGLETRANSLATE(A574, ""auto"", ""bn"")"),"সত্যি বলতে, আমি শুধু মানুষের চিন্তাভাবনা, মতামত এবং অভিজ্ঞতা শুনতে চাই। যেমন, আপনি কি গাঁজার প্রতি আসক্ত হতে পারেন, এই ধরণের জিনিস।")</f>
        <v>সত্যি বলতে, আমি শুধু মানুষের চিন্তাভাবনা, মতামত এবং অভিজ্ঞতা শুনতে চাই। যেমন, আপনি কি গাঁজার প্রতি আসক্ত হতে পারেন, এই ধরণের জিনিস।</v>
      </c>
    </row>
    <row r="575" spans="1:3" ht="15" x14ac:dyDescent="0.25">
      <c r="A575" s="3" t="s">
        <v>576</v>
      </c>
      <c r="B575" s="3" t="s">
        <v>4</v>
      </c>
      <c r="C575" s="4" t="str">
        <f ca="1">IFERROR(__xludf.DUMMYFUNCTION("GOOGLETRANSLATE(A575, ""auto"", ""bn"")"),"আমি আসক্তি সম্পর্কিত বই পড়তে সত্যিই আগ্রহী, সম্প্রতি শেষ করা আমার পছন্দের কয়েকটি বইয়ের একটি ছোট সংকলন তৈরি করেছি। কেউ যদি আরও কিছু সুপারিশ করতে পারেন, তাহলে দারুন হত! Undoing Drugs - Maia Salacity ক্ষতি হ্রাস সম্পর্কে এটি কতটা অন্তর্দৃষ্টিপূর্ণ তা নিয়ে আম"&amp;"ি এই বইটির প্রশংসা করতেও রাজি নই। এটি ক্ষতি হ্রাসের ইতিহাস (১৯৭০-বর্তমান) এবং এর মধ্যে ঘটে যাওয়া সমস্ত দুর্নীতি, কলঙ্ক, যন্ত্রণা এবং যন্ত্রণাকে তুলে ধরে। এটি ক্ষতি হ্রাসের দৃশ্যের প্রধান খেলোয়াড়দের এবং আসক্তদের জন্য একটি উন্নত ভবিষ্যতের কাছাকাছি নিয়ে "&amp;"আসা ঐতিহাসিক মুহূর্তগুলিকে তুলে ধরে। তদুপরি, এটি এখনও বিদ্যমান প্রধান সমস্যাগুলি তুলে ধরে এবং বিশ্বব্যাপী ব্যবহৃত ক্ষতি হ্রাসের অন্যান্য বিকল্পগুলির উদাহরণ প্রদান করে।")</f>
        <v>আমি আসক্তি সম্পর্কিত বই পড়তে সত্যিই আগ্রহী, সম্প্রতি শেষ করা আমার পছন্দের কয়েকটি বইয়ের একটি ছোট সংকলন তৈরি করেছি। কেউ যদি আরও কিছু সুপারিশ করতে পারেন, তাহলে দারুন হত! Undoing Drugs - Maia Salacity ক্ষতি হ্রাস সম্পর্কে এটি কতটা অন্তর্দৃষ্টিপূর্ণ তা নিয়ে আমি এই বইটির প্রশংসা করতেও রাজি নই। এটি ক্ষতি হ্রাসের ইতিহাস (১৯৭০-বর্তমান) এবং এর মধ্যে ঘটে যাওয়া সমস্ত দুর্নীতি, কলঙ্ক, যন্ত্রণা এবং যন্ত্রণাকে তুলে ধরে। এটি ক্ষতি হ্রাসের দৃশ্যের প্রধান খেলোয়াড়দের এবং আসক্তদের জন্য একটি উন্নত ভবিষ্যতের কাছাকাছি নিয়ে আসা ঐতিহাসিক মুহূর্তগুলিকে তুলে ধরে। তদুপরি, এটি এখনও বিদ্যমান প্রধান সমস্যাগুলি তুলে ধরে এবং বিশ্বব্যাপী ব্যবহৃত ক্ষতি হ্রাসের অন্যান্য বিকল্পগুলির উদাহরণ প্রদান করে।</v>
      </c>
    </row>
    <row r="576" spans="1:3" ht="15" x14ac:dyDescent="0.25">
      <c r="A576" s="3" t="s">
        <v>577</v>
      </c>
      <c r="B576" s="3" t="s">
        <v>4</v>
      </c>
      <c r="C576" s="4" t="str">
        <f ca="1">IFERROR(__xludf.DUMMYFUNCTION("GOOGLETRANSLATE(A576, ""auto"", ""bn"")"),"আমি যদি গাঁজা ব্যবহার করি, তাহলে কি আমি এখনও সুস্থ থাকি? আমার পছন্দের ওষুধ হল হেরোইন, অ্যালকোহলও একটি বড় সমস্যা, এবং আমি ৩+ মাস ধরে সেগুলি ব্যবহার করিনি, তবে আমি গাঁজা ব্যবহার করেছি। আমার মনে হয় এটি না থাকলে আমি এখনই আবার আসক্ত হয়ে পড়তাম, কিন্তু যদি আ"&amp;"মি এখনও নেশাগ্রস্ত থাকি তবে আমি যদি এটিকে সুস্থ থাকার জন্য গণ্য করতে পারি তবে আমি বুঝতে পারছি না।")</f>
        <v>আমি যদি গাঁজা ব্যবহার করি, তাহলে কি আমি এখনও সুস্থ থাকি? আমার পছন্দের ওষুধ হল হেরোইন, অ্যালকোহলও একটি বড় সমস্যা, এবং আমি ৩+ মাস ধরে সেগুলি ব্যবহার করিনি, তবে আমি গাঁজা ব্যবহার করেছি। আমার মনে হয় এটি না থাকলে আমি এখনই আবার আসক্ত হয়ে পড়তাম, কিন্তু যদি আমি এখনও নেশাগ্রস্ত থাকি তবে আমি যদি এটিকে সুস্থ থাকার জন্য গণ্য করতে পারি তবে আমি বুঝতে পারছি না।</v>
      </c>
    </row>
    <row r="577" spans="1:3" ht="15" x14ac:dyDescent="0.25">
      <c r="A577" s="3" t="s">
        <v>577</v>
      </c>
      <c r="B577" s="3" t="s">
        <v>4</v>
      </c>
      <c r="C577" s="4" t="str">
        <f ca="1">IFERROR(__xludf.DUMMYFUNCTION("GOOGLETRANSLATE(A577, ""auto"", ""bn"")"),"আমি যদি গাঁজা ব্যবহার করি, তাহলে কি আমি এখনও সুস্থ থাকি? আমার পছন্দের ওষুধ হল হেরোইন, অ্যালকোহলও একটি বড় সমস্যা, এবং আমি ৩+ মাস ধরে সেগুলি ব্যবহার করিনি, তবে আমি গাঁজা ব্যবহার করেছি। আমার মনে হয় এটি না থাকলে আমি এখনই আবার আসক্ত হয়ে পড়তাম, কিন্তু যদি আ"&amp;"মি এখনও নেশাগ্রস্ত থাকি তবে আমি যদি এটিকে সুস্থ থাকার জন্য গণ্য করতে পারি তবে আমি বুঝতে পারছি না।")</f>
        <v>আমি যদি গাঁজা ব্যবহার করি, তাহলে কি আমি এখনও সুস্থ থাকি? আমার পছন্দের ওষুধ হল হেরোইন, অ্যালকোহলও একটি বড় সমস্যা, এবং আমি ৩+ মাস ধরে সেগুলি ব্যবহার করিনি, তবে আমি গাঁজা ব্যবহার করেছি। আমার মনে হয় এটি না থাকলে আমি এখনই আবার আসক্ত হয়ে পড়তাম, কিন্তু যদি আমি এখনও নেশাগ্রস্ত থাকি তবে আমি যদি এটিকে সুস্থ থাকার জন্য গণ্য করতে পারি তবে আমি বুঝতে পারছি না।</v>
      </c>
    </row>
    <row r="578" spans="1:3" ht="15" x14ac:dyDescent="0.25">
      <c r="A578" s="3" t="s">
        <v>578</v>
      </c>
      <c r="B578" s="3" t="s">
        <v>4</v>
      </c>
      <c r="C578" s="4" t="str">
        <f ca="1">IFERROR(__xludf.DUMMYFUNCTION("GOOGLETRANSLATE(A578, ""auto"", ""bn"")"),"১০ বছর ধরে পরিষ্কার। যদি তোমার কথা বলার প্রয়োজন হয়, আমি সবসময় এখানে আছি। ১০ বছর পরিষ্কার এবং এটা একটা রোলার কোস্টার ছিল। যদি কারো সাথে কথা বলার প্রয়োজন হয়, আমি এখানে আছি। আমি কখনোই তোমার গলায় সংযম চেপে রাখার চেষ্টা করব না বরং সহানুভূতিশীল হব। জীবন দ্রুতগত"&amp;"িতে উন্নত হয়েছে, নিখুঁত নয়, তবুও ঝড়-ঝাপটা ঘটে। কাউন্সেলিংয়ের মাধ্যমে আমি এটিকে আরও ভালোভাবে মোকাবেলা করি। আসক্তি একটি রোগ এবং তাদের চিকিৎসা করা প্রয়োজন, আসক্তদের একটি বড় অংশ ""দ্বৈত রোগ নির্ণয়"" এর জন্য দায়ী? মানে তাদের কিছু অন্তর্নিহিত মানসিক সমস্যা আ"&amp;"ছে। তাদের আসক্তির পেছনে যে সমস্যাটি অবদান রাখে তা হল বাইপোলার ডিসঅর্ডার। তাই আমি জানি যদি কারো সহানুভূতিশীল কান বা কথা বলার জন্য কারো প্রয়োজন হয়, তাহলে আবার লড়াই করা কেমন হয়। আমি সবসময় এখানে আছি, শুধু আমাকে আঘাত করো।")</f>
        <v>১০ বছর ধরে পরিষ্কার। যদি তোমার কথা বলার প্রয়োজন হয়, আমি সবসময় এখানে আছি। ১০ বছর পরিষ্কার এবং এটা একটা রোলার কোস্টার ছিল। যদি কারো সাথে কথা বলার প্রয়োজন হয়, আমি এখানে আছি। আমি কখনোই তোমার গলায় সংযম চেপে রাখার চেষ্টা করব না বরং সহানুভূতিশীল হব। জীবন দ্রুতগতিতে উন্নত হয়েছে, নিখুঁত নয়, তবুও ঝড়-ঝাপটা ঘটে। কাউন্সেলিংয়ের মাধ্যমে আমি এটিকে আরও ভালোভাবে মোকাবেলা করি। আসক্তি একটি রোগ এবং তাদের চিকিৎসা করা প্রয়োজন, আসক্তদের একটি বড় অংশ "দ্বৈত রোগ নির্ণয়" এর জন্য দায়ী? মানে তাদের কিছু অন্তর্নিহিত মানসিক সমস্যা আছে। তাদের আসক্তির পেছনে যে সমস্যাটি অবদান রাখে তা হল বাইপোলার ডিসঅর্ডার। তাই আমি জানি যদি কারো সহানুভূতিশীল কান বা কথা বলার জন্য কারো প্রয়োজন হয়, তাহলে আবার লড়াই করা কেমন হয়। আমি সবসময় এখানে আছি, শুধু আমাকে আঘাত করো।</v>
      </c>
    </row>
    <row r="579" spans="1:3" ht="15" x14ac:dyDescent="0.25">
      <c r="A579" s="3" t="s">
        <v>579</v>
      </c>
      <c r="B579" s="3" t="s">
        <v>4</v>
      </c>
      <c r="C579" s="4" t="str">
        <f ca="1">IFERROR(__xludf.DUMMYFUNCTION("GOOGLETRANSLATE(A579, ""auto"", ""bn"")"),"আমার শেষ ব্যবহারের পর থেকে প্রায় ৪৮ ঘন্টা বাকি। আমি প্রায় এক বছর ধরে ব্যবহার করছি। আমার মাথাব্যথা, ঠান্ডা লাগা, এবং খুব খিটখিটে। তাছাড়া, আমি খুব বেশি ব্যবহার করিনি, প্রতি রাতে প্রায় ২০ মিলিগ্রাম, তবে আমি অবশ্যই তা অনুভব করছি। পরামর্শ, টিপস, উৎসাহ ইত্যা"&amp;"দির জন্য এখানে পোস্ট করেছি কারণ মাত্র ১ জন IRL জানে যে আমি ব্যবহার করছি।")</f>
        <v>আমার শেষ ব্যবহারের পর থেকে প্রায় ৪৮ ঘন্টা বাকি। আমি প্রায় এক বছর ধরে ব্যবহার করছি। আমার মাথাব্যথা, ঠান্ডা লাগা, এবং খুব খিটখিটে। তাছাড়া, আমি খুব বেশি ব্যবহার করিনি, প্রতি রাতে প্রায় ২০ মিলিগ্রাম, তবে আমি অবশ্যই তা অনুভব করছি। পরামর্শ, টিপস, উৎসাহ ইত্যাদির জন্য এখানে পোস্ট করেছি কারণ মাত্র ১ জন IRL জানে যে আমি ব্যবহার করছি।</v>
      </c>
    </row>
    <row r="580" spans="1:3" ht="15" x14ac:dyDescent="0.25">
      <c r="A580" s="3" t="s">
        <v>580</v>
      </c>
      <c r="B580" s="3" t="s">
        <v>4</v>
      </c>
      <c r="C580" s="4" t="str">
        <f ca="1">IFERROR(__xludf.DUMMYFUNCTION("GOOGLETRANSLATE(A580, ""auto"", ""bn"")"),"এই মুহূর্তে আমার মাথা খারাপ? রাতের মাঝখানে? আমি শান্ত নই, কিন্তু এটাই মনে হচ্ছে একমাত্র সময় যখন আমি জানি কী করতে হবে?? কেউ কি কথা বলতে চাইবে? আমি এখন আমার মাথা খারাপ এবং সত্যিই যে কারোর প্রশংসা করব!..")</f>
        <v>এই মুহূর্তে আমার মাথা খারাপ? রাতের মাঝখানে? আমি শান্ত নই, কিন্তু এটাই মনে হচ্ছে একমাত্র সময় যখন আমি জানি কী করতে হবে?? কেউ কি কথা বলতে চাইবে? আমি এখন আমার মাথা খারাপ এবং সত্যিই যে কারোর প্রশংসা করব!..</v>
      </c>
    </row>
    <row r="581" spans="1:3" ht="15" x14ac:dyDescent="0.25">
      <c r="A581" s="3" t="s">
        <v>581</v>
      </c>
      <c r="B581" s="3" t="s">
        <v>4</v>
      </c>
      <c r="C581" s="4" t="str">
        <f ca="1">IFERROR(__xludf.DUMMYFUNCTION("GOOGLETRANSLATE(A581, ""auto"", ""bn"")"),"পর্ন আসক্তি আমার কামশক্তিকে নষ্ট করে দিচ্ছে এবং ফলস্বরূপ আমার জীবন এবং মেজাজের উপর মারাত্মক প্রভাব ফেলছে। আমি আজ থেকেই শুরু করতে যাচ্ছি। আর নয়। আমার জন্য এটা করা দরকার। ৯০ দিন এবং তারও বেশি সময় ধরে চেষ্টা করছি! দয়া করে কেউ, নিয়মিত আমার খোঁজ নিন। আমি আগে"&amp;"ও ত্যাগ করার চেষ্টা করেছি, কিন্তু বারবার ব্যর্থ হচ্ছি।")</f>
        <v>পর্ন আসক্তি আমার কামশক্তিকে নষ্ট করে দিচ্ছে এবং ফলস্বরূপ আমার জীবন এবং মেজাজের উপর মারাত্মক প্রভাব ফেলছে। আমি আজ থেকেই শুরু করতে যাচ্ছি। আর নয়। আমার জন্য এটা করা দরকার। ৯০ দিন এবং তারও বেশি সময় ধরে চেষ্টা করছি! দয়া করে কেউ, নিয়মিত আমার খোঁজ নিন। আমি আগেও ত্যাগ করার চেষ্টা করেছি, কিন্তু বারবার ব্যর্থ হচ্ছি।</v>
      </c>
    </row>
    <row r="582" spans="1:3" ht="15" x14ac:dyDescent="0.25">
      <c r="A582" s="3" t="s">
        <v>582</v>
      </c>
      <c r="B582" s="3" t="s">
        <v>4</v>
      </c>
      <c r="C582" s="4" t="str">
        <f ca="1">IFERROR(__xludf.DUMMYFUNCTION("GOOGLETRANSLATE(A582, ""auto"", ""bn"")"),"আজ দুই সপ্তাহ ধরে গাঁজা ছাড়া। কয়েক ঘন্টা আগে পর্যন্ত আমার শরীরটা খুব ভালোই ছিল, কিন্তু এখন হঠাৎ করেই আমার তৃষ্ণা বেড়ে যাচ্ছে এবং আমি বুঝতে পারছি না কী করব এবং আমাকে সমর্থন করার জন্য বা কথা বলার জন্য কেউ নেই। আমি এই গুরুতর বাজে কথা জানি এবং আমার এর কোনও"&amp;" প্রয়োজন নেই, আরও যোগ করে যে আমি ভেঙে পড়েছি এবং সত্যিই এটি বহন করতে পারছি না, কিন্তু আমি আমার অ্যাপার্টমেন্টে ঘুরে ঘুরে সেই চিন্তাভাবনাগুলিকে তাড়িয়ে দেওয়ার চেষ্টা করছি, এবং তারা আরও শক্তিশালী হয়ে উঠছে যেন WTF আসলে আমার সাথে ভুল করছে।")</f>
        <v>আজ দুই সপ্তাহ ধরে গাঁজা ছাড়া। কয়েক ঘন্টা আগে পর্যন্ত আমার শরীরটা খুব ভালোই ছিল, কিন্তু এখন হঠাৎ করেই আমার তৃষ্ণা বেড়ে যাচ্ছে এবং আমি বুঝতে পারছি না কী করব এবং আমাকে সমর্থন করার জন্য বা কথা বলার জন্য কেউ নেই। আমি এই গুরুতর বাজে কথা জানি এবং আমার এর কোনও প্রয়োজন নেই, আরও যোগ করে যে আমি ভেঙে পড়েছি এবং সত্যিই এটি বহন করতে পারছি না, কিন্তু আমি আমার অ্যাপার্টমেন্টে ঘুরে ঘুরে সেই চিন্তাভাবনাগুলিকে তাড়িয়ে দেওয়ার চেষ্টা করছি, এবং তারা আরও শক্তিশালী হয়ে উঠছে যেন WTF আসলে আমার সাথে ভুল করছে।</v>
      </c>
    </row>
    <row r="583" spans="1:3" ht="15" x14ac:dyDescent="0.25">
      <c r="A583" s="3" t="s">
        <v>583</v>
      </c>
      <c r="B583" s="3" t="s">
        <v>4</v>
      </c>
      <c r="C583" s="4" t="str">
        <f ca="1">IFERROR(__xludf.DUMMYFUNCTION("GOOGLETRANSLATE(A583, ""auto"", ""bn"")"),"কয়েক সপ্তাহ ধরে ঘুম আসছে না, তবুও ঘুম আসছে না, আর আমার মনে হচ্ছে আমার ঘুম ভেঙে যাবে... কোন পরামর্শ? আর তুমি বলার আগে- হ্যাঁ, আমি জানি একটা অ্যাডজাস্টমেন্ট পিরিয়ড আছে যা কিছুটা সময় নিতে পারে এবং হ্যাঁ, আমি জানি আমার মস্তিষ্কের সুস্থ হওয়া দরকার- এটা সাহ"&amp;"ায্যকারী নয়। আমারও ঘুম দরকার, আমার মনে হচ্ছে আমি পাগল হয়ে যাচ্ছি :/")</f>
        <v>কয়েক সপ্তাহ ধরে ঘুম আসছে না, তবুও ঘুম আসছে না, আর আমার মনে হচ্ছে আমার ঘুম ভেঙে যাবে... কোন পরামর্শ? আর তুমি বলার আগে- হ্যাঁ, আমি জানি একটা অ্যাডজাস্টমেন্ট পিরিয়ড আছে যা কিছুটা সময় নিতে পারে এবং হ্যাঁ, আমি জানি আমার মস্তিষ্কের সুস্থ হওয়া দরকার- এটা সাহায্যকারী নয়। আমারও ঘুম দরকার, আমার মনে হচ্ছে আমি পাগল হয়ে যাচ্ছি :/</v>
      </c>
    </row>
    <row r="584" spans="1:3" ht="15" x14ac:dyDescent="0.25">
      <c r="A584" s="3" t="s">
        <v>584</v>
      </c>
      <c r="B584" s="3" t="s">
        <v>4</v>
      </c>
      <c r="C584" s="4" t="str">
        <f ca="1">IFERROR(__xludf.DUMMYFUNCTION("GOOGLETRANSLATE(A584, ""auto"", ""bn"")"),"আমার ছেলে (২৭) ১১ দিন আগে আমার (৪৮ মিটার) বাড়িতে এসেছিল এবং আমার বাবা-মা (৮২) এবং আমার মেয়ে (১৯) এর সাথে এখানে থাকতে শুরু করে। আজ সকালে আমি এবং আমার মেয়ে দোকানে গিয়েছিলাম এবং যখন আমরা বাড়ি ফিরেছিলাম তখন সে টয়লেট সিটে মেথ দেখতে পেয়েছিল। এটি সম্পর্কে"&amp;" তার মুখোমুখি হওয়ার সর্বোত্তম পদক্ষেপ কী হবে, অথবা আপনি কী করেছেন?")</f>
        <v>আমার ছেলে (২৭) ১১ দিন আগে আমার (৪৮ মিটার) বাড়িতে এসেছিল এবং আমার বাবা-মা (৮২) এবং আমার মেয়ে (১৯) এর সাথে এখানে থাকতে শুরু করে। আজ সকালে আমি এবং আমার মেয়ে দোকানে গিয়েছিলাম এবং যখন আমরা বাড়ি ফিরেছিলাম তখন সে টয়লেট সিটে মেথ দেখতে পেয়েছিল। এটি সম্পর্কে তার মুখোমুখি হওয়ার সর্বোত্তম পদক্ষেপ কী হবে, অথবা আপনি কী করেছেন?</v>
      </c>
    </row>
    <row r="585" spans="1:3" ht="15" x14ac:dyDescent="0.25">
      <c r="A585" s="3" t="s">
        <v>585</v>
      </c>
      <c r="B585" s="3" t="s">
        <v>4</v>
      </c>
      <c r="C585" s="4" t="str">
        <f ca="1">IFERROR(__xludf.DUMMYFUNCTION("GOOGLETRANSLATE(A585, ""auto"", ""bn"")"),"আমি ৩ বছর ধরে খুব, খুব বেশি কোকেনের প্রতি আসক্ত ছিলাম। দুই বছর আগে আমি ৩ মাস কোকেন ছাড়াই ছিলাম কিন্তু তারপর আবার ফিরে আসি। তাছাড়া, আমি অন্যদের জন্য শান্ত থাকার চেষ্টা করতাম কিন্তু সবসময় আবার আসতাম। ৬ মাস আগে আমি সিদ্ধান্ত নিয়েছিলাম যে আমি নিজের জন্য শ"&amp;"ান্ত থাকতে চাই এবং সাহায্য পেতে চাই। এই ৬ মাসে, আমি আমার জীবনকে একত্রিত করেছি, সম্পর্ক মেরামত করেছি এবং বুঝতে পেরেছি যে আমি নিজেকে শান্ত থাকতে এবং শান্ত থাকতে ভালোবাসি। গত সপ্তাহে আমি আমার চাকরি হারিয়েছি, এবং অনেক কিছু চলছে, তাই আমি অনিচ্ছা সত্ত্বেও আবার"&amp;" আঘাত পেয়েছিলাম এবং একটু বাঁক নিয়েছিলাম। আমার মনে হচ্ছে আমি ঠিক যেখানে ছিলাম সেখানেই আছি এবং আমার পরিণতিগুলি শান্তভাবে মোকাবেলা করতে ভয় পাচ্ছি। আমি নিজেকে নিরাময় এবং সংশোধন করতে অনেক সময় ব্যয় করেছি এবং আমার মনে হচ্ছে আমি যা কিছু করেছি তার বিরুদ্ধে গ"&amp;"িয়েছিলাম। কিছু পছন্দ এবং ঘটনা আপনার নিয়ন্ত্রণে নেই কিন্তু এটি ছিল, এবং আমি সম্পূর্ণরূপে একটি এড়ানো যায় এমন ভুল করেছি। আমিই সমস্যা।")</f>
        <v>আমি ৩ বছর ধরে খুব, খুব বেশি কোকেনের প্রতি আসক্ত ছিলাম। দুই বছর আগে আমি ৩ মাস কোকেন ছাড়াই ছিলাম কিন্তু তারপর আবার ফিরে আসি। তাছাড়া, আমি অন্যদের জন্য শান্ত থাকার চেষ্টা করতাম কিন্তু সবসময় আবার আসতাম। ৬ মাস আগে আমি সিদ্ধান্ত নিয়েছিলাম যে আমি নিজের জন্য শান্ত থাকতে চাই এবং সাহায্য পেতে চাই। এই ৬ মাসে, আমি আমার জীবনকে একত্রিত করেছি, সম্পর্ক মেরামত করেছি এবং বুঝতে পেরেছি যে আমি নিজেকে শান্ত থাকতে এবং শান্ত থাকতে ভালোবাসি। গত সপ্তাহে আমি আমার চাকরি হারিয়েছি, এবং অনেক কিছু চলছে, তাই আমি অনিচ্ছা সত্ত্বেও আবার আঘাত পেয়েছিলাম এবং একটু বাঁক নিয়েছিলাম। আমার মনে হচ্ছে আমি ঠিক যেখানে ছিলাম সেখানেই আছি এবং আমার পরিণতিগুলি শান্তভাবে মোকাবেলা করতে ভয় পাচ্ছি। আমি নিজেকে নিরাময় এবং সংশোধন করতে অনেক সময় ব্যয় করেছি এবং আমার মনে হচ্ছে আমি যা কিছু করেছি তার বিরুদ্ধে গিয়েছিলাম। কিছু পছন্দ এবং ঘটনা আপনার নিয়ন্ত্রণে নেই কিন্তু এটি ছিল, এবং আমি সম্পূর্ণরূপে একটি এড়ানো যায় এমন ভুল করেছি। আমিই সমস্যা।</v>
      </c>
    </row>
    <row r="586" spans="1:3" ht="15" x14ac:dyDescent="0.25">
      <c r="A586" s="3" t="s">
        <v>586</v>
      </c>
      <c r="B586" s="3" t="s">
        <v>4</v>
      </c>
      <c r="C586" s="4" t="str">
        <f ca="1">IFERROR(__xludf.DUMMYFUNCTION("GOOGLETRANSLATE(A586, ""auto"", ""bn"")"),"বং লিখে রাখছি অনেকদিন ধরে পাঠক, প্রথমবারের মতো পোস্টার... আমার সঙ্গী দিনে ১০ থেকে ২০ বং খাওয়ার অভ্যাস ত্যাগ করার চেষ্টা করছে এবং আমি যতটা সম্ভব তাকে সাহায্য করতে চাই এবং এই ডিটক্স পিরিয়ডের মধ্য দিয়ে যেতে চাই। আমাদের কাছে ঘুমের ট্যাবলেটের একটি স্ক্রিপ্ট"&amp;" আছে, তবে অন্য কোনও পরামর্শ পেলে স্বাগত জানানো হবে।")</f>
        <v>বং লিখে রাখছি অনেকদিন ধরে পাঠক, প্রথমবারের মতো পোস্টার... আমার সঙ্গী দিনে ১০ থেকে ২০ বং খাওয়ার অভ্যাস ত্যাগ করার চেষ্টা করছে এবং আমি যতটা সম্ভব তাকে সাহায্য করতে চাই এবং এই ডিটক্স পিরিয়ডের মধ্য দিয়ে যেতে চাই। আমাদের কাছে ঘুমের ট্যাবলেটের একটি স্ক্রিপ্ট আছে, তবে অন্য কোনও পরামর্শ পেলে স্বাগত জানানো হবে।</v>
      </c>
    </row>
    <row r="587" spans="1:3" ht="15" x14ac:dyDescent="0.25">
      <c r="A587" s="3" t="s">
        <v>587</v>
      </c>
      <c r="B587" s="3" t="s">
        <v>4</v>
      </c>
      <c r="C587" s="4" t="str">
        <f ca="1">IFERROR(__xludf.DUMMYFUNCTION("GOOGLETRANSLATE(A587, ""auto"", ""bn"")"),"তো, আমি এইমাত্র অ্যামাজন প্রাইমে এই সিনেমাটি দেখেছি এবং সিনেমার প্রতিটি খুঁটিনাটি আমি বুঝতে পারছি। আমার প্রাক্তন স্বামী একজন মাদকাসক্ত, এবং নিক কীভাবে তার আসক্তির বিরুদ্ধে লড়াই করে তার প্রতিটি আচরণ আমি দেখেছি। পুনরায় নেশা, কিছুটা সংযত হওয়া এবং তারপর আব"&amp;"ার নেশা করা, চক্র এবং সবকিছু। এটা নরকের মতো!! আমি সত্যিই এই সিনেমাটি পছন্দ করি, এবং টিমোথি চালামেট হলেন প্রেম।")</f>
        <v>তো, আমি এইমাত্র অ্যামাজন প্রাইমে এই সিনেমাটি দেখেছি এবং সিনেমার প্রতিটি খুঁটিনাটি আমি বুঝতে পারছি। আমার প্রাক্তন স্বামী একজন মাদকাসক্ত, এবং নিক কীভাবে তার আসক্তির বিরুদ্ধে লড়াই করে তার প্রতিটি আচরণ আমি দেখেছি। পুনরায় নেশা, কিছুটা সংযত হওয়া এবং তারপর আবার নেশা করা, চক্র এবং সবকিছু। এটা নরকের মতো!! আমি সত্যিই এই সিনেমাটি পছন্দ করি, এবং টিমোথি চালামেট হলেন প্রেম।</v>
      </c>
    </row>
    <row r="588" spans="1:3" ht="15" x14ac:dyDescent="0.25">
      <c r="A588" s="3" t="s">
        <v>588</v>
      </c>
      <c r="B588" s="3" t="s">
        <v>4</v>
      </c>
      <c r="C588" s="4" t="str">
        <f ca="1">IFERROR(__xludf.DUMMYFUNCTION("GOOGLETRANSLATE(A588, ""auto"", ""bn"")"),"অ্যাড্রেনালিন আসক্তি মোকাবেলার কৌশল? আমি আমার সেরোটোনিন এবং ডোপামিনের মাত্রা ছাড়া অন্য কিছুতে আসক্ত নই। আমি কিছু করি যাতে আমি কিছুটা অ্যাড্রেনালিন পেতে পারি কারণ আমি খালি থাকি। কেউ কীভাবে এর সাথে বাঁচতে শিখবে? মোকাবিলা করার পদ্ধতি / কৌশল খুঁজছি।")</f>
        <v>অ্যাড্রেনালিন আসক্তি মোকাবেলার কৌশল? আমি আমার সেরোটোনিন এবং ডোপামিনের মাত্রা ছাড়া অন্য কিছুতে আসক্ত নই। আমি কিছু করি যাতে আমি কিছুটা অ্যাড্রেনালিন পেতে পারি কারণ আমি খালি থাকি। কেউ কীভাবে এর সাথে বাঁচতে শিখবে? মোকাবিলা করার পদ্ধতি / কৌশল খুঁজছি।</v>
      </c>
    </row>
    <row r="589" spans="1:3" ht="15" x14ac:dyDescent="0.25">
      <c r="A589" s="3" t="s">
        <v>589</v>
      </c>
      <c r="B589" s="3" t="s">
        <v>4</v>
      </c>
      <c r="C589" s="4" t="str">
        <f ca="1">IFERROR(__xludf.DUMMYFUNCTION("GOOGLETRANSLATE(A589, ""auto"", ""bn"")"),"তাদের গল্প শেয়ার করতে আগ্রহী এমন লোকদের খুঁজছি। হে বন্ধু, আমি রেডিটে নতুন, এবং আমি শীঘ্রই একটি পডকাস্টও শুরু করছি। মাদকাসক্তির সাথে তাদের সংগ্রাম সম্পর্কে সাক্ষাৎকার নেওয়ার জন্য আমি একজন অতিথি খুঁজছি। যদি কেউ আগ্রহী হন তবে আমাকে ব্যক্তিগত বার্তা পাঠান।")</f>
        <v>তাদের গল্প শেয়ার করতে আগ্রহী এমন লোকদের খুঁজছি। হে বন্ধু, আমি রেডিটে নতুন, এবং আমি শীঘ্রই একটি পডকাস্টও শুরু করছি। মাদকাসক্তির সাথে তাদের সংগ্রাম সম্পর্কে সাক্ষাৎকার নেওয়ার জন্য আমি একজন অতিথি খুঁজছি। যদি কেউ আগ্রহী হন তবে আমাকে ব্যক্তিগত বার্তা পাঠান।</v>
      </c>
    </row>
    <row r="590" spans="1:3" ht="15" x14ac:dyDescent="0.25">
      <c r="A590" s="3" t="s">
        <v>590</v>
      </c>
      <c r="B590" s="3" t="s">
        <v>4</v>
      </c>
      <c r="C590" s="4" t="str">
        <f ca="1">IFERROR(__xludf.DUMMYFUNCTION("GOOGLETRANSLATE(A590, ""auto"", ""bn"")"),"অ্যাম্ফিটামিন এবং পর্ন এই খরগোশের গর্তে নামার জন্য আর কার কষ্ট হচ্ছে? যতই চেষ্টা করি না কেন, আমি থামতে পারছি না। মেথ আমার উপর আঁকড়ে ধরে আছে।")</f>
        <v>অ্যাম্ফিটামিন এবং পর্ন এই খরগোশের গর্তে নামার জন্য আর কার কষ্ট হচ্ছে? যতই চেষ্টা করি না কেন, আমি থামতে পারছি না। মেথ আমার উপর আঁকড়ে ধরে আছে।</v>
      </c>
    </row>
    <row r="591" spans="1:3" ht="15" x14ac:dyDescent="0.25">
      <c r="A591" s="3" t="s">
        <v>591</v>
      </c>
      <c r="B591" s="3" t="s">
        <v>4</v>
      </c>
      <c r="C591" s="4" t="str">
        <f ca="1">IFERROR(__xludf.DUMMYFUNCTION("GOOGLETRANSLATE(A591, ""auto"", ""bn"")"),"আজ রাতে আমার প্রায় ঘুম ভেঙে যায়। আজ রাতে আমার খুব ধূমপান করতে ইচ্ছে করছে। কেন ধূমপান করি, তা আমার জানা নেই। আমি শুধু সেই ঘণ্টা বাজতে চাই। ধূমপানের লোভের কারণে আমি মানসিক চাপে ভুগি এবং ধূমপানের কথা ভাবতে ভাবতে শারীরিক অস্বস্তিও বোধ করি কারণ আমার সবসময় মনে"&amp;" হয় পুলিশ প্রতিবারই আমার পিছনে লেগে আছে। তাই এটা লোভ, অস্বস্তি, ভারী হৃদস্পন্দন এবং চাপের এক অদ্ভুত আড্ডা। আমি শুধু ঘণ্টা বাজতে চাই এবং আমি চাই এটা ঠিক হোক। আমি যেতে চাই এবং এটা করতে চাই এবং এটা কোনও বড় ব্যাপার না। এটা বোকামি। ঈশ্বরের করুণা, এটা ন্যায্য"&amp;" নয়। যাই হোক। আমি মূলত হেরোইন আসক্ত কিন্তু আমি মেথাডোন গ্রহণ করছি (ধীরে ধীরে কমছি)। আমি অর্ধেক ডোপ এবং দুই ডাব বেস গ্রহণ করতে যাচ্ছিলাম। চুষলে আমি সত্যিই দোষী এবং রেগে যেতাম। যাই হোক।")</f>
        <v>আজ রাতে আমার প্রায় ঘুম ভেঙে যায়। আজ রাতে আমার খুব ধূমপান করতে ইচ্ছে করছে। কেন ধূমপান করি, তা আমার জানা নেই। আমি শুধু সেই ঘণ্টা বাজতে চাই। ধূমপানের লোভের কারণে আমি মানসিক চাপে ভুগি এবং ধূমপানের কথা ভাবতে ভাবতে শারীরিক অস্বস্তিও বোধ করি কারণ আমার সবসময় মনে হয় পুলিশ প্রতিবারই আমার পিছনে লেগে আছে। তাই এটা লোভ, অস্বস্তি, ভারী হৃদস্পন্দন এবং চাপের এক অদ্ভুত আড্ডা। আমি শুধু ঘণ্টা বাজতে চাই এবং আমি চাই এটা ঠিক হোক। আমি যেতে চাই এবং এটা করতে চাই এবং এটা কোনও বড় ব্যাপার না। এটা বোকামি। ঈশ্বরের করুণা, এটা ন্যায্য নয়। যাই হোক। আমি মূলত হেরোইন আসক্ত কিন্তু আমি মেথাডোন গ্রহণ করছি (ধীরে ধীরে কমছি)। আমি অর্ধেক ডোপ এবং দুই ডাব বেস গ্রহণ করতে যাচ্ছিলাম। চুষলে আমি সত্যিই দোষী এবং রেগে যেতাম। যাই হোক।</v>
      </c>
    </row>
    <row r="592" spans="1:3" ht="15" x14ac:dyDescent="0.25">
      <c r="A592" s="3" t="s">
        <v>592</v>
      </c>
      <c r="B592" s="3" t="s">
        <v>4</v>
      </c>
      <c r="C592" s="4" t="str">
        <f ca="1">IFERROR(__xludf.DUMMYFUNCTION("GOOGLETRANSLATE(A592, ""auto"", ""bn"")"),"আমি ১৮ বছরেরও বেশি সময় ধরে ধূমপান করছি, দিনে-রাতে। আমার বয়স ৩২ বছর এবং আমি একজন রাঁধুনি হিসেবে কাজ করি। তাছাড়া, আমি এখন ৪ দিন ধরে সিগারেট বা নিকোটিন ছাড়াই আছি এবং আমার ভয় করছে। তাছাড়া, আমি ৮ম দিনে অনেক লোকের বারবার অসুস্থ হওয়ার গল্প শুনেছি। তাছাড়া"&amp;", আমি জানি যদি আমি এই প্রচেষ্টা ব্যর্থ করি তবে এটি ""অপচয়"" হবে না কিন্তু... আমার জীবনে কখনও এত হতাশ বোধ করিনি। তাছাড়া, ""প্রয়োজন"" থেকে মুক্তি পেতে আমি সারাদিন ছোট ছোট শসা এবং টমেটোর টুকরো খাই - এটি ঠিক কাজ করে। তাছাড়া, আমি নিজেকে অনেক লোভনীয় পরিস্থ"&amp;"িতির মুখোমুখি করেছি যেখানে অনেক ট্রিগার এবং আমার চারপাশে লোকেরা ধূমপান করছে কিন্তু দৃঢ় থেকেছি। তাছাড়া, আমি নিজেকে নিয়ে গর্বিত। মানুষ ব্যর্থ হলে কীভাবে মোকাবেলা করে? এটা সত্যিই আমাকে বাজে অনুভূতি দেবে। আমি জানি ব্যর্থ হওয়া ঠিক আছে কিন্তু অনুভূতিটি নিজে"&amp;"ই চলে যায় না, তাই না? এটি এতটা ""লক্ষ্য"" না করতে আমার কতক্ষণ সময় লাগে? সিগারেট হারিয়ে গেছে।")</f>
        <v>আমি ১৮ বছরেরও বেশি সময় ধরে ধূমপান করছি, দিনে-রাতে। আমার বয়স ৩২ বছর এবং আমি একজন রাঁধুনি হিসেবে কাজ করি। তাছাড়া, আমি এখন ৪ দিন ধরে সিগারেট বা নিকোটিন ছাড়াই আছি এবং আমার ভয় করছে। তাছাড়া, আমি ৮ম দিনে অনেক লোকের বারবার অসুস্থ হওয়ার গল্প শুনেছি। তাছাড়া, আমি জানি যদি আমি এই প্রচেষ্টা ব্যর্থ করি তবে এটি "অপচয়" হবে না কিন্তু... আমার জীবনে কখনও এত হতাশ বোধ করিনি। তাছাড়া, "প্রয়োজন" থেকে মুক্তি পেতে আমি সারাদিন ছোট ছোট শসা এবং টমেটোর টুকরো খাই - এটি ঠিক কাজ করে। তাছাড়া, আমি নিজেকে অনেক লোভনীয় পরিস্থিতির মুখোমুখি করেছি যেখানে অনেক ট্রিগার এবং আমার চারপাশে লোকেরা ধূমপান করছে কিন্তু দৃঢ় থেকেছি। তাছাড়া, আমি নিজেকে নিয়ে গর্বিত। মানুষ ব্যর্থ হলে কীভাবে মোকাবেলা করে? এটা সত্যিই আমাকে বাজে অনুভূতি দেবে। আমি জানি ব্যর্থ হওয়া ঠিক আছে কিন্তু অনুভূতিটি নিজেই চলে যায় না, তাই না? এটি এতটা "লক্ষ্য" না করতে আমার কতক্ষণ সময় লাগে? সিগারেট হারিয়ে গেছে।</v>
      </c>
    </row>
    <row r="593" spans="1:3" ht="15" x14ac:dyDescent="0.25">
      <c r="A593" s="3" t="s">
        <v>593</v>
      </c>
      <c r="B593" s="3" t="s">
        <v>4</v>
      </c>
      <c r="C593" s="4" t="str">
        <f ca="1">IFERROR(__xludf.DUMMYFUNCTION("GOOGLETRANSLATE(A593, ""auto"", ""bn"")"),"৯ মাস পর আমার এক পুরনো বন্ধু আবার মাদকের দিকে ঝুঁকে পড়ে। এখন সে চলে গেছে। আমি আসক্তিকে ঘৃণা করি। আমি চাই আরও বেশি লোক এটি নিয়ে কথা বলুক। তাছাড়া, আমি চাই এটিকে কলঙ্কিত করা হোক। আর আমি চাই না যে কেউ এটি করুক। মাদকের কারণে বন্ধু হারানোর যন্ত্রণায় আমি বিরক"&amp;"্ত।")</f>
        <v>৯ মাস পর আমার এক পুরনো বন্ধু আবার মাদকের দিকে ঝুঁকে পড়ে। এখন সে চলে গেছে। আমি আসক্তিকে ঘৃণা করি। আমি চাই আরও বেশি লোক এটি নিয়ে কথা বলুক। তাছাড়া, আমি চাই এটিকে কলঙ্কিত করা হোক। আর আমি চাই না যে কেউ এটি করুক। মাদকের কারণে বন্ধু হারানোর যন্ত্রণায় আমি বিরক্ত।</v>
      </c>
    </row>
    <row r="594" spans="1:3" ht="15" x14ac:dyDescent="0.25">
      <c r="A594" s="3" t="s">
        <v>594</v>
      </c>
      <c r="B594" s="3" t="s">
        <v>4</v>
      </c>
      <c r="C594" s="4" t="str">
        <f ca="1">IFERROR(__xludf.DUMMYFUNCTION("GOOGLETRANSLATE(A594, ""auto"", ""bn"")"),"মাসের শুরুতে আমি তৃতীয়বারের মতো ডিটক্স করেছি। আমি একজন আফিম ব্যবহারকারী। কিন্তু গত ৭ বছর ধরে আমি মেথাডোন সেবন করছি। কিছু একটা ঘটেছিল, এবং আমি মেথাডোনকে দোষ দিয়েছিলাম এবং এটি গ্রহণ বন্ধ করে দিয়ে আবার ব্যবহার শুরু করেছিলাম কারণ মেথাডোন ডিটক্স একটি খারাপ "&amp;"জিনিস। আমি কয়েক মাস ধরে আমার বিষ্ঠা ধরে রেখেছিলাম। কেউ জানত না। তারপর আমার কাজ এক সপ্তাহের জন্য বন্ধ হয়ে যায়। টাকা নেই, ওষুধ নেই। তাই ২ দিন এত অসুস্থ থাকার পর, আমি ৩রা জানুয়ারী ডিটক্স করতে যাই। প্রথম কয়েক দিন খুব কমই মনে আছে এবং যখন আমি বেরিয়ে আসি ত"&amp;"খন আমার ঠিক মনে হচ্ছিল না। আমি পানিশূন্যতা এবং ক্ষুধার্ত হয়ে পড়েছিলাম এবং ঘুম থেকে বঞ্চিত হয়েছিলাম। অসুস্থ হওয়ার বা ঘুমানোর দিন থেকে আমি সত্যিই কিছু খাইনি বা পান করিনি। শেষ পর্যন্ত ষষ্ঠ দিনে ডিটক্স ছেড়ে দিয়ে সঠিক কাজটি করার চেষ্টা করেছিলাম যা আমি পু"&amp;"নর্বাসনে গিয়েছিলাম। আমি যাওয়ার আগে পুরো ৩ দিন ধরে ছিলাম। প্রথম পুনর্বাসন এবং এটি ছিল ভয়াবহ। কিন্তু সেই সময়ে আমি প্রথম অসুস্থ হওয়ার পর থেকে রাতে এক বা দুই ঘন্টার বেশি ঘুমাইনি। ডিটক্সের আগে থেকে এখনও কিছু খাইনি এবং নিজেকে অন্তত একটু পান করতে বাধ্য করতে"&amp;" হয়েছিল। আমার কোনও প্রেরণা ছিল না। তাই আমি নিজেকে বলতে শুরু করলাম যে আমার শুধু ঘুমের প্রয়োজন। তাই আমি বাড়ি চলে গেলাম। কারণ আমার মানসিক ঘড়ি বন্ধ থাকে, এবং দিনের বেলায় আমি আরও ভালো ঘুমাই, সবসময়ই। কিছু কাজ করতে হয়েছিল, কিন্তু আমি আমার মাকে রাজি করিয়ে"&amp;"ছিলাম আমাকে যেতে দিতে। আমি বাড়িতে গিয়েছিলাম এবং আসলে খেয়ে কয়েক ঘন্টা ঘুমাতে পেরেছিলাম। পরের দিন আমার এখনও খারাপ লাগছিল। ভেবেছিলাম এটা প্রত্যাশিত। আমার ঘুমের ঋণ বিশাল, এবং আমি জানি ঘুম নিয়মিত হওয়ার আগে একটি সামঞ্জস্যের সময়কাল থাকে। কিন্তু আমি ভেবেছি"&amp;"লাম যে আমি যে শূন্যতা অনুভব করছিলাম, কুয়াশা অন্তত কিছুটা কমে যেত... তাই আমি একটু গবেষণা করেছি যে আসক্তদের মধ্যে ডোপামিন স্বাভাবিকভাবে আবার মুক্তি পেতে কত সময় লাগে। হ্যাঁ, যদি আমি এটি না করতাম। 3 মাস হল কম চিহ্ন। যারা দীর্ঘ সময় ধরে ব্যবহার করেন তাদের জন"&amp;"্য এক বছরেরও বেশি সময় লাগতে পারে। আমি একজন কঠোর মাদারফাকার। অনেক কিছুর মধ্য দিয়ে গেছি। আমার বয়সী কারো জন্য অনেক বেশি। কিন্তু এটা। আমি যা অনুভব করছি তার প্রতি এই উদাসীনতা? এটা আমার জীবনে যা যা হয়েছে তার থেকে আলাদা। বাড়ি ফেরার পর থেকে আমি সোফায় শুয়ে "&amp;"আছি। মা যদি আমাকে না খেতে দিতেন, তাহলে আমি নিজেও খেতে পারতাম না। আমি এখনও ঘুমাতে পারছি না এবং সত্যি বলতে, বাড়ি ফেরার পর থেকে আমি গোসলও করিনি। কিছু করার কোনও প্রেরণা নেই। কিছুই না। যতবার তুমি নিজেকে খাও, কিছু পান করো, নিজের যত্ন নেওয়ার জন্য কিছু করো, তোম"&amp;"ার মস্তিষ্ক তোমাকে ডোপামিনের একটি হিট দেয় যা আচরণকে আরও শক্তিশালী করে। তুমি কি জানো?? কারণ আমি জানতাম না। আমি অন্যভাবে কাজ করতাম। অন্তত মেথাডোন ফিরে এসো এবং ধীরে ধীরে তা ছেড়ে দাও, আমি মনে করি। আমি জানি না, কিন্তু এটা নিশ্চিত যে এটা এমন হত না। কিন্তু আমা"&amp;"র মা আমাকে আবার মেথাডোন দিতে চান না। সত্যিই আমি কিছুতেই থাকতে চাই না, কিন্তু এই শূন্যতা ছাড়া আমি ক্লান্ত। আমি এভাবে বাঁচতে পারি না। আমার শরীর আর কোন ধরণের আফিম ছাড়া কীভাবে কাজ করতে হয় তা জানে না। এটা খুবই ভয়াবহ। বসে আমার হৃদস্পন্দন 90-এ। ঘুমাতে পারছি "&amp;"না। আর সব রকমের বাজে জিনিস। কিন্তু তুমি জানো কি, আমি আমার শরীরের ভয়াবহতা সামলাতে পারি। যেমনটা আমি বলেছিলাম, আমি শক্ত। কিন্তু যখন আর কোনও কিছুর জন্য বা কোনও কিছুর জন্য তুমি এটা কিভাবে সামলাবে? আমার মন, আমার সত্তার অস্তিত্ব ভেঙে গেছে। যদি তুমি কখনও তা অনুভব"&amp;" না করে থাকো, তাহলে অনুভূতি বোঝার কোন উপায় নেই। এটা হতাশার মতো নয় যেখানে একটা নিস্তেজ ব্যথা থাকে। পৃষ্ঠের নীচের ব্যথা যা তোমার আগ্রহ, প্রেরণা, জীবনের প্রতি তোমার ইচ্ছাশক্তি কেড়ে নেয়। আমি আমার জীবনের বেশিরভাগ সময় হতাশায় ছিলাম এবং যদি আমি এটি ফিরে না "&amp;"চাই তবে আমি চুপ করে থাকব। শুধু কিছু অনুভব করার জন্য। যেকোনো কিছু। ব্যথা। রাগ, দুঃখ। এমনকি হতাশা। আমি এগুলোর যেকোনো একটি অনুভব করার জন্য মরে যাব। ভালো অনুভূতি এখন কেবল একটি স্বপ্ন। সবচেয়ে খারাপ দিক হল, আমার শেষ চাকরিতে আমার জন্য একটি বেতন এবং কিছু টিপস অপ"&amp;"েক্ষা করছে। আমি ব্যবহার করতে চাই না, কিন্তু আমি জানি না আমার বুকের মাঝখানে এই শূন্যতা আমি কতক্ষণ সামলাতে পারব। আমি শুধু কিছু অনুভব করতে চাই। তাছাড়া, আমি সবসময়ই এত আবেগপ্রবণ এবং উদ্যমী ছিলাম যে, নিজেকে নিজের মতো অনুভব করতে চাই। আমার শরীরে অপরিচিত নয়। আমি জ"&amp;"ানি এটা অনেক দিন ধরে চলছে, আর যদি তুমি আমার সাথে থেকে থাকো তাহলে আমি কৃতজ্ঞ থাকবো। কিন্তু আমি এমন একজনকে খুঁজছি যে আমার এখনকার পরিস্থিতির মধ্য দিয়ে গেছে। আমার জানা দরকার যে এর মধ্য দিয়ে যাওয়া সম্ভব। কারণ, আমি জানি না যে এর থেকে আমি কতটা ভালো অনুভব করেছি। "&amp;"আমার কেবল এমন একজনের কাছ থেকে উৎসাহ এবং বোঝাপড়া দরকার যে সত্যিই বোঝে যে এটি কতটা ভয়াবহ।")</f>
        <v>মাসের শুরুতে আমি তৃতীয়বারের মতো ডিটক্স করেছি। আমি একজন আফিম ব্যবহারকারী। কিন্তু গত ৭ বছর ধরে আমি মেথাডোন সেবন করছি। কিছু একটা ঘটেছিল, এবং আমি মেথাডোনকে দোষ দিয়েছিলাম এবং এটি গ্রহণ বন্ধ করে দিয়ে আবার ব্যবহার শুরু করেছিলাম কারণ মেথাডোন ডিটক্স একটি খারাপ জিনিস। আমি কয়েক মাস ধরে আমার বিষ্ঠা ধরে রেখেছিলাম। কেউ জানত না। তারপর আমার কাজ এক সপ্তাহের জন্য বন্ধ হয়ে যায়। টাকা নেই, ওষুধ নেই। তাই ২ দিন এত অসুস্থ থাকার পর, আমি ৩রা জানুয়ারী ডিটক্স করতে যাই। প্রথম কয়েক দিন খুব কমই মনে আছে এবং যখন আমি বেরিয়ে আসি তখন আমার ঠিক মনে হচ্ছিল না। আমি পানিশূন্যতা এবং ক্ষুধার্ত হয়ে পড়েছিলাম এবং ঘুম থেকে বঞ্চিত হয়েছিলাম। অসুস্থ হওয়ার বা ঘুমানোর দিন থেকে আমি সত্যিই কিছু খাইনি বা পান করিনি। শেষ পর্যন্ত ষষ্ঠ দিনে ডিটক্স ছেড়ে দিয়ে সঠিক কাজটি করার চেষ্টা করেছিলাম যা আমি পুনর্বাসনে গিয়েছিলাম। আমি যাওয়ার আগে পুরো ৩ দিন ধরে ছিলাম। প্রথম পুনর্বাসন এবং এটি ছিল ভয়াবহ। কিন্তু সেই সময়ে আমি প্রথম অসুস্থ হওয়ার পর থেকে রাতে এক বা দুই ঘন্টার বেশি ঘুমাইনি। ডিটক্সের আগে থেকে এখনও কিছু খাইনি এবং নিজেকে অন্তত একটু পান করতে বাধ্য করতে হয়েছিল। আমার কোনও প্রেরণা ছিল না। তাই আমি নিজেকে বলতে শুরু করলাম যে আমার শুধু ঘুমের প্রয়োজন। তাই আমি বাড়ি চলে গেলাম। কারণ আমার মানসিক ঘড়ি বন্ধ থাকে, এবং দিনের বেলায় আমি আরও ভালো ঘুমাই, সবসময়ই। কিছু কাজ করতে হয়েছিল, কিন্তু আমি আমার মাকে রাজি করিয়েছিলাম আমাকে যেতে দিতে। আমি বাড়িতে গিয়েছিলাম এবং আসলে খেয়ে কয়েক ঘন্টা ঘুমাতে পেরেছিলাম। পরের দিন আমার এখনও খারাপ লাগছিল। ভেবেছিলাম এটা প্রত্যাশিত। আমার ঘুমের ঋণ বিশাল, এবং আমি জানি ঘুম নিয়মিত হওয়ার আগে একটি সামঞ্জস্যের সময়কাল থাকে। কিন্তু আমি ভেবেছিলাম যে আমি যে শূন্যতা অনুভব করছিলাম, কুয়াশা অন্তত কিছুটা কমে যেত... তাই আমি একটু গবেষণা করেছি যে আসক্তদের মধ্যে ডোপামিন স্বাভাবিকভাবে আবার মুক্তি পেতে কত সময় লাগে। হ্যাঁ, যদি আমি এটি না করতাম। 3 মাস হল কম চিহ্ন। যারা দীর্ঘ সময় ধরে ব্যবহার করেন তাদের জন্য এক বছরেরও বেশি সময় লাগতে পারে। আমি একজন কঠোর মাদারফাকার। অনেক কিছুর মধ্য দিয়ে গেছি। আমার বয়সী কারো জন্য অনেক বেশি। কিন্তু এটা। আমি যা অনুভব করছি তার প্রতি এই উদাসীনতা? এটা আমার জীবনে যা যা হয়েছে তার থেকে আলাদা। বাড়ি ফেরার পর থেকে আমি সোফায় শুয়ে আছি। মা যদি আমাকে না খেতে দিতেন, তাহলে আমি নিজেও খেতে পারতাম না। আমি এখনও ঘুমাতে পারছি না এবং সত্যি বলতে, বাড়ি ফেরার পর থেকে আমি গোসলও করিনি। কিছু করার কোনও প্রেরণা নেই। কিছুই না। যতবার তুমি নিজেকে খাও, কিছু পান করো, নিজের যত্ন নেওয়ার জন্য কিছু করো, তোমার মস্তিষ্ক তোমাকে ডোপামিনের একটি হিট দেয় যা আচরণকে আরও শক্তিশালী করে। তুমি কি জানো?? কারণ আমি জানতাম না। আমি অন্যভাবে কাজ করতাম। অন্তত মেথাডোন ফিরে এসো এবং ধীরে ধীরে তা ছেড়ে দাও, আমি মনে করি। আমি জানি না, কিন্তু এটা নিশ্চিত যে এটা এমন হত না। কিন্তু আমার মা আমাকে আবার মেথাডোন দিতে চান না। সত্যিই আমি কিছুতেই থাকতে চাই না, কিন্তু এই শূন্যতা ছাড়া আমি ক্লান্ত। আমি এভাবে বাঁচতে পারি না। আমার শরীর আর কোন ধরণের আফিম ছাড়া কীভাবে কাজ করতে হয় তা জানে না। এটা খুবই ভয়াবহ। বসে আমার হৃদস্পন্দন 90-এ। ঘুমাতে পারছি না। আর সব রকমের বাজে জিনিস। কিন্তু তুমি জানো কি, আমি আমার শরীরের ভয়াবহতা সামলাতে পারি। যেমনটা আমি বলেছিলাম, আমি শক্ত। কিন্তু যখন আর কোনও কিছুর জন্য বা কোনও কিছুর জন্য তুমি এটা কিভাবে সামলাবে? আমার মন, আমার সত্তার অস্তিত্ব ভেঙে গেছে। যদি তুমি কখনও তা অনুভব না করে থাকো, তাহলে অনুভূতি বোঝার কোন উপায় নেই। এটা হতাশার মতো নয় যেখানে একটা নিস্তেজ ব্যথা থাকে। পৃষ্ঠের নীচের ব্যথা যা তোমার আগ্রহ, প্রেরণা, জীবনের প্রতি তোমার ইচ্ছাশক্তি কেড়ে নেয়। আমি আমার জীবনের বেশিরভাগ সময় হতাশায় ছিলাম এবং যদি আমি এটি ফিরে না চাই তবে আমি চুপ করে থাকব। শুধু কিছু অনুভব করার জন্য। যেকোনো কিছু। ব্যথা। রাগ, দুঃখ। এমনকি হতাশা। আমি এগুলোর যেকোনো একটি অনুভব করার জন্য মরে যাব। ভালো অনুভূতি এখন কেবল একটি স্বপ্ন। সবচেয়ে খারাপ দিক হল, আমার শেষ চাকরিতে আমার জন্য একটি বেতন এবং কিছু টিপস অপেক্ষা করছে। আমি ব্যবহার করতে চাই না, কিন্তু আমি জানি না আমার বুকের মাঝখানে এই শূন্যতা আমি কতক্ষণ সামলাতে পারব। আমি শুধু কিছু অনুভব করতে চাই। তাছাড়া, আমি সবসময়ই এত আবেগপ্রবণ এবং উদ্যমী ছিলাম যে, নিজেকে নিজের মতো অনুভব করতে চাই। আমার শরীরে অপরিচিত নয়। আমি জানি এটা অনেক দিন ধরে চলছে, আর যদি তুমি আমার সাথে থেকে থাকো তাহলে আমি কৃতজ্ঞ থাকবো। কিন্তু আমি এমন একজনকে খুঁজছি যে আমার এখনকার পরিস্থিতির মধ্য দিয়ে গেছে। আমার জানা দরকার যে এর মধ্য দিয়ে যাওয়া সম্ভব। কারণ, আমি জানি না যে এর থেকে আমি কতটা ভালো অনুভব করেছি। আমার কেবল এমন একজনের কাছ থেকে উৎসাহ এবং বোঝাপড়া দরকার যে সত্যিই বোঝে যে এটি কতটা ভয়াবহ।</v>
      </c>
    </row>
    <row r="595" spans="1:3" ht="15" x14ac:dyDescent="0.25">
      <c r="A595" s="3" t="s">
        <v>595</v>
      </c>
      <c r="B595" s="3" t="s">
        <v>4</v>
      </c>
      <c r="C595" s="4" t="str">
        <f ca="1">IFERROR(__xludf.DUMMYFUNCTION("GOOGLETRANSLATE(A595, ""auto"", ""bn"")"),"সারাদিন ধরে আমার যা দরকার, তার আগেই আমি সাহায্য নেওয়ার চেষ্টা করছি। আজ আমার প্রথম দিন একজন বিশেষজ্ঞের সাথে অ্যাপয়েন্টমেন্ট নেওয়ার চেষ্টা করছি। আমার বয়স ২৮ এবং আমি আমার জীবন ফিরে পেতে চাই। যেকোনো কিছুরই প্রশংসা করা হবে।")</f>
        <v>সারাদিন ধরে আমার যা দরকার, তার আগেই আমি সাহায্য নেওয়ার চেষ্টা করছি। আজ আমার প্রথম দিন একজন বিশেষজ্ঞের সাথে অ্যাপয়েন্টমেন্ট নেওয়ার চেষ্টা করছি। আমার বয়স ২৮ এবং আমি আমার জীবন ফিরে পেতে চাই। যেকোনো কিছুরই প্রশংসা করা হবে।</v>
      </c>
    </row>
    <row r="596" spans="1:3" ht="15" x14ac:dyDescent="0.25">
      <c r="A596" s="3" t="s">
        <v>596</v>
      </c>
      <c r="B596" s="3" t="s">
        <v>4</v>
      </c>
      <c r="C596" s="4" t="str">
        <f ca="1">IFERROR(__xludf.DUMMYFUNCTION("GOOGLETRANSLATE(A596, ""auto"", ""bn"")"),"জুয়ার আসক্তি আজ আমি অবশেষে এই লুকানো আসক্তি চিরতরে ত্যাগ করার সিদ্ধান্ত নিয়েছি। আমার সত্যিই মনে হচ্ছে এবার আমি সফল হব। আমি নিজেকে ভাগ্যবান মনে করি যে আমি কোনও সম্পর্ক এবং আমার জীবন নষ্ট করিনি, তাই আমি নিজেকে ধন্য মনে করি যে যদি আমি এখনই ত্যাগ করি তবে আম"&amp;"ি এগিয়ে যেতে পারব।")</f>
        <v>জুয়ার আসক্তি আজ আমি অবশেষে এই লুকানো আসক্তি চিরতরে ত্যাগ করার সিদ্ধান্ত নিয়েছি। আমার সত্যিই মনে হচ্ছে এবার আমি সফল হব। আমি নিজেকে ভাগ্যবান মনে করি যে আমি কোনও সম্পর্ক এবং আমার জীবন নষ্ট করিনি, তাই আমি নিজেকে ধন্য মনে করি যে যদি আমি এখনই ত্যাগ করি তবে আমি এগিয়ে যেতে পারব।</v>
      </c>
    </row>
    <row r="597" spans="1:3" ht="15" x14ac:dyDescent="0.25">
      <c r="A597" s="3" t="s">
        <v>597</v>
      </c>
      <c r="B597" s="3" t="s">
        <v>4</v>
      </c>
      <c r="C597" s="4" t="str">
        <f ca="1">IFERROR(__xludf.DUMMYFUNCTION("GOOGLETRANSLATE(A597, ""auto"", ""bn"")"),"পুনরুদ্ধারের সমস্যা খুঁজছি। আমি একটি সংক্ষিপ্ত রিল্যাপসের পরে আবার সুস্থ হতে চাই এবং আরও কিছু অনলাইন সহায়তা খুঁজছি। আরও সমস্যা থাকলে ভালো হবে, বিশেষ করে সক্রিয় সমস্যাগুলি।")</f>
        <v>পুনরুদ্ধারের সমস্যা খুঁজছি। আমি একটি সংক্ষিপ্ত রিল্যাপসের পরে আবার সুস্থ হতে চাই এবং আরও কিছু অনলাইন সহায়তা খুঁজছি। আরও সমস্যা থাকলে ভালো হবে, বিশেষ করে সক্রিয় সমস্যাগুলি।</v>
      </c>
    </row>
    <row r="598" spans="1:3" ht="15" x14ac:dyDescent="0.25">
      <c r="A598" s="3" t="s">
        <v>598</v>
      </c>
      <c r="B598" s="3" t="s">
        <v>4</v>
      </c>
      <c r="C598" s="4" t="str">
        <f ca="1">IFERROR(__xludf.DUMMYFUNCTION("GOOGLETRANSLATE(A598, ""auto"", ""bn"")"),"কেন আমি অ্যালকোহলে আসক্ত নই? আমার একটা আসক্তিকর ব্যক্তিত্ব আছে। আমি যতগুলো ওষুধ খেয়েছি, তার প্রতিটিরই একটা সমস্যা/আবেগ তৈরি হয়েছে। এটা আগাছা/MDMA/Valium-এর ক্ষেত্রে সত্য (এবং কোকের ক্ষেত্রেও কিছুটা সত্য, যদিও আমি একটু বেশিই এটা খাই অথবা ছেড়ে দেই)। অ্যা"&amp;"লকোহল পান করে আমার বেশ কিছু সময় ভালো কেটেছে এবং এর প্রভাব শক্তিশালী বলে মনে হয়, কিন্তু যদি কেউ আমাকে বলে যে আমি আর কখনও পান করতে পারব না, তাহলে আমার মনে হয় আমি এতটা পরোয়া করব না। এটা কিছুটা লজ্জার কারণ এটি অন্যান্য ওষুধের তুলনায় অনেক বেশি সহজলভ্য এবং"&amp;" সামাজিকভাবে গ্রহণযোগ্য।")</f>
        <v>কেন আমি অ্যালকোহলে আসক্ত নই? আমার একটা আসক্তিকর ব্যক্তিত্ব আছে। আমি যতগুলো ওষুধ খেয়েছি, তার প্রতিটিরই একটা সমস্যা/আবেগ তৈরি হয়েছে। এটা আগাছা/MDMA/Valium-এর ক্ষেত্রে সত্য (এবং কোকের ক্ষেত্রেও কিছুটা সত্য, যদিও আমি একটু বেশিই এটা খাই অথবা ছেড়ে দেই)। অ্যালকোহল পান করে আমার বেশ কিছু সময় ভালো কেটেছে এবং এর প্রভাব শক্তিশালী বলে মনে হয়, কিন্তু যদি কেউ আমাকে বলে যে আমি আর কখনও পান করতে পারব না, তাহলে আমার মনে হয় আমি এতটা পরোয়া করব না। এটা কিছুটা লজ্জার কারণ এটি অন্যান্য ওষুধের তুলনায় অনেক বেশি সহজলভ্য এবং সামাজিকভাবে গ্রহণযোগ্য।</v>
      </c>
    </row>
    <row r="599" spans="1:3" ht="15" x14ac:dyDescent="0.25">
      <c r="A599" s="3" t="s">
        <v>599</v>
      </c>
      <c r="B599" s="3" t="s">
        <v>4</v>
      </c>
      <c r="C599" s="4" t="str">
        <f ca="1">IFERROR(__xludf.DUMMYFUNCTION("GOOGLETRANSLATE(A599, ""auto"", ""bn"")"),"রিহ্যাব বন্ধুদের কাছে ফিরে যেতে হবে, আমি ভেবেছিলাম কোভিডের শুরুতেই আমার স্ত্রী আমাকে ছেড়ে আমার বাচ্চাদের নিয়ে চলে যাবে। প্রায় ১০ বছর আগে আমার প্রথম স্ত্রীর সাথে বিবাহবিচ্ছেদ হওয়ার পর থেকে আমি একজন তীব্র মদ্যপ ছিলাম, এবং বিদ্রূপাত্মকভাবে কারণ সে পুনর্ব"&amp;"াসনে যেতে চাইছিল না? আমরা দুজনেই মাদকাসক্ত ছিলাম, কিন্তু আমি একটি ভালো চাকরি পেয়েছিলাম এবং তাদের দেওয়া এলোমেলো ড্রাগ টেস্টের জন্য সমস্ত বড়ি, কোক, মেথ ছেড়ে দিয়েছিলাম। আমি আসলে বেশ ভালোই ছিলাম। আমাকে এই নতুন চাকরি দিয়ে ডেট্রয়েটে পাঠানো হয়েছিল এবং আম"&amp;"ার প্রাক্তন স্ত্রী বাড়িতেই ছিলেন। বেতনের দিনে একদিন বিকেলে আমি কিছু গ্রাব কিনতে সাবওয়েতে গিয়েছিলাম এবং আমার কার্ডটি প্রত্যাখ্যান করা হয়েছিল। আমার বন্ধু বিলটি তুলেছিল ঈশ্বরের ধন্যবাদ। আমি আমার ব্যাংক অ্যাকাউন্টটি দেখলাম, এবং এটি বন্ধ ছিল এবং হাজার হাজা"&amp;"র নেতিবাচক ছিল। প্রায় হার্ট অ্যাটাক হয়েছিল। আমি যখন বাইরে ছিলাম তখন সে খুশিতে চেক লেখা পেয়েছিল এবং বুম করছিল।")</f>
        <v>রিহ্যাব বন্ধুদের কাছে ফিরে যেতে হবে, আমি ভেবেছিলাম কোভিডের শুরুতেই আমার স্ত্রী আমাকে ছেড়ে আমার বাচ্চাদের নিয়ে চলে যাবে। প্রায় ১০ বছর আগে আমার প্রথম স্ত্রীর সাথে বিবাহবিচ্ছেদ হওয়ার পর থেকে আমি একজন তীব্র মদ্যপ ছিলাম, এবং বিদ্রূপাত্মকভাবে কারণ সে পুনর্বাসনে যেতে চাইছিল না? আমরা দুজনেই মাদকাসক্ত ছিলাম, কিন্তু আমি একটি ভালো চাকরি পেয়েছিলাম এবং তাদের দেওয়া এলোমেলো ড্রাগ টেস্টের জন্য সমস্ত বড়ি, কোক, মেথ ছেড়ে দিয়েছিলাম। আমি আসলে বেশ ভালোই ছিলাম। আমাকে এই নতুন চাকরি দিয়ে ডেট্রয়েটে পাঠানো হয়েছিল এবং আমার প্রাক্তন স্ত্রী বাড়িতেই ছিলেন। বেতনের দিনে একদিন বিকেলে আমি কিছু গ্রাব কিনতে সাবওয়েতে গিয়েছিলাম এবং আমার কার্ডটি প্রত্যাখ্যান করা হয়েছিল। আমার বন্ধু বিলটি তুলেছিল ঈশ্বরের ধন্যবাদ। আমি আমার ব্যাংক অ্যাকাউন্টটি দেখলাম, এবং এটি বন্ধ ছিল এবং হাজার হাজার নেতিবাচক ছিল। প্রায় হার্ট অ্যাটাক হয়েছিল। আমি যখন বাইরে ছিলাম তখন সে খুশিতে চেক লেখা পেয়েছিল এবং বুম করছিল।</v>
      </c>
    </row>
    <row r="600" spans="1:3" ht="15" x14ac:dyDescent="0.25">
      <c r="A600" s="3" t="s">
        <v>600</v>
      </c>
      <c r="B600" s="3" t="s">
        <v>4</v>
      </c>
      <c r="C600" s="4" t="str">
        <f ca="1">IFERROR(__xludf.DUMMYFUNCTION("GOOGLETRANSLATE(A600, ""auto"", ""bn"")"),"আমি সত্যিই আশা করি এই ফোরামে এটি অসংবেদনশীল বা অভদ্র বলে মনে হবে না, তবে আমার পরিস্থিতির সমাধানের জন্য আমি সহায়তা গোষ্ঠী খুঁজে পেতে হিমশিম খাচ্ছি। আমার ৭ বছরের এক সঙ্গী আছে যে আমাদের একসাথে থাকার পুরো সময়টা আসক্তির সাথে লড়াই করেছে। সে আইস, সিগারেট, অ্য"&amp;"ালকোহল, সাইকেডেলিক্স এবং আগাছার প্রতি আসক্ত। সে বর্তমানে আগাছাকে নিয়ন্ত্রণে রাখার পরিবর্তে নিজেকে ধরে রাখার জন্য নিজেকে মারছে। তাছাড়া, সে এর উপরে উঠতে চায় কিন্তু প্রতিবার যখন সে এটি শেষ করে, তার শেষ ৫০ বা কিউ বা যাই হোক না কেন, সে এটি শেষ করে আরও বেশি "&amp;"কিছু পেতে যাবে। তাছাড়া, সে সর্বদা অজুহাত দেখায় যে কেন তাকে এটি পেতে হবে যখন আমি বলি যে যখন তুমি প্রস্তুত থাকবে তখনই তুমি জানতে পারবে। তোমার নিজের সময়ে এটি করো। আমি জানি আমার কথা সত্ত্বেও সে আমার মুখে হতাশা দেখতে পাচ্ছে। আমি এটি লুকানোর জন্য অনেক চেষ্টা "&amp;"করি, কিন্তু সে জানে এটি আমার কাছে আসে এবং এটি তাকে ক্লান্ত করে তোলে। সে এমন এক পর্যায়ে পৌঁছেছে যেখানে যখনই সে আমাকে কোনও অজুহাত দেয় তখন সে আমার উপর রেগে যায়। আমি তাকে বলি, আমাকে বলো না যে তুমি ছেড়ে দিচ্ছ, তাই আমি হতাশ হব না, আর সে এটাকে গাঁজার উপর আক্"&amp;"রমণ হিসেবে দেখে। আমি জানি সে যেভাবেই হোক নরকের মধ্য দিয়ে যাচ্ছে। তাছাড়া, আমি তাকে সমর্থন করার জন্য সেখানে থাকতে চাই এবং তাকে উৎসাহের কথা বলতে চাই, কিন্তু আমি কখনও তার জায়গায় ছিলাম না, তাই আমি সমর্থন এবং চাপের সূক্ষ্ম রেখা অতিক্রম না করার জন্য লড়াই কর"&amp;"ছি। এমন কোন পরামর্শ কি আছে যা কেউ আমাকে তার পাশে থাকতে এবং দ্বন্দ্ব এড়াতে সাহায্য করতে পারে কিন্তু তার আসক্তিকে সমর্থন না করে? এমন কোন বই আমি পড়তে পারি যা আমাকে বুঝতে সাহায্য করবে? আমি চাই না এটি একটি ব্যর্থ কারণ হয়ে উঠুক এবং আমি জানি যে সে এটি করতে পা"&amp;"রে কারণ সে আগেও এটি করেছে। তবে কোনও অদ্ভুত কারণে সে গাঁজার সাথে সবচেয়ে বেশি লড়াই করছে। আমি কীভাবে তাকে আরও শক্তিশালী বোধ করতে সাহায্য করব। আমি সম্পূর্ণ ক্ষতির মধ্যে আছি।")</f>
        <v>আমি সত্যিই আশা করি এই ফোরামে এটি অসংবেদনশীল বা অভদ্র বলে মনে হবে না, তবে আমার পরিস্থিতির সমাধানের জন্য আমি সহায়তা গোষ্ঠী খুঁজে পেতে হিমশিম খাচ্ছি। আমার ৭ বছরের এক সঙ্গী আছে যে আমাদের একসাথে থাকার পুরো সময়টা আসক্তির সাথে লড়াই করেছে। সে আইস, সিগারেট, অ্যালকোহল, সাইকেডেলিক্স এবং আগাছার প্রতি আসক্ত। সে বর্তমানে আগাছাকে নিয়ন্ত্রণে রাখার পরিবর্তে নিজেকে ধরে রাখার জন্য নিজেকে মারছে। তাছাড়া, সে এর উপরে উঠতে চায় কিন্তু প্রতিবার যখন সে এটি শেষ করে, তার শেষ ৫০ বা কিউ বা যাই হোক না কেন, সে এটি শেষ করে আরও বেশি কিছু পেতে যাবে। তাছাড়া, সে সর্বদা অজুহাত দেখায় যে কেন তাকে এটি পেতে হবে যখন আমি বলি যে যখন তুমি প্রস্তুত থাকবে তখনই তুমি জানতে পারবে। তোমার নিজের সময়ে এটি করো। আমি জানি আমার কথা সত্ত্বেও সে আমার মুখে হতাশা দেখতে পাচ্ছে। আমি এটি লুকানোর জন্য অনেক চেষ্টা করি, কিন্তু সে জানে এটি আমার কাছে আসে এবং এটি তাকে ক্লান্ত করে তোলে। সে এমন এক পর্যায়ে পৌঁছেছে যেখানে যখনই সে আমাকে কোনও অজুহাত দেয় তখন সে আমার উপর রেগে যায়। আমি তাকে বলি, আমাকে বলো না যে তুমি ছেড়ে দিচ্ছ, তাই আমি হতাশ হব না, আর সে এটাকে গাঁজার উপর আক্রমণ হিসেবে দেখে। আমি জানি সে যেভাবেই হোক নরকের মধ্য দিয়ে যাচ্ছে। তাছাড়া, আমি তাকে সমর্থন করার জন্য সেখানে থাকতে চাই এবং তাকে উৎসাহের কথা বলতে চাই, কিন্তু আমি কখনও তার জায়গায় ছিলাম না, তাই আমি সমর্থন এবং চাপের সূক্ষ্ম রেখা অতিক্রম না করার জন্য লড়াই করছি। এমন কোন পরামর্শ কি আছে যা কেউ আমাকে তার পাশে থাকতে এবং দ্বন্দ্ব এড়াতে সাহায্য করতে পারে কিন্তু তার আসক্তিকে সমর্থন না করে? এমন কোন বই আমি পড়তে পারি যা আমাকে বুঝতে সাহায্য করবে? আমি চাই না এটি একটি ব্যর্থ কারণ হয়ে উঠুক এবং আমি জানি যে সে এটি করতে পারে কারণ সে আগেও এটি করেছে। তবে কোনও অদ্ভুত কারণে সে গাঁজার সাথে সবচেয়ে বেশি লড়াই করছে। আমি কীভাবে তাকে আরও শক্তিশালী বোধ করতে সাহায্য করব। আমি সম্পূর্ণ ক্ষতির মধ্যে আছি।</v>
      </c>
    </row>
    <row r="601" spans="1:3" ht="15" x14ac:dyDescent="0.25">
      <c r="A601" s="3" t="s">
        <v>601</v>
      </c>
      <c r="B601" s="3" t="s">
        <v>4</v>
      </c>
      <c r="C601" s="4" t="str">
        <f ca="1">IFERROR(__xludf.DUMMYFUNCTION("GOOGLETRANSLATE(A601, ""auto"", ""bn"")"),"(১৯ মিলিয়ন) আমিই প্রথম বলবো যে আমার এটা অন্যদের মতো খারাপ নয়। কিন্তু সম্প্রতি আমার অনেক সমস্যা হচ্ছে। এক বছরেরও বেশি সময় আগে আমি এমন একটা সময়ের মধ্য দিয়ে গিয়েছিলাম যেখানে আমি যা পারা যায় তাই চেষ্টা করতে চেয়েছিলাম। আমি DXM সম্পর্কে জানতে পেরেছিলাম,"&amp;" যদি কেউ জানে এটা কী, এবং প্রথম থেকেই এর প্রেমে পড়ে গিয়েছিলাম এবং ব্যবহার চালিয়ে গিয়েছিলাম এবং আসক্ত হয়ে পড়েছিলাম। আমার সবচেয়ে বেশি সময় ধরে এটি বন্ধ ছিল ৭-৮ মাস। যতবারই বলি না কেন আমি আর কখনও এটা করব না এবং আমি এটা ঘৃণা করি, আমি বারবার এটি ব্যবহার"&amp;" করতে থাকি। আমি আবার এটি ব্যবহার করতে চাই। প্রতিবার যখনই আমি একা বাড়িতে থাকি, আমাকে আমার সর্বোচ্চ চেষ্টা করতে হয় যাতে ঘরে থাকা বোতলটি আমার ঘরে না নিয়ে সেই রাতে এটি না নামিয়ে দেই। আমি সম্প্রতি ধূমপানও ছেড়ে দিয়েছি কারণ এটি সবসময় DXM-এর দিকে পরিচালিত "&amp;"করে। আমার একাংশ এই ওষুধটি পছন্দ করে এবং আমি নেশাগ্রস্ত থাকতে পছন্দ করি।")</f>
        <v>(১৯ মিলিয়ন) আমিই প্রথম বলবো যে আমার এটা অন্যদের মতো খারাপ নয়। কিন্তু সম্প্রতি আমার অনেক সমস্যা হচ্ছে। এক বছরেরও বেশি সময় আগে আমি এমন একটা সময়ের মধ্য দিয়ে গিয়েছিলাম যেখানে আমি যা পারা যায় তাই চেষ্টা করতে চেয়েছিলাম। আমি DXM সম্পর্কে জানতে পেরেছিলাম, যদি কেউ জানে এটা কী, এবং প্রথম থেকেই এর প্রেমে পড়ে গিয়েছিলাম এবং ব্যবহার চালিয়ে গিয়েছিলাম এবং আসক্ত হয়ে পড়েছিলাম। আমার সবচেয়ে বেশি সময় ধরে এটি বন্ধ ছিল ৭-৮ মাস। যতবারই বলি না কেন আমি আর কখনও এটা করব না এবং আমি এটা ঘৃণা করি, আমি বারবার এটি ব্যবহার করতে থাকি। আমি আবার এটি ব্যবহার করতে চাই। প্রতিবার যখনই আমি একা বাড়িতে থাকি, আমাকে আমার সর্বোচ্চ চেষ্টা করতে হয় যাতে ঘরে থাকা বোতলটি আমার ঘরে না নিয়ে সেই রাতে এটি না নামিয়ে দেই। আমি সম্প্রতি ধূমপানও ছেড়ে দিয়েছি কারণ এটি সবসময় DXM-এর দিকে পরিচালিত করে। আমার একাংশ এই ওষুধটি পছন্দ করে এবং আমি নেশাগ্রস্ত থাকতে পছন্দ করি।</v>
      </c>
    </row>
    <row r="602" spans="1:3" ht="15" x14ac:dyDescent="0.25">
      <c r="A602" s="3" t="s">
        <v>602</v>
      </c>
      <c r="B602" s="3" t="s">
        <v>4</v>
      </c>
      <c r="C602" s="4" t="str">
        <f ca="1">IFERROR(__xludf.DUMMYFUNCTION("GOOGLETRANSLATE(A602, ""auto"", ""bn"")"),"আমার সত্যিই কিছু পরামর্শের প্রয়োজন, আমি সম্পূর্ণরূপে হতাশ বোধ করছি এবং আমি জানি না আমি কী করতে পারি। আমার প্রেমিক এবং আমি এক বছরেরও বেশি সময় ধরে একসাথে আছি। তার বয়স ৩৩ এবং আমার বয়স ২৫। আমি ব্যক্তিগতভাবে কখনও কোনও কঠোর ওষুধ গ্রহণ করিনি (আমি কিশোর বয়সে"&amp;" কয়েকবার গাঁজা চেষ্টা করেছিলাম) আমি এটি মোটেও উপভোগ করিনি, তবে আমি শনিবার রাতে বাড়িতে থাকাকালীন এক গ্লাস ওয়াইন খেতে পছন্দ করি এবং বন্ধুদের সাথে বাইরে গেলে পান করি। তবে, সে ১২ বছর বয়স থেকেই গাঁজা ধূমপান করে আসছে, সে বলে যে সে গাঁজার প্রতি আসক্ত নয় তবে"&amp;" সকালে ঘুম থেকে ওঠার সাথে সাথে তার জয়েন্ট থাকে, কর্মক্ষেত্রে দুপুরের খাবারের বিরতি হয় এবং তারপরে সে সন্ধ্যায় কমপক্ষে ৪টি পান করে। ছুটির দিনে সে আরও বেশি ধূমপান করে। সে সপ্তাহে অন্তত একবার কোকেনও খায়, আমার জানা মতে, সে আমাকে বলেছে, তার আগেও কোকেনের সমস্"&amp;"যা আছে, কিন্তু সে চাইলে তা বন্ধও করতে পারে, কিন্তু প্রতি শনিবার রাতে সে অবশ্যই আমরা যখন ঘরে থাকি তখনই কোকেন খায়, যদি তার কিছু অবশিষ্ট থাকে, পরের দিন সকালে ঘুম থেকে উঠে সে তা শুঁকে। সে বললো, এটা সহজ কারণ তাহলে সে পরের রাতে এটা করতে পারবে না। (আমি পরামর্শ দ"&amp;"িয়েছি যদি অবশিষ্ট থাকে তবে তা কেবল ডাস্টবিনে ফেলে দিতে) সে শুধু কাঁধ ঝাঁকিয়ে বললো। আমি অতীতেও তাকে টাকা বোঝাতে চেয়েছিলাম যা সে ফেরত দেয়নি, আমি টাকার ব্যাপারে চিন্তিত নই, বরং আমি এমন অবস্থানে থাকতে চাই না যেখানে আমি তার আসক্তির জন্য অর্থায়ন করছি। সে বল"&amp;"লো যে সে কখনোই গাঁজা ধূমপান বন্ধ করবে না এবং কোকেন সেবন করতে ঘৃণা করে, কিন্তু সে থামবে না (এটা তার নাকের মাঝখানে একটা ছিদ্র করে দিয়েছে) আমি জানি না কী করব, সে এটা নিয়ে খুব ভালো, আমার মনে হয় না সে জানে বা চিন্তা করে যে এটি একটি সমস্যা, আমি তাকে এই বিষয়"&amp;"ে কিছু বলিনি কারণ আমি চাই না যে সে খারাপ বোধ করুক, কিন্তু আমি সম্পূর্ণরূপে বুঝতে পারছি না কী করব। আমার একটা অংশ এটা অনুভব করে কারণ সে মনে করে না যে এটি একটি সমস্যা এবং সে কতগুলি মাদক গ্রহণ করেছে/এটি কি আমাকে ভাবায় যে এটি যতটা খারাপ তা নয়। আমি তার সাথে স"&amp;"ম্পর্ক ছিন্ন করতে চাই না, আমি তাকে সাহায্য করতে চাই আমি জানি না আমার আত্মা এটি গ্রহণ করতে পারবে কিনা।")</f>
        <v>আমার সত্যিই কিছু পরামর্শের প্রয়োজন, আমি সম্পূর্ণরূপে হতাশ বোধ করছি এবং আমি জানি না আমি কী করতে পারি। আমার প্রেমিক এবং আমি এক বছরেরও বেশি সময় ধরে একসাথে আছি। তার বয়স ৩৩ এবং আমার বয়স ২৫। আমি ব্যক্তিগতভাবে কখনও কোনও কঠোর ওষুধ গ্রহণ করিনি (আমি কিশোর বয়সে কয়েকবার গাঁজা চেষ্টা করেছিলাম) আমি এটি মোটেও উপভোগ করিনি, তবে আমি শনিবার রাতে বাড়িতে থাকাকালীন এক গ্লাস ওয়াইন খেতে পছন্দ করি এবং বন্ধুদের সাথে বাইরে গেলে পান করি। তবে, সে ১২ বছর বয়স থেকেই গাঁজা ধূমপান করে আসছে, সে বলে যে সে গাঁজার প্রতি আসক্ত নয় তবে সকালে ঘুম থেকে ওঠার সাথে সাথে তার জয়েন্ট থাকে, কর্মক্ষেত্রে দুপুরের খাবারের বিরতি হয় এবং তারপরে সে সন্ধ্যায় কমপক্ষে ৪টি পান করে। ছুটির দিনে সে আরও বেশি ধূমপান করে। সে সপ্তাহে অন্তত একবার কোকেনও খায়, আমার জানা মতে, সে আমাকে বলেছে, তার আগেও কোকেনের সমস্যা আছে, কিন্তু সে চাইলে তা বন্ধও করতে পারে, কিন্তু প্রতি শনিবার রাতে সে অবশ্যই আমরা যখন ঘরে থাকি তখনই কোকেন খায়, যদি তার কিছু অবশিষ্ট থাকে, পরের দিন সকালে ঘুম থেকে উঠে সে তা শুঁকে। সে বললো, এটা সহজ কারণ তাহলে সে পরের রাতে এটা করতে পারবে না। (আমি পরামর্শ দিয়েছি যদি অবশিষ্ট থাকে তবে তা কেবল ডাস্টবিনে ফেলে দিতে) সে শুধু কাঁধ ঝাঁকিয়ে বললো। আমি অতীতেও তাকে টাকা বোঝাতে চেয়েছিলাম যা সে ফেরত দেয়নি, আমি টাকার ব্যাপারে চিন্তিত নই, বরং আমি এমন অবস্থানে থাকতে চাই না যেখানে আমি তার আসক্তির জন্য অর্থায়ন করছি। সে বললো যে সে কখনোই গাঁজা ধূমপান বন্ধ করবে না এবং কোকেন সেবন করতে ঘৃণা করে, কিন্তু সে থামবে না (এটা তার নাকের মাঝখানে একটা ছিদ্র করে দিয়েছে) আমি জানি না কী করব, সে এটা নিয়ে খুব ভালো, আমার মনে হয় না সে জানে বা চিন্তা করে যে এটি একটি সমস্যা, আমি তাকে এই বিষয়ে কিছু বলিনি কারণ আমি চাই না যে সে খারাপ বোধ করুক, কিন্তু আমি সম্পূর্ণরূপে বুঝতে পারছি না কী করব। আমার একটা অংশ এটা অনুভব করে কারণ সে মনে করে না যে এটি একটি সমস্যা এবং সে কতগুলি মাদক গ্রহণ করেছে/এটি কি আমাকে ভাবায় যে এটি যতটা খারাপ তা নয়। আমি তার সাথে সম্পর্ক ছিন্ন করতে চাই না, আমি তাকে সাহায্য করতে চাই আমি জানি না আমার আত্মা এটি গ্রহণ করতে পারবে কিনা।</v>
      </c>
    </row>
    <row r="603" spans="1:3" ht="15" x14ac:dyDescent="0.25">
      <c r="A603" s="3" t="s">
        <v>603</v>
      </c>
      <c r="B603" s="3" t="s">
        <v>4</v>
      </c>
      <c r="C603" s="4" t="str">
        <f ca="1">IFERROR(__xludf.DUMMYFUNCTION("GOOGLETRANSLATE(A603, ""auto"", ""bn"")"),"আমি মাদক ও ধূমপান ত্যাগ করার চেষ্টা করছি কয়েক মাস ধরে প্রতিদিন গাঁজা ও সিগারেট সেবন করার পর, আমি এটা ছেড়ে দেওয়ার প্রস্তাব দিতে চাই, আমি এই বিষয়ে বিশেষজ্ঞ একজন ব্যক্তির সাথে কথা বলছিলাম, এবং এটি আমাকে বুঝতে সাহায্য করেছিল যে আমি কেবল নিজেকেই নয়, অন্যদ"&amp;"েরও ক্ষতি করছি। আমার বয়স যখন ১৫ বছর ছিল তখন থেকেই সবকিছু শুরু হয়েছিল এবং আমি প্রথমবার গাঁজা চেষ্টা করেছিলাম, এবং মাঝে মাঝে ধূমপান করতাম, কিন্তু প্রায় অর্ধ বছর আগে থেকে আমি প্রতিদিন এটি গ্রহণ শুরু করি, তারপর আমি আরও বেশি ওষুধ ব্যবহার শুরু করি যেমন LSD ম"&amp;"াশরুম Xanax clonazepam cocaine (শুধুমাত্র মাঝে মাঝে আমি এটি প্রায়শই ব্যবহার না করার চেষ্টা করতাম কারণ এটি শেষ পর্যন্ত আমাকে ভয়ঙ্কর বোধ করত) MDMA। এই মাস জুড়ে আমি দুবার ছেড়ে দেওয়ার চেষ্টা করেছি, কিন্তু এটি আমার জন্য খুব কঠিন ছিল, আমি ঘুমাতে পারিনি, এব"&amp;"ং এটি আমাকে কিছুটা চাপের কারণ করে তুলেছিল, মূল কথা হল আমি একদিনও পরিষ্কার থাকতে পারিনি। আমার এই সব ছেড়ে দেওয়ার খুব কম কারণ আছে, প্রথমত, এটি আমার পরিবারের জন্য, কারণ আমার একটি মেয়ের সাথে সমস্যা ছিল যার সাথে আমি ডেট করতাম, সে ছিল সেই ব্যক্তি যিনি আমাকে স"&amp;"াহায্য নেওয়ার চেষ্টা করতে বলেছিলেন।")</f>
        <v>আমি মাদক ও ধূমপান ত্যাগ করার চেষ্টা করছি কয়েক মাস ধরে প্রতিদিন গাঁজা ও সিগারেট সেবন করার পর, আমি এটা ছেড়ে দেওয়ার প্রস্তাব দিতে চাই, আমি এই বিষয়ে বিশেষজ্ঞ একজন ব্যক্তির সাথে কথা বলছিলাম, এবং এটি আমাকে বুঝতে সাহায্য করেছিল যে আমি কেবল নিজেকেই নয়, অন্যদেরও ক্ষতি করছি। আমার বয়স যখন ১৫ বছর ছিল তখন থেকেই সবকিছু শুরু হয়েছিল এবং আমি প্রথমবার গাঁজা চেষ্টা করেছিলাম, এবং মাঝে মাঝে ধূমপান করতাম, কিন্তু প্রায় অর্ধ বছর আগে থেকে আমি প্রতিদিন এটি গ্রহণ শুরু করি, তারপর আমি আরও বেশি ওষুধ ব্যবহার শুরু করি যেমন LSD মাশরুম Xanax clonazepam cocaine (শুধুমাত্র মাঝে মাঝে আমি এটি প্রায়শই ব্যবহার না করার চেষ্টা করতাম কারণ এটি শেষ পর্যন্ত আমাকে ভয়ঙ্কর বোধ করত) MDMA। এই মাস জুড়ে আমি দুবার ছেড়ে দেওয়ার চেষ্টা করেছি, কিন্তু এটি আমার জন্য খুব কঠিন ছিল, আমি ঘুমাতে পারিনি, এবং এটি আমাকে কিছুটা চাপের কারণ করে তুলেছিল, মূল কথা হল আমি একদিনও পরিষ্কার থাকতে পারিনি। আমার এই সব ছেড়ে দেওয়ার খুব কম কারণ আছে, প্রথমত, এটি আমার পরিবারের জন্য, কারণ আমার একটি মেয়ের সাথে সমস্যা ছিল যার সাথে আমি ডেট করতাম, সে ছিল সেই ব্যক্তি যিনি আমাকে সাহায্য নেওয়ার চেষ্টা করতে বলেছিলেন।</v>
      </c>
    </row>
    <row r="604" spans="1:3" ht="15" x14ac:dyDescent="0.25">
      <c r="A604" s="3" t="s">
        <v>604</v>
      </c>
      <c r="B604" s="3" t="s">
        <v>4</v>
      </c>
      <c r="C604" s="4" t="str">
        <f ca="1">IFERROR(__xludf.DUMMYFUNCTION("GOOGLETRANSLATE(A604, ""auto"", ""bn"")"),"এক বছর ধরে একজন প্রাক্তন প্রেমিকের সাথে যোগাযোগ করছি। হ্যালো বন্ধুরা! আমি (২৫ বছর বয়সী) একজন বেনজোডিয়াজেপাইন আসক্ত। এক বছর আগে আমার জীবন সম্পূর্ণ ভেঙে পড়েছিল। আমি এমন একজনের সাথে সম্পর্কে ছিলাম যাকে আমি আমার আত্মার সঙ্গী বলে মনে করি। সে নিজেও খুব শান্ত"&amp;" ছিল, এবং জানত না যে আমি যখন একসাথে ছিলাম তখন আমি মাদক সেবন করছি। এক বছর আগে সে জানতে পেরেছিল এবং আমার সাথে সম্পর্ক ভেঙে ফেলেছিল কারণ সে সক্রিয়ভাবে আসক্ত কারো সাথে থাকতে পারেনি। পিছনে ফিরে তাকালে আমি ১০০% একমত যে তার আমার সাথে সম্পর্ক ভেঙে ফেলা হয়েছে, আ"&amp;"মাকে সঠিক পথে ফিরিয়ে আনতে সেই সম্পর্ক ভেঙে ফেলার প্রয়োজন ছিল। আমি অনেক থেরাপি এবং প্রোগ্রাম করেছি, এবং এখন আমি এক বছর ধরে পরিষ্কার। যেদিন আমরা ব্রেকআপ করেছি সেদিন থেকে আমি আমার প্রাক্তনের কাছ থেকে কিছু শুনিনি। কিন্তু আমি এখনও তাকে ভালোবাসি এবং মনে করি আ"&amp;"মার বন্ধন নেই। আমি স্বীকার করি যে আমার কাজের পরিণতি হয়েছে, কিন্তু আমি তাকে একটি চিঠি লিখতে চাই। আমি চিন্তিত যে আমি আরও ক্ষতি করব, যা আমি শেষ কাজ করতে চাই না। তুমি কি মনে করো আমার কী করা উচিত?")</f>
        <v>এক বছর ধরে একজন প্রাক্তন প্রেমিকের সাথে যোগাযোগ করছি। হ্যালো বন্ধুরা! আমি (২৫ বছর বয়সী) একজন বেনজোডিয়াজেপাইন আসক্ত। এক বছর আগে আমার জীবন সম্পূর্ণ ভেঙে পড়েছিল। আমি এমন একজনের সাথে সম্পর্কে ছিলাম যাকে আমি আমার আত্মার সঙ্গী বলে মনে করি। সে নিজেও খুব শান্ত ছিল, এবং জানত না যে আমি যখন একসাথে ছিলাম তখন আমি মাদক সেবন করছি। এক বছর আগে সে জানতে পেরেছিল এবং আমার সাথে সম্পর্ক ভেঙে ফেলেছিল কারণ সে সক্রিয়ভাবে আসক্ত কারো সাথে থাকতে পারেনি। পিছনে ফিরে তাকালে আমি ১০০% একমত যে তার আমার সাথে সম্পর্ক ভেঙে ফেলা হয়েছে, আমাকে সঠিক পথে ফিরিয়ে আনতে সেই সম্পর্ক ভেঙে ফেলার প্রয়োজন ছিল। আমি অনেক থেরাপি এবং প্রোগ্রাম করেছি, এবং এখন আমি এক বছর ধরে পরিষ্কার। যেদিন আমরা ব্রেকআপ করেছি সেদিন থেকে আমি আমার প্রাক্তনের কাছ থেকে কিছু শুনিনি। কিন্তু আমি এখনও তাকে ভালোবাসি এবং মনে করি আমার বন্ধন নেই। আমি স্বীকার করি যে আমার কাজের পরিণতি হয়েছে, কিন্তু আমি তাকে একটি চিঠি লিখতে চাই। আমি চিন্তিত যে আমি আরও ক্ষতি করব, যা আমি শেষ কাজ করতে চাই না। তুমি কি মনে করো আমার কী করা উচিত?</v>
      </c>
    </row>
    <row r="605" spans="1:3" ht="15" x14ac:dyDescent="0.25">
      <c r="A605" s="3" t="s">
        <v>605</v>
      </c>
      <c r="B605" s="3" t="s">
        <v>4</v>
      </c>
      <c r="C605" s="4" t="str">
        <f ca="1">IFERROR(__xludf.DUMMYFUNCTION("GOOGLETRANSLATE(A605, ""auto"", ""bn"")"),"আমি নেশাগ্রস্ত, আমি না বলতে পারি না, আর যখন জানি এটা আমার জন্য বিপজ্জনক হবে, তখন আমি এমন একটা পর্যায়ে এসে পৌঁছেছিলাম যেখানে সকালে আমি অক্সি আর কোক খাই, এখন আমি নাক ডাকি, আমার একটা বড় সমস্যা আছে, হাসপাতালে ভর্তি বন্ধুরা? আমি রোমে আছি, এখন কেউ কি আসক্তদের"&amp;" সাথে কেমন আচরণ করে?")</f>
        <v>আমি নেশাগ্রস্ত, আমি না বলতে পারি না, আর যখন জানি এটা আমার জন্য বিপজ্জনক হবে, তখন আমি এমন একটা পর্যায়ে এসে পৌঁছেছিলাম যেখানে সকালে আমি অক্সি আর কোক খাই, এখন আমি নাক ডাকি, আমার একটা বড় সমস্যা আছে, হাসপাতালে ভর্তি বন্ধুরা? আমি রোমে আছি, এখন কেউ কি আসক্তদের সাথে কেমন আচরণ করে?</v>
      </c>
    </row>
    <row r="606" spans="1:3" ht="15" x14ac:dyDescent="0.25">
      <c r="A606" s="3" t="s">
        <v>606</v>
      </c>
      <c r="B606" s="3" t="s">
        <v>4</v>
      </c>
      <c r="C606" s="4" t="str">
        <f ca="1">IFERROR(__xludf.DUMMYFUNCTION("GOOGLETRANSLATE(A606, ""auto"", ""bn"")"),"আগাছা আসক্তি (নির্ভরতা) আমি আগাছা আসক্তি সম্পর্কিত কয়েকটি পোস্ট পড়েছি এবং আমি তাদের সাথে একমত যে এটি তোমাদের মধ্যে কেউ কেউ আসক্তির সাথে যে স্তরে মোকাবিলা করে এবং আমি তোমাদের প্রতিদিনের এই আচরণের প্রশংসা করি। আমি আমার আসক্তি বলি কারণ আগাছা আমাকে সাহায্য "&amp;"করে। আমি এতদিন ধরে বিষণ্ণতা এবং উদ্বেগের সাথে এত কঠিন লড়াই করেছি যে আমি ক্রমাগত দুঃখের সাথে অভ্যস্ত হয়ে পড়েছি, এটি কেবল স্বাভাবিক ছিল। কিন্তু ধূমপান শুরু করার পর, এবং আমি জানতে পেরেছিলাম যে আমাকে এত কঠিন সবকিছু ঘৃণা করতে হয়নি। দিনটি কাটানো সহজ হয়ে গে"&amp;"ছে। নতুন চাকরি পাওয়ার কারণে গত ৫ সপ্তাহ ধরে আমাকে থামতে হয়েছে। আমি চিন্তিত যে যখন আমি আমার ড্রাগ পরীক্ষার পরে আবার ধূমপান শুরু করব তখন এটি কেবল একটি আসক্তির মতো অনুভব করবে, তবে একই সাথে আমার মনে হবে এটি আমার জন্যও ভালো।")</f>
        <v>আগাছা আসক্তি (নির্ভরতা) আমি আগাছা আসক্তি সম্পর্কিত কয়েকটি পোস্ট পড়েছি এবং আমি তাদের সাথে একমত যে এটি তোমাদের মধ্যে কেউ কেউ আসক্তির সাথে যে স্তরে মোকাবিলা করে এবং আমি তোমাদের প্রতিদিনের এই আচরণের প্রশংসা করি। আমি আমার আসক্তি বলি কারণ আগাছা আমাকে সাহায্য করে। আমি এতদিন ধরে বিষণ্ণতা এবং উদ্বেগের সাথে এত কঠিন লড়াই করেছি যে আমি ক্রমাগত দুঃখের সাথে অভ্যস্ত হয়ে পড়েছি, এটি কেবল স্বাভাবিক ছিল। কিন্তু ধূমপান শুরু করার পর, এবং আমি জানতে পেরেছিলাম যে আমাকে এত কঠিন সবকিছু ঘৃণা করতে হয়নি। দিনটি কাটানো সহজ হয়ে গেছে। নতুন চাকরি পাওয়ার কারণে গত ৫ সপ্তাহ ধরে আমাকে থামতে হয়েছে। আমি চিন্তিত যে যখন আমি আমার ড্রাগ পরীক্ষার পরে আবার ধূমপান শুরু করব তখন এটি কেবল একটি আসক্তির মতো অনুভব করবে, তবে একই সাথে আমার মনে হবে এটি আমার জন্যও ভালো।</v>
      </c>
    </row>
    <row r="607" spans="1:3" ht="15" x14ac:dyDescent="0.25">
      <c r="A607" s="3" t="s">
        <v>607</v>
      </c>
      <c r="B607" s="3" t="s">
        <v>4</v>
      </c>
      <c r="C607" s="4" t="str">
        <f ca="1">IFERROR(__xludf.DUMMYFUNCTION("GOOGLETRANSLATE(A607, ""auto"", ""bn"")"),"আমি জানি আমার একটা সমস্যা আছে। আমি যখন শান্ত থাকি তখন নিজেকে কীভাবে বোঝাবো? দূরে সরে যাও? আমি নিচে নেমে আসছি কিন্তু অবশেষে আমি কাউকে বলছি, আমি মনে করি Reddit। উফ, তিন বছর আগে আমার এক ভাইবোন এবং আমি একটি কোম্পানি শুরু করেছিলাম এবং একভাবে সফল হয়েছিলাম। আমি"&amp;" আগে কোক খাওয়ার চেষ্টা করেছি কিন্তু শুধুমাত্র সামাজিকভাবে, এখন আমি এক বছর ধরে বলব যে আমি প্রায় প্রতিদিনই এটি করিনি, আমার পরিবার আমার ভাইবোন সঙ্গীর বাইরে জানে না, কিন্তু তারা বিচার করার মতো কেউ নয়। আমি যখন শান্ত থাকি তখন নিজেকে বলি এটা ঠিক আছে, এটা চলে "&amp;"যাবে কিন্তু তারপর আমি পুরো দিন এটি করে কাটাই। আমি কাউকে বলতে পারি না এই ভয়ে যে এটি ছড়িয়ে পড়বে আমি নিজেকে সত্যিই কীভাবে বলতে জানি না।")</f>
        <v>আমি জানি আমার একটা সমস্যা আছে। আমি যখন শান্ত থাকি তখন নিজেকে কীভাবে বোঝাবো? দূরে সরে যাও? আমি নিচে নেমে আসছি কিন্তু অবশেষে আমি কাউকে বলছি, আমি মনে করি Reddit। উফ, তিন বছর আগে আমার এক ভাইবোন এবং আমি একটি কোম্পানি শুরু করেছিলাম এবং একভাবে সফল হয়েছিলাম। আমি আগে কোক খাওয়ার চেষ্টা করেছি কিন্তু শুধুমাত্র সামাজিকভাবে, এখন আমি এক বছর ধরে বলব যে আমি প্রায় প্রতিদিনই এটি করিনি, আমার পরিবার আমার ভাইবোন সঙ্গীর বাইরে জানে না, কিন্তু তারা বিচার করার মতো কেউ নয়। আমি যখন শান্ত থাকি তখন নিজেকে বলি এটা ঠিক আছে, এটা চলে যাবে কিন্তু তারপর আমি পুরো দিন এটি করে কাটাই। আমি কাউকে বলতে পারি না এই ভয়ে যে এটি ছড়িয়ে পড়বে আমি নিজেকে সত্যিই কীভাবে বলতে জানি না।</v>
      </c>
    </row>
    <row r="608" spans="1:3" ht="15" x14ac:dyDescent="0.25">
      <c r="A608" s="3" t="s">
        <v>608</v>
      </c>
      <c r="B608" s="3" t="s">
        <v>4</v>
      </c>
      <c r="C608" s="4" t="str">
        <f ca="1">IFERROR(__xludf.DUMMYFUNCTION("GOOGLETRANSLATE(A608, ""auto"", ""bn"")"),"আরেকটা নতুন দিন, বেশ কয়েকবার মদ্যপান বন্ধ করার চেষ্টা করার পর, আমি নিজেকে মদ্যপান থেকে দূরে সরিয়ে নিতে সক্ষম হয়েছি। তারপর আমি আর্থিক আসক্তিতে জড়িয়ে পড়ি এবং ঋণের জালে ডুবে যাওয়ার ঝুঁকি নিয়েছিলাম, এমন কোনও উপায় খুঁজে বের করার আগে যেখানে আমি আমার আর"&amp;"্থিক ব্যবস্থাপনা আরও ভালোভাবে করতে পারব। তারপর আমি দ্রুত খবরের জন্য ওভার-দ্য-কাউন্টার ঘুমের ওষুধের প্রতি আসক্তি তৈরি করেছিলাম (ইউনিসন আমার পছন্দ ছিল)? এবং যখনই আমার মনে হত যে আমার কোনও আসক্তি নিয়ন্ত্রণে আছে, তখন আমি অন্য একটিতে চলে যেতাম। এবং আত্ম-বিদ্বে"&amp;"ষ আরও তীব্র হয়ে উঠত এবং আমি পরাজিত বোধ করতাম। আজ ঘুমের ওষুধ ছেড়ে দেওয়ার আমার নতুন প্রচেষ্টা। আমার পরবর্তী ""প্রথম দিন""? আমি আশা করি আপনারা সকলেই আপনার মধ্যে যেকোনো অস্বাস্থ্যকর আসক্তি থেকে বেরিয়ে আসার শক্তি খুঁজে পাবেন। চেষ্টা চালিয়ে যান।")</f>
        <v>আরেকটা নতুন দিন, বেশ কয়েকবার মদ্যপান বন্ধ করার চেষ্টা করার পর, আমি নিজেকে মদ্যপান থেকে দূরে সরিয়ে নিতে সক্ষম হয়েছি। তারপর আমি আর্থিক আসক্তিতে জড়িয়ে পড়ি এবং ঋণের জালে ডুবে যাওয়ার ঝুঁকি নিয়েছিলাম, এমন কোনও উপায় খুঁজে বের করার আগে যেখানে আমি আমার আর্থিক ব্যবস্থাপনা আরও ভালোভাবে করতে পারব। তারপর আমি দ্রুত খবরের জন্য ওভার-দ্য-কাউন্টার ঘুমের ওষুধের প্রতি আসক্তি তৈরি করেছিলাম (ইউনিসন আমার পছন্দ ছিল)? এবং যখনই আমার মনে হত যে আমার কোনও আসক্তি নিয়ন্ত্রণে আছে, তখন আমি অন্য একটিতে চলে যেতাম। এবং আত্ম-বিদ্বেষ আরও তীব্র হয়ে উঠত এবং আমি পরাজিত বোধ করতাম। আজ ঘুমের ওষুধ ছেড়ে দেওয়ার আমার নতুন প্রচেষ্টা। আমার পরবর্তী "প্রথম দিন"? আমি আশা করি আপনারা সকলেই আপনার মধ্যে যেকোনো অস্বাস্থ্যকর আসক্তি থেকে বেরিয়ে আসার শক্তি খুঁজে পাবেন। চেষ্টা চালিয়ে যান।</v>
      </c>
    </row>
    <row r="609" spans="1:3" ht="15" x14ac:dyDescent="0.25">
      <c r="A609" s="3" t="s">
        <v>609</v>
      </c>
      <c r="B609" s="3" t="s">
        <v>4</v>
      </c>
      <c r="C609" s="4" t="str">
        <f ca="1">IFERROR(__xludf.DUMMYFUNCTION("GOOGLETRANSLATE(A609, ""auto"", ""bn"")"),"আমার বয়স ২৩ বছর। ১৪ বছর বয়স থেকেই আমি কম্পিউটারের প্রতি আসক্ত। এই জিনিসটা আমার জীবনকে ধ্বংস করে দেয়, এভাবে বেঁচে থাকার চেয়ে আমি কিছুদিনের জন্য আত্মহত্যার কথাও ভাবি। দয়া করে আমার তোমার সাহায্য দরকার।")</f>
        <v>আমার বয়স ২৩ বছর। ১৪ বছর বয়স থেকেই আমি কম্পিউটারের প্রতি আসক্ত। এই জিনিসটা আমার জীবনকে ধ্বংস করে দেয়, এভাবে বেঁচে থাকার চেয়ে আমি কিছুদিনের জন্য আত্মহত্যার কথাও ভাবি। দয়া করে আমার তোমার সাহায্য দরকার।</v>
      </c>
    </row>
    <row r="610" spans="1:3" ht="15" x14ac:dyDescent="0.25">
      <c r="A610" s="3" t="s">
        <v>610</v>
      </c>
      <c r="B610" s="3" t="s">
        <v>4</v>
      </c>
      <c r="C610" s="4" t="str">
        <f ca="1">IFERROR(__xludf.DUMMYFUNCTION("GOOGLETRANSLATE(A610, ""auto"", ""bn"")"),"গত এক মাস ধরে আমি আমার সংযমের সাথে লড়াই করছি। গত মাসে আমি কয়েক সপ্তাহ ধরে প্রথমবারের মতো (FLY) ব্যবহার করেছি এবং পরীক্ষায় উত্তীর্ণ হওয়ার জন্য খুব কমই ড্রাগ পরীক্ষায় উত্তীর্ণ হয়েছি, এক সপ্তাহ ধরে ঠান্ডা টার্কি প্রত্যাহারের মধ্য দিয়ে গিয়েছিলাম এবং অ"&amp;"বশেষে ভালো বোধ করতে শুরু করেছি। এত কিছুর পরে, চাপ এবং শারীরিক/মানসিক অসুস্থতা, আমি ভেবেছিলাম, আমি আবারও মাতাল হতে চাই।? যা আমরা জানি তা ভাবা একেবারেই পাগলামি। আমি আরও এক সপ্তাহ সময় নিয়েছিলাম এবং 2 দিন ধরে ব্যবহার করেছি, ""আরও বুদ্ধিমান?"" এবার প্রত্যাহা"&amp;"র, পরীক্ষার বিষয়ে। আজ দ্বিতীয় দিন ছাড়া এবং শারীরিকভাবে, আমি ঠিক আছি। মানসিকভাবে, এটি সম্পর্কে চিন্তা না করা কঠিন। ? আর মাত্র 2-3 দিন এবং আমি থামব।? আমি শনিবার এমন একটি এলাকায় যাচ্ছি যা আমার জন্য কঠিন এবং আমি জানি যে আমি সম্ভবত এটি ব্যবহার করে শেষ করব।"&amp;" আমি বেশ কয়েক বছর ধরে সংযমের অভিজ্ঞতা পেয়েছি, কয়েকবার। তাছাড়া, আমি কর্মক্ষেত্রে কারো সাথে এই বিষয়ে কথা বলতে পারি না, এমনকি কর্মক্ষেত্রে আমার কাজের কারণে প্রোগ্রামের কারো সাথেও কথা বলতে পারি না। যদি এটি ফিরে আসে, তাহলে আমি আমার পছন্দের চাকরিটি হারাব। ডি"&amp;"এম খোলা থাকবে। এই মুহূর্তে আমি ফোন কলের জন্যও উন্মুক্ত। আমার হারানোর অনেক কিছু আছে কিন্তু সেটা আমার কাছে গুরুত্বপূর্ণ বলে মনে হয় না।")</f>
        <v>গত এক মাস ধরে আমি আমার সংযমের সাথে লড়াই করছি। গত মাসে আমি কয়েক সপ্তাহ ধরে প্রথমবারের মতো (FLY) ব্যবহার করেছি এবং পরীক্ষায় উত্তীর্ণ হওয়ার জন্য খুব কমই ড্রাগ পরীক্ষায় উত্তীর্ণ হয়েছি, এক সপ্তাহ ধরে ঠান্ডা টার্কি প্রত্যাহারের মধ্য দিয়ে গিয়েছিলাম এবং অবশেষে ভালো বোধ করতে শুরু করেছি। এত কিছুর পরে, চাপ এবং শারীরিক/মানসিক অসুস্থতা, আমি ভেবেছিলাম, আমি আবারও মাতাল হতে চাই।? যা আমরা জানি তা ভাবা একেবারেই পাগলামি। আমি আরও এক সপ্তাহ সময় নিয়েছিলাম এবং 2 দিন ধরে ব্যবহার করেছি, "আরও বুদ্ধিমান?" এবার প্রত্যাহার, পরীক্ষার বিষয়ে। আজ দ্বিতীয় দিন ছাড়া এবং শারীরিকভাবে, আমি ঠিক আছি। মানসিকভাবে, এটি সম্পর্কে চিন্তা না করা কঠিন। ? আর মাত্র 2-3 দিন এবং আমি থামব।? আমি শনিবার এমন একটি এলাকায় যাচ্ছি যা আমার জন্য কঠিন এবং আমি জানি যে আমি সম্ভবত এটি ব্যবহার করে শেষ করব। আমি বেশ কয়েক বছর ধরে সংযমের অভিজ্ঞতা পেয়েছি, কয়েকবার। তাছাড়া, আমি কর্মক্ষেত্রে কারো সাথে এই বিষয়ে কথা বলতে পারি না, এমনকি কর্মক্ষেত্রে আমার কাজের কারণে প্রোগ্রামের কারো সাথেও কথা বলতে পারি না। যদি এটি ফিরে আসে, তাহলে আমি আমার পছন্দের চাকরিটি হারাব। ডিএম খোলা থাকবে। এই মুহূর্তে আমি ফোন কলের জন্যও উন্মুক্ত। আমার হারানোর অনেক কিছু আছে কিন্তু সেটা আমার কাছে গুরুত্বপূর্ণ বলে মনে হয় না।</v>
      </c>
    </row>
    <row r="611" spans="1:3" ht="15" x14ac:dyDescent="0.25">
      <c r="A611" s="3" t="s">
        <v>611</v>
      </c>
      <c r="B611" s="3" t="s">
        <v>4</v>
      </c>
      <c r="C611" s="4" t="str">
        <f ca="1">IFERROR(__xludf.DUMMYFUNCTION("GOOGLETRANSLATE(A611, ""auto"", ""bn"")"),"অন্য কেউ কি মিটিংগুলিকে ট্রিগার বলে মনে করে? মানে, শুরুতে এগুলো সত্যিই সহায়ক ছিল, কিন্তু এখন আমি বসে বসে শুনতে এবং সেই সব লোকদের আশেপাশে থাকতে পারছি না। আমার উদ্বেগ মাথায় ছড়িয়ে পড়েছে এবং সব গল্প সত্যিই আমাকে কাজে লাগাতে চায়। মিটিংয়ে না যাওয়াটা আমার জন্য"&amp;" ভালো ছিল। আমার মনে হয় মিটিংগুলি খুব বেশি হয়ে গেছে। আমি জানি তারা অনেক লোককে সাহায্য করে এবং আমি বলছি না যে তারা করে না। আমি শুধু ভাবছি যে অন্য কেউ কি মিটিংগুলিকে ট্রিগার বলে মনে করে?")</f>
        <v>অন্য কেউ কি মিটিংগুলিকে ট্রিগার বলে মনে করে? মানে, শুরুতে এগুলো সত্যিই সহায়ক ছিল, কিন্তু এখন আমি বসে বসে শুনতে এবং সেই সব লোকদের আশেপাশে থাকতে পারছি না। আমার উদ্বেগ মাথায় ছড়িয়ে পড়েছে এবং সব গল্প সত্যিই আমাকে কাজে লাগাতে চায়। মিটিংয়ে না যাওয়াটা আমার জন্য ভালো ছিল। আমার মনে হয় মিটিংগুলি খুব বেশি হয়ে গেছে। আমি জানি তারা অনেক লোককে সাহায্য করে এবং আমি বলছি না যে তারা করে না। আমি শুধু ভাবছি যে অন্য কেউ কি মিটিংগুলিকে ট্রিগার বলে মনে করে?</v>
      </c>
    </row>
    <row r="612" spans="1:3" ht="15" x14ac:dyDescent="0.25">
      <c r="A612" s="3" t="s">
        <v>612</v>
      </c>
      <c r="B612" s="3" t="s">
        <v>4</v>
      </c>
      <c r="C612" s="4" t="str">
        <f ca="1">IFERROR(__xludf.DUMMYFUNCTION("GOOGLETRANSLATE(A612, ""auto"", ""bn"")"),"যদিও আমি ২+ বছর ধরে মাদক ও অ্যালকোহল থেকে মুক্ত/স্বাস্থ্যকর এবং দীর্ঘদিন ধরে মানসিক অসুস্থতা বা আসক্তির জন্য হাসপাতালে ভর্তি হইনি, তবুও আমাকে ""মাদকাসক্ত"" এবং ""পাগল"" হিসেবে চিহ্নিত করা হয়। লোকেরা কখন এই কলঙ্ক এবং লেবেল দেওয়া বন্ধ করবে? যেমন আমি আমার "&amp;"অতীতকে আমার বিরুদ্ধে ব্যবহার করা বন্ধ করার চেষ্টা করছি। বিশেষ করে যখন এমন জায়গায় বাস করি যেখানে সবাই সবাইকে চেনে!")</f>
        <v>যদিও আমি ২+ বছর ধরে মাদক ও অ্যালকোহল থেকে মুক্ত/স্বাস্থ্যকর এবং দীর্ঘদিন ধরে মানসিক অসুস্থতা বা আসক্তির জন্য হাসপাতালে ভর্তি হইনি, তবুও আমাকে "মাদকাসক্ত" এবং "পাগল" হিসেবে চিহ্নিত করা হয়। লোকেরা কখন এই কলঙ্ক এবং লেবেল দেওয়া বন্ধ করবে? যেমন আমি আমার অতীতকে আমার বিরুদ্ধে ব্যবহার করা বন্ধ করার চেষ্টা করছি। বিশেষ করে যখন এমন জায়গায় বাস করি যেখানে সবাই সবাইকে চেনে!</v>
      </c>
    </row>
    <row r="613" spans="1:3" ht="15" x14ac:dyDescent="0.25">
      <c r="A613" s="3" t="s">
        <v>613</v>
      </c>
      <c r="B613" s="3" t="s">
        <v>4</v>
      </c>
      <c r="C613" s="4" t="str">
        <f ca="1">IFERROR(__xludf.DUMMYFUNCTION("GOOGLETRANSLATE(A613, ""auto"", ""bn"")"),"জানি না। আমি আসক্তির মানসিক যুদ্ধের সাথে লড়াই করছি। অপব্যবহারের জন্য আমার পছন্দের ওষুধ হল Xanax এবং atom কারণ এগুলি আমার উদ্বেগ এবং বিষণ্ণতাকে স্ব-ঔষধ করে। সম্প্রতি আমি আমার ব্যবহারের সাথে অনেক ভালো হয়েছি। দীর্ঘ সময় ধরে নিজেকে শান্ত রাখছি। আমি সম্পূর্ণ"&amp;"রূপে গাঁজা ধূমপান ছেড়ে দিয়েছি। আমি আমার সমস্যাগুলি স্বাস্থ্যকর উপায়ে নিয়ে কাজ করছি এবং নিজেকে, আমার জীবন এবং আমার সম্পর্কগুলিকে উন্নত করার চেষ্টা করছি। কিন্তু আমি এখনও আত্মসমর্পণ করছি। এই সপ্তাহে আমি একটু Xanax এবং atom খেয়েছি। এটি অভ্যাসে পরিণত হয়ন"&amp;"ি। অথবা কখনও হয়নি। আমার সবচেয়ে খারাপ কাজ হবে রাতের বেলায় 2-4 সপ্তাহ ধরে Xanax খাওয়া এবং তারপর বন্ধ করে দেওয়া কারণ আমি শারীরিকভাবে আসক্ত হতে চাইনি। তাই হ্যাঁ, আমি শারীরিকভাবে কোনও কিছুর প্রতি আসক্ত নই। তবে মাদক এখনও আমার জন্য একটি সমস্যা কারণ তারা আমা"&amp;"কে আমার কষ্ট এবং সমস্যাগুলি সাময়িকভাবে এড়াতে দেয়। শুধুমাত্র ভবিষ্যতে আরও শক্তিশালী হয়ে ফিরে আসার জন্য। আমি জানি না কেন আমি এটি পোস্ট করছি তবে যাই হোক না কেন। কেবল নিজের উপর হতাশ কারণ আমি জানি নিজেকে সম্পূর্ণরূপে সুস্থ করার জন্য আমাকে সম্পূর্ণরূপে শান্"&amp;"ত থাকতে হবে, কিন্তু আমি এখানে এবং সেখানে তৃষ্ণার কাছে নতি স্বীকার করি।")</f>
        <v>জানি না। আমি আসক্তির মানসিক যুদ্ধের সাথে লড়াই করছি। অপব্যবহারের জন্য আমার পছন্দের ওষুধ হল Xanax এবং atom কারণ এগুলি আমার উদ্বেগ এবং বিষণ্ণতাকে স্ব-ঔষধ করে। সম্প্রতি আমি আমার ব্যবহারের সাথে অনেক ভালো হয়েছি। দীর্ঘ সময় ধরে নিজেকে শান্ত রাখছি। আমি সম্পূর্ণরূপে গাঁজা ধূমপান ছেড়ে দিয়েছি। আমি আমার সমস্যাগুলি স্বাস্থ্যকর উপায়ে নিয়ে কাজ করছি এবং নিজেকে, আমার জীবন এবং আমার সম্পর্কগুলিকে উন্নত করার চেষ্টা করছি। কিন্তু আমি এখনও আত্মসমর্পণ করছি। এই সপ্তাহে আমি একটু Xanax এবং atom খেয়েছি। এটি অভ্যাসে পরিণত হয়নি। অথবা কখনও হয়নি। আমার সবচেয়ে খারাপ কাজ হবে রাতের বেলায় 2-4 সপ্তাহ ধরে Xanax খাওয়া এবং তারপর বন্ধ করে দেওয়া কারণ আমি শারীরিকভাবে আসক্ত হতে চাইনি। তাই হ্যাঁ, আমি শারীরিকভাবে কোনও কিছুর প্রতি আসক্ত নই। তবে মাদক এখনও আমার জন্য একটি সমস্যা কারণ তারা আমাকে আমার কষ্ট এবং সমস্যাগুলি সাময়িকভাবে এড়াতে দেয়। শুধুমাত্র ভবিষ্যতে আরও শক্তিশালী হয়ে ফিরে আসার জন্য। আমি জানি না কেন আমি এটি পোস্ট করছি তবে যাই হোক না কেন। কেবল নিজের উপর হতাশ কারণ আমি জানি নিজেকে সম্পূর্ণরূপে সুস্থ করার জন্য আমাকে সম্পূর্ণরূপে শান্ত থাকতে হবে, কিন্তু আমি এখানে এবং সেখানে তৃষ্ণার কাছে নতি স্বীকার করি।</v>
      </c>
    </row>
    <row r="614" spans="1:3" ht="15" x14ac:dyDescent="0.25">
      <c r="A614" s="3" t="s">
        <v>614</v>
      </c>
      <c r="B614" s="3" t="s">
        <v>4</v>
      </c>
      <c r="C614" s="4" t="str">
        <f ca="1">IFERROR(__xludf.DUMMYFUNCTION("GOOGLETRANSLATE(A614, ""auto"", ""bn"")"),"আর কারো যদি এই রোগ ধরা পড়ে এবং আসক্তির সাথে লড়াই করে, তাহলে কি সে আমার সাথে কথা বলতে রাজি হবে? আমি বছরের পর বছর ধরে আসক্তির সাথে লড়াই করছি, এবং আমি ভাবতে শুরু করেছি যে এর একটি অংশ কি আমার ব্যাধি যা এটিকে ইন্ধন দিচ্ছে এবং আমি দেখতে চাই যে অন্য কারো কোন "&amp;"চিন্তাভাবনা বা অভিজ্ঞতা আছে কিনা।")</f>
        <v>আর কারো যদি এই রোগ ধরা পড়ে এবং আসক্তির সাথে লড়াই করে, তাহলে কি সে আমার সাথে কথা বলতে রাজি হবে? আমি বছরের পর বছর ধরে আসক্তির সাথে লড়াই করছি, এবং আমি ভাবতে শুরু করেছি যে এর একটি অংশ কি আমার ব্যাধি যা এটিকে ইন্ধন দিচ্ছে এবং আমি দেখতে চাই যে অন্য কারো কোন চিন্তাভাবনা বা অভিজ্ঞতা আছে কিনা।</v>
      </c>
    </row>
    <row r="615" spans="1:3" ht="15" x14ac:dyDescent="0.25">
      <c r="A615" s="3" t="s">
        <v>615</v>
      </c>
      <c r="B615" s="3" t="s">
        <v>4</v>
      </c>
      <c r="C615" s="4" t="str">
        <f ca="1">IFERROR(__xludf.DUMMYFUNCTION("GOOGLETRANSLATE(A615, ""auto"", ""bn"")"),"আমি ২৯ বছর বয়সী একজন সুন্দরী ১৭ মাস বয়সী মা। তার ছোটবেলা থেকেই আমার সবকিছু ঠিক করে নিতে হবে। আমি সত্যিই একা, কেউ জানে না যে আমি আমার এশিয়ান এবং অ্যাডেরাল ওষুধের অপব্যবহার করছি এবং পরিস্থিতি দ্রুততর থেকে আরও খারাপ হচ্ছে। শুধু উৎসাহের কিছু শব্দ, একই রকম গল্"&amp;"প খুঁজছিলাম, শুধু এটা বের করে আনতেই হলো।")</f>
        <v>আমি ২৯ বছর বয়সী একজন সুন্দরী ১৭ মাস বয়সী মা। তার ছোটবেলা থেকেই আমার সবকিছু ঠিক করে নিতে হবে। আমি সত্যিই একা, কেউ জানে না যে আমি আমার এশিয়ান এবং অ্যাডেরাল ওষুধের অপব্যবহার করছি এবং পরিস্থিতি দ্রুততর থেকে আরও খারাপ হচ্ছে। শুধু উৎসাহের কিছু শব্দ, একই রকম গল্প খুঁজছিলাম, শুধু এটা বের করে আনতেই হলো।</v>
      </c>
    </row>
    <row r="616" spans="1:3" ht="15" x14ac:dyDescent="0.25">
      <c r="A616" s="3" t="s">
        <v>616</v>
      </c>
      <c r="B616" s="3" t="s">
        <v>4</v>
      </c>
      <c r="C616" s="4" t="str">
        <f ca="1">IFERROR(__xludf.DUMMYFUNCTION("GOOGLETRANSLATE(A616, ""auto"", ""bn"")"),"আগামীকাল পুনর্বাসনে যাব। আমি ১০০ মিলিগ্রাম মেথাডোন এবং আরও অনেক ধরণের বেজোস গ্রহণ বন্ধ করে দিচ্ছি। আজ আমার জন্মদিন ছিল এবং আমি যাওয়ার প্রণোদনা নিয়েছিলাম!!!!!")</f>
        <v>আগামীকাল পুনর্বাসনে যাব। আমি ১০০ মিলিগ্রাম মেথাডোন এবং আরও অনেক ধরণের বেজোস গ্রহণ বন্ধ করে দিচ্ছি। আজ আমার জন্মদিন ছিল এবং আমি যাওয়ার প্রণোদনা নিয়েছিলাম!!!!!</v>
      </c>
    </row>
    <row r="617" spans="1:3" ht="15" x14ac:dyDescent="0.25">
      <c r="A617" s="3" t="s">
        <v>617</v>
      </c>
      <c r="B617" s="3" t="s">
        <v>4</v>
      </c>
      <c r="C617" s="4" t="str">
        <f ca="1">IFERROR(__xludf.DUMMYFUNCTION("GOOGLETRANSLATE(A617, ""auto"", ""bn"")"),"আমি ৫ বছরেরও বেশি সময় ধরে কোকেন/অ্যাম্ফিটামিনের একজন প্রধান আসক্ত ছিলাম। আমি অনেকবার সুস্থ হওয়ার চেষ্টা করেছি কিন্তু বারবারই আবার আসক্ত হয়ে পড়েছিলাম। ২০২১ সালের ২৫শে সেপ্টেম্বর আমি অ্যাম্ফিটামিন অতিরিক্ত মাত্রায় গ্রহণ করেছিলাম এবং প্রায় মারাই যেতাম। ত"&amp;"ারপর থেকে, আমার কোনও মাদক গ্রহণ, মদ্যপান বা গাঁজা সেবন করার কোনও ইচ্ছাই ছিল না। এমনকি অ্যাম্ফিটামিন দেখলেও আমার শারীরিকভাবে বমি বমি ভাব শুরু হয়। তখন থেকে আমি ১০০% সুস্থ, আমার ডিগ্রি শেষ করেছি এবং আগামী সোমবার একজন অর্থনীতিবিদ হিসেবে আমার প্রথম যোগ্যতাসম্"&amp;"পন্ন চাকরি শুরু করছি। আমার মনে হচ্ছে সেদিন বাস্তবতা আমাকে ভালোর জন্য ঘুষি মেরেছে। সম্পাদনা: আমি বলছি না যে আসক্তি কাটিয়ে উঠতে অতিরিক্ত মাত্রায় গ্রহণ করা উচিত, এটি ছিল একটি ভয়াবহ এবং বেদনাদায়ক অভিজ্ঞতা এবং সম্ভবত আপনার জীবন শেষ করার সবচেয়ে খারাপ উপায়।")</f>
        <v>আমি ৫ বছরেরও বেশি সময় ধরে কোকেন/অ্যাম্ফিটামিনের একজন প্রধান আসক্ত ছিলাম। আমি অনেকবার সুস্থ হওয়ার চেষ্টা করেছি কিন্তু বারবারই আবার আসক্ত হয়ে পড়েছিলাম। ২০২১ সালের ২৫শে সেপ্টেম্বর আমি অ্যাম্ফিটামিন অতিরিক্ত মাত্রায় গ্রহণ করেছিলাম এবং প্রায় মারাই যেতাম। তারপর থেকে, আমার কোনও মাদক গ্রহণ, মদ্যপান বা গাঁজা সেবন করার কোনও ইচ্ছাই ছিল না। এমনকি অ্যাম্ফিটামিন দেখলেও আমার শারীরিকভাবে বমি বমি ভাব শুরু হয়। তখন থেকে আমি ১০০% সুস্থ, আমার ডিগ্রি শেষ করেছি এবং আগামী সোমবার একজন অর্থনীতিবিদ হিসেবে আমার প্রথম যোগ্যতাসম্পন্ন চাকরি শুরু করছি। আমার মনে হচ্ছে সেদিন বাস্তবতা আমাকে ভালোর জন্য ঘুষি মেরেছে। সম্পাদনা: আমি বলছি না যে আসক্তি কাটিয়ে উঠতে অতিরিক্ত মাত্রায় গ্রহণ করা উচিত, এটি ছিল একটি ভয়াবহ এবং বেদনাদায়ক অভিজ্ঞতা এবং সম্ভবত আপনার জীবন শেষ করার সবচেয়ে খারাপ উপায়।</v>
      </c>
    </row>
    <row r="618" spans="1:3" ht="15" x14ac:dyDescent="0.25">
      <c r="A618" s="3" t="s">
        <v>618</v>
      </c>
      <c r="B618" s="3" t="s">
        <v>4</v>
      </c>
      <c r="C618" s="4" t="str">
        <f ca="1">IFERROR(__xludf.DUMMYFUNCTION("GOOGLETRANSLATE(A618, ""auto"", ""bn"")"),"আমি লিগ অফ লিজেন্ডস খেলি, আমি বলবো নয় বছর ধরে। আমি কখনোই ভালো খেলোয়াড় ছিলাম না, নয় বছর পর শুধু প্ল্যাটিনাম খেলি, আর এটা আমাকে খারাপ মানুষ বলে মনে করে। তাছাড়া আমার চাকরি নেই, প্রতিভা নেই, বন্ধু নেই, বিপিডি, আমার ওজন কমাতে হবে। কেউ কেউ বলে ""হাহাহাহাহা"&amp;"হাহাহা"" ঠিক আছে, কিন্তু তারপর... আমি কী করব? আসক্তি প্রতিস্থাপন করা সহজ নয়...")</f>
        <v>আমি লিগ অফ লিজেন্ডস খেলি, আমি বলবো নয় বছর ধরে। আমি কখনোই ভালো খেলোয়াড় ছিলাম না, নয় বছর পর শুধু প্ল্যাটিনাম খেলি, আর এটা আমাকে খারাপ মানুষ বলে মনে করে। তাছাড়া আমার চাকরি নেই, প্রতিভা নেই, বন্ধু নেই, বিপিডি, আমার ওজন কমাতে হবে। কেউ কেউ বলে "হাহাহাহাহাহাহাহা" ঠিক আছে, কিন্তু তারপর... আমি কী করব? আসক্তি প্রতিস্থাপন করা সহজ নয়...</v>
      </c>
    </row>
    <row r="619" spans="1:3" ht="15" x14ac:dyDescent="0.25">
      <c r="A619" s="3" t="s">
        <v>619</v>
      </c>
      <c r="B619" s="3" t="s">
        <v>4</v>
      </c>
      <c r="C619" s="4" t="str">
        <f ca="1">IFERROR(__xludf.DUMMYFUNCTION("GOOGLETRANSLATE(A619, ""auto"", ""bn"")"),"ঠিক আছে, এটা আসলে তেমন গুরুতর কিছু না কিন্তু কয়েক মাস ধরে এটা আমার সাথে ঝামেলা করছে। এখন নভেম্বরে আমার জীবন আবার খারাপ হতে শুরু করেছে (পারিবারিক বিষয়), তারপর থেকে আমি আমার মনোরোগ বিশেষজ্ঞের প্রেসক্রিপশনের চেয়ে বেশি অ্যান্টিডিপ্রেসেন্ট গ্রহণ শুরু করি। আ"&amp;"মার বয়স ১৮ বছর এবং আমাকে প্রতিদিন ১টি করে ট্যাবলেট খেতে বলা হয়েছিল। কিন্তু যখন আমি খুব উন্মাদ বোধ করি তখন আমি দিনে ৪টি পর্যন্তও গ্রহণ করি (একজন প্রাপ্তবয়স্কের জন্য দিনে ৪টি সর্বোচ্চ কারণ আমি আসলে আমার স্বাস্থ্য ব্যবস্থাকে খারাপ করতে চাই না)। প্রতিবার য"&amp;"খন আমি আমার বাড়ির বাইরে আতঙ্কিত হতে শুরু করি (তাই আমার ওষুধের অ্যাক্সেস নেই) তখন আমি লোকেদের জিজ্ঞাসা করি যে তাদের ব্যথানাশক আছে কিনা এবং মিথ্যা বলি যে আমার মাথাব্যথা আছে, কিন্তু বাস্তবে আমি যখন সেগুলি খাই তখন আমি আরও ভালো বোধ করি যা অর্থহীন কারণ আমি জান"&amp;"ি যে তারা আপনাকে বিরক্ত করতে পারবে না। একটা মাস ছিল যখন আমি নিয়মিত প্রতিদিন ব্যথানাশক খেতাম, যদিও (শক্তিশালী) আর কোনও ব্যথানাশক আমার ক্ষতি করে না - সেগুলি আর কখনও তীব্র হয় না বা অন্য কিছু হয় না (আমার মনে হয়) তবে এখন সেগুলি খাওয়ার প্রয়োজন বোধ করছি। এ"&amp;"টা কখনই যথেষ্ট নয় আমার কোনও সমস্যা নেই তবে আমি সত্যিই জানি না কী করব।")</f>
        <v>ঠিক আছে, এটা আসলে তেমন গুরুতর কিছু না কিন্তু কয়েক মাস ধরে এটা আমার সাথে ঝামেলা করছে। এখন নভেম্বরে আমার জীবন আবার খারাপ হতে শুরু করেছে (পারিবারিক বিষয়), তারপর থেকে আমি আমার মনোরোগ বিশেষজ্ঞের প্রেসক্রিপশনের চেয়ে বেশি অ্যান্টিডিপ্রেসেন্ট গ্রহণ শুরু করি। আমার বয়স ১৮ বছর এবং আমাকে প্রতিদিন ১টি করে ট্যাবলেট খেতে বলা হয়েছিল। কিন্তু যখন আমি খুব উন্মাদ বোধ করি তখন আমি দিনে ৪টি পর্যন্তও গ্রহণ করি (একজন প্রাপ্তবয়স্কের জন্য দিনে ৪টি সর্বোচ্চ কারণ আমি আসলে আমার স্বাস্থ্য ব্যবস্থাকে খারাপ করতে চাই না)। প্রতিবার যখন আমি আমার বাড়ির বাইরে আতঙ্কিত হতে শুরু করি (তাই আমার ওষুধের অ্যাক্সেস নেই) তখন আমি লোকেদের জিজ্ঞাসা করি যে তাদের ব্যথানাশক আছে কিনা এবং মিথ্যা বলি যে আমার মাথাব্যথা আছে, কিন্তু বাস্তবে আমি যখন সেগুলি খাই তখন আমি আরও ভালো বোধ করি যা অর্থহীন কারণ আমি জানি যে তারা আপনাকে বিরক্ত করতে পারবে না। একটা মাস ছিল যখন আমি নিয়মিত প্রতিদিন ব্যথানাশক খেতাম, যদিও (শক্তিশালী) আর কোনও ব্যথানাশক আমার ক্ষতি করে না - সেগুলি আর কখনও তীব্র হয় না বা অন্য কিছু হয় না (আমার মনে হয়) তবে এখন সেগুলি খাওয়ার প্রয়োজন বোধ করছি। এটা কখনই যথেষ্ট নয় আমার কোনও সমস্যা নেই তবে আমি সত্যিই জানি না কী করব।</v>
      </c>
    </row>
    <row r="620" spans="1:3" ht="15" x14ac:dyDescent="0.25">
      <c r="A620" s="3" t="s">
        <v>620</v>
      </c>
      <c r="B620" s="3" t="s">
        <v>4</v>
      </c>
      <c r="C620" s="4" t="str">
        <f ca="1">IFERROR(__xludf.DUMMYFUNCTION("GOOGLETRANSLATE(A620, ""auto"", ""bn"")"),"আমার ভেতরে সংযম, বিদ্রূপাত্মকভাবে আমাকে সততা থেকে বঞ্চিত করা, আমি যা করি তা হল মিথ্যা বলা, এটা আমার নিজের দোষ। আমি চেষ্টা করেও শেষ হয়ে গেছি, এই করো অথবা মরার মুক্তি আত্মহত্যা এবং তোমার এবং আমার জন্য বিরাট বিভ্রান্তি। আমি জীবন এবং এর সীমা যাই হোক না কেন ত"&amp;"ার প্রতি প্রতিশ্রুতিবদ্ধ ছিলাম, কিন্তু যদি এটি একটি ক্ষমতার লড়াই হয় যার সমাধান না করা হয় তবে কি এটি সত্যিই ঘনিষ্ঠতা? যদি অনেক নিষ্ঠুর মানুষ তোমাকে রক্তপাত করতে ছেড়ে দেয় তবে কি এটি সত্যিই হওয়ার কথা ছিল? পুরো জীবন, অপ্রত্যাশিত বিষ্ঠায় ভরা, কেবল একটি "&amp;"অধিকারী মিথ্যাবাদী, ক্ষুদ্র, তুচ্ছ, ভিতরের মানুষটির অনির্দিষ্ট খোলস, সবকিছুর শেষ, প্রচুর পাঠ এবং সময় কাটানোর জন্য, সম্ভবত এমন একটি উদ্দেশ্য পূরণ করবে যা আমি আসলে শিখব এবং কাজ করব। আমার কাছে সবচেয়ে গুরুত্বপূর্ণ জিনিসটি যেহেতু আমি মনে করতে পারি, আমি। ধুয়"&amp;"ে ফেলুন, ধুয়ে ফেলুন এবং পুনরাবৃত্তি করুন, যেহেতু আপনি দেখছেন তারপর বসুন। মূলে স্বার্থপর, এবং মূল গলে যাচ্ছে, তাপ। আপনি যদি আমাকে এতে অলংকরণ করতে দেন তবে এটি নরকীয়, একটি দাবানল। ওহ, কী জীবন, কী এক পৃথিবী যেখানে আমি একই সাথে অবাক এবং একপাশে ঘেঁষেছিলাম। তি"&amp;"ন দশক ধরে ধাঁধা, কুচকাওয়াজ, কোদাল দিয়ে যা কিছু জাল করার জন্য লাগে, আমার ভিত্তি স্থাপনের পর থেকে আমি জাল করে আসছি, এবং সম্পর্ক অক্ষুণ্ণ রাখতে আমি কখনও ভালো ছিলাম না, আমার অতীতের কোনও ছিটানো বা ছিটিয়ে দেওয়ার দ্বারা আমি উদ্বুদ্ধ হয়েছি... পৃথিবীতে আমার অ"&amp;"বাধে দেওয়া সময়ের জন্য আমি অকৃতজ্ঞ, আমি অনুশোচনার জগাখিচুড়ি এবং পুনর্জন্মের অযৌক্তিক আশা তৈরি করেছি, আমি কখনও আমার গবেষণা করি না, আমি সর্বদা প্রথম হতে চাই। দুর্বল মনের অবস্থার দ্বারা আবার বোকা বানানো হয়েছে, আমার সিদ্ধান্তের শিকার নই কেবল সময় এবং ভাগ্য"&amp;"ের সাথে আমার মনের দৌড়ের আবেদন। আমি সম্পূর্ণরূপে অন্য ব্যক্তিত্ব হয়ে উঠতে পারি, বাস্তবতা আমাকে আমন্ত্রণ জানাচ্ছে... দৃষ্টিকোণ পরিবর্তন হোক এবং আমি যা বিশ্বাস করি তাতে পার্থক্য, আমি আমার আত্মার ভিতরে লুকিয়ে থাকা বিশালকে হত্যা করার চেষ্টা করি, এবং যে কেউ "&amp;"যা বলে তা বন্ধ করুন, অন্য যে কোনও দিন ধ্যান আমাকে বিপথে নিয়ে যেতে পারে। আমার মধ্যে এই পাপীকে গ্রহণ করার জন্য এবং বিজয়ীকে আলিঙ্গন করার জন্য এবং বিশ্বাস করার জন্য আমার সম্পূর্ণ সংস্কার প্রয়োজন।")</f>
        <v>আমার ভেতরে সংযম, বিদ্রূপাত্মকভাবে আমাকে সততা থেকে বঞ্চিত করা, আমি যা করি তা হল মিথ্যা বলা, এটা আমার নিজের দোষ। আমি চেষ্টা করেও শেষ হয়ে গেছি, এই করো অথবা মরার মুক্তি আত্মহত্যা এবং তোমার এবং আমার জন্য বিরাট বিভ্রান্তি। আমি জীবন এবং এর সীমা যাই হোক না কেন তার প্রতি প্রতিশ্রুতিবদ্ধ ছিলাম, কিন্তু যদি এটি একটি ক্ষমতার লড়াই হয় যার সমাধান না করা হয় তবে কি এটি সত্যিই ঘনিষ্ঠতা? যদি অনেক নিষ্ঠুর মানুষ তোমাকে রক্তপাত করতে ছেড়ে দেয় তবে কি এটি সত্যিই হওয়ার কথা ছিল? পুরো জীবন, অপ্রত্যাশিত বিষ্ঠায় ভরা, কেবল একটি অধিকারী মিথ্যাবাদী, ক্ষুদ্র, তুচ্ছ, ভিতরের মানুষটির অনির্দিষ্ট খোলস, সবকিছুর শেষ, প্রচুর পাঠ এবং সময় কাটানোর জন্য, সম্ভবত এমন একটি উদ্দেশ্য পূরণ করবে যা আমি আসলে শিখব এবং কাজ করব। আমার কাছে সবচেয়ে গুরুত্বপূর্ণ জিনিসটি যেহেতু আমি মনে করতে পারি, আমি। ধুয়ে ফেলুন, ধুয়ে ফেলুন এবং পুনরাবৃত্তি করুন, যেহেতু আপনি দেখছেন তারপর বসুন। মূলে স্বার্থপর, এবং মূল গলে যাচ্ছে, তাপ। আপনি যদি আমাকে এতে অলংকরণ করতে দেন তবে এটি নরকীয়, একটি দাবানল। ওহ, কী জীবন, কী এক পৃথিবী যেখানে আমি একই সাথে অবাক এবং একপাশে ঘেঁষেছিলাম। তিন দশক ধরে ধাঁধা, কুচকাওয়াজ, কোদাল দিয়ে যা কিছু জাল করার জন্য লাগে, আমার ভিত্তি স্থাপনের পর থেকে আমি জাল করে আসছি, এবং সম্পর্ক অক্ষুণ্ণ রাখতে আমি কখনও ভালো ছিলাম না, আমার অতীতের কোনও ছিটানো বা ছিটিয়ে দেওয়ার দ্বারা আমি উদ্বুদ্ধ হয়েছি... পৃথিবীতে আমার অবাধে দেওয়া সময়ের জন্য আমি অকৃতজ্ঞ, আমি অনুশোচনার জগাখিচুড়ি এবং পুনর্জন্মের অযৌক্তিক আশা তৈরি করেছি, আমি কখনও আমার গবেষণা করি না, আমি সর্বদা প্রথম হতে চাই। দুর্বল মনের অবস্থার দ্বারা আবার বোকা বানানো হয়েছে, আমার সিদ্ধান্তের শিকার নই কেবল সময় এবং ভাগ্যের সাথে আমার মনের দৌড়ের আবেদন। আমি সম্পূর্ণরূপে অন্য ব্যক্তিত্ব হয়ে উঠতে পারি, বাস্তবতা আমাকে আমন্ত্রণ জানাচ্ছে... দৃষ্টিকোণ পরিবর্তন হোক এবং আমি যা বিশ্বাস করি তাতে পার্থক্য, আমি আমার আত্মার ভিতরে লুকিয়ে থাকা বিশালকে হত্যা করার চেষ্টা করি, এবং যে কেউ যা বলে তা বন্ধ করুন, অন্য যে কোনও দিন ধ্যান আমাকে বিপথে নিয়ে যেতে পারে। আমার মধ্যে এই পাপীকে গ্রহণ করার জন্য এবং বিজয়ীকে আলিঙ্গন করার জন্য এবং বিশ্বাস করার জন্য আমার সম্পূর্ণ সংস্কার প্রয়োজন।</v>
      </c>
    </row>
    <row r="621" spans="1:3" ht="15" x14ac:dyDescent="0.25">
      <c r="A621" s="3" t="s">
        <v>621</v>
      </c>
      <c r="B621" s="3" t="s">
        <v>4</v>
      </c>
      <c r="C621" s="4" t="str">
        <f ca="1">IFERROR(__xludf.DUMMYFUNCTION("GOOGLETRANSLATE(A621, ""auto"", ""bn"")"),"আমার মাত্র ৭ মাস ধরে অস্থিরতা ছিল এবং তারপর ২ মাস আগে আমি আবারও সেই অভ্যাসে ফিরে এসেছি। আমি প্রতিদিন প্রায় ৬৫০ মিলি হুইস্কি পান করছি, সারাদিন ধরে গাঁজা ধূমপান করছি এবং আমার ভাইভান্স ওষুধ (১২০ মিলিগ্রাম) অপব্যবহার করছি এবং কর্মক্ষেত্রে পিঠের আঘাতের জন্য ত"&amp;"িনগুণ পেশী শিথিলকারী ওষুধ খাচ্ছি? আমি এত খারাপ পরিস্থিতিতে আছি এবং প্রতিদিন খারাপ বোধ করছি কিন্তু এতটা বিশৃঙ্খলা না করার জন্য আমাকে এখনই এটি ব্যবহার চালিয়ে যেতে হচ্ছে কারণ আমি সপ্তাহে ৬ দিন ১০ ঘন্টা শিফটে কাজ করি? (হ্যালো হাই-ফাংশনিং অ্যালকোহলিকরা) এবং ব"&amp;"্যবস্থা আরও খারাপ করার জন্য আমি আমার ব্যাংক অ্যাকাউন্টে জেডির ২/৬ ভাগ খালি করে দিয়েছি এবং আরও ১৬ দিন বেতন পাচ্ছি না। খারাপভাবে উত্তোলন আসছে এবং হ্যাঁ এটি শারীরিক? কোন সুপারিশ? আমি উল্লেখ করতে চাই যে আমি প্রায় প্রতিটি মাদক গ্রহণ করেছি এবং সি বা এইচ (কপি)"&amp;" এর মতো আরও কঠিন জিনিসগুলিতে ফিরে যাওয়ার ভয় পাচ্ছি।")</f>
        <v>আমার মাত্র ৭ মাস ধরে অস্থিরতা ছিল এবং তারপর ২ মাস আগে আমি আবারও সেই অভ্যাসে ফিরে এসেছি। আমি প্রতিদিন প্রায় ৬৫০ মিলি হুইস্কি পান করছি, সারাদিন ধরে গাঁজা ধূমপান করছি এবং আমার ভাইভান্স ওষুধ (১২০ মিলিগ্রাম) অপব্যবহার করছি এবং কর্মক্ষেত্রে পিঠের আঘাতের জন্য তিনগুণ পেশী শিথিলকারী ওষুধ খাচ্ছি? আমি এত খারাপ পরিস্থিতিতে আছি এবং প্রতিদিন খারাপ বোধ করছি কিন্তু এতটা বিশৃঙ্খলা না করার জন্য আমাকে এখনই এটি ব্যবহার চালিয়ে যেতে হচ্ছে কারণ আমি সপ্তাহে ৬ দিন ১০ ঘন্টা শিফটে কাজ করি? (হ্যালো হাই-ফাংশনিং অ্যালকোহলিকরা) এবং ব্যবস্থা আরও খারাপ করার জন্য আমি আমার ব্যাংক অ্যাকাউন্টে জেডির ২/৬ ভাগ খালি করে দিয়েছি এবং আরও ১৬ দিন বেতন পাচ্ছি না। খারাপভাবে উত্তোলন আসছে এবং হ্যাঁ এটি শারীরিক? কোন সুপারিশ? আমি উল্লেখ করতে চাই যে আমি প্রায় প্রতিটি মাদক গ্রহণ করেছি এবং সি বা এইচ (কপি) এর মতো আরও কঠিন জিনিসগুলিতে ফিরে যাওয়ার ভয় পাচ্ছি।</v>
      </c>
    </row>
    <row r="622" spans="1:3" ht="15" x14ac:dyDescent="0.25">
      <c r="A622" s="3" t="s">
        <v>622</v>
      </c>
      <c r="B622" s="3" t="s">
        <v>4</v>
      </c>
      <c r="C622" s="4" t="str">
        <f ca="1">IFERROR(__xludf.DUMMYFUNCTION("GOOGLETRANSLATE(A622, ""auto"", ""bn"")"),"যারাই সম্প্রতি এখানে পোস্ট করেছেন যে উচ্ছ্বাসের সৃষ্টি হচ্ছে, আমি আপনাকে ধন্যবাদ জানাতে এসেছি। আমি ৭ মাস ধরে শান্ত, কিন্তু খুব দুর্বল কারণ আমার মা মারা গেছেন। আমি এটি দেখার পরিকল্পনা করেছিলাম কিন্তু এখন দেখছি না কারণ আমি আবারও এই রোগে আক্রান্ত হতে চাই না।")</f>
        <v>যারাই সম্প্রতি এখানে পোস্ট করেছেন যে উচ্ছ্বাসের সৃষ্টি হচ্ছে, আমি আপনাকে ধন্যবাদ জানাতে এসেছি। আমি ৭ মাস ধরে শান্ত, কিন্তু খুব দুর্বল কারণ আমার মা মারা গেছেন। আমি এটি দেখার পরিকল্পনা করেছিলাম কিন্তু এখন দেখছি না কারণ আমি আবারও এই রোগে আক্রান্ত হতে চাই না।</v>
      </c>
    </row>
    <row r="623" spans="1:3" ht="15" x14ac:dyDescent="0.25">
      <c r="A623" s="3" t="s">
        <v>623</v>
      </c>
      <c r="B623" s="3" t="s">
        <v>4</v>
      </c>
      <c r="C623" s="4" t="str">
        <f ca="1">IFERROR(__xludf.DUMMYFUNCTION("GOOGLETRANSLATE(A623, ""auto"", ""bn"")"),"আজ আমি ৫ দিন ধরে সুস্থ, ভাবতেই পাগল লাগছে যে আমি ৫ দিনও পার করতে পারব। জিনিসগুলো আবার মাথায় ঘুরপাক খাচ্ছে, আমি বছরের পর বছর ধরে একটা অস্পষ্টতার মধ্যে বাস করছিলাম। সেই অস্পষ্টতা। আমি মিস করছি। অন্যান্য নেশাখোর এবং মদ্যপদের সাথে সময় কাটানো, সিট ফাস্ট করা,"&amp;" নানান রকমের মজা করা, রোলারকোস্টারের পাগলাটে বিশৃঙ্খল জীবন, আমি এটা মিস করছি! আসক্তির বিশৃঙ্খলা, সম্মুখীন হওয়া সমস্যা এবং উত্থান-পতন আমার খুব ভালো লেগেছে। এটা আমাকে আবার সেইসব লোকদের সাথে থাকতে এবং তাদের সাথে আবারও মেলামেশা করতে বাধ্য করছে? এই অনুভূতি কি"&amp;" অবশেষে চলে যাবে? অন্য কারো কি একই রকম অনুভূতি হয়?")</f>
        <v>আজ আমি ৫ দিন ধরে সুস্থ, ভাবতেই পাগল লাগছে যে আমি ৫ দিনও পার করতে পারব। জিনিসগুলো আবার মাথায় ঘুরপাক খাচ্ছে, আমি বছরের পর বছর ধরে একটা অস্পষ্টতার মধ্যে বাস করছিলাম। সেই অস্পষ্টতা। আমি মিস করছি। অন্যান্য নেশাখোর এবং মদ্যপদের সাথে সময় কাটানো, সিট ফাস্ট করা, নানান রকমের মজা করা, রোলারকোস্টারের পাগলাটে বিশৃঙ্খল জীবন, আমি এটা মিস করছি! আসক্তির বিশৃঙ্খলা, সম্মুখীন হওয়া সমস্যা এবং উত্থান-পতন আমার খুব ভালো লেগেছে। এটা আমাকে আবার সেইসব লোকদের সাথে থাকতে এবং তাদের সাথে আবারও মেলামেশা করতে বাধ্য করছে? এই অনুভূতি কি অবশেষে চলে যাবে? অন্য কারো কি একই রকম অনুভূতি হয়?</v>
      </c>
    </row>
    <row r="624" spans="1:3" ht="15" x14ac:dyDescent="0.25">
      <c r="A624" s="3" t="s">
        <v>624</v>
      </c>
      <c r="B624" s="3" t="s">
        <v>4</v>
      </c>
      <c r="C624" s="4" t="str">
        <f ca="1">IFERROR(__xludf.DUMMYFUNCTION("GOOGLETRANSLATE(A624, ""auto"", ""bn"")"),"এই পোস্টটি কী করবে জানি না, তবে আমার কেবল এটি বলা দরকার ছিল। প্রায় পাঁচ বছর ধরে ফেন্টানাইল আসক্ত, দশ বছরেরও বেশি সময় ধরে আফিম সেবন করছি। বছরের পর বছর ধরে মেথাডোন প্রোগ্রামে ছিলাম, কিন্তু সম্প্রতি আমাকে থামতে হয়েছে। আমি শহরের বাইরে থাকি এবং আমার গাড়িটি "&amp;"নষ্ট হয়ে যায়। টাকা নেই, বন্ধুবান্ধব বা পরিবার নেই। এটা আমার দোষ। যাই হোক, আমি প্রায় দুই সপ্তাহ ধরে সুস্থ আছি এবং প্রত্যাহার কমছে না। প্রতিদিন মানসিক এবং শারীরিকভাবে সংগ্রাম চলছে। অস্থির পা/বমি বমি ভাব/প্রতিদিন ঘুমের সমস্যা। আমার কোন উপায় নেই। আমি সবসম"&amp;"য় আত্মহত্যার কথা ভাবি। এখান থেকে জীবন আরও খারাপ হতে চলেছে।")</f>
        <v>এই পোস্টটি কী করবে জানি না, তবে আমার কেবল এটি বলা দরকার ছিল। প্রায় পাঁচ বছর ধরে ফেন্টানাইল আসক্ত, দশ বছরেরও বেশি সময় ধরে আফিম সেবন করছি। বছরের পর বছর ধরে মেথাডোন প্রোগ্রামে ছিলাম, কিন্তু সম্প্রতি আমাকে থামতে হয়েছে। আমি শহরের বাইরে থাকি এবং আমার গাড়িটি নষ্ট হয়ে যায়। টাকা নেই, বন্ধুবান্ধব বা পরিবার নেই। এটা আমার দোষ। যাই হোক, আমি প্রায় দুই সপ্তাহ ধরে সুস্থ আছি এবং প্রত্যাহার কমছে না। প্রতিদিন মানসিক এবং শারীরিকভাবে সংগ্রাম চলছে। অস্থির পা/বমি বমি ভাব/প্রতিদিন ঘুমের সমস্যা। আমার কোন উপায় নেই। আমি সবসময় আত্মহত্যার কথা ভাবি। এখান থেকে জীবন আরও খারাপ হতে চলেছে।</v>
      </c>
    </row>
    <row r="625" spans="1:3" ht="15" x14ac:dyDescent="0.25">
      <c r="A625" s="3" t="s">
        <v>625</v>
      </c>
      <c r="B625" s="3" t="s">
        <v>4</v>
      </c>
      <c r="C625" s="4" t="str">
        <f ca="1">IFERROR(__xludf.DUMMYFUNCTION("GOOGLETRANSLATE(A625, ""auto"", ""bn"")"),"আমার সংযম বজায় রাখতে হিমশিম খাচ্ছে। প্রায় ৭ ঘন্টা পর আমার চার দিন পূর্ণ হবে। ""ইউফোরিয়া"" দেখার সময় তার প্রতি আমার খুব একটা সহানুভূতি নেই কারণ সে আমাকে আমার নিজের কথা মনে করিয়ে দেয়। এমনকি সংযম বজায় রাখার চেষ্টাও করছি না। যেন আমি আমাদের দুজনকেই চিৎকার কর"&amp;"ে বলছি শুধু সংযম পাওয়ার জন্য।")</f>
        <v>আমার সংযম বজায় রাখতে হিমশিম খাচ্ছে। প্রায় ৭ ঘন্টা পর আমার চার দিন পূর্ণ হবে। "ইউফোরিয়া" দেখার সময় তার প্রতি আমার খুব একটা সহানুভূতি নেই কারণ সে আমাকে আমার নিজের কথা মনে করিয়ে দেয়। এমনকি সংযম বজায় রাখার চেষ্টাও করছি না। যেন আমি আমাদের দুজনকেই চিৎকার করে বলছি শুধু সংযম পাওয়ার জন্য।</v>
      </c>
    </row>
    <row r="626" spans="1:3" ht="15" x14ac:dyDescent="0.25">
      <c r="A626" s="3" t="s">
        <v>626</v>
      </c>
      <c r="B626" s="3" t="s">
        <v>4</v>
      </c>
      <c r="C626" s="4" t="str">
        <f ca="1">IFERROR(__xludf.DUMMYFUNCTION("GOOGLETRANSLATE(A626, ""auto"", ""bn"")"),"তাই সম্প্রতি পার্সি নেওয়া শুরু করেছি, আমাকে এগুলো প্রেসক্রিপশন দেওয়া হয়নি। আমি এমন একটি এলাকায় থাকি যেখানে অনেক ডিলার থাকে এবং যেহেতু আমি ক্যাভিটি থেকে প্রচুর ব্যথার সম্মুখীন হচ্ছি, তাই আমি সিদ্ধান্ত নিয়েছি যে আমি এই ওষুধ খাবো। নতুন বছর শুরু না হওয়া পর্যন"&amp;"্ত আমার বীমা দন্তচিকিৎসকের কাছে যাওয়ার খরচ বহন করবে না, কিন্তু সামাজিক উদ্বেগের কারণে আমি এখনও অ্যাপয়েন্টমেন্ট নিতে পারিনি এবং আমি একটু দেরি করি। সংক্ষেপে, আমার ক্যাভিটি থেকে ব্যথা আগের চেয়েও খারাপ হওয়ায় আমার ওষুধ শেষ হয়ে যাওয়া পর্যন্ত আমাকে জেগে থাকতে হ"&amp;"য়েছিল, যতক্ষণ না আমার ডিলার ঘুম থেকে উঠে একটি ওষুধ নেওয়ার জন্য ঘুমাতে যায়। একটি ওষুধ নেওয়ার আগে আমি ভ্রমণের চেষ্টা করেছিলাম এবং এটি কোনও কাজে আসেনি। এই ক্যাভিটি অপসারণের পর আমি পার্সিকে এড়িয়ে থাকতে চাই, কিন্তু ব্যথার জন্য যত বেশি সময় নিবো, তত বেশি প্রত্য"&amp;"াহারের হার তত বেশি হবে। আমি জানি, কিন্তু কোন পরামর্শ?")</f>
        <v>তাই সম্প্রতি পার্সি নেওয়া শুরু করেছি, আমাকে এগুলো প্রেসক্রিপশন দেওয়া হয়নি। আমি এমন একটি এলাকায় থাকি যেখানে অনেক ডিলার থাকে এবং যেহেতু আমি ক্যাভিটি থেকে প্রচুর ব্যথার সম্মুখীন হচ্ছি, তাই আমি সিদ্ধান্ত নিয়েছি যে আমি এই ওষুধ খাবো। নতুন বছর শুরু না হওয়া পর্যন্ত আমার বীমা দন্তচিকিৎসকের কাছে যাওয়ার খরচ বহন করবে না, কিন্তু সামাজিক উদ্বেগের কারণে আমি এখনও অ্যাপয়েন্টমেন্ট নিতে পারিনি এবং আমি একটু দেরি করি। সংক্ষেপে, আমার ক্যাভিটি থেকে ব্যথা আগের চেয়েও খারাপ হওয়ায় আমার ওষুধ শেষ হয়ে যাওয়া পর্যন্ত আমাকে জেগে থাকতে হয়েছিল, যতক্ষণ না আমার ডিলার ঘুম থেকে উঠে একটি ওষুধ নেওয়ার জন্য ঘুমাতে যায়। একটি ওষুধ নেওয়ার আগে আমি ভ্রমণের চেষ্টা করেছিলাম এবং এটি কোনও কাজে আসেনি। এই ক্যাভিটি অপসারণের পর আমি পার্সিকে এড়িয়ে থাকতে চাই, কিন্তু ব্যথার জন্য যত বেশি সময় নিবো, তত বেশি প্রত্যাহারের হার তত বেশি হবে। আমি জানি, কিন্তু কোন পরামর্শ?</v>
      </c>
    </row>
    <row r="627" spans="1:3" ht="15" x14ac:dyDescent="0.25">
      <c r="A627" s="3" t="s">
        <v>627</v>
      </c>
      <c r="B627" s="3" t="s">
        <v>4</v>
      </c>
      <c r="C627" s="4" t="str">
        <f ca="1">IFERROR(__xludf.DUMMYFUNCTION("GOOGLETRANSLATE(A627, ""auto"", ""bn"")"),"১৪ বছর বয়স থেকেই আমি একজন মাদকাসক্ত, আর সম্প্রতি আমার কাজটা খুব একটা ভালো হয়েছে। এই কয়েক বছরে, আমি আমার বন্ধুদের, যাদের আমি বন্ধুবান্ধব বলে ডাকতাম, তাদের মাদকাসক্ত হতে দেখেছি, এমনকি তারাও মাদকাসক্ত হয়ে মারা যাচ্ছে অথবা আরও নিচে নেমে যাচ্ছে। এটা এমন একটা জ"&amp;"িনিস যার থেকে আমি মুক্ত থাকতে পারছি না। আমি যোগাযোগে ভালো নই, তাই আমি কিছু একটা লিখেছি যা প্রকাশ করার জন্য। হয়তো তোমরা সবাই এর সাথে মানিয়ে নিতে পারছো - বড় হওয়া এবং এগিয়ে যাওয়া। আপাতত, এর শিরোনাম ""আমি আমার বন্ধুদের মিস করছি""। সম্প্রতি আমার সব বন্ধুদের এ"&amp;"বং বন্য বাজে কথা মিস করছি, কুঁড়ি কেনাবেচা করছি এবং গভীর সমুদ্রে গাড়ি চালাতে চালাতে বিয়ারের স্বাদ গ্রহণ করছি। কোনও আবেগ গিলে ফেলছি না, আমাদের ইডেনে নগ্ন হয়ে শুয়ে আছি।")</f>
        <v>১৪ বছর বয়স থেকেই আমি একজন মাদকাসক্ত, আর সম্প্রতি আমার কাজটা খুব একটা ভালো হয়েছে। এই কয়েক বছরে, আমি আমার বন্ধুদের, যাদের আমি বন্ধুবান্ধব বলে ডাকতাম, তাদের মাদকাসক্ত হতে দেখেছি, এমনকি তারাও মাদকাসক্ত হয়ে মারা যাচ্ছে অথবা আরও নিচে নেমে যাচ্ছে। এটা এমন একটা জিনিস যার থেকে আমি মুক্ত থাকতে পারছি না। আমি যোগাযোগে ভালো নই, তাই আমি কিছু একটা লিখেছি যা প্রকাশ করার জন্য। হয়তো তোমরা সবাই এর সাথে মানিয়ে নিতে পারছো - বড় হওয়া এবং এগিয়ে যাওয়া। আপাতত, এর শিরোনাম "আমি আমার বন্ধুদের মিস করছি"। সম্প্রতি আমার সব বন্ধুদের এবং বন্য বাজে কথা মিস করছি, কুঁড়ি কেনাবেচা করছি এবং গভীর সমুদ্রে গাড়ি চালাতে চালাতে বিয়ারের স্বাদ গ্রহণ করছি। কোনও আবেগ গিলে ফেলছি না, আমাদের ইডেনে নগ্ন হয়ে শুয়ে আছি।</v>
      </c>
    </row>
    <row r="628" spans="1:3" ht="15" x14ac:dyDescent="0.25">
      <c r="A628" s="3" t="s">
        <v>628</v>
      </c>
      <c r="B628" s="3" t="s">
        <v>4</v>
      </c>
      <c r="C628" s="4" t="str">
        <f ca="1">IFERROR(__xludf.DUMMYFUNCTION("GOOGLETRANSLATE(A628, ""auto"", ""bn"")"),"আমি চাইবো যদি আমার মতো একই রকমের মানুষদের সাথে কথা বলে সাহায্য পাওয়া যায়। আমার ৪ মাস ধরে নেশা ছিল এবং আমি এখন তা থেকে মুক্তি পেয়েছি। এখন আমি আমার সঙ্গীর সাথে এটা করি এবং খুব কমই, কিন্তু আমরা সম্প্রতি বেশ নেশা করেছি। এখন আমি সত্যিই অনুভব করছি। হ্যাঁ। যদি ত"&amp;"ুমি জানো, তাহলে তুমি জানো।")</f>
        <v>আমি চাইবো যদি আমার মতো একই রকমের মানুষদের সাথে কথা বলে সাহায্য পাওয়া যায়। আমার ৪ মাস ধরে নেশা ছিল এবং আমি এখন তা থেকে মুক্তি পেয়েছি। এখন আমি আমার সঙ্গীর সাথে এটা করি এবং খুব কমই, কিন্তু আমরা সম্প্রতি বেশ নেশা করেছি। এখন আমি সত্যিই অনুভব করছি। হ্যাঁ। যদি তুমি জানো, তাহলে তুমি জানো।</v>
      </c>
    </row>
    <row r="629" spans="1:3" ht="15" x14ac:dyDescent="0.25">
      <c r="A629" s="3" t="s">
        <v>629</v>
      </c>
      <c r="B629" s="3" t="s">
        <v>4</v>
      </c>
      <c r="C629" s="4" t="str">
        <f ca="1">IFERROR(__xludf.DUMMYFUNCTION("GOOGLETRANSLATE(A629, ""auto"", ""bn"")"),"আমার ইন্টারনেট আসক্তি আছে। আর আমি আমার বিনোদন ভিডিওগুলো শিক্ষামূলক অথবা নিজেকে বোঝার জন্য সাহায্যকারী কিছু দিয়ে প্রতিস্থাপন করে এটি ঠিক করার চেষ্টা করে ভালোই করছিলাম। কিন্তু তারপর আমার আরেকটি সমস্যা দেখা দিল। দেখুন, আমাকে আমার ছোট বোনের সাথে খেলতে হয়, এব"&amp;"ং এর জন্য প্রচুর কল্পনাশক্তির প্রয়োজন হয়। আর সাধারণত বিনোদন দেখেই আমি অনুপ্রাণিত হই। তাই যখন খেলার সময় আসে, কারণ আমি ইন্টারনেটে নিজেকে বিনোদন দিয়ে থাকি, তখন আমার মনে ইতিমধ্যেই একটি গল্প থাকে। কিন্তু যেহেতু আমি আমার আসক্তি নিরাময়ের চেষ্টা করেছি, তাই আ"&amp;"মার মনে অনেক গল্প থাকে না। অথবা আমার ধারণা থাকবে, কিন্তু সেগুলো কোথাও যায় না। এবং তারপর আমি কীভাবে গল্প বলি (খেলনা ইত্যাদির মাধ্যমে) তা নিয়ে আমি একঘেয়ে হয়ে পড়েছি। তাই আমি ইচ্ছাকৃতভাবে পুনরায় চেষ্টা করার চেষ্টা করেছি যাতে আমি আমার সৃজনশীল কৌশলগুলি আব"&amp;"ার চালু করতে পারি, কিন্তু আগের মতো হয়নি। এখন আমার আবার ইন্টারনেট আসক্তি হয়েছে এবং তারপরে এর থেকে আমার যে সুবিধা ছিল তা এখন হারিয়ে গেছে।")</f>
        <v>আমার ইন্টারনেট আসক্তি আছে। আর আমি আমার বিনোদন ভিডিওগুলো শিক্ষামূলক অথবা নিজেকে বোঝার জন্য সাহায্যকারী কিছু দিয়ে প্রতিস্থাপন করে এটি ঠিক করার চেষ্টা করে ভালোই করছিলাম। কিন্তু তারপর আমার আরেকটি সমস্যা দেখা দিল। দেখুন, আমাকে আমার ছোট বোনের সাথে খেলতে হয়, এবং এর জন্য প্রচুর কল্পনাশক্তির প্রয়োজন হয়। আর সাধারণত বিনোদন দেখেই আমি অনুপ্রাণিত হই। তাই যখন খেলার সময় আসে, কারণ আমি ইন্টারনেটে নিজেকে বিনোদন দিয়ে থাকি, তখন আমার মনে ইতিমধ্যেই একটি গল্প থাকে। কিন্তু যেহেতু আমি আমার আসক্তি নিরাময়ের চেষ্টা করেছি, তাই আমার মনে অনেক গল্প থাকে না। অথবা আমার ধারণা থাকবে, কিন্তু সেগুলো কোথাও যায় না। এবং তারপর আমি কীভাবে গল্প বলি (খেলনা ইত্যাদির মাধ্যমে) তা নিয়ে আমি একঘেয়ে হয়ে পড়েছি। তাই আমি ইচ্ছাকৃতভাবে পুনরায় চেষ্টা করার চেষ্টা করেছি যাতে আমি আমার সৃজনশীল কৌশলগুলি আবার চালু করতে পারি, কিন্তু আগের মতো হয়নি। এখন আমার আবার ইন্টারনেট আসক্তি হয়েছে এবং তারপরে এর থেকে আমার যে সুবিধা ছিল তা এখন হারিয়ে গেছে।</v>
      </c>
    </row>
    <row r="630" spans="1:3" ht="15" x14ac:dyDescent="0.25">
      <c r="A630" s="3" t="s">
        <v>630</v>
      </c>
      <c r="B630" s="3" t="s">
        <v>4</v>
      </c>
      <c r="C630" s="4" t="str">
        <f ca="1">IFERROR(__xludf.DUMMYFUNCTION("GOOGLETRANSLATE(A630, ""auto"", ""bn"")"),"আমি ব্যথানাশক ওষুধের প্রতি আসক্ত, আমি প্রতিদিন ৪-৫টি বড়ি খাই, যা আমার নাক ডাকে, যতবারই থামতে চেষ্টা করি, ততবারই আমি গুনাহের পরিমাণ কমিয়ে ফেলি। ২ মাস সুস্থ থাকার পরও যখনই আবার অসুস্থ হয়ে পড়ি, তখনই আমাকে অন্য মহাদেশে ভ্রমণ করতে হয়েছিল, সেই আসক্তি বন্ধ "&amp;"করতে হয়েছিল এবং যখন আমি প্রথম সপ্তাহে ফিরে আসতে পারি, তখন আবার অসুস্থ হয়ে পড়ি। এখন আমার পেটের বাম পাশে লিভারের কাছে প্রচুর ব্যথা অনুভব করছি এবং এই জায়গাটি বেশ ব্যথা করছে। আমি ডিটক্সে যাওয়ার চেষ্টা করেছি, কিন্তু অপেক্ষার তালিকা কমপক্ষে ১-২ মাস। যদি আম"&amp;"ি বেঁচে থাকি, তাহলে আমার মনে হয় আমি এর কারণে মারা যাব অথবা আমার স্বাস্থ্য এতটাই খারাপ করে ফেলব যে আমার স্বাস্থ্য সমস্যা হবে এবং অল্প বয়সেই মারা যাব। আমার বয়স মাত্র ২১ বছর এবং অনেক বছর ধরে আমি এই জিনিসের সাথে লড়াই করছি? আমি থামানোর জন্য যথাসাধ্য চেষ্টা"&amp;" করেছি এবার আমি সত্যিই খুব খারাপ অবস্থায় পৌঁছে গেছি। আমি ক্লান্ত। আমি আর সামলাতে পারছি না। আমি এত ক্লান্ত এবং নিজের উপর বিরক্ত। আমি কীভাবে এমন হয়ে গেলাম? আমি আমার জীবন ধ্বংস করে দিয়েছি। আমার মা এবং ছোট ভাইদের জন্য কষ্ট হচ্ছে। কারণ আমি যদি মারা যাই তবে "&amp;"আমি তাদের একা ফেলে দেব। কারণ আমাদের বাবা আমাদের ছেড়ে চলে গেছেন এবং একটি নতুন পরিবার তৈরি করেছেন, যেন আমাদের অস্তিত্বই নেই। আমি সত্যিই জানি না কী করব।")</f>
        <v>আমি ব্যথানাশক ওষুধের প্রতি আসক্ত, আমি প্রতিদিন ৪-৫টি বড়ি খাই, যা আমার নাক ডাকে, যতবারই থামতে চেষ্টা করি, ততবারই আমি গুনাহের পরিমাণ কমিয়ে ফেলি। ২ মাস সুস্থ থাকার পরও যখনই আবার অসুস্থ হয়ে পড়ি, তখনই আমাকে অন্য মহাদেশে ভ্রমণ করতে হয়েছিল, সেই আসক্তি বন্ধ করতে হয়েছিল এবং যখন আমি প্রথম সপ্তাহে ফিরে আসতে পারি, তখন আবার অসুস্থ হয়ে পড়ি। এখন আমার পেটের বাম পাশে লিভারের কাছে প্রচুর ব্যথা অনুভব করছি এবং এই জায়গাটি বেশ ব্যথা করছে। আমি ডিটক্সে যাওয়ার চেষ্টা করেছি, কিন্তু অপেক্ষার তালিকা কমপক্ষে ১-২ মাস। যদি আমি বেঁচে থাকি, তাহলে আমার মনে হয় আমি এর কারণে মারা যাব অথবা আমার স্বাস্থ্য এতটাই খারাপ করে ফেলব যে আমার স্বাস্থ্য সমস্যা হবে এবং অল্প বয়সেই মারা যাব। আমার বয়স মাত্র ২১ বছর এবং অনেক বছর ধরে আমি এই জিনিসের সাথে লড়াই করছি? আমি থামানোর জন্য যথাসাধ্য চেষ্টা করেছি এবার আমি সত্যিই খুব খারাপ অবস্থায় পৌঁছে গেছি। আমি ক্লান্ত। আমি আর সামলাতে পারছি না। আমি এত ক্লান্ত এবং নিজের উপর বিরক্ত। আমি কীভাবে এমন হয়ে গেলাম? আমি আমার জীবন ধ্বংস করে দিয়েছি। আমার মা এবং ছোট ভাইদের জন্য কষ্ট হচ্ছে। কারণ আমি যদি মারা যাই তবে আমি তাদের একা ফেলে দেব। কারণ আমাদের বাবা আমাদের ছেড়ে চলে গেছেন এবং একটি নতুন পরিবার তৈরি করেছেন, যেন আমাদের অস্তিত্বই নেই। আমি সত্যিই জানি না কী করব।</v>
      </c>
    </row>
    <row r="631" spans="1:3" ht="15" x14ac:dyDescent="0.25">
      <c r="A631" s="3" t="s">
        <v>631</v>
      </c>
      <c r="B631" s="3" t="s">
        <v>4</v>
      </c>
      <c r="C631" s="4" t="str">
        <f ca="1">IFERROR(__xludf.DUMMYFUNCTION("GOOGLETRANSLATE(A631, ""auto"", ""bn"")"),"তো ১-২ সপ্তাহ ধরে আমার পেটের বাম পাশে, লিভারের কাছে অদ্ভুত ব্যথা হচ্ছে, আর এই জায়গায় চাপ দিলে ব্যথা হয়। কারোর কি এটাও আছে? কেউ কি জানেন এটা কী হতে পারে?")</f>
        <v>তো ১-২ সপ্তাহ ধরে আমার পেটের বাম পাশে, লিভারের কাছে অদ্ভুত ব্যথা হচ্ছে, আর এই জায়গায় চাপ দিলে ব্যথা হয়। কারোর কি এটাও আছে? কেউ কি জানেন এটা কী হতে পারে?</v>
      </c>
    </row>
    <row r="632" spans="1:3" ht="15" x14ac:dyDescent="0.25">
      <c r="A632" s="3" t="s">
        <v>632</v>
      </c>
      <c r="B632" s="3" t="s">
        <v>4</v>
      </c>
      <c r="C632" s="4" t="str">
        <f ca="1">IFERROR(__xludf.DUMMYFUNCTION("GOOGLETRANSLATE(A632, ""auto"", ""bn"")"),"২০০৮ সালে হ্যাজেল ডেনে চিকিৎসা শুরু করার পর আজ প্রথমবারের মতো আমার মনে হচ্ছে আমি একজন ""স্বাভাবিক মানুষ""? আমি আনন্দ অনুভব করিনি, এবং আজ আমি একবারের জন্যও খুশি বোধ করছি। আমার ১০০ দিন পরিষ্কার আছে, আমি আগে ভাবতাম ৩ দিন পার করা কঠিন? প্রতিদিনই কঠিন, তাই যদি"&amp;" চেষ্টা করে থাকেন, চেষ্টা চালিয়ে যান! তাছাড়া, আমি জানি প্রতিশ্রুতিগুলো সত্যি হবে। Torence-28 MN")</f>
        <v>২০০৮ সালে হ্যাজেল ডেনে চিকিৎসা শুরু করার পর আজ প্রথমবারের মতো আমার মনে হচ্ছে আমি একজন "স্বাভাবিক মানুষ"? আমি আনন্দ অনুভব করিনি, এবং আজ আমি একবারের জন্যও খুশি বোধ করছি। আমার ১০০ দিন পরিষ্কার আছে, আমি আগে ভাবতাম ৩ দিন পার করা কঠিন? প্রতিদিনই কঠিন, তাই যদি চেষ্টা করে থাকেন, চেষ্টা চালিয়ে যান! তাছাড়া, আমি জানি প্রতিশ্রুতিগুলো সত্যি হবে। Torence-28 MN</v>
      </c>
    </row>
    <row r="633" spans="1:3" ht="15" x14ac:dyDescent="0.25">
      <c r="A633" s="3" t="s">
        <v>633</v>
      </c>
      <c r="B633" s="3" t="s">
        <v>4</v>
      </c>
      <c r="C633" s="4" t="str">
        <f ca="1">IFERROR(__xludf.DUMMYFUNCTION("GOOGLETRANSLATE(A633, ""auto"", ""bn"")"),"আমি এমন ধরণের মানুষ নই যে আমার নেশা বা মাদকের কথা মনে করিয়ে দেয়, বরং আমি এমন কিছু দেখে উত্তেজিত হই। অনুষ্ঠানটিতে রুয়েসের মাদকের প্রতি আসক্তির বর্ণনা যেভাবে দেওয়া হয়েছে, তাতে অনেক খারাপ অনুভূতি ফিরে এসেছে। পৃথিবী শান্ত মনে হচ্ছে, এবং তারপর আপনি নিজেকে আ"&amp;"বার শ্বাস নিতে বাধ্য করেন এবং আপনি যা অনুভব করতে চান না তা আপনার কাছে ফিরে আসে। প্রথম পর্বটি শেষ না করে আমি নিজেকে থেমে মনে করিয়ে দিতে পারিনি যে আমি আবার সুস্থ হয়ে উঠছি এবং পুনরায় অসুস্থ বোধ করছি (আড়াই সপ্তাহ পরিষ্কার)। অনুষ্ঠানটি সুন্দর, এবং আমি যদি "&amp;"এটি দেখতে পারতাম, তবে এটি আমার জন্য বাড়ির খুব কাছাকাছি। যদিও এটি সত্যিই একটি সুন্দর অনুষ্ঠান।")</f>
        <v>আমি এমন ধরণের মানুষ নই যে আমার নেশা বা মাদকের কথা মনে করিয়ে দেয়, বরং আমি এমন কিছু দেখে উত্তেজিত হই। অনুষ্ঠানটিতে রুয়েসের মাদকের প্রতি আসক্তির বর্ণনা যেভাবে দেওয়া হয়েছে, তাতে অনেক খারাপ অনুভূতি ফিরে এসেছে। পৃথিবী শান্ত মনে হচ্ছে, এবং তারপর আপনি নিজেকে আবার শ্বাস নিতে বাধ্য করেন এবং আপনি যা অনুভব করতে চান না তা আপনার কাছে ফিরে আসে। প্রথম পর্বটি শেষ না করে আমি নিজেকে থেমে মনে করিয়ে দিতে পারিনি যে আমি আবার সুস্থ হয়ে উঠছি এবং পুনরায় অসুস্থ বোধ করছি (আড়াই সপ্তাহ পরিষ্কার)। অনুষ্ঠানটি সুন্দর, এবং আমি যদি এটি দেখতে পারতাম, তবে এটি আমার জন্য বাড়ির খুব কাছাকাছি। যদিও এটি সত্যিই একটি সুন্দর অনুষ্ঠান।</v>
      </c>
    </row>
    <row r="634" spans="1:3" ht="15" x14ac:dyDescent="0.25">
      <c r="A634" s="3" t="s">
        <v>634</v>
      </c>
      <c r="B634" s="3" t="s">
        <v>4</v>
      </c>
      <c r="C634" s="4" t="str">
        <f ca="1">IFERROR(__xludf.DUMMYFUNCTION("GOOGLETRANSLATE(A634, ""auto"", ""bn"")"),"আমি বছরের পর বছর ধরে Kr atom ত্যাগ করার চেষ্টা করছি। প্রথম কয়েকদিন আমাকে গাইড করার জন্য আমার সত্যিই এমন একজনের প্রয়োজন যিনি এটি করেছেন (অথবা অন্য কিছু ত্যাগ করেছেন)। যদি কেউ আমাকে কিছু পরামর্শ দিতে ইচ্ছুক থাকেন তবে আমি চির কৃতজ্ঞ থাকব এবং আপনার সময়কে ম"&amp;"ূল্যবান করে তুলব।")</f>
        <v>আমি বছরের পর বছর ধরে Kr atom ত্যাগ করার চেষ্টা করছি। প্রথম কয়েকদিন আমাকে গাইড করার জন্য আমার সত্যিই এমন একজনের প্রয়োজন যিনি এটি করেছেন (অথবা অন্য কিছু ত্যাগ করেছেন)। যদি কেউ আমাকে কিছু পরামর্শ দিতে ইচ্ছুক থাকেন তবে আমি চির কৃতজ্ঞ থাকব এবং আপনার সময়কে মূল্যবান করে তুলব।</v>
      </c>
    </row>
    <row r="635" spans="1:3" ht="15" x14ac:dyDescent="0.25">
      <c r="A635" s="3" t="s">
        <v>635</v>
      </c>
      <c r="B635" s="3" t="s">
        <v>4</v>
      </c>
      <c r="C635" s="4" t="str">
        <f ca="1">IFERROR(__xludf.DUMMYFUNCTION("GOOGLETRANSLATE(A635, ""auto"", ""bn"")"),"এটা একটা অপ্রচলিত অ্যাকাউন্ট। আমি জানি না এটা জিজ্ঞাসা করার সঠিক জায়গা কিনা, কিন্তু আমি একটি নির্দিষ্ট ওষুধ থেকে সেরে ওঠার জন্য লড়াই করছি এবং আমার অ্যাক্সেস বন্ধ করে দিতে হবে। আমি কি নিরাপদে আমার বীমাকে অনুরোধ করতে পারি যাতে আমি আরও কিছু অর্ডার করতে না "&amp;"পারি, নাকি ভবিষ্যতে সমস্যা তৈরি হবে? সাহায্য করার জন্য ধন্যবাদ।")</f>
        <v>এটা একটা অপ্রচলিত অ্যাকাউন্ট। আমি জানি না এটা জিজ্ঞাসা করার সঠিক জায়গা কিনা, কিন্তু আমি একটি নির্দিষ্ট ওষুধ থেকে সেরে ওঠার জন্য লড়াই করছি এবং আমার অ্যাক্সেস বন্ধ করে দিতে হবে। আমি কি নিরাপদে আমার বীমাকে অনুরোধ করতে পারি যাতে আমি আরও কিছু অর্ডার করতে না পারি, নাকি ভবিষ্যতে সমস্যা তৈরি হবে? সাহায্য করার জন্য ধন্যবাদ।</v>
      </c>
    </row>
    <row r="636" spans="1:3" ht="15" x14ac:dyDescent="0.25">
      <c r="A636" s="3" t="s">
        <v>636</v>
      </c>
      <c r="B636" s="3" t="s">
        <v>4</v>
      </c>
      <c r="C636" s="4" t="str">
        <f ca="1">IFERROR(__xludf.DUMMYFUNCTION("GOOGLETRANSLATE(A636, ""auto"", ""bn"")"),"আসক্তি একটা ধ্রুবক স্মৃতি, মাস বা এমনকি দশক ধরে চলার পরও। আসক্তি অসাধারণ, এটা ভালো লাগে, কিন্তু তুমি এখনও এটা জানো না: এর পরিণতি। আসক্তি ক্ষতিকর, তুমি জানো এটা ঠিক নয়। কিন্তু এটা ভালো লাগে, এবং তুমি আত্মবিশ্বাসী। আসক্তি অস্বাস্থ্যকর, যদি তুমি চালিয়ে যাও"&amp;", কিন্তু তুমি জানো যদি তুমি এটা চালিয়ে যাও, এটা এমন কিছু যা মানুষের ভবিষ্যৎ নষ্ট করে দেয়। আসক্তি উপলব্ধি করা হয়, তুমি বুঝতে পারো যে তুমি আসক্ত, কিন্তু এটা ভালো লাগে তাই তুমি আসলে পরোয়া করো না। আসক্তি এখন তোমার জীবনের অংশ, আসক্ত হওয়া তোমার ব্যক্তিত্বে"&amp;"র একটি অংশ হয়ে উঠেছে। আসক্তির আমার নিজস্ব অভিজ্ঞতা বলতে চাইছিলাম, কি জিজ্ঞাসা করো না। শুধু আসক্তি থেকে দূরে থাকো। যদি তুমি জানো যে তুমি আসক্ত, তাহলে এখনই থামো অথবা সাহায্য চাও!!")</f>
        <v>আসক্তি একটা ধ্রুবক স্মৃতি, মাস বা এমনকি দশক ধরে চলার পরও। আসক্তি অসাধারণ, এটা ভালো লাগে, কিন্তু তুমি এখনও এটা জানো না: এর পরিণতি। আসক্তি ক্ষতিকর, তুমি জানো এটা ঠিক নয়। কিন্তু এটা ভালো লাগে, এবং তুমি আত্মবিশ্বাসী। আসক্তি অস্বাস্থ্যকর, যদি তুমি চালিয়ে যাও, কিন্তু তুমি জানো যদি তুমি এটা চালিয়ে যাও, এটা এমন কিছু যা মানুষের ভবিষ্যৎ নষ্ট করে দেয়। আসক্তি উপলব্ধি করা হয়, তুমি বুঝতে পারো যে তুমি আসক্ত, কিন্তু এটা ভালো লাগে তাই তুমি আসলে পরোয়া করো না। আসক্তি এখন তোমার জীবনের অংশ, আসক্ত হওয়া তোমার ব্যক্তিত্বের একটি অংশ হয়ে উঠেছে। আসক্তির আমার নিজস্ব অভিজ্ঞতা বলতে চাইছিলাম, কি জিজ্ঞাসা করো না। শুধু আসক্তি থেকে দূরে থাকো। যদি তুমি জানো যে তুমি আসক্ত, তাহলে এখনই থামো অথবা সাহায্য চাও!!</v>
      </c>
    </row>
    <row r="637" spans="1:3" ht="15" x14ac:dyDescent="0.25">
      <c r="A637" s="3" t="s">
        <v>637</v>
      </c>
      <c r="B637" s="3" t="s">
        <v>4</v>
      </c>
      <c r="C637" s="4" t="str">
        <f ca="1">IFERROR(__xludf.DUMMYFUNCTION("GOOGLETRANSLATE(A637, ""auto"", ""bn"")"),"সে ৭ বছর ধরে হেরোইনের প্রতি আসক্ত ছিল, ওষুধ খেয়ে সে ২ দিন সুস্থ ছিল, কিন্তু এখন সে প্রতিদিন এক বোতল পান করছে, সে মাঝে মাঝে জ্যানাক্সও খায়, তার বাহুতে দাগ আছে আমি জানি না সে কিছু ইনজেকশন দিয়েছে কিনা? সে অনেক মিথ্যা বলে। আমরা মাত্র দুই মাস আগে বিয়ে করেছ"&amp;"ি, আমার শাশুড়ি আমাকে বলছেন যে তাকে একটা সুযোগ দিতে এবং আমাদের ভবিষ্যৎ সুন্দর হতে পারে। আমি তার সাথে অন্য দেশে থাকি, আমি ইতিমধ্যেই খুব একা বোধ করি, আমার শাশুড়ি অতীতে আমার সাথে অভদ্র ব্যবহার করেছিলেন। সে এবং তার মা এই দেশে আমার পরিচিত সবাই, আমি আমার পরিবা"&amp;"রকে মিস করি এবং আমি খুব দুঃখিত, কিন্তু আমি তাকে অনেক ভালোবাসি। আমি কি তাকে ছেড়ে চলে যাব???")</f>
        <v>সে ৭ বছর ধরে হেরোইনের প্রতি আসক্ত ছিল, ওষুধ খেয়ে সে ২ দিন সুস্থ ছিল, কিন্তু এখন সে প্রতিদিন এক বোতল পান করছে, সে মাঝে মাঝে জ্যানাক্সও খায়, তার বাহুতে দাগ আছে আমি জানি না সে কিছু ইনজেকশন দিয়েছে কিনা? সে অনেক মিথ্যা বলে। আমরা মাত্র দুই মাস আগে বিয়ে করেছি, আমার শাশুড়ি আমাকে বলছেন যে তাকে একটা সুযোগ দিতে এবং আমাদের ভবিষ্যৎ সুন্দর হতে পারে। আমি তার সাথে অন্য দেশে থাকি, আমি ইতিমধ্যেই খুব একা বোধ করি, আমার শাশুড়ি অতীতে আমার সাথে অভদ্র ব্যবহার করেছিলেন। সে এবং তার মা এই দেশে আমার পরিচিত সবাই, আমি আমার পরিবারকে মিস করি এবং আমি খুব দুঃখিত, কিন্তু আমি তাকে অনেক ভালোবাসি। আমি কি তাকে ছেড়ে চলে যাব???</v>
      </c>
    </row>
    <row r="638" spans="1:3" ht="15" x14ac:dyDescent="0.25">
      <c r="A638" s="3" t="s">
        <v>638</v>
      </c>
      <c r="B638" s="3" t="s">
        <v>4</v>
      </c>
      <c r="C638" s="4" t="str">
        <f ca="1">IFERROR(__xludf.DUMMYFUNCTION("GOOGLETRANSLATE(A638, ""auto"", ""bn"")"),"আমার অ্যাডেরাল নেশা নিয়ন্ত্রণের বাইরে চলে যাচ্ছে। আমি আমার প্রেসক্রিপশনটি পুনরায় পূরণ করি এবং দিনে দুটি গ্রহণ করা বা দিনে কমপক্ষে একটি নাক ডাকা এবং এটি গ্রহণের মধ্যে এক বা দুই সপ্তাহের মধ্যে এটি সম্পন্ন করি। আমি জানি আমার অ্যাডেরাল ADHD ছাড়া আমি থাকতে "&amp;"পারব না। আমার কেবল এটির সাথে একটি সুস্থ সম্পর্ক ফিরে পাওয়া দরকার। তাছাড়া, গতকাল অতিরিক্ত খাওয়ার পর অ্যাডেরাল না নেওয়ায় আজ আমার খুব খারাপ লাগছে। তাছাড়া, আমি আশা করি আমি আরও ভালোভাবে মোকাবেলা করতে পারতাম।")</f>
        <v>আমার অ্যাডেরাল নেশা নিয়ন্ত্রণের বাইরে চলে যাচ্ছে। আমি আমার প্রেসক্রিপশনটি পুনরায় পূরণ করি এবং দিনে দুটি গ্রহণ করা বা দিনে কমপক্ষে একটি নাক ডাকা এবং এটি গ্রহণের মধ্যে এক বা দুই সপ্তাহের মধ্যে এটি সম্পন্ন করি। আমি জানি আমার অ্যাডেরাল ADHD ছাড়া আমি থাকতে পারব না। আমার কেবল এটির সাথে একটি সুস্থ সম্পর্ক ফিরে পাওয়া দরকার। তাছাড়া, গতকাল অতিরিক্ত খাওয়ার পর অ্যাডেরাল না নেওয়ায় আজ আমার খুব খারাপ লাগছে। তাছাড়া, আমি আশা করি আমি আরও ভালোভাবে মোকাবেলা করতে পারতাম।</v>
      </c>
    </row>
    <row r="639" spans="1:3" ht="15" x14ac:dyDescent="0.25">
      <c r="A639" s="3" t="s">
        <v>639</v>
      </c>
      <c r="B639" s="3" t="s">
        <v>4</v>
      </c>
      <c r="C639" s="4" t="str">
        <f ca="1">IFERROR(__xludf.DUMMYFUNCTION("GOOGLETRANSLATE(A639, ""auto"", ""bn"")"),"তাই আমি দুই দিন কোল্ড টার্কি খেয়েছিলাম এবং আজ আবার ফিরে এসেছি। অনুভূতিটা ভয়াবহ ছিল, কিন্তু সেই দুই দিন কোল্ড টার্কি আমাকে পূর্ব দিকে নিজেকে নিয়ন্ত্রণ করতে সাহায্য করেছে। এখন আমি প্রতি সপ্তাহে আমার ডোজ কমিয়ে দেব যতক্ষণ না আমি আগের দিনের মতো মৃত্যুর অনু"&amp;"ভূতি না পেয়ে থামতে পারি। আমার মতো একই পরিস্থিতির মধ্য দিয়ে যারা যাচ্ছে, আমি জানি এটা কঠিন কিন্তু লড়াই করো।")</f>
        <v>তাই আমি দুই দিন কোল্ড টার্কি খেয়েছিলাম এবং আজ আবার ফিরে এসেছি। অনুভূতিটা ভয়াবহ ছিল, কিন্তু সেই দুই দিন কোল্ড টার্কি আমাকে পূর্ব দিকে নিজেকে নিয়ন্ত্রণ করতে সাহায্য করেছে। এখন আমি প্রতি সপ্তাহে আমার ডোজ কমিয়ে দেব যতক্ষণ না আমি আগের দিনের মতো মৃত্যুর অনুভূতি না পেয়ে থামতে পারি। আমার মতো একই পরিস্থিতির মধ্য দিয়ে যারা যাচ্ছে, আমি জানি এটা কঠিন কিন্তু লড়াই করো।</v>
      </c>
    </row>
    <row r="640" spans="1:3" ht="15" x14ac:dyDescent="0.25">
      <c r="A640" s="3" t="s">
        <v>640</v>
      </c>
      <c r="B640" s="3" t="s">
        <v>4</v>
      </c>
      <c r="C640" s="4" t="str">
        <f ca="1">IFERROR(__xludf.DUMMYFUNCTION("GOOGLETRANSLATE(A640, ""auto"", ""bn"")"),"যারা আগে গাঁজা সেবনে আসক্ত ছিল, তারা কি এখনও গাঁজা সেবন করে? আমি কেবল জিজ্ঞাসা করছি কারণ আমার মতো, আমি এখনও বলি যে আমি সুস্থ হয়ে উঠছি। চার বছর ধরে এখনও একটিও বড়ি খাইনি। আমি গাঁজায় আসক্ত নই, আমার প্রতিদিন এটির প্রয়োজন হয় না। যদি আমি কাউকে বিরক্ত করে থ"&amp;"াকি তবে দুঃখিত, এটি আমার লক্ষ্য নয়। আমি ভাবছি যে আমার মতো আর কেউ আছে কিনা। দয়া করে বলুন যে এই পোস্টটি সরিয়ে ফেলা উচিত কিনা।")</f>
        <v>যারা আগে গাঁজা সেবনে আসক্ত ছিল, তারা কি এখনও গাঁজা সেবন করে? আমি কেবল জিজ্ঞাসা করছি কারণ আমার মতো, আমি এখনও বলি যে আমি সুস্থ হয়ে উঠছি। চার বছর ধরে এখনও একটিও বড়ি খাইনি। আমি গাঁজায় আসক্ত নই, আমার প্রতিদিন এটির প্রয়োজন হয় না। যদি আমি কাউকে বিরক্ত করে থাকি তবে দুঃখিত, এটি আমার লক্ষ্য নয়। আমি ভাবছি যে আমার মতো আর কেউ আছে কিনা। দয়া করে বলুন যে এই পোস্টটি সরিয়ে ফেলা উচিত কিনা।</v>
      </c>
    </row>
    <row r="641" spans="1:3" ht="15" x14ac:dyDescent="0.25">
      <c r="A641" s="3" t="s">
        <v>641</v>
      </c>
      <c r="B641" s="3" t="s">
        <v>4</v>
      </c>
      <c r="C641" s="4" t="str">
        <f ca="1">IFERROR(__xludf.DUMMYFUNCTION("GOOGLETRANSLATE(A641, ""auto"", ""bn"")"),"আমি বিশ্বাস করি যে মানসিক আসক্তি (যেমন জুয়া, খাবার, চিনি, যৌনতা, অথবা গাঁজার উপর নির্ভরতা) এখনও অন্যান্য মাদকের মতো রাসায়নিকভাবে আসক্তিকর। এখানে আমার ২ পয়সা: গাঁজা ব্যবহারের সাথে আমার অনেক অভিজ্ঞতা আছে, কারণ এটি আমার জীবনের একটি বড় অংশ দখল করে (এই সপ্"&amp;"তাহের শেষের দিকে আমি অন্য একটি পোস্টে এই বিষয়ে আমার গল্প শেয়ার করব)। মৃদু এবং কম ক্ষতিকারক হলেও, গাঁজা/THC মস্তিষ্ককে ডোপামিনের মতো প্রাকৃতিক আনন্দের রাসায়নিকের নিঃসরণ রোধ করতে প্রশিক্ষণ দেয় এবং প্রলোভনের কাছে নতি স্বীকার করলেই কেবল এগুলি ছেড়ে দেয়। "&amp;"খাবার, চিনি বা যৌনতার ক্ষেত্রেও একই ঘটনা ঘটতে পারে। যদি আপনি যথেষ্ট সময় ধরে এই আসক্তি বজায় রাখেন, তাহলে মস্তিষ্ককে পুনরায় প্রশিক্ষণ দেওয়ার জন্য আরও প্রচেষ্টার প্রয়োজন হয় যাতে নিউরোকেমিক্যাল উৎপাদন বা মুক্তির জন্য বাহ্যিক উদ্দীপনার উপর নির্ভরশীল না হ"&amp;"য়।")</f>
        <v>আমি বিশ্বাস করি যে মানসিক আসক্তি (যেমন জুয়া, খাবার, চিনি, যৌনতা, অথবা গাঁজার উপর নির্ভরতা) এখনও অন্যান্য মাদকের মতো রাসায়নিকভাবে আসক্তিকর। এখানে আমার ২ পয়সা: গাঁজা ব্যবহারের সাথে আমার অনেক অভিজ্ঞতা আছে, কারণ এটি আমার জীবনের একটি বড় অংশ দখল করে (এই সপ্তাহের শেষের দিকে আমি অন্য একটি পোস্টে এই বিষয়ে আমার গল্প শেয়ার করব)। মৃদু এবং কম ক্ষতিকারক হলেও, গাঁজা/THC মস্তিষ্ককে ডোপামিনের মতো প্রাকৃতিক আনন্দের রাসায়নিকের নিঃসরণ রোধ করতে প্রশিক্ষণ দেয় এবং প্রলোভনের কাছে নতি স্বীকার করলেই কেবল এগুলি ছেড়ে দেয়। খাবার, চিনি বা যৌনতার ক্ষেত্রেও একই ঘটনা ঘটতে পারে। যদি আপনি যথেষ্ট সময় ধরে এই আসক্তি বজায় রাখেন, তাহলে মস্তিষ্ককে পুনরায় প্রশিক্ষণ দেওয়ার জন্য আরও প্রচেষ্টার প্রয়োজন হয় যাতে নিউরোকেমিক্যাল উৎপাদন বা মুক্তির জন্য বাহ্যিক উদ্দীপনার উপর নির্ভরশীল না হয়।</v>
      </c>
    </row>
    <row r="642" spans="1:3" ht="15" x14ac:dyDescent="0.25">
      <c r="A642" s="3" t="s">
        <v>642</v>
      </c>
      <c r="B642" s="3" t="s">
        <v>4</v>
      </c>
      <c r="C642" s="4" t="str">
        <f ca="1">IFERROR(__xludf.DUMMYFUNCTION("GOOGLETRANSLATE(A642, ""auto"", ""bn"")"),"ভাবো না আমি পরিষ্কার থাকতে চাই, আমার বাবা-মা আমার ব্যাংক অ্যাকাউন্ট সীমাবদ্ধ করে দিয়েছে তাই ব্যবহার করা আরও কঠিন হয়ে পড়েছে। আজ আমি আমার বাবার মানিব্যাগ থেকে টাকা চুরি করেছি এবং তারপর আমার মায়ের কার্ড নিয়ে আমার টাকা তুলে নিয়েছি, সে জিজ্ঞাসা করলে আমি "&amp;"কী বলব তাও জানি না বা চিন্তাও করি না। সে জানবে যে আমি আবার মাদকাসক্ত হয়ে পড়েছি এবং ভাবছি। আমি খুব ভালো বোধ করছি আরএন, ঠিক যা আমি গত 33 দিন ধরে মিস করেছি এবং যা চেয়েছিলাম। দৈনন্দিন জীবনের গতিবিধির মধ্য দিয়ে যাচ্ছিলাম কিন্তু আমার এই অংশটি কেবল ব্যবহারের"&amp;" কথাই ভাবছে। ছিঃ ছিঃ, খুব কঠিন। যাই হোক না কেন আইজি। আমার বয়স মাত্র 16। কেউ দয়া করে আমাকে বলুন এটি শেষ হয়ে যায়।")</f>
        <v>ভাবো না আমি পরিষ্কার থাকতে চাই, আমার বাবা-মা আমার ব্যাংক অ্যাকাউন্ট সীমাবদ্ধ করে দিয়েছে তাই ব্যবহার করা আরও কঠিন হয়ে পড়েছে। আজ আমি আমার বাবার মানিব্যাগ থেকে টাকা চুরি করেছি এবং তারপর আমার মায়ের কার্ড নিয়ে আমার টাকা তুলে নিয়েছি, সে জিজ্ঞাসা করলে আমি কী বলব তাও জানি না বা চিন্তাও করি না। সে জানবে যে আমি আবার মাদকাসক্ত হয়ে পড়েছি এবং ভাবছি। আমি খুব ভালো বোধ করছি আরএন, ঠিক যা আমি গত 33 দিন ধরে মিস করেছি এবং যা চেয়েছিলাম। দৈনন্দিন জীবনের গতিবিধির মধ্য দিয়ে যাচ্ছিলাম কিন্তু আমার এই অংশটি কেবল ব্যবহারের কথাই ভাবছে। ছিঃ ছিঃ, খুব কঠিন। যাই হোক না কেন আইজি। আমার বয়স মাত্র 16। কেউ দয়া করে আমাকে বলুন এটি শেষ হয়ে যায়।</v>
      </c>
    </row>
    <row r="643" spans="1:3" ht="15" x14ac:dyDescent="0.25">
      <c r="A643" s="3" t="s">
        <v>643</v>
      </c>
      <c r="B643" s="3" t="s">
        <v>4</v>
      </c>
      <c r="C643" s="4" t="str">
        <f ca="1">IFERROR(__xludf.DUMMYFUNCTION("GOOGLETRANSLATE(A643, ""auto"", ""bn"")"),"আমার শেষ ওষুধ শেষ হয়ে গেলে আমি ছেড়ে দেব (অন্যথায় আমি প্রলোভন প্রতিরোধ করতে পারব না)। আমার খারাপ প্রত্যাহারের লক্ষণ রয়েছে এবং আমি সবসময় রাগ করতে পারি না, অথবা এটি আমাকে সেকেন্ডহ্যান্ড সমস্যায় ফেলতে পারে। তাছাড়া, আমি NIC প্যাচ কিনতে পারছি না কারণ আমার"&amp;" বয়স এখনও ১৮ বছর হয়নি, তবে আমি আমার ডিলারের কাছ থেকে কিছু পেতে পারি। আপনাদের কি কোন পরামর্শ আছে?")</f>
        <v>আমার শেষ ওষুধ শেষ হয়ে গেলে আমি ছেড়ে দেব (অন্যথায় আমি প্রলোভন প্রতিরোধ করতে পারব না)। আমার খারাপ প্রত্যাহারের লক্ষণ রয়েছে এবং আমি সবসময় রাগ করতে পারি না, অথবা এটি আমাকে সেকেন্ডহ্যান্ড সমস্যায় ফেলতে পারে। তাছাড়া, আমি NIC প্যাচ কিনতে পারছি না কারণ আমার বয়স এখনও ১৮ বছর হয়নি, তবে আমি আমার ডিলারের কাছ থেকে কিছু পেতে পারি। আপনাদের কি কোন পরামর্শ আছে?</v>
      </c>
    </row>
    <row r="644" spans="1:3" ht="15" x14ac:dyDescent="0.25">
      <c r="A644" s="3" t="s">
        <v>644</v>
      </c>
      <c r="B644" s="3" t="s">
        <v>4</v>
      </c>
      <c r="C644" s="4" t="str">
        <f ca="1">IFERROR(__xludf.DUMMYFUNCTION("GOOGLETRANSLATE(A644, ""auto"", ""bn"")"),"এখানকার মানুষদের ধূমপান ত্যাগ করার সবচেয়ে ভালো উপায় কী ছিল? যখনই আমি ধূমপান ছাড়ার জন্য খুব বেশি ব্যস্ত থাকি না অথবা ইতিমধ্যেই কোনও না কোনওভাবে ধূমপান করছি, তখনই ধূমপানের তাড়না অবিশ্বাস্যভাবে বেড়ে যায়। আমি অসংখ্যবার ধূমপান ত্যাগ করার চেষ্টা করেছি এবং"&amp;" কিছু পরামর্শ পেলে খুশি হব। আপডেট: আজকে সিগারেট বা ভ্যাপিং ছাড়াই পুরো ২৪ ঘন্টা কাটিয়েছি! আগে আমাকে কিছু উৎসাহজনক পরামর্শ দেওয়ার জন্য ধন্যবাদ। আশা করি আমি পুরো এক সপ্তাহ ধরে এটি করতে পারব।")</f>
        <v>এখানকার মানুষদের ধূমপান ত্যাগ করার সবচেয়ে ভালো উপায় কী ছিল? যখনই আমি ধূমপান ছাড়ার জন্য খুব বেশি ব্যস্ত থাকি না অথবা ইতিমধ্যেই কোনও না কোনওভাবে ধূমপান করছি, তখনই ধূমপানের তাড়না অবিশ্বাস্যভাবে বেড়ে যায়। আমি অসংখ্যবার ধূমপান ত্যাগ করার চেষ্টা করেছি এবং কিছু পরামর্শ পেলে খুশি হব। আপডেট: আজকে সিগারেট বা ভ্যাপিং ছাড়াই পুরো ২৪ ঘন্টা কাটিয়েছি! আগে আমাকে কিছু উৎসাহজনক পরামর্শ দেওয়ার জন্য ধন্যবাদ। আশা করি আমি পুরো এক সপ্তাহ ধরে এটি করতে পারব।</v>
      </c>
    </row>
    <row r="645" spans="1:3" ht="15" x14ac:dyDescent="0.25">
      <c r="A645" s="3" t="s">
        <v>645</v>
      </c>
      <c r="B645" s="3" t="s">
        <v>4</v>
      </c>
      <c r="C645" s="4" t="str">
        <f ca="1">IFERROR(__xludf.DUMMYFUNCTION("GOOGLETRANSLATE(A645, ""auto"", ""bn"")"),"আমি ৫৮ বছর বয়সী একজন মহিলা, আমার ৫৯ বছর বয়সী স্বামীর সাথে ২০ বছর ধরে সুখে বিবাহিত (উভয়ের জন্যই দ্বিতীয় বিবাহ)। তিনি আমার পরিচিত সবচেয়ে ভালো মানুষ। তিনি আমার ছেলেদের ৪ এবং ৬ বছর বয়স থেকেই লালন-পালন করেছেন এবং তিনি তাদের নিজের সন্তান বলে মনে করেন (আমার প্"&amp;"রাক্তন ভাইয়ের আশীর্বাদে যিনি আমাদের বাচ্চাদের সাথেও জড়িত)। তাছাড়া, তিনি আমাদের জীবনে ঘটে যাওয়া সেরা জিনিস। তাছাড়া, তিনিই এমন একজন মানুষ যিনি যেকোনো পরিস্থিতিতে সাহায্য করার জন্য সবকিছু ত্যাগ করবেন। আমার ছেলেরা যেকোনো সমস্যায় তাদের বাবার পরিবর্তে তাকে ফো"&amp;"ন করবে। আমার সমস্যা হল আমি একজন সুস্থ হওয়া মদ্যপ, পিল পপার। এখন আমার উদ্বেগ এবং প্যানিক অ্যাটাক নিয়ন্ত্রণের জন্য আমার ওষুধের প্রয়োজন। আমার কাছে .০৫ মিলিগ্রাম ক্লোনোপিনের একটি প্রেসক্রিপশন আছে যা প্রয়োজন অনুযায়ী নেওয়া যেতে পারে কিন্তু দিনে সর্বোচ্চ মাত্র "&amp;"৩ বার। এখন আমি জানি যে এই পরিমাণে এই বড়িগুলো আমার কাছে থাকতে পারে না কারণ আমি জানি যে আমি পরে যদি মনে করি আমার উদ্বেগ হতে পারে তবুও আমি এগুলো খাব। এটাই সত্য এবং আমার মধ্যে আসক্তি। তাই আমি আমার স্বামীর সাথে দীর্ঘক্ষণ কথা বলেছি এবং আমার পরিস্থিতি যতটা সম্ভ"&amp;"ব এমন একজনকে ব্যাখ্যা করেছি যিনি কখনও বড়ি খাওয়ার কথা ভাবেন না। আমি তাকে সকালে ৩টি বড়ি দিতে বলি। বাথরুমের কাউন্টারে অথবা ছোট বোতলে ভরে রেখে দেই। এটি আমাকে বড়ি খাওয়ার আগে যত্ন নিতে এবং সত্যিই চিন্তা করতে সাহায্য করে। আমি তাকে বলেছিলাম দয়া করে কোথাও, ক"&amp;"োথাও এগুলো দূরে রাখতে? সত্যিই বোতলটি দেখতে চাই না কারণ আমি উত্তেজিত হই। যার মাদকাসক্ত মস্তিষ্ক নেই তাকে এটা বোঝানো কঠিন। কিন্তু আমি বারবার চেষ্টা করেছি। ""সমস্যা?"" কি সে কখনও মনে রাখে না। কখনও না? আমাকে প্রায় প্রতিদিনই তাকে মনে করিয়ে দিতে হয়। এমনকি তা"&amp;"কে আমার জন্য এটি করতে বলার জন্যও আমি অপরাধী বোধ করি কিন্তু এটা স্পষ্ট যে আমার তার সাহায্যের প্রয়োজন। তাছাড়া, আমি নিজেকে সত্যিই হতাশ দেখতে পাই কারণ এটি তার দোষও নয়। এটি আমার সমস্যা যে আমি তাকে সাহায্য করতে বলছি। এটি এমন এক পর্যায়ে যখন আমি লক করা পিল ডি"&amp;"সপেনসার অর্ডার করতে প্রস্তুত, কিন্তু সেগুলি ব্যয়বহুল। গুরুতর প্রশ্ন: আমি কি তার কাছ থেকে খুব বেশি আশা করছি? ওর উপর এই কথাটা চাপিয়ে দিতে আমার খুব খারাপ লাগছে, কিন্তু আমার অবশ্যই ওর সাহায্য দরকার। কারো কাছে কি কোন পরামর্শ বা সমাধান আছে?")</f>
        <v>আমি ৫৮ বছর বয়সী একজন মহিলা, আমার ৫৯ বছর বয়সী স্বামীর সাথে ২০ বছর ধরে সুখে বিবাহিত (উভয়ের জন্যই দ্বিতীয় বিবাহ)। তিনি আমার পরিচিত সবচেয়ে ভালো মানুষ। তিনি আমার ছেলেদের ৪ এবং ৬ বছর বয়স থেকেই লালন-পালন করেছেন এবং তিনি তাদের নিজের সন্তান বলে মনে করেন (আমার প্রাক্তন ভাইয়ের আশীর্বাদে যিনি আমাদের বাচ্চাদের সাথেও জড়িত)। তাছাড়া, তিনি আমাদের জীবনে ঘটে যাওয়া সেরা জিনিস। তাছাড়া, তিনিই এমন একজন মানুষ যিনি যেকোনো পরিস্থিতিতে সাহায্য করার জন্য সবকিছু ত্যাগ করবেন। আমার ছেলেরা যেকোনো সমস্যায় তাদের বাবার পরিবর্তে তাকে ফোন করবে। আমার সমস্যা হল আমি একজন সুস্থ হওয়া মদ্যপ, পিল পপার। এখন আমার উদ্বেগ এবং প্যানিক অ্যাটাক নিয়ন্ত্রণের জন্য আমার ওষুধের প্রয়োজন। আমার কাছে .০৫ মিলিগ্রাম ক্লোনোপিনের একটি প্রেসক্রিপশন আছে যা প্রয়োজন অনুযায়ী নেওয়া যেতে পারে কিন্তু দিনে সর্বোচ্চ মাত্র ৩ বার। এখন আমি জানি যে এই পরিমাণে এই বড়িগুলো আমার কাছে থাকতে পারে না কারণ আমি জানি যে আমি পরে যদি মনে করি আমার উদ্বেগ হতে পারে তবুও আমি এগুলো খাব। এটাই সত্য এবং আমার মধ্যে আসক্তি। তাই আমি আমার স্বামীর সাথে দীর্ঘক্ষণ কথা বলেছি এবং আমার পরিস্থিতি যতটা সম্ভব এমন একজনকে ব্যাখ্যা করেছি যিনি কখনও বড়ি খাওয়ার কথা ভাবেন না। আমি তাকে সকালে ৩টি বড়ি দিতে বলি। বাথরুমের কাউন্টারে অথবা ছোট বোতলে ভরে রেখে দেই। এটি আমাকে বড়ি খাওয়ার আগে যত্ন নিতে এবং সত্যিই চিন্তা করতে সাহায্য করে। আমি তাকে বলেছিলাম দয়া করে কোথাও, কোথাও এগুলো দূরে রাখতে? সত্যিই বোতলটি দেখতে চাই না কারণ আমি উত্তেজিত হই। যার মাদকাসক্ত মস্তিষ্ক নেই তাকে এটা বোঝানো কঠিন। কিন্তু আমি বারবার চেষ্টা করেছি। "সমস্যা?" কি সে কখনও মনে রাখে না। কখনও না? আমাকে প্রায় প্রতিদিনই তাকে মনে করিয়ে দিতে হয়। এমনকি তাকে আমার জন্য এটি করতে বলার জন্যও আমি অপরাধী বোধ করি কিন্তু এটা স্পষ্ট যে আমার তার সাহায্যের প্রয়োজন। তাছাড়া, আমি নিজেকে সত্যিই হতাশ দেখতে পাই কারণ এটি তার দোষও নয়। এটি আমার সমস্যা যে আমি তাকে সাহায্য করতে বলছি। এটি এমন এক পর্যায়ে যখন আমি লক করা পিল ডিসপেনসার অর্ডার করতে প্রস্তুত, কিন্তু সেগুলি ব্যয়বহুল। গুরুতর প্রশ্ন: আমি কি তার কাছ থেকে খুব বেশি আশা করছি? ওর উপর এই কথাটা চাপিয়ে দিতে আমার খুব খারাপ লাগছে, কিন্তু আমার অবশ্যই ওর সাহায্য দরকার। কারো কাছে কি কোন পরামর্শ বা সমাধান আছে?</v>
      </c>
    </row>
    <row r="646" spans="1:3" ht="15" x14ac:dyDescent="0.25">
      <c r="A646" s="3" t="s">
        <v>646</v>
      </c>
      <c r="B646" s="3" t="s">
        <v>4</v>
      </c>
      <c r="C646" s="4" t="str">
        <f ca="1">IFERROR(__xludf.DUMMYFUNCTION("GOOGLETRANSLATE(A646, ""auto"", ""bn"")"),"আমি আগে শরীরচর্চা করতাম এবং আমার শরীর দারুন ছিল। আমার প্রতিটি সাক্ষাৎকারেই আমি জিতে যেতাম। শেষ চাকরিতে কয়েক মাসের মধ্যে পরপর দু'বার পদোন্নতি পেয়েছিলাম কারণ আমি আমার সেরাটা দেওয়ার চেষ্টা করছিলাম। একজন অসাধারণ এবং সত্যিই সুন্দরী মেয়ের সাথে আমার দীর্ঘমেয"&amp;"়াদী সম্পর্ক ছিল। আমি কতটা অসাধারণ তা নিয়ে টানাটানি করতে চাই না, কারণ এটি কিছু সময় আগে... আমাদের সম্পর্ক ভেঙে গিয়েছিল। আমরা অনেক ঝগড়া করতাম... বন্ধুদের সাথে একটি অ্যাপার্টমেন্টে থাকার পর। আমরা প্রায়শই প্রচুর মাতাল হয়ে যেতাম এবং জীবন উপভোগ করতাম। কিছ"&amp;"ু সময় পরে, আমরা আরও বেশি করে গাঁজা সেবন শুরু করি। করোনা এসে অফিসে যাওয়ার পরিবর্তে আমি বাড়ি থেকে কাজ করি। আমি আরও বেশি করে কাজে আসতে শুরু করি। আমি কাজে এতটাই পিছিয়ে পড়েছিলাম যে আমি কাজ ছেড়ে দিয়েছিলাম। আমার আগের সাফল্যের কারণে তারা আমাকে পছন্দ করত এব"&amp;"ং এমনকি যদি আমি কাজ না ছাড়ি তবে আমাকে রেখে দিত।")</f>
        <v>আমি আগে শরীরচর্চা করতাম এবং আমার শরীর দারুন ছিল। আমার প্রতিটি সাক্ষাৎকারেই আমি জিতে যেতাম। শেষ চাকরিতে কয়েক মাসের মধ্যে পরপর দু'বার পদোন্নতি পেয়েছিলাম কারণ আমি আমার সেরাটা দেওয়ার চেষ্টা করছিলাম। একজন অসাধারণ এবং সত্যিই সুন্দরী মেয়ের সাথে আমার দীর্ঘমেয়াদী সম্পর্ক ছিল। আমি কতটা অসাধারণ তা নিয়ে টানাটানি করতে চাই না, কারণ এটি কিছু সময় আগে... আমাদের সম্পর্ক ভেঙে গিয়েছিল। আমরা অনেক ঝগড়া করতাম... বন্ধুদের সাথে একটি অ্যাপার্টমেন্টে থাকার পর। আমরা প্রায়শই প্রচুর মাতাল হয়ে যেতাম এবং জীবন উপভোগ করতাম। কিছু সময় পরে, আমরা আরও বেশি করে গাঁজা সেবন শুরু করি। করোনা এসে অফিসে যাওয়ার পরিবর্তে আমি বাড়ি থেকে কাজ করি। আমি আরও বেশি করে কাজে আসতে শুরু করি। আমি কাজে এতটাই পিছিয়ে পড়েছিলাম যে আমি কাজ ছেড়ে দিয়েছিলাম। আমার আগের সাফল্যের কারণে তারা আমাকে পছন্দ করত এবং এমনকি যদি আমি কাজ না ছাড়ি তবে আমাকে রেখে দিত।</v>
      </c>
    </row>
    <row r="647" spans="1:3" ht="15" x14ac:dyDescent="0.25">
      <c r="A647" s="3" t="s">
        <v>647</v>
      </c>
      <c r="B647" s="3" t="s">
        <v>4</v>
      </c>
      <c r="C647" s="4" t="str">
        <f ca="1">IFERROR(__xludf.DUMMYFUNCTION("GOOGLETRANSLATE(A647, ""auto"", ""bn"")"),"বর্তমান সময়ে, আমি জুয়া, মাদক, খাবার, অ্যালকোহল এবং আরও অনেক ধরণের আসক্তি দেখেছি এবং অনুভব করেছি। বিভিন্ন মানুষ বিভিন্ন ফাঁদে পড়ে, কিন্তু আমরা কীভাবে কোনও পদার্থ বা আচরণের উপর নির্ভরশীল হয়ে পড়ি তার একটি ধরণ অবশ্যই থাকে। মানুষ সবকিছু আলাদাভাবে অনুভব কর"&amp;"ে, কিন্তু আমাদের আসক্তিগুলি মোটেও আলাদা নয়। আমাদের সিদ্ধান্তগুলিতে অবশ্যই একটি ধরণ থাকতে হবে যা নির্দিষ্ট আচরণের উপর এই নির্ভরতাকে ট্রিগার করে। অনেকেই তাদের খরগোশের গর্ত থেকে বেরিয়ে আসতে এবং মুক্ত হতে সক্ষম হয়, কিন্তু অনেকে নিজেদের সাথে লড়াই করে এবং ক"&amp;"েবল একটি উপায়ের আশা করে। আমি আপনার গল্প শুনতে চাই এবং আপনি কি আলাদা ছিলেন?")</f>
        <v>বর্তমান সময়ে, আমি জুয়া, মাদক, খাবার, অ্যালকোহল এবং আরও অনেক ধরণের আসক্তি দেখেছি এবং অনুভব করেছি। বিভিন্ন মানুষ বিভিন্ন ফাঁদে পড়ে, কিন্তু আমরা কীভাবে কোনও পদার্থ বা আচরণের উপর নির্ভরশীল হয়ে পড়ি তার একটি ধরণ অবশ্যই থাকে। মানুষ সবকিছু আলাদাভাবে অনুভব করে, কিন্তু আমাদের আসক্তিগুলি মোটেও আলাদা নয়। আমাদের সিদ্ধান্তগুলিতে অবশ্যই একটি ধরণ থাকতে হবে যা নির্দিষ্ট আচরণের উপর এই নির্ভরতাকে ট্রিগার করে। অনেকেই তাদের খরগোশের গর্ত থেকে বেরিয়ে আসতে এবং মুক্ত হতে সক্ষম হয়, কিন্তু অনেকে নিজেদের সাথে লড়াই করে এবং কেবল একটি উপায়ের আশা করে। আমি আপনার গল্প শুনতে চাই এবং আপনি কি আলাদা ছিলেন?</v>
      </c>
    </row>
    <row r="648" spans="1:3" ht="15" x14ac:dyDescent="0.25">
      <c r="A648" s="3" t="s">
        <v>647</v>
      </c>
      <c r="B648" s="3" t="s">
        <v>4</v>
      </c>
      <c r="C648" s="4" t="str">
        <f ca="1">IFERROR(__xludf.DUMMYFUNCTION("GOOGLETRANSLATE(A648, ""auto"", ""bn"")"),"বর্তমান সময়ে, আমি জুয়া, মাদক, খাবার, অ্যালকোহল এবং আরও অনেক ধরণের আসক্তি দেখেছি এবং অনুভব করেছি। বিভিন্ন মানুষ বিভিন্ন ফাঁদে পড়ে, কিন্তু আমরা কীভাবে কোনও পদার্থ বা আচরণের উপর নির্ভরশীল হয়ে পড়ি তার একটি ধরণ অবশ্যই থাকে। মানুষ সবকিছু আলাদাভাবে অনুভব কর"&amp;"ে, কিন্তু আমাদের আসক্তিগুলি মোটেও আলাদা নয়। আমাদের সিদ্ধান্তগুলিতে অবশ্যই একটি ধরণ থাকতে হবে যা নির্দিষ্ট আচরণের উপর এই নির্ভরতাকে ট্রিগার করে। অনেকেই তাদের খরগোশের গর্ত থেকে বেরিয়ে আসতে এবং মুক্ত হতে সক্ষম হয়, কিন্তু অনেকে নিজেদের সাথে লড়াই করে এবং ক"&amp;"েবল একটি উপায়ের আশা করে। আমি আপনার গল্প শুনতে চাই এবং আপনি কি আলাদা ছিলেন?")</f>
        <v>বর্তমান সময়ে, আমি জুয়া, মাদক, খাবার, অ্যালকোহল এবং আরও অনেক ধরণের আসক্তি দেখেছি এবং অনুভব করেছি। বিভিন্ন মানুষ বিভিন্ন ফাঁদে পড়ে, কিন্তু আমরা কীভাবে কোনও পদার্থ বা আচরণের উপর নির্ভরশীল হয়ে পড়ি তার একটি ধরণ অবশ্যই থাকে। মানুষ সবকিছু আলাদাভাবে অনুভব করে, কিন্তু আমাদের আসক্তিগুলি মোটেও আলাদা নয়। আমাদের সিদ্ধান্তগুলিতে অবশ্যই একটি ধরণ থাকতে হবে যা নির্দিষ্ট আচরণের উপর এই নির্ভরতাকে ট্রিগার করে। অনেকেই তাদের খরগোশের গর্ত থেকে বেরিয়ে আসতে এবং মুক্ত হতে সক্ষম হয়, কিন্তু অনেকে নিজেদের সাথে লড়াই করে এবং কেবল একটি উপায়ের আশা করে। আমি আপনার গল্প শুনতে চাই এবং আপনি কি আলাদা ছিলেন?</v>
      </c>
    </row>
    <row r="649" spans="1:3" ht="15" x14ac:dyDescent="0.25">
      <c r="A649" s="3" t="s">
        <v>648</v>
      </c>
      <c r="B649" s="3" t="s">
        <v>4</v>
      </c>
      <c r="C649" s="4" t="str">
        <f ca="1">IFERROR(__xludf.DUMMYFUNCTION("GOOGLETRANSLATE(A649, ""auto"", ""bn"")"),"আমি যেমন বলেছিলাম সে হাসপাতালে গিয়েছিল (কি কারণে ছিল মনে নেই) এবং থাকার সময় সে প্রচুর ওপিওয়েড খেয়েছিল, এবং সে সেগুলি গ্রহণ চালিয়ে যেতে চাইছে। আমি ইতিমধ্যেই তাকে বলেছি যে মাদকাসক্তি এমন একটি জিনিস যা তার কাম্য নয় (খুব অল্প বয়সেই আমার মেথের আসক্তি হয"&amp;"়েছিল)। আমি তাকে বুঝতে পারছি না যে এটি এমন কোনও পথ নয় যা তার নেওয়া উচিত। আমি তাকে খুব ভালোবাসি এবং চাই না যে সে তার শরীর এবং মনকে নষ্ট করে দিক, যেমনটি আমি বলেছি। সে কেবল এটিই ভাবছে যে এটি আবার এতটা বেড়ে যাচ্ছে, এবং এটি আমার জন্য বেশ কষ্টকর। যেকোনো পরাম"&amp;"র্শের জন্য কৃতজ্ঞ থাকব। অনেক ধন্যবাদ। ভালোবাসা।")</f>
        <v>আমি যেমন বলেছিলাম সে হাসপাতালে গিয়েছিল (কি কারণে ছিল মনে নেই) এবং থাকার সময় সে প্রচুর ওপিওয়েড খেয়েছিল, এবং সে সেগুলি গ্রহণ চালিয়ে যেতে চাইছে। আমি ইতিমধ্যেই তাকে বলেছি যে মাদকাসক্তি এমন একটি জিনিস যা তার কাম্য নয় (খুব অল্প বয়সেই আমার মেথের আসক্তি হয়েছিল)। আমি তাকে বুঝতে পারছি না যে এটি এমন কোনও পথ নয় যা তার নেওয়া উচিত। আমি তাকে খুব ভালোবাসি এবং চাই না যে সে তার শরীর এবং মনকে নষ্ট করে দিক, যেমনটি আমি বলেছি। সে কেবল এটিই ভাবছে যে এটি আবার এতটা বেড়ে যাচ্ছে, এবং এটি আমার জন্য বেশ কষ্টকর। যেকোনো পরামর্শের জন্য কৃতজ্ঞ থাকব। অনেক ধন্যবাদ। ভালোবাসা।</v>
      </c>
    </row>
    <row r="650" spans="1:3" ht="15" x14ac:dyDescent="0.25">
      <c r="A650" s="3" t="s">
        <v>649</v>
      </c>
      <c r="B650" s="3" t="s">
        <v>4</v>
      </c>
      <c r="C650" s="4" t="str">
        <f ca="1">IFERROR(__xludf.DUMMYFUNCTION("GOOGLETRANSLATE(A650, ""auto"", ""bn"")"),"আমি মানসিক স্বাস্থ্য/আসক্তির উপর দৃষ্টি নিবদ্ধ করে একটি ডিসকর্ড সার্ভার তৈরি করেছি এবং যদি কেউ যোগ দিতে চান তবে আমরা আপনাকে এখানে পেয়ে খুশি হব। শিরোনাম দেখে হতাশ হবেন না, আমরা পুরুষ এবং মহিলাদের স্বাগত জানাই। ""মানুষ"" এখানে ""মানবজাতি"" শব্দটির মতো একইভ"&amp;"াবে ব্যবহৃত হয়েছে। সার্ভারের মূল কথা হল এখানে কিছু নির্দেশিকা নীতি রয়েছে যা একজনকে আরও ভালো জীবনযাপন করতে সাহায্য করে। আমি আশা করি এটি নিয়মের বিরুদ্ধে নয়, আমি জানি এটি প্রযুক্তিগতভাবে প্রচার, তবে এর থেকে আমার আসলে কিছু লাভ করার নেই আমি কেবল মানুষকে সা"&amp;"হায্য করতে চাই।")</f>
        <v>আমি মানসিক স্বাস্থ্য/আসক্তির উপর দৃষ্টি নিবদ্ধ করে একটি ডিসকর্ড সার্ভার তৈরি করেছি এবং যদি কেউ যোগ দিতে চান তবে আমরা আপনাকে এখানে পেয়ে খুশি হব। শিরোনাম দেখে হতাশ হবেন না, আমরা পুরুষ এবং মহিলাদের স্বাগত জানাই। "মানুষ" এখানে "মানবজাতি" শব্দটির মতো একইভাবে ব্যবহৃত হয়েছে। সার্ভারের মূল কথা হল এখানে কিছু নির্দেশিকা নীতি রয়েছে যা একজনকে আরও ভালো জীবনযাপন করতে সাহায্য করে। আমি আশা করি এটি নিয়মের বিরুদ্ধে নয়, আমি জানি এটি প্রযুক্তিগতভাবে প্রচার, তবে এর থেকে আমার আসলে কিছু লাভ করার নেই আমি কেবল মানুষকে সাহায্য করতে চাই।</v>
      </c>
    </row>
    <row r="651" spans="1:3" ht="15" x14ac:dyDescent="0.25">
      <c r="A651" s="3" t="s">
        <v>650</v>
      </c>
      <c r="B651" s="3" t="s">
        <v>4</v>
      </c>
      <c r="C651" s="4" t="str">
        <f ca="1">IFERROR(__xludf.DUMMYFUNCTION("GOOGLETRANSLATE(A651, ""auto"", ""bn"")"),"আমিও লিখছি, আমার মা দশ বছর ধরে যেমনটা করেছেন, তিনি 'এ' শ্রেণীর আসক্তির সাথে লড়াই করছেন। আমরা যা বুঝতে পেরেছিলাম, তিনি কিছুদিনের জন্য তা থেকে মুক্ত ছিলেন কিন্তু আবার সেই আসক্তিতে জড়িয়ে পড়েছেন এবং নিজেকে কিছু খুব বিপজ্জনক লোকের সাথে ঘিরে রেখেছেন। আপনি ক"&amp;"ল্পনা করতে পারেন, আমি তার জন্য খুব উদ্বিগ্ন এবং এই খবরটি আমাকে সত্যিই আবেগগতভাবে অন্ধকারে ফেলে দিয়েছে কারণ আমি তার থেকে আলাদা দেশে থাকি। আমার মতো যাদের প্রিয়জনরা আসক্তির সাথে লড়াই করছে তাদের জন্য কি কোনও অনলাইন সহায়তা গোষ্ঠী বা সম্প্রদায় আছে? আমার সত"&amp;"্যিই এমন কারো সাথে কথা বলা উচিত যিনি জানেন যে আমি কী মধ্য দিয়ে যাচ্ছি।")</f>
        <v>আমিও লিখছি, আমার মা দশ বছর ধরে যেমনটা করেছেন, তিনি 'এ' শ্রেণীর আসক্তির সাথে লড়াই করছেন। আমরা যা বুঝতে পেরেছিলাম, তিনি কিছুদিনের জন্য তা থেকে মুক্ত ছিলেন কিন্তু আবার সেই আসক্তিতে জড়িয়ে পড়েছেন এবং নিজেকে কিছু খুব বিপজ্জনক লোকের সাথে ঘিরে রেখেছেন। আপনি কল্পনা করতে পারেন, আমি তার জন্য খুব উদ্বিগ্ন এবং এই খবরটি আমাকে সত্যিই আবেগগতভাবে অন্ধকারে ফেলে দিয়েছে কারণ আমি তার থেকে আলাদা দেশে থাকি। আমার মতো যাদের প্রিয়জনরা আসক্তির সাথে লড়াই করছে তাদের জন্য কি কোনও অনলাইন সহায়তা গোষ্ঠী বা সম্প্রদায় আছে? আমার সত্যিই এমন কারো সাথে কথা বলা উচিত যিনি জানেন যে আমি কী মধ্য দিয়ে যাচ্ছি।</v>
      </c>
    </row>
    <row r="652" spans="1:3" ht="15" x14ac:dyDescent="0.25">
      <c r="A652" s="3" t="s">
        <v>651</v>
      </c>
      <c r="B652" s="3" t="s">
        <v>4</v>
      </c>
      <c r="C652" s="4" t="str">
        <f ca="1">IFERROR(__xludf.DUMMYFUNCTION("GOOGLETRANSLATE(A652, ""auto"", ""bn"")"),"আগামীকাল আমার ৩০ দিন সুস্থতা আছে এবং আমার আর কখনও খারাপ লাগেনি। আমি মাদক গ্রহণ করছি না, কিন্তু সবকিছুই ভয়াবহ। আমার বাইপোলার ১ আছে, কিন্তু সাধারণত আমার কেবল হাইপোম্যানিক পর্ব থাকে, কিন্তু এখন আমার সম্পূর্ণরূপে ম্যানিক পর্ব চলছে। তাছাড়া, আমার মনে হচ্ছে আমি"&amp;" বাস্তবতার সাথে যোগাযোগ হারিয়ে ফেলছি এবং আমি প্যারানয়েড হচ্ছি কিনা তা বলতে পারছি না। আমি খুব হতাশাগ্রস্ত, রাগান্বিত এবং ভীত। আমার খাওয়ার ব্যাধি অনেক দিন ধরে এত খারাপ ছিল না। আমার ঘুম আসছে না। আমার BPDও আছে এবং আমার লক্ষণগুলি ১০০০ গুণ খারাপ। সারাদিন আমি"&amp;" ভাবি যে আমি আমার শরীরকে, নিজেকে কতটা ঘৃণা করি, সবাই আমাকে কীভাবে ঘৃণা করে এবং আমি আমার পছন্দের চাকরিটি হারাতে যাচ্ছি এবং আমি বর্তমানে চাকরি করার পরিবর্তে আমার বন্ধুদের পিৎজা তৈরির চাকরিতে কাজ করতে যাচ্ছি (যা আমার স্বপ্নের কাজ, এমন নয় যে খাবার পরিবেশনে ক"&amp;"োনও সমস্যা আছে আমি কেবল আমার কাজটিকে সত্যিই ভালোবাসি)। আমি সবকিছু থেকে বিরতি নিতে চাই। আমি জানি এই সমস্যাগুলির অনেকগুলি এখন আবার ফিরে আসছে কারণ আমি এখন সুস্থ, এবং আগে আমি অতিরিক্ত মদ্যপান করে এগুলো মোকাবেলা করতাম। তাছাড়া, আমার মনে হয় এটি PAWS-এর বাইরে এ"&amp;"বং ফেন্টানাইল আমার মস্তিষ্ককে এতটাই শান্ত করে রেখেছিল যে এটি সুস্থ ছিল এবং এখন এটি চলে যাওয়ার পর আমি সম্পূর্ণরূপে আমার জ্ঞান হারিয়ে ফেলেছি। তাছাড়া, আমি অতিরিক্ত মদ্যপান করতে চাই। তাছাড়া, আমি জানি এটা খারাপ কিন্তু এটা খুবই কঠিন।")</f>
        <v>আগামীকাল আমার ৩০ দিন সুস্থতা আছে এবং আমার আর কখনও খারাপ লাগেনি। আমি মাদক গ্রহণ করছি না, কিন্তু সবকিছুই ভয়াবহ। আমার বাইপোলার ১ আছে, কিন্তু সাধারণত আমার কেবল হাইপোম্যানিক পর্ব থাকে, কিন্তু এখন আমার সম্পূর্ণরূপে ম্যানিক পর্ব চলছে। তাছাড়া, আমার মনে হচ্ছে আমি বাস্তবতার সাথে যোগাযোগ হারিয়ে ফেলছি এবং আমি প্যারানয়েড হচ্ছি কিনা তা বলতে পারছি না। আমি খুব হতাশাগ্রস্ত, রাগান্বিত এবং ভীত। আমার খাওয়ার ব্যাধি অনেক দিন ধরে এত খারাপ ছিল না। আমার ঘুম আসছে না। আমার BPDও আছে এবং আমার লক্ষণগুলি ১০০০ গুণ খারাপ। সারাদিন আমি ভাবি যে আমি আমার শরীরকে, নিজেকে কতটা ঘৃণা করি, সবাই আমাকে কীভাবে ঘৃণা করে এবং আমি আমার পছন্দের চাকরিটি হারাতে যাচ্ছি এবং আমি বর্তমানে চাকরি করার পরিবর্তে আমার বন্ধুদের পিৎজা তৈরির চাকরিতে কাজ করতে যাচ্ছি (যা আমার স্বপ্নের কাজ, এমন নয় যে খাবার পরিবেশনে কোনও সমস্যা আছে আমি কেবল আমার কাজটিকে সত্যিই ভালোবাসি)। আমি সবকিছু থেকে বিরতি নিতে চাই। আমি জানি এই সমস্যাগুলির অনেকগুলি এখন আবার ফিরে আসছে কারণ আমি এখন সুস্থ, এবং আগে আমি অতিরিক্ত মদ্যপান করে এগুলো মোকাবেলা করতাম। তাছাড়া, আমার মনে হয় এটি PAWS-এর বাইরে এবং ফেন্টানাইল আমার মস্তিষ্ককে এতটাই শান্ত করে রেখেছিল যে এটি সুস্থ ছিল এবং এখন এটি চলে যাওয়ার পর আমি সম্পূর্ণরূপে আমার জ্ঞান হারিয়ে ফেলেছি। তাছাড়া, আমি অতিরিক্ত মদ্যপান করতে চাই। তাছাড়া, আমি জানি এটা খারাপ কিন্তু এটা খুবই কঠিন।</v>
      </c>
    </row>
    <row r="653" spans="1:3" ht="15" x14ac:dyDescent="0.25">
      <c r="A653" s="3" t="s">
        <v>652</v>
      </c>
      <c r="B653" s="3" t="s">
        <v>4</v>
      </c>
      <c r="C653" s="4" t="str">
        <f ca="1">IFERROR(__xludf.DUMMYFUNCTION("GOOGLETRANSLATE(A653, ""auto"", ""bn"")"),"অবশেষে আমি এখানে পোস্ট করার সাহস করেছিলাম, আমি দেখেছি সবাই আসক্তির প্রতি সচেতন, বিচার করার পরিবর্তে। আমার মা মারা যাওয়ার পর থেকে আমি বছরের পর বছর ধরে মদ্যপানের সাথে লড়াই করছি। তাছাড়া, আমি বিভিন্ন ধরণের থেরাপি, বড়ি চেষ্টা করেছি এবং আমার ভাইবোনদেরও হস্তক"&amp;"্ষেপের চেষ্টা করা হয়েছিল এবং আমি তাদের একজনের সাথে থাকতে শুরু করেছিলাম। এটি আমার কাজের উপর কোনও প্রভাব ফেলেনি, তবে এটি আমার সামাজিক জীবন। আমার জন্য কোনও আশা আছে কিনা তা নিশ্চিত নই, তবে আপনার যদি কোনও পরামর্শ থাকে, তাহলে আমি অত্যন্ত কৃতজ্ঞ থাকব।")</f>
        <v>অবশেষে আমি এখানে পোস্ট করার সাহস করেছিলাম, আমি দেখেছি সবাই আসক্তির প্রতি সচেতন, বিচার করার পরিবর্তে। আমার মা মারা যাওয়ার পর থেকে আমি বছরের পর বছর ধরে মদ্যপানের সাথে লড়াই করছি। তাছাড়া, আমি বিভিন্ন ধরণের থেরাপি, বড়ি চেষ্টা করেছি এবং আমার ভাইবোনদেরও হস্তক্ষেপের চেষ্টা করা হয়েছিল এবং আমি তাদের একজনের সাথে থাকতে শুরু করেছিলাম। এটি আমার কাজের উপর কোনও প্রভাব ফেলেনি, তবে এটি আমার সামাজিক জীবন। আমার জন্য কোনও আশা আছে কিনা তা নিশ্চিত নই, তবে আপনার যদি কোনও পরামর্শ থাকে, তাহলে আমি অত্যন্ত কৃতজ্ঞ থাকব।</v>
      </c>
    </row>
    <row r="654" spans="1:3" ht="15" x14ac:dyDescent="0.25">
      <c r="A654" s="3" t="s">
        <v>653</v>
      </c>
      <c r="B654" s="3" t="s">
        <v>4</v>
      </c>
      <c r="C654" s="4" t="str">
        <f ca="1">IFERROR(__xludf.DUMMYFUNCTION("GOOGLETRANSLATE(A654, ""auto"", ""bn"")"),"আসক্তির সাথে লড়াই করছি। কিছু সাহায্য বা পরামর্শের প্রয়োজন। দৈনন্দিন জীবনের চাপ সামলাতে না পারার কারণে এবং একটা চক্রে আটকে থাকার কারণে আসক্ত হয়ে পড়েছি। হার্ট অ্যাটাক হয়েছে, কিন্তু আমি এখনও চেষ্টা করছি। দয়া করে?")</f>
        <v>আসক্তির সাথে লড়াই করছি। কিছু সাহায্য বা পরামর্শের প্রয়োজন। দৈনন্দিন জীবনের চাপ সামলাতে না পারার কারণে এবং একটা চক্রে আটকে থাকার কারণে আসক্ত হয়ে পড়েছি। হার্ট অ্যাটাক হয়েছে, কিন্তু আমি এখনও চেষ্টা করছি। দয়া করে?</v>
      </c>
    </row>
    <row r="655" spans="1:3" ht="15" x14ac:dyDescent="0.25">
      <c r="A655" s="3" t="s">
        <v>654</v>
      </c>
      <c r="B655" s="3" t="s">
        <v>4</v>
      </c>
      <c r="C655" s="4" t="str">
        <f ca="1">IFERROR(__xludf.DUMMYFUNCTION("GOOGLETRANSLATE(A655, ""auto"", ""bn"")"),"তাই ছোটবেলা থেকেই আমার মাদকের প্রতি আগ্রহ ছিল। ২০ বছর বয়সে আমার প্রথম জ্যানাক্স নেওয়ার আগে পর্যন্ত আমি বুঝতে পারিনি যে আমার উদ্বেগ আছে। আমার মনে হয় সবাই সবসময় এমনভাবে নার্ভাস থাকে। ডেডআইজ। বিশেষ করে, যেসব ওষুধ আমাকে পুনর্বাসনে নিয়ে যায়, সেগুলো হলো কোকেন "&amp;"এবং বেজোস (জ্যানাক্স, ফ্লু আলপ্রাজোলাম, ক্লোনোপিন, ভ্যালিয়াম, ক্লোনাজেপাম ইত্যাদি)। ৪ মাস পর আমি ইনপেশেন্ট প্রোগ্রামটি শেষ করলাম। আমি অত্যন্ত আত্মবিশ্বাসী ছিলাম যে আমার আর কখনও মাদকের প্রয়োজন হবে না। মূলত আমি ক্যালিফোর্নিয়া থেকে এসেছি কিন্তু আমার বাবা-মা"&amp;" যখন ১৯ বছর বয়সে টেক্সাসে চলে এসেছিলাম এবং একাই থাকতাম। পুনর্বাসনের পর, আমি টেক্সাসে চলে আসি (এখন আমার বয়স ২৪) এবং তুমি কি জানো না, তোমার আসক্তি তোমাকে যেকোনো জায়গায় অনুসরণ করে। আমি সহকর্মী খুঁজে পেয়েছি এবং কোক প্লাগ, ফ্যান, অ্যাসিড ইত্যাদি বন্ধুদের সাথে"&amp;" দেখা করেছি। আমি সেইসব মানুষ, জায়গা এবং জিনিস থেকে দূরে সরে যেতে চলে এসেছি যা আমাকে একজন পূর্ণাঙ্গ আসক্ত করে তুলেছিল, মাদক ব্যবসায়ীদের টাকা ধার দিত এবং আমার নিজের পরিবারের কাছ থেকে চুরি করত। কিন্তু আমি আবারও সেই অভ্যাসে ফিরে এসেছিলাম এবং কঠোর পরিশ্রম করত"&amp;"াম। আমি আমার সবচেয়ে ভালো বন্ধুকে রাজি করিয়েছিলাম ক্যালিফোর্নিয়া ছেড়ে টেক্সাসে আমার এবং আমার প্রেমিকের সাথে একটি অ্যাপার্টমেন্ট নিতে। সেও একজন পলিড্রাগ ব্যবহারকারী (আমার প্রেমিক মোটেও মাদক বা মদ্যপান করে না), এবং প্রতিদিন কোক খাওয়ার অভ্যাসে জড়িয়ে পড"&amp;"়তে খুব বেশি সময় লাগেনি, কোকের নেতিবাচক প্রভাব মোকাবেলা করার জন্য তাকে প্রচুর পরিমাণে জ্যানাক্স খেতে হত। এটা চলতেই থাকে। আমার সবচেয়ে ভালো বন্ধুর সাথে সবকিছু খারাপ হয়ে যায়, এবং আমরা ৫ মাস পর অ্যাপার্টমেন্ট ছেড়ে চলে যাই এবং আমার সবচেয়ে ভালো বন্ধুটি এক"&amp;"া এটি বহন করতে পারেনি, তাই আমাদের নিজেদের উপর ছেড়ে দেওয়া হয়। আমার প্রেমিকের (যার সাথে আমি টেক্সাসে দেখা করেছিলাম) মা এবং বোন কলোরাডোতে থাকতেন, এবং তারা আমাদের পায়ে দাঁড়াতে সাহায্য করার প্রস্তাব দিয়েছিল। তাই আমরা তা করেছিলাম। টেক্সাসে এক বছর মাদক সেব"&amp;"নের পর, আমি এবং আমার প্রেমিক কলোরাডোতে চলে আসি। টেক্সাস থেকে আমার এক বন্ধুও CO থেকে এসেছিল এবং সবেমাত্র ফিরে এসেছিল। একজন পলিড্রাগ ব্যবহারকারী হিসেবে, আমি আবার কোকের প্লাগ খুঁজে পেয়েছিলাম এবং আরও বেশি RC বেজোস কিনতে শুরু করেছিলাম। তারপর আমি এই সবকিছুর উপ"&amp;"রে একটি ক্লোনোপিন স্ক্রিপ্ট পেয়েছিলাম। তাই আমার বেঞ্জ ব্যবহার খারাপ হয়ে গেছে। আমি ৩টি গাড়ি ভাঙচুর করেছি, মাকে গালি দিয়েছি, এবং রোড ট্রিপেও গিয়েছি যা আমার মনেও নেই। আমি NA (COVID-এর জন্য ভার্চুয়াল ধন্যবাদ) মিটিংয়ে যোগ দিতে শুরু করেছিলাম এবং কয়েক মা"&amp;"স ধরে তা চালিয়ে গিয়েছিলাম। শুধু একটা খারাপ দিন কেটে গেল, আর আমি আমার বন্ধুর কাছে কোক চাইছিলাম। তার একাধিক প্লাগ ছিল, এবং এটি আবার আগের মতোই ছিল। আবার কোক বিং করে খাওয়া এবং যখন আমার কাছে ছিল না তখন কেবল একজন খারাপ মানুষ হয়ে যাওয়া। তারপর আসে বেজোসের (য"&amp;"া আমি প্রতিদিন খাই), কারণ যখন আমি সেই দিনটি ব্যবহার করি না, তখনও আমার উদ্বেগ এতটাই বেশি। আমার মাসের RX ক্লোনোপিনের অর্ধেক সময় পার হয়ে গেছে এবং আমি এক সপ্তাহ আগে এটি পেয়েছিলাম। এখন আমি অ্যালকোহলের দিকে ঝুঁকে পড়েছি, প্রায়শই এটি বেজোসের সাথে মিশিয়ে খাই"&amp;"। আমি ঝুঁকি জানি কিন্তু যাই হোক আমি তা করি। আমি শান্ত থাকার অনুভূতি সহ্য করতে পারি না, এবং কেন জানি না। পুনর্বাসন থেকে বেরিয়ে আসার পর আমি আরও ৪ মাস, মোট ৮ মাস পরিষ্কার ছিলাম। কিন্তু আমি যে অবস্থাতেই যাই না কেন, এই একটা চক্রের মধ্যে আটকে আছি। আমার মনে হয়"&amp;" এটা আসক্ত মস্তিষ্ক। আমার প্রশ্ন হল, এখান থেকে আমি কোথায় এগিয়ে যাব? আমার একটা চাকরি আছে যা আমি ভালোবাসি এবং (যদিও আমার প্রয়োজন হতে পারে) আবার কোনও ইনপেশেন্ট পুনর্বাসনে যেতে চাই না। এই অবস্থায় আমার বীমা আরও ব্যয়বহুল এবং আমি নিশ্চিত নই যে এখানে এটি কীভাবে "&amp;"কাজ করবে। আমার শুধু সাহায্যের প্রয়োজন। কাঁদতে কাঁদতে ভাবতে হবে যে কেন একজন বুদ্ধিমান মেয়ে তার স্বপ্নের কলেজে ভর্তি হয়ে ড্রপ আউট হয়ে আমার উজ্জ্বল ভবিষ্যতের চেয়ে মাদক এবং চুরি বেছে নিল। এখন আমার বয়স ২৬। আমার সাহায্যের প্রয়োজন, এবং অবশেষে আমি এখন (আবার) বুঝত"&amp;"ে পারছি। ওহ, এবং আমি প্রথমবারের মতো অ্যালকোহল প্রত্যাহারের অভিজ্ঞতা অর্জন করেছি। বেজোসের একটা জিনিস খেয়েছি এবং সেটাই ভালো বোধ করার জন্য যথেষ্ট ছিল না। যতক্ষণ না আমি কিছু হুইস্কি পান করি, ততক্ষণ পর্যন্ত আমার ভালো লাগছিল না। আমি ভেঙে পড়েছি এবং পিছনের দিকে"&amp;" পিছলে যাচ্ছি। অতি দ্রুত গতিতে।")</f>
        <v>তাই ছোটবেলা থেকেই আমার মাদকের প্রতি আগ্রহ ছিল। ২০ বছর বয়সে আমার প্রথম জ্যানাক্স নেওয়ার আগে পর্যন্ত আমি বুঝতে পারিনি যে আমার উদ্বেগ আছে। আমার মনে হয় সবাই সবসময় এমনভাবে নার্ভাস থাকে। ডেডআইজ। বিশেষ করে, যেসব ওষুধ আমাকে পুনর্বাসনে নিয়ে যায়, সেগুলো হলো কোকেন এবং বেজোস (জ্যানাক্স, ফ্লু আলপ্রাজোলাম, ক্লোনোপিন, ভ্যালিয়াম, ক্লোনাজেপাম ইত্যাদি)। ৪ মাস পর আমি ইনপেশেন্ট প্রোগ্রামটি শেষ করলাম। আমি অত্যন্ত আত্মবিশ্বাসী ছিলাম যে আমার আর কখনও মাদকের প্রয়োজন হবে না। মূলত আমি ক্যালিফোর্নিয়া থেকে এসেছি কিন্তু আমার বাবা-মা যখন ১৯ বছর বয়সে টেক্সাসে চলে এসেছিলাম এবং একাই থাকতাম। পুনর্বাসনের পর, আমি টেক্সাসে চলে আসি (এখন আমার বয়স ২৪) এবং তুমি কি জানো না, তোমার আসক্তি তোমাকে যেকোনো জায়গায় অনুসরণ করে। আমি সহকর্মী খুঁজে পেয়েছি এবং কোক প্লাগ, ফ্যান, অ্যাসিড ইত্যাদি বন্ধুদের সাথে দেখা করেছি। আমি সেইসব মানুষ, জায়গা এবং জিনিস থেকে দূরে সরে যেতে চলে এসেছি যা আমাকে একজন পূর্ণাঙ্গ আসক্ত করে তুলেছিল, মাদক ব্যবসায়ীদের টাকা ধার দিত এবং আমার নিজের পরিবারের কাছ থেকে চুরি করত। কিন্তু আমি আবারও সেই অভ্যাসে ফিরে এসেছিলাম এবং কঠোর পরিশ্রম করতাম। আমি আমার সবচেয়ে ভালো বন্ধুকে রাজি করিয়েছিলাম ক্যালিফোর্নিয়া ছেড়ে টেক্সাসে আমার এবং আমার প্রেমিকের সাথে একটি অ্যাপার্টমেন্ট নিতে। সেও একজন পলিড্রাগ ব্যবহারকারী (আমার প্রেমিক মোটেও মাদক বা মদ্যপান করে না), এবং প্রতিদিন কোক খাওয়ার অভ্যাসে জড়িয়ে পড়তে খুব বেশি সময় লাগেনি, কোকের নেতিবাচক প্রভাব মোকাবেলা করার জন্য তাকে প্রচুর পরিমাণে জ্যানাক্স খেতে হত। এটা চলতেই থাকে। আমার সবচেয়ে ভালো বন্ধুর সাথে সবকিছু খারাপ হয়ে যায়, এবং আমরা ৫ মাস পর অ্যাপার্টমেন্ট ছেড়ে চলে যাই এবং আমার সবচেয়ে ভালো বন্ধুটি একা এটি বহন করতে পারেনি, তাই আমাদের নিজেদের উপর ছেড়ে দেওয়া হয়। আমার প্রেমিকের (যার সাথে আমি টেক্সাসে দেখা করেছিলাম) মা এবং বোন কলোরাডোতে থাকতেন, এবং তারা আমাদের পায়ে দাঁড়াতে সাহায্য করার প্রস্তাব দিয়েছিল। তাই আমরা তা করেছিলাম। টেক্সাসে এক বছর মাদক সেবনের পর, আমি এবং আমার প্রেমিক কলোরাডোতে চলে আসি। টেক্সাস থেকে আমার এক বন্ধুও CO থেকে এসেছিল এবং সবেমাত্র ফিরে এসেছিল। একজন পলিড্রাগ ব্যবহারকারী হিসেবে, আমি আবার কোকের প্লাগ খুঁজে পেয়েছিলাম এবং আরও বেশি RC বেজোস কিনতে শুরু করেছিলাম। তারপর আমি এই সবকিছুর উপরে একটি ক্লোনোপিন স্ক্রিপ্ট পেয়েছিলাম। তাই আমার বেঞ্জ ব্যবহার খারাপ হয়ে গেছে। আমি ৩টি গাড়ি ভাঙচুর করেছি, মাকে গালি দিয়েছি, এবং রোড ট্রিপেও গিয়েছি যা আমার মনেও নেই। আমি NA (COVID-এর জন্য ভার্চুয়াল ধন্যবাদ) মিটিংয়ে যোগ দিতে শুরু করেছিলাম এবং কয়েক মাস ধরে তা চালিয়ে গিয়েছিলাম। শুধু একটা খারাপ দিন কেটে গেল, আর আমি আমার বন্ধুর কাছে কোক চাইছিলাম। তার একাধিক প্লাগ ছিল, এবং এটি আবার আগের মতোই ছিল। আবার কোক বিং করে খাওয়া এবং যখন আমার কাছে ছিল না তখন কেবল একজন খারাপ মানুষ হয়ে যাওয়া। তারপর আসে বেজোসের (যা আমি প্রতিদিন খাই), কারণ যখন আমি সেই দিনটি ব্যবহার করি না, তখনও আমার উদ্বেগ এতটাই বেশি। আমার মাসের RX ক্লোনোপিনের অর্ধেক সময় পার হয়ে গেছে এবং আমি এক সপ্তাহ আগে এটি পেয়েছিলাম। এখন আমি অ্যালকোহলের দিকে ঝুঁকে পড়েছি, প্রায়শই এটি বেজোসের সাথে মিশিয়ে খাই। আমি ঝুঁকি জানি কিন্তু যাই হোক আমি তা করি। আমি শান্ত থাকার অনুভূতি সহ্য করতে পারি না, এবং কেন জানি না। পুনর্বাসন থেকে বেরিয়ে আসার পর আমি আরও ৪ মাস, মোট ৮ মাস পরিষ্কার ছিলাম। কিন্তু আমি যে অবস্থাতেই যাই না কেন, এই একটা চক্রের মধ্যে আটকে আছি। আমার মনে হয় এটা আসক্ত মস্তিষ্ক। আমার প্রশ্ন হল, এখান থেকে আমি কোথায় এগিয়ে যাব? আমার একটা চাকরি আছে যা আমি ভালোবাসি এবং (যদিও আমার প্রয়োজন হতে পারে) আবার কোনও ইনপেশেন্ট পুনর্বাসনে যেতে চাই না। এই অবস্থায় আমার বীমা আরও ব্যয়বহুল এবং আমি নিশ্চিত নই যে এখানে এটি কীভাবে কাজ করবে। আমার শুধু সাহায্যের প্রয়োজন। কাঁদতে কাঁদতে ভাবতে হবে যে কেন একজন বুদ্ধিমান মেয়ে তার স্বপ্নের কলেজে ভর্তি হয়ে ড্রপ আউট হয়ে আমার উজ্জ্বল ভবিষ্যতের চেয়ে মাদক এবং চুরি বেছে নিল। এখন আমার বয়স ২৬। আমার সাহায্যের প্রয়োজন, এবং অবশেষে আমি এখন (আবার) বুঝতে পারছি। ওহ, এবং আমি প্রথমবারের মতো অ্যালকোহল প্রত্যাহারের অভিজ্ঞতা অর্জন করেছি। বেজোসের একটা জিনিস খেয়েছি এবং সেটাই ভালো বোধ করার জন্য যথেষ্ট ছিল না। যতক্ষণ না আমি কিছু হুইস্কি পান করি, ততক্ষণ পর্যন্ত আমার ভালো লাগছিল না। আমি ভেঙে পড়েছি এবং পিছনের দিকে পিছলে যাচ্ছি। অতি দ্রুত গতিতে।</v>
      </c>
    </row>
    <row r="656" spans="1:3" ht="15" x14ac:dyDescent="0.25">
      <c r="A656" s="3" t="s">
        <v>655</v>
      </c>
      <c r="B656" s="3" t="s">
        <v>4</v>
      </c>
      <c r="C656" s="4" t="str">
        <f ca="1">IFERROR(__xludf.DUMMYFUNCTION("GOOGLETRANSLATE(A656, ""auto"", ""bn"")"),"আমি এটা আগে থেকেই লিখে রেখেছিলাম, কিন্তু এটাই আমার কাছে এসেছে?। কেউ যদি থাকে, তবে আমার ভাইয়ের সাথে আমার একটা সম্পর্ক তৈরি হয়েছে। সে যে পাগল হয়েছে, এটা আমার মায়ের দোষ। এর জন্য আমি তাকে তাড়িয়ে দিতে পারি না। আমি ফোন করে তাকে ফোন করার চেষ্টা করেছিলাম। সে কোনও"&amp;" উত্তর দেয়নি। আশা করি সে আমাকে আবার ফোন করবে। ধুর! সে হেরোইন এবং অ্যালকোহলে আসক্ত, এবং এতে আমার কষ্ট হয়, কিন্তু আমি জানি তার কোনও দোষ নেই?। আমার মা তাকে হত্যা করার আগে আমি কীভাবে তার সাথে আমার সম্পর্ক ফিরে পেতে পারি?")</f>
        <v>আমি এটা আগে থেকেই লিখে রেখেছিলাম, কিন্তু এটাই আমার কাছে এসেছে?। কেউ যদি থাকে, তবে আমার ভাইয়ের সাথে আমার একটা সম্পর্ক তৈরি হয়েছে। সে যে পাগল হয়েছে, এটা আমার মায়ের দোষ। এর জন্য আমি তাকে তাড়িয়ে দিতে পারি না। আমি ফোন করে তাকে ফোন করার চেষ্টা করেছিলাম। সে কোনও উত্তর দেয়নি। আশা করি সে আমাকে আবার ফোন করবে। ধুর! সে হেরোইন এবং অ্যালকোহলে আসক্ত, এবং এতে আমার কষ্ট হয়, কিন্তু আমি জানি তার কোনও দোষ নেই?। আমার মা তাকে হত্যা করার আগে আমি কীভাবে তার সাথে আমার সম্পর্ক ফিরে পেতে পারি?</v>
      </c>
    </row>
    <row r="657" spans="1:3" ht="15" x14ac:dyDescent="0.25">
      <c r="A657" s="3" t="s">
        <v>656</v>
      </c>
      <c r="B657" s="3" t="s">
        <v>4</v>
      </c>
      <c r="C657" s="4" t="str">
        <f ca="1">IFERROR(__xludf.DUMMYFUNCTION("GOOGLETRANSLATE(A657, ""auto"", ""bn"")"),"আর জীবনটা সব মিলিয়ে ভালো। আমার স্বপ্নের চাকরি, বন্ধুদের শান্ত রাখা, ব্যায়াম এবং পর্যাপ্ত ঘুম সহ একটি স্বাস্থ্যকর জীবনধারা ইত্যাদি। বেশিরভাগ ক্ষেত্রেই আমার জীবন আবার স্বাভাবিক হয়ে যায়। তবে, আমি এখনও মাঝে মাঝে বিষণ্ণতা এবং উদ্বেগে ভুগছি। কোভিড সাহায্য ক"&amp;"রে না। এই মুহূর্তে আমি ব্রেক-আপের মধ্য দিয়ে যাচ্ছি, এবং এত দিন ধরে আমি এত মানসিক যন্ত্রণায় ভুগছি না। আমি একই ব্যক্তির সাথে ৫ বছর ধরে আছি এবং আমি ভেবেছিলাম তারাই একমাত্র। আমি তাদের বিয়ে করতে, বাচ্চা নিতে এবং পরের বছর একটি বাড়ি কিনতে চেয়েছিলাম। আমরা সব"&amp;"কিছু পরিকল্পনা করেছিলাম। কিন্তু আমরা খুব আলাদা এবং আমরা সবকিছু শেষ করে দিচ্ছি। আমার মনে হচ্ছে আমার একটা অংশ অনুপস্থিত। এবং আমি পাগলের মতো গাঁজা খেতে চাইছি। আমি ধূমপানের স্বপ্ন দেখছি, এমনকি আমি সিবিডি গাঁজাও কিনেছি, আমি আমার জীবনের ৫ বছর গাঁজা ধূমপান করে ন"&amp;"ষ্ট করেছি, আমি আর কখনও সেই জীবনযাত্রায় ফিরে আসব না। আমি এখন অনেক বেশি উৎপাদনশীল, কিন্তু ঈশ্বর, এই হৃদয় ভাঙা আমাকে মেরে ফেলছে। এবং গাঁজা আমাকে সত্যিই উচ্ছ্বসিত করে তোলে তাই আমি আজ সিগারেট ধূমপান করেছি। আমি ধূমপান বা ভ্যাপিং করি না। কিন্তু আমার কিছু একটা "&amp;"ধূমপান করার প্রয়োজন ছিল। শেষবার যখন ধোঁয়া আমার ঠোঁটে ঢুকেছিল, তখন আমি আমার শেষ জয়েন্ট ধূমপান করছিলাম যার ফলে আমার খিঁচুনি হয়েছিল কারণ এটি জড়িয়ে পড়েছিল। আড়াই বছর আগে আমি বোকামি অনুভব করছিলাম। সামনের বারান্দায় তামাক ফুঁ দিচ্ছিলাম। কিন্তু এটা আমার তৃষ্ণা মে"&amp;"টাতে পেরেছিল। ধোঁয়া মুখ থেকে বেরিয়ে রাতের আকাশে ভেসে যেতে দেখে আমার হতাশা কিছুটা কমেছে। এটি আমাকে তাৎক্ষণিক তৃপ্তি দিয়েছে যার জন্য আমি এতদিন ধরে অপেক্ষা করছিলাম। আর এটাই। আমি এখানে আছি, নিজেকে মনে করিয়ে দিচ্ছি যে আমি আর কখনও গাঁজা ধূমপান করব না। আমি আর কখ"&amp;"নও এত নিচে নামব না। আমি CBD আগাছা এবং অন্যান্য জিনিসপত্র যা আমি ধরে রেখেছি তা থেকে মুক্তি পাব এবং যখন আমি আবেগের তলানিতে থাকব তখন কেবল বোকা সিগার ধূমপান করব।")</f>
        <v>আর জীবনটা সব মিলিয়ে ভালো। আমার স্বপ্নের চাকরি, বন্ধুদের শান্ত রাখা, ব্যায়াম এবং পর্যাপ্ত ঘুম সহ একটি স্বাস্থ্যকর জীবনধারা ইত্যাদি। বেশিরভাগ ক্ষেত্রেই আমার জীবন আবার স্বাভাবিক হয়ে যায়। তবে, আমি এখনও মাঝে মাঝে বিষণ্ণতা এবং উদ্বেগে ভুগছি। কোভিড সাহায্য করে না। এই মুহূর্তে আমি ব্রেক-আপের মধ্য দিয়ে যাচ্ছি, এবং এত দিন ধরে আমি এত মানসিক যন্ত্রণায় ভুগছি না। আমি একই ব্যক্তির সাথে ৫ বছর ধরে আছি এবং আমি ভেবেছিলাম তারাই একমাত্র। আমি তাদের বিয়ে করতে, বাচ্চা নিতে এবং পরের বছর একটি বাড়ি কিনতে চেয়েছিলাম। আমরা সবকিছু পরিকল্পনা করেছিলাম। কিন্তু আমরা খুব আলাদা এবং আমরা সবকিছু শেষ করে দিচ্ছি। আমার মনে হচ্ছে আমার একটা অংশ অনুপস্থিত। এবং আমি পাগলের মতো গাঁজা খেতে চাইছি। আমি ধূমপানের স্বপ্ন দেখছি, এমনকি আমি সিবিডি গাঁজাও কিনেছি, আমি আমার জীবনের ৫ বছর গাঁজা ধূমপান করে নষ্ট করেছি, আমি আর কখনও সেই জীবনযাত্রায় ফিরে আসব না। আমি এখন অনেক বেশি উৎপাদনশীল, কিন্তু ঈশ্বর, এই হৃদয় ভাঙা আমাকে মেরে ফেলছে। এবং গাঁজা আমাকে সত্যিই উচ্ছ্বসিত করে তোলে তাই আমি আজ সিগারেট ধূমপান করেছি। আমি ধূমপান বা ভ্যাপিং করি না। কিন্তু আমার কিছু একটা ধূমপান করার প্রয়োজন ছিল। শেষবার যখন ধোঁয়া আমার ঠোঁটে ঢুকেছিল, তখন আমি আমার শেষ জয়েন্ট ধূমপান করছিলাম যার ফলে আমার খিঁচুনি হয়েছিল কারণ এটি জড়িয়ে পড়েছিল। আড়াই বছর আগে আমি বোকামি অনুভব করছিলাম। সামনের বারান্দায় তামাক ফুঁ দিচ্ছিলাম। কিন্তু এটা আমার তৃষ্ণা মেটাতে পেরেছিল। ধোঁয়া মুখ থেকে বেরিয়ে রাতের আকাশে ভেসে যেতে দেখে আমার হতাশা কিছুটা কমেছে। এটি আমাকে তাৎক্ষণিক তৃপ্তি দিয়েছে যার জন্য আমি এতদিন ধরে অপেক্ষা করছিলাম। আর এটাই। আমি এখানে আছি, নিজেকে মনে করিয়ে দিচ্ছি যে আমি আর কখনও গাঁজা ধূমপান করব না। আমি আর কখনও এত নিচে নামব না। আমি CBD আগাছা এবং অন্যান্য জিনিসপত্র যা আমি ধরে রেখেছি তা থেকে মুক্তি পাব এবং যখন আমি আবেগের তলানিতে থাকব তখন কেবল বোকা সিগার ধূমপান করব।</v>
      </c>
    </row>
    <row r="658" spans="1:3" ht="15" x14ac:dyDescent="0.25">
      <c r="A658" s="3" t="s">
        <v>657</v>
      </c>
      <c r="B658" s="3" t="s">
        <v>4</v>
      </c>
      <c r="C658" s="4" t="str">
        <f ca="1">IFERROR(__xludf.DUMMYFUNCTION("GOOGLETRANSLATE(A658, ""auto"", ""bn"")"),"আমার মায়ের আসক্তির সাথে মোকাবিলা করার জন্য আমি সম্প্রতি একটু বেশিই সংগ্রাম করছি। আমি সত্যিই বিশ্বাস করি যে সে ওপিওয়েড মহামারীর শিকার ছিল। (আমি যতটা সম্ভব এটি কমিয়ে আনব) তার বয়স ৫০ বছর। আমি জানতাম সে সবসময় বড়ি (ওপিওয়েড, ব্যথানাশক) নিত কিন্তু যখন আমার"&amp;" বয়স ১৭ বছর তখন থেকেই সবকিছু খারাপ হতে শুরু করে। তখন থেকেই আমি একা জীবনযাপন করছি। দ্রুত এগিয়ে যাওয়ার ৮ বছর পর, ২৫ বছর বয়সে, আমি আর তার সাথে খুব কমই কথা বলি এবং সে আমার বোনকে বলে যে সে হেরোইন খাচ্ছে। সে বলেছিল যে সে ৮ ঘন্টাও এটি ছাড়া থাকতে পারবে না, অ"&amp;"থবা তার মনে হচ্ছে সে মারা যাচ্ছে, যেন সে শ্বাস নিতে পারছে না। সে বলেছিল যে তার সাহায্যের প্রয়োজন কিন্তু সে ডিটক্স ক্লিনিকে গেছে এবং বছরের পর বছর ধরে সুস্থ হওয়ার চেষ্টা করছে, এবং সে পারে না। তদুপরি, সে বলেছিল যে সে রাস্তা দিয়ে হেঁটে যায় এবং লোকেরা তার "&amp;"কাছে আসে এবং তাকে বিনামূল্যে হেরোইন দেয়। তদুপরি, সে ৬ সন্তানের হেফাজত হারিয়েছে। তার প্রতি আমার সবসময় তীব্র বিরক্তি ছিল, সম্প্রতি পর্যন্ত আমি তাকে ঘৃণা করতাম। এখন আমার সহানুভূতি বোধ হচ্ছে। আমি কল্পনাও করতে পারছি না যে সে কী করছে, আর আমার মনে হচ্ছে সে শী"&amp;"ঘ্রই মারা যাবে এবং আমার আর কিছুই করার নেই। আমার মনে হচ্ছে আমি সবসময় আমার মাকে শোক করি এবং তিনি এখনও বেঁচে আছেন। এই বিষয়ে কথা বলার জন্য এর চেয়ে ভালো জায়গা আর কি আছে, আমি আশা করি, কিন্তু কেউ যদি সাহায্য করতে পারে এমন কিছু বলতে পারে, আমি আশা করব।")</f>
        <v>আমার মায়ের আসক্তির সাথে মোকাবিলা করার জন্য আমি সম্প্রতি একটু বেশিই সংগ্রাম করছি। আমি সত্যিই বিশ্বাস করি যে সে ওপিওয়েড মহামারীর শিকার ছিল। (আমি যতটা সম্ভব এটি কমিয়ে আনব) তার বয়স ৫০ বছর। আমি জানতাম সে সবসময় বড়ি (ওপিওয়েড, ব্যথানাশক) নিত কিন্তু যখন আমার বয়স ১৭ বছর তখন থেকেই সবকিছু খারাপ হতে শুরু করে। তখন থেকেই আমি একা জীবনযাপন করছি। দ্রুত এগিয়ে যাওয়ার ৮ বছর পর, ২৫ বছর বয়সে, আমি আর তার সাথে খুব কমই কথা বলি এবং সে আমার বোনকে বলে যে সে হেরোইন খাচ্ছে। সে বলেছিল যে সে ৮ ঘন্টাও এটি ছাড়া থাকতে পারবে না, অথবা তার মনে হচ্ছে সে মারা যাচ্ছে, যেন সে শ্বাস নিতে পারছে না। সে বলেছিল যে তার সাহায্যের প্রয়োজন কিন্তু সে ডিটক্স ক্লিনিকে গেছে এবং বছরের পর বছর ধরে সুস্থ হওয়ার চেষ্টা করছে, এবং সে পারে না। তদুপরি, সে বলেছিল যে সে রাস্তা দিয়ে হেঁটে যায় এবং লোকেরা তার কাছে আসে এবং তাকে বিনামূল্যে হেরোইন দেয়। তদুপরি, সে ৬ সন্তানের হেফাজত হারিয়েছে। তার প্রতি আমার সবসময় তীব্র বিরক্তি ছিল, সম্প্রতি পর্যন্ত আমি তাকে ঘৃণা করতাম। এখন আমার সহানুভূতি বোধ হচ্ছে। আমি কল্পনাও করতে পারছি না যে সে কী করছে, আর আমার মনে হচ্ছে সে শীঘ্রই মারা যাবে এবং আমার আর কিছুই করার নেই। আমার মনে হচ্ছে আমি সবসময় আমার মাকে শোক করি এবং তিনি এখনও বেঁচে আছেন। এই বিষয়ে কথা বলার জন্য এর চেয়ে ভালো জায়গা আর কি আছে, আমি আশা করি, কিন্তু কেউ যদি সাহায্য করতে পারে এমন কিছু বলতে পারে, আমি আশা করব।</v>
      </c>
    </row>
    <row r="659" spans="1:3" ht="15" x14ac:dyDescent="0.25">
      <c r="A659" s="3" t="s">
        <v>658</v>
      </c>
      <c r="B659" s="3" t="s">
        <v>4</v>
      </c>
      <c r="C659" s="4" t="str">
        <f ca="1">IFERROR(__xludf.DUMMYFUNCTION("GOOGLETRANSLATE(A659, ""auto"", ""bn"")"),"আমার ১৭ বছর বয়সী গাঁজা এবং ভিডিও গেমের প্রতি আসক্তি আছে, আর আমি হতাশাগ্রস্ত। আমি বেশ কয়েক মাস ধরে প্রতিদিন ধূমপান করছি এবং আমার বেশিরভাগ সময় আমি ইউটিউবে গেম খেলে অথবা মানুষের খেলা দেখে কাটাই। জীবনটা একটা ঝাপসা ব্যাপার এবং প্রায় সবসময়ই আমার নিজেকে আলাদা মন"&amp;"ে হয়। আমার গাঁজা প্রায় শেষ হয়ে গেছে এবং একবার শেষ হয়ে গেলে আমি এটাকে এভাবেই ধরে রাখার পরিকল্পনা করি, কিন্তু আগে থেকেই চেষ্টা করে দেখার পর, বলাটা যতটা সহজ, শেষ করার চেয়ে সহজ, এই পর্যায়ে আমি ধূমপান করি এবং কিছু দিন মনে হয় যে এটাই আমাকে চালিয়ে যেতে সাহায্য ক"&amp;"রে। শেষ কবে আমি স্কুল সম্পর্কিত কোনও খেলায় অংশগ্রহণ করেছিলাম মনে করতে পারছি না কিন্তু ছোটবেলায় আমাকে ""প্রতিভাবান বাচ্চা"" হিসেবে আখ্যা দেওয়া হয়েছিল, সবকিছুর পরিবর্তন দরকার। আমি জানি অন্যান্য ধরণের মাদকাসক্তির তুলনায় গাঁজা ফ্যাকাশে, কিন্তু কখনও কখনও এটি ছ"&amp;"াড়া চলা অসম্ভব বলে মনে হয়।")</f>
        <v>আমার ১৭ বছর বয়সী গাঁজা এবং ভিডিও গেমের প্রতি আসক্তি আছে, আর আমি হতাশাগ্রস্ত। আমি বেশ কয়েক মাস ধরে প্রতিদিন ধূমপান করছি এবং আমার বেশিরভাগ সময় আমি ইউটিউবে গেম খেলে অথবা মানুষের খেলা দেখে কাটাই। জীবনটা একটা ঝাপসা ব্যাপার এবং প্রায় সবসময়ই আমার নিজেকে আলাদা মনে হয়। আমার গাঁজা প্রায় শেষ হয়ে গেছে এবং একবার শেষ হয়ে গেলে আমি এটাকে এভাবেই ধরে রাখার পরিকল্পনা করি, কিন্তু আগে থেকেই চেষ্টা করে দেখার পর, বলাটা যতটা সহজ, শেষ করার চেয়ে সহজ, এই পর্যায়ে আমি ধূমপান করি এবং কিছু দিন মনে হয় যে এটাই আমাকে চালিয়ে যেতে সাহায্য করে। শেষ কবে আমি স্কুল সম্পর্কিত কোনও খেলায় অংশগ্রহণ করেছিলাম মনে করতে পারছি না কিন্তু ছোটবেলায় আমাকে "প্রতিভাবান বাচ্চা" হিসেবে আখ্যা দেওয়া হয়েছিল, সবকিছুর পরিবর্তন দরকার। আমি জানি অন্যান্য ধরণের মাদকাসক্তির তুলনায় গাঁজা ফ্যাকাশে, কিন্তু কখনও কখনও এটি ছাড়া চলা অসম্ভব বলে মনে হয়।</v>
      </c>
    </row>
    <row r="660" spans="1:3" ht="15" x14ac:dyDescent="0.25">
      <c r="A660" s="3" t="s">
        <v>659</v>
      </c>
      <c r="B660" s="3" t="s">
        <v>4</v>
      </c>
      <c r="C660" s="4" t="str">
        <f ca="1">IFERROR(__xludf.DUMMYFUNCTION("GOOGLETRANSLATE(A660, ""auto"", ""bn"")"),"আমার আসক্তি মাদক বা অ্যালকোহলের প্রতি নয়। কিন্তু অনলাইন শপিং এবং জুয়ার প্রতি। আমি নিজেকে সামলাতে পারছি না, এটা এখন এমন পর্যায়ে পৌঁছেছে যে আমি টাকা ধার করছি এবং এর জন্য মিথ্যা বলছি। আর যখন আমি টাকা পাই, তখন আমাকে কিছু অর্ডার করতে হয় অথবা এর মাধ্যমে খেল"&amp;"াধুলায় জুয়া খেলতে হয়। এটা ক্লান্তিকর হয়ে উঠছে এবং আমি জানি না কিভাবে থামাবো। গতকাল যখন আমি এক বে-তে একটি বিড হেরে যাই এবং এতে প্রচণ্ড রেগে যাই, তখন আমি বুঝতে পারি যে এটি একটি বিশাল সমস্যা হতে শুরু করেছে, আমি আমার প্রেমিককে কেন তা জানাইনি। সে শুধু ভাবছ"&amp;"িল কেন আমি এত রেগে আছি। পরিস্থিতি আরও খারাপ হওয়ার আগে আমার সত্যিই এই বিষয়ে সাহায্যের প্রয়োজন। এখন আমি 49ers এবং কাউবয়েজের উপর বাজি ধরছি, আশা করছি আমার তিনগুণ টাকা ফেরত পাব, যা আমার মাসের ভাড়া। আমি এমন জিনিসের জন্য আমার দায়িত্ব অবহেলা করেছি যা আমার প"&amp;"্রয়োজন নেই, আমি কীভাবে এটি কাটিয়ে উঠতে পারি?")</f>
        <v>আমার আসক্তি মাদক বা অ্যালকোহলের প্রতি নয়। কিন্তু অনলাইন শপিং এবং জুয়ার প্রতি। আমি নিজেকে সামলাতে পারছি না, এটা এখন এমন পর্যায়ে পৌঁছেছে যে আমি টাকা ধার করছি এবং এর জন্য মিথ্যা বলছি। আর যখন আমি টাকা পাই, তখন আমাকে কিছু অর্ডার করতে হয় অথবা এর মাধ্যমে খেলাধুলায় জুয়া খেলতে হয়। এটা ক্লান্তিকর হয়ে উঠছে এবং আমি জানি না কিভাবে থামাবো। গতকাল যখন আমি এক বে-তে একটি বিড হেরে যাই এবং এতে প্রচণ্ড রেগে যাই, তখন আমি বুঝতে পারি যে এটি একটি বিশাল সমস্যা হতে শুরু করেছে, আমি আমার প্রেমিককে কেন তা জানাইনি। সে শুধু ভাবছিল কেন আমি এত রেগে আছি। পরিস্থিতি আরও খারাপ হওয়ার আগে আমার সত্যিই এই বিষয়ে সাহায্যের প্রয়োজন। এখন আমি 49ers এবং কাউবয়েজের উপর বাজি ধরছি, আশা করছি আমার তিনগুণ টাকা ফেরত পাব, যা আমার মাসের ভাড়া। আমি এমন জিনিসের জন্য আমার দায়িত্ব অবহেলা করেছি যা আমার প্রয়োজন নেই, আমি কীভাবে এটি কাটিয়ে উঠতে পারি?</v>
      </c>
    </row>
    <row r="661" spans="1:3" ht="15" x14ac:dyDescent="0.25">
      <c r="A661" s="3" t="s">
        <v>660</v>
      </c>
      <c r="B661" s="3" t="s">
        <v>4</v>
      </c>
      <c r="C661" s="4" t="str">
        <f ca="1">IFERROR(__xludf.DUMMYFUNCTION("GOOGLETRANSLATE(A661, ""auto"", ""bn"")"),"গত রাতে আমার দাদুর সাথে কথা বলার সময় (খুব খ্রিস্টান, গ্রামে বেড়ে ওঠা, কখনও প্রতিকূলতার মুখোমুখি হয়নি) এবং তিনি নিশ্চিত যে আমি এখন যেখানে আছি (সংযমী জীবনযাপন, আইনি সমস্যা মোকাবেলা) তা অনেক খারাপ সিদ্ধান্তের ফল। তিনি আসক্তি/মানসিক স্বাস্থ্য সমস্যা/ট্রমা "&amp;"নিয়ে লড়াই করেন না এবং কখনও সত্যিকার অর্থে এটি কেমন তা অনুভব করবেন না। অবশ্যই, আমি প্রথমে মাদক সেবনের সিদ্ধান্ত নিয়েছিলাম কিন্তু তারপরে আমি যত খারাপই চাই না কেন, আসক্তি এবং হতাশা/উদ্বেগ এটিকে অত্যন্ত কঠিন এবং অসম্ভব করে তুলেছিল। সঠিক পছন্দ করতে আমার সমস"&amp;"্যা হচ্ছে বলাটা অতি সরলীকরণ এবং এই দৃষ্টিভঙ্গি একজনকে ধরে নিতে বাধ্য করবে যে আমি একজন খারাপ মানুষ যখন আমি আসলেই নই")</f>
        <v>গত রাতে আমার দাদুর সাথে কথা বলার সময় (খুব খ্রিস্টান, গ্রামে বেড়ে ওঠা, কখনও প্রতিকূলতার মুখোমুখি হয়নি) এবং তিনি নিশ্চিত যে আমি এখন যেখানে আছি (সংযমী জীবনযাপন, আইনি সমস্যা মোকাবেলা) তা অনেক খারাপ সিদ্ধান্তের ফল। তিনি আসক্তি/মানসিক স্বাস্থ্য সমস্যা/ট্রমা নিয়ে লড়াই করেন না এবং কখনও সত্যিকার অর্থে এটি কেমন তা অনুভব করবেন না। অবশ্যই, আমি প্রথমে মাদক সেবনের সিদ্ধান্ত নিয়েছিলাম কিন্তু তারপরে আমি যত খারাপই চাই না কেন, আসক্তি এবং হতাশা/উদ্বেগ এটিকে অত্যন্ত কঠিন এবং অসম্ভব করে তুলেছিল। সঠিক পছন্দ করতে আমার সমস্যা হচ্ছে বলাটা অতি সরলীকরণ এবং এই দৃষ্টিভঙ্গি একজনকে ধরে নিতে বাধ্য করবে যে আমি একজন খারাপ মানুষ যখন আমি আসলেই নই</v>
      </c>
    </row>
    <row r="662" spans="1:3" ht="15" x14ac:dyDescent="0.25">
      <c r="A662" s="3" t="s">
        <v>661</v>
      </c>
      <c r="B662" s="3" t="s">
        <v>4</v>
      </c>
      <c r="C662" s="4" t="str">
        <f ca="1">IFERROR(__xludf.DUMMYFUNCTION("GOOGLETRANSLATE(A662, ""auto"", ""bn"")"),"আমি এতে খুব লজ্জিত, এতে আমার অনেক সময় লেগে যেত, যেমন ২-৩ ঘন্টা। মাঝে মাঝে আমি ঘুমাতে পারি না, আমাকে ওমেগা খেতে হয়? দয়া করে সাহায্য করুন।")</f>
        <v>আমি এতে খুব লজ্জিত, এতে আমার অনেক সময় লেগে যেত, যেমন ২-৩ ঘন্টা। মাঝে মাঝে আমি ঘুমাতে পারি না, আমাকে ওমেগা খেতে হয়? দয়া করে সাহায্য করুন।</v>
      </c>
    </row>
    <row r="663" spans="1:3" ht="15" x14ac:dyDescent="0.25">
      <c r="A663" s="3" t="s">
        <v>662</v>
      </c>
      <c r="B663" s="3" t="s">
        <v>4</v>
      </c>
      <c r="C663" s="4" t="str">
        <f ca="1">IFERROR(__xludf.DUMMYFUNCTION("GOOGLETRANSLATE(A663, ""auto"", ""bn"")"),"আমার AOL হলো আমার মেয়ের বাবা যার সাথে আমি থাকি। আমার শ্বশুরবাড়ির সাথে আমার খুব ভালো সম্পর্ক, কিন্তু আমার একটা সমস্যা আছে যেটা নিয়ে আমি বেশিরভাগ সময় চুপ থাকি; সম্প্রতি আমি বেশ কয়েকবার এই পরিস্থিতির মুখোমুখি হয়েছি কারণ তার কাজকর্ম আমাকে প্রভাবিত করছে।"&amp;" আমার শাশুড়ি; তার মা তার আসক্তিকে উৎসাহিত করছেন। তিনি প্রতিদিন তাকে যা প্রয়োজন তার জন্য টাকা পাঠান (মাদক, মদ)। তিনি তার বাবার পিছনে পিছনে এটি করেন, এবং তিনি আমাকে বলেছিলেন যে তিনি নতুন বছরে থামবেন এবং তিনি তা করেননি। আমাদের মেয়ের জন্মের পর থেকে তিনি কা"&amp;"জ করেননি, এবং তিনি আমাকে বলেন যে তিনি তাকে আলটিমেটাম দেবেন, চিকিৎসার জন্য অর্থ প্রদান করবেন; আমি বুঝতে পারছি না যে তিনি কীভাবে তাকে সাহায্য করতে চান, কিন্তু তিনি তাকে সাহায্য করতে থাকেন। যদি সে আমার চোখে যা করছে তা চালিয়ে যায় তবে সে কখনও সাহায্য পাবে না"&amp;"। আমি কি এই বিষয়ে আবার তার মুখোমুখি হব? নাকি কেবল এটি চলতে দেব??")</f>
        <v>আমার AOL হলো আমার মেয়ের বাবা যার সাথে আমি থাকি। আমার শ্বশুরবাড়ির সাথে আমার খুব ভালো সম্পর্ক, কিন্তু আমার একটা সমস্যা আছে যেটা নিয়ে আমি বেশিরভাগ সময় চুপ থাকি; সম্প্রতি আমি বেশ কয়েকবার এই পরিস্থিতির মুখোমুখি হয়েছি কারণ তার কাজকর্ম আমাকে প্রভাবিত করছে। আমার শাশুড়ি; তার মা তার আসক্তিকে উৎসাহিত করছেন। তিনি প্রতিদিন তাকে যা প্রয়োজন তার জন্য টাকা পাঠান (মাদক, মদ)। তিনি তার বাবার পিছনে পিছনে এটি করেন, এবং তিনি আমাকে বলেছিলেন যে তিনি নতুন বছরে থামবেন এবং তিনি তা করেননি। আমাদের মেয়ের জন্মের পর থেকে তিনি কাজ করেননি, এবং তিনি আমাকে বলেন যে তিনি তাকে আলটিমেটাম দেবেন, চিকিৎসার জন্য অর্থ প্রদান করবেন; আমি বুঝতে পারছি না যে তিনি কীভাবে তাকে সাহায্য করতে চান, কিন্তু তিনি তাকে সাহায্য করতে থাকেন। যদি সে আমার চোখে যা করছে তা চালিয়ে যায় তবে সে কখনও সাহায্য পাবে না। আমি কি এই বিষয়ে আবার তার মুখোমুখি হব? নাকি কেবল এটি চলতে দেব??</v>
      </c>
    </row>
    <row r="664" spans="1:3" ht="15" x14ac:dyDescent="0.25">
      <c r="A664" s="3" t="s">
        <v>663</v>
      </c>
      <c r="B664" s="3" t="s">
        <v>4</v>
      </c>
      <c r="C664" s="4" t="str">
        <f ca="1">IFERROR(__xludf.DUMMYFUNCTION("GOOGLETRANSLATE(A664, ""auto"", ""bn"")"),"গত বছরটা আমার জীবনের সবচেয়ে খারাপ বছর ছিল। কোকেনের আসক্তি কেন আমার জীবনকে পুরোপুরি নিয়ন্ত্রণ করে নিয়েছিল? আমি অবিবাহিত থাকার জন্য বাগদান করতে চাই না। এই বছরটা এখনও ভালো হচ্ছে বলে মনে হচ্ছে না। আমি প্রচণ্ড হতাশাগ্রস্ত, খুব ভয় পাচ্ছি এবং কী করব বুঝতে পারছি "&amp;"না। আমি নিজের উপর খুব বিরক্ত কারণ আমার কোকের আসক্তি আমাকে আরেকটি সম্পর্কের মূল্য দিতে বাধ্য করেছে।")</f>
        <v>গত বছরটা আমার জীবনের সবচেয়ে খারাপ বছর ছিল। কোকেনের আসক্তি কেন আমার জীবনকে পুরোপুরি নিয়ন্ত্রণ করে নিয়েছিল? আমি অবিবাহিত থাকার জন্য বাগদান করতে চাই না। এই বছরটা এখনও ভালো হচ্ছে বলে মনে হচ্ছে না। আমি প্রচণ্ড হতাশাগ্রস্ত, খুব ভয় পাচ্ছি এবং কী করব বুঝতে পারছি না। আমি নিজের উপর খুব বিরক্ত কারণ আমার কোকের আসক্তি আমাকে আরেকটি সম্পর্কের মূল্য দিতে বাধ্য করেছে।</v>
      </c>
    </row>
    <row r="665" spans="1:3" ht="15" x14ac:dyDescent="0.25">
      <c r="A665" s="3" t="s">
        <v>664</v>
      </c>
      <c r="B665" s="3" t="s">
        <v>4</v>
      </c>
      <c r="C665" s="4" t="str">
        <f ca="1">IFERROR(__xludf.DUMMYFUNCTION("GOOGLETRANSLATE(A665, ""auto"", ""bn"")"),"আমাকে নিয়ে হাসো না? ১৪ বছর বয়স থেকে আমি প্রায় ৭ বছর ধরে গাঁজা ধূমপান করছি। আমার পুরো পরিবার আমার সাথে ধূমপান করতো এবং আমার মা এবং বড় ভাই সবসময় মাদক সম্পর্কে খুব সচেতন ছিল, মোটেও অসাবধান ছিল না। আমাকে কেবল অন্য কিছু গাঁজা ধূমপান করতে দেওয়া সীমার বাইরে "&amp;"ছিল। যাই হোক, আমার মা যখন তার সাথে বাড়িতে ছিলাম তখন হঠাৎ হার্ট অ্যাটাকে মারা যান। তিনি কয়েক ঘন্টা আগে দাঁড়িয়ে রান্না করছিলেন এবং পরিষ্কার করছিলেন। তাই ২০ মিনিটেরও কম সময় আগে যখন আমরা কথা বলছিলাম তখন তাকে মেঝেতে পড়ে যাওয়া, নীল হয়ে যাওয়া এবং শ্বাস "&amp;"বন্ধ হয়ে যাওয়া দেখা অত্যন্ত বেদনাদায়ক ছিল। আমি আমার মাকে হারানোর জন্য বেশ ছোট এবং আমি অত্যন্ত হতাশাগ্রস্ত কারণ আমার পুরো জীবন উল্টে গিয়েছিল আমার পুরো পরিবারের সাথে একটি বড় বাড়িতে থাকা থেকে তার বাবার বাড়িতে আমার বান্ধবীর সাথে থাকার সময়। বেশ কিছুদিন"&amp;" ধরে গাঁজার উপর আমার মানসিক নির্ভরতা ছিল। কিন্তু আমি আত্মবিশ্বাসের সাথে এটিকে একটি আসক্তি হিসাবে শ্রেণীবদ্ধ করতে পারি কারণ আমি একাধিকবার থামার চেষ্টা করেছি কিন্তু কোনও লাভ হয়নি। আমি ঠিক জানি আমার ব্যথার কারণ কী, যা আমাকে ব্যবহার করতে বাধ্য করছে। কিন্তু ম"&amp;"ৃত্যুর বিষয়ে আপনি কী করতে পারেন? আমি শুধু ভেতরে যাই।")</f>
        <v>আমাকে নিয়ে হাসো না? ১৪ বছর বয়স থেকে আমি প্রায় ৭ বছর ধরে গাঁজা ধূমপান করছি। আমার পুরো পরিবার আমার সাথে ধূমপান করতো এবং আমার মা এবং বড় ভাই সবসময় মাদক সম্পর্কে খুব সচেতন ছিল, মোটেও অসাবধান ছিল না। আমাকে কেবল অন্য কিছু গাঁজা ধূমপান করতে দেওয়া সীমার বাইরে ছিল। যাই হোক, আমার মা যখন তার সাথে বাড়িতে ছিলাম তখন হঠাৎ হার্ট অ্যাটাকে মারা যান। তিনি কয়েক ঘন্টা আগে দাঁড়িয়ে রান্না করছিলেন এবং পরিষ্কার করছিলেন। তাই ২০ মিনিটেরও কম সময় আগে যখন আমরা কথা বলছিলাম তখন তাকে মেঝেতে পড়ে যাওয়া, নীল হয়ে যাওয়া এবং শ্বাস বন্ধ হয়ে যাওয়া দেখা অত্যন্ত বেদনাদায়ক ছিল। আমি আমার মাকে হারানোর জন্য বেশ ছোট এবং আমি অত্যন্ত হতাশাগ্রস্ত কারণ আমার পুরো জীবন উল্টে গিয়েছিল আমার পুরো পরিবারের সাথে একটি বড় বাড়িতে থাকা থেকে তার বাবার বাড়িতে আমার বান্ধবীর সাথে থাকার সময়। বেশ কিছুদিন ধরে গাঁজার উপর আমার মানসিক নির্ভরতা ছিল। কিন্তু আমি আত্মবিশ্বাসের সাথে এটিকে একটি আসক্তি হিসাবে শ্রেণীবদ্ধ করতে পারি কারণ আমি একাধিকবার থামার চেষ্টা করেছি কিন্তু কোনও লাভ হয়নি। আমি ঠিক জানি আমার ব্যথার কারণ কী, যা আমাকে ব্যবহার করতে বাধ্য করছে। কিন্তু মৃত্যুর বিষয়ে আপনি কী করতে পারেন? আমি শুধু ভেতরে যাই।</v>
      </c>
    </row>
    <row r="666" spans="1:3" ht="15" x14ac:dyDescent="0.25">
      <c r="A666" s="3" t="s">
        <v>665</v>
      </c>
      <c r="B666" s="3" t="s">
        <v>4</v>
      </c>
      <c r="C666" s="4" t="str">
        <f ca="1">IFERROR(__xludf.DUMMYFUNCTION("GOOGLETRANSLATE(A666, ""auto"", ""bn"")"),"আমি সুস্থ (কয়েক বছর ধরে আফিম নেওয়ার কারণে), কিন্তু আমি সমাজসেবার জন্য স্কুলে পড়ছি এবং কেউ আমাকে এটা বলেছে। আমি তাদের একজন নার্সের কাছে চেকআপ করাতে পাঠিয়েছিলাম, কিন্তু এটা ভালো হতে পারে না, তাই না? তারা বলেছিল যে তারা এতটাই অসুস্থ যে তারা তাদের জিনিসপত্র "&amp;"ছিঁড়ে ফেলে এবং একটি রিগ খুঁজে পায় যাতে প্রায় ৩৫ সিসি গাঢ় লাল রক্ত ​​(তাদের নিজস্ব রক্ত) কয়েক সপ্তাহ আগে হারিয়ে যাওয়া ছিল, এবং তারা তুলা দিয়ে এটিকে কিছুটা ফিল্টার করার চেষ্টা করেছিল কিন্তু গরম করতে পারেনি। যেহেতু রক্তটি প্রায় দুই সপ্তাহের পুরনো ছিল তা"&amp;"ই আমি চিন্তিত, কিন্তু আমি এমন কোনও তথ্য খুঁজে পাচ্ছি না যাকে আমি চিনি না তার উপর এর কী প্রভাব পড়বে, কেউ কি এই সম্পর্কে কিছু জানেন?")</f>
        <v>আমি সুস্থ (কয়েক বছর ধরে আফিম নেওয়ার কারণে), কিন্তু আমি সমাজসেবার জন্য স্কুলে পড়ছি এবং কেউ আমাকে এটা বলেছে। আমি তাদের একজন নার্সের কাছে চেকআপ করাতে পাঠিয়েছিলাম, কিন্তু এটা ভালো হতে পারে না, তাই না? তারা বলেছিল যে তারা এতটাই অসুস্থ যে তারা তাদের জিনিসপত্র ছিঁড়ে ফেলে এবং একটি রিগ খুঁজে পায় যাতে প্রায় ৩৫ সিসি গাঢ় লাল রক্ত ​​(তাদের নিজস্ব রক্ত) কয়েক সপ্তাহ আগে হারিয়ে যাওয়া ছিল, এবং তারা তুলা দিয়ে এটিকে কিছুটা ফিল্টার করার চেষ্টা করেছিল কিন্তু গরম করতে পারেনি। যেহেতু রক্তটি প্রায় দুই সপ্তাহের পুরনো ছিল তাই আমি চিন্তিত, কিন্তু আমি এমন কোনও তথ্য খুঁজে পাচ্ছি না যাকে আমি চিনি না তার উপর এর কী প্রভাব পড়বে, কেউ কি এই সম্পর্কে কিছু জানেন?</v>
      </c>
    </row>
    <row r="667" spans="1:3" ht="15" x14ac:dyDescent="0.25">
      <c r="A667" s="3" t="s">
        <v>666</v>
      </c>
      <c r="B667" s="3" t="s">
        <v>4</v>
      </c>
      <c r="C667" s="4" t="str">
        <f ca="1">IFERROR(__xludf.DUMMYFUNCTION("GOOGLETRANSLATE(A667, ""auto"", ""bn"")"),"আমার শুধু নিজেকে সাহায্য করা দরকার, কিন্তু আমি পারছি না। এক বা দুই সপ্তাহ এবং সর্বাধিক এক মাস সংযত থাকাই আমি সবচেয়ে ভালোভাবে সামলাতে পেরেছি। সেটা হল পুনর্বাসনে যাওয়া, চাকরি, বন্ধুবান্ধব এবং ঘনিষ্ঠ সম্পর্ক হারানো। আমার পরিবার আমার উপর ক্লান্ত। এবং ঠিকই, "&amp;"তারা চায় আমি থামি, এবং আমি নিজের এবং তাদের জন্যও চাই। আমি প্রতিদিন থামার কথা ভাবি, কিন্তু আসক্তি সাধারণত জয়ী হয়, অন্তত যখন আমার কাছে টাকা থাকে। আমি অন্যদের অগ্রগতি দেখছি যা দুঃখজনক / আমি দায়িত্ববোধ অনুভব করি। তাছাড়া, আমি এক মুহূর্ত ধরে রাখি এবং পরের ম"&amp;"ুহূর্ত আমি হেরে যাই। এছাড়াও, আমি নিচে নেমে আসার জন্য মদ্যপান করেছি তাই আমার কিছুক্ষণ গাড়ি চালানো উচিত। আমি কেবল এমন কারো সাথে সম্পর্ক স্থাপন করার চেষ্টা করছি যে তাদের আসক্তি নিয়ন্ত্রণে সফল হয়েছে।")</f>
        <v>আমার শুধু নিজেকে সাহায্য করা দরকার, কিন্তু আমি পারছি না। এক বা দুই সপ্তাহ এবং সর্বাধিক এক মাস সংযত থাকাই আমি সবচেয়ে ভালোভাবে সামলাতে পেরেছি। সেটা হল পুনর্বাসনে যাওয়া, চাকরি, বন্ধুবান্ধব এবং ঘনিষ্ঠ সম্পর্ক হারানো। আমার পরিবার আমার উপর ক্লান্ত। এবং ঠিকই, তারা চায় আমি থামি, এবং আমি নিজের এবং তাদের জন্যও চাই। আমি প্রতিদিন থামার কথা ভাবি, কিন্তু আসক্তি সাধারণত জয়ী হয়, অন্তত যখন আমার কাছে টাকা থাকে। আমি অন্যদের অগ্রগতি দেখছি যা দুঃখজনক / আমি দায়িত্ববোধ অনুভব করি। তাছাড়া, আমি এক মুহূর্ত ধরে রাখি এবং পরের মুহূর্ত আমি হেরে যাই। এছাড়াও, আমি নিচে নেমে আসার জন্য মদ্যপান করেছি তাই আমার কিছুক্ষণ গাড়ি চালানো উচিত। আমি কেবল এমন কারো সাথে সম্পর্ক স্থাপন করার চেষ্টা করছি যে তাদের আসক্তি নিয়ন্ত্রণে সফল হয়েছে।</v>
      </c>
    </row>
    <row r="668" spans="1:3" ht="15" x14ac:dyDescent="0.25">
      <c r="A668" s="3" t="s">
        <v>667</v>
      </c>
      <c r="B668" s="3" t="s">
        <v>4</v>
      </c>
      <c r="C668" s="4" t="str">
        <f ca="1">IFERROR(__xludf.DUMMYFUNCTION("GOOGLETRANSLATE(A668, ""auto"", ""bn"")"),"আমার এটুকুই বলার আছে। মাত্র কয়েকদিনের সংযমের পরেও হাল ছেড়ে দাও। এটি ব্যবহার করে পিছনে ফিরে তাকাও। আমি কিছুটা উৎসাহ পেতে পারি।")</f>
        <v>আমার এটুকুই বলার আছে। মাত্র কয়েকদিনের সংযমের পরেও হাল ছেড়ে দাও। এটি ব্যবহার করে পিছনে ফিরে তাকাও। আমি কিছুটা উৎসাহ পেতে পারি।</v>
      </c>
    </row>
    <row r="669" spans="1:3" ht="15" x14ac:dyDescent="0.25">
      <c r="A669" s="3" t="s">
        <v>668</v>
      </c>
      <c r="B669" s="3" t="s">
        <v>4</v>
      </c>
      <c r="C669" s="4" t="str">
        <f ca="1">IFERROR(__xludf.DUMMYFUNCTION("GOOGLETRANSLATE(A669, ""auto"", ""bn"")"),"কোকেন তোমার উপর কী প্রভাব ফেলে, সে সম্পর্কে কেউ কি আমাকে কোন তথ্য দিতে পারবেন? আমার দীর্ঘদিনের সঙ্গী আক্ষরিক অর্থেই অন্য একজনে পরিণত হয়েছে এবং আমার সন্দেহ হয় যে সে কোকেনে আসক্ত। আমার কাছে এমন কোন শক্ত প্রমাণ নেই যে সে সম্পূর্ণরূপে পরিবর্তিত হয়েছে।")</f>
        <v>কোকেন তোমার উপর কী প্রভাব ফেলে, সে সম্পর্কে কেউ কি আমাকে কোন তথ্য দিতে পারবেন? আমার দীর্ঘদিনের সঙ্গী আক্ষরিক অর্থেই অন্য একজনে পরিণত হয়েছে এবং আমার সন্দেহ হয় যে সে কোকেনে আসক্ত। আমার কাছে এমন কোন শক্ত প্রমাণ নেই যে সে সম্পূর্ণরূপে পরিবর্তিত হয়েছে।</v>
      </c>
    </row>
    <row r="670" spans="1:3" ht="15" x14ac:dyDescent="0.25">
      <c r="A670" s="3" t="s">
        <v>669</v>
      </c>
      <c r="B670" s="3" t="s">
        <v>4</v>
      </c>
      <c r="C670" s="4" t="str">
        <f ca="1">IFERROR(__xludf.DUMMYFUNCTION("GOOGLETRANSLATE(A670, ""auto"", ""bn"")"),"হে বন্ধুরা। আমি একজন ইউজার এক্সপেরিয়েন্স ডিজাইনের ছাত্র, যার মূল লক্ষ্য হলো অ্যাপ, ওয়েবসাইট বা প্রযুক্তি ব্যবহার করার সময় মানুষের জন্য সুন্দর এবং সহজ অভিজ্ঞতা তৈরি করা। আমার প্রকল্পের জন্য আমি একটি আসক্তি নিরাময় অ্যাপ ডিজাইন করছি, যেখানে পরামর্শ, অভ্য"&amp;"াস ট্র্যাকিং এবং অন্যান্য বৈশিষ্ট্য রয়েছে। আমি এমন কয়েকজন ব্যক্তির সাক্ষাৎকার নিতে চাই যাদের আমি যা উল্লেখ করেছি তার সাথে সম্পর্কিত অভিজ্ঞতা আছে। এটি অনলাইনে থাকবে, প্রায় 30 মিনিট এবং 100% গোপনীয়, কারণ এটি কেবল গবেষণার উদ্দেশ্যে থাকবে। আমার লক্ষ্য হল "&amp;"প্রকৃত মানুষদের সাথে পরিচিত হওয়া এবং সবচেয়ে সহায়ক হওয়ার জন্য সর্বোত্তম সমাধান তৈরি করা। দয়া করে আমাকে জানান। এটি একটু জরুরি।")</f>
        <v>হে বন্ধুরা। আমি একজন ইউজার এক্সপেরিয়েন্স ডিজাইনের ছাত্র, যার মূল লক্ষ্য হলো অ্যাপ, ওয়েবসাইট বা প্রযুক্তি ব্যবহার করার সময় মানুষের জন্য সুন্দর এবং সহজ অভিজ্ঞতা তৈরি করা। আমার প্রকল্পের জন্য আমি একটি আসক্তি নিরাময় অ্যাপ ডিজাইন করছি, যেখানে পরামর্শ, অভ্যাস ট্র্যাকিং এবং অন্যান্য বৈশিষ্ট্য রয়েছে। আমি এমন কয়েকজন ব্যক্তির সাক্ষাৎকার নিতে চাই যাদের আমি যা উল্লেখ করেছি তার সাথে সম্পর্কিত অভিজ্ঞতা আছে। এটি অনলাইনে থাকবে, প্রায় 30 মিনিট এবং 100% গোপনীয়, কারণ এটি কেবল গবেষণার উদ্দেশ্যে থাকবে। আমার লক্ষ্য হল প্রকৃত মানুষদের সাথে পরিচিত হওয়া এবং সবচেয়ে সহায়ক হওয়ার জন্য সর্বোত্তম সমাধান তৈরি করা। দয়া করে আমাকে জানান। এটি একটু জরুরি।</v>
      </c>
    </row>
    <row r="671" spans="1:3" ht="15" x14ac:dyDescent="0.25">
      <c r="A671" s="3" t="s">
        <v>670</v>
      </c>
      <c r="B671" s="3" t="s">
        <v>4</v>
      </c>
      <c r="C671" s="4" t="str">
        <f ca="1">IFERROR(__xludf.DUMMYFUNCTION("GOOGLETRANSLATE(A671, ""auto"", ""bn"")"),"আমি আসক্তি সম্পর্কে একটি পডকাস্ট হোস্ট করি এবং আমি নতুন আবেদনকারীদের সাক্ষাৎকারের জন্য নিচ্ছি। সাক্ষাৎকারটি ফোনে হবে এবং আপনার নাম প্রকাশ করা হবে না। পডকাস্টটি বিচার-বিবেচনার ক্ষেত্র নয়। আপনি যদি আগ্রহী হন তবে দয়া করে আপনার সংগ্রাম সম্পর্কে একটি সংক্ষিপ"&amp;"্ত বিবরণ সহ আমাকে ডিএমপি করুন। আপনার কাছ থেকে শোনার জন্য অধীর আগ্রহে অপেক্ষা করছি।")</f>
        <v>আমি আসক্তি সম্পর্কে একটি পডকাস্ট হোস্ট করি এবং আমি নতুন আবেদনকারীদের সাক্ষাৎকারের জন্য নিচ্ছি। সাক্ষাৎকারটি ফোনে হবে এবং আপনার নাম প্রকাশ করা হবে না। পডকাস্টটি বিচার-বিবেচনার ক্ষেত্র নয়। আপনি যদি আগ্রহী হন তবে দয়া করে আপনার সংগ্রাম সম্পর্কে একটি সংক্ষিপ্ত বিবরণ সহ আমাকে ডিএমপি করুন। আপনার কাছ থেকে শোনার জন্য অধীর আগ্রহে অপেক্ষা করছি।</v>
      </c>
    </row>
    <row r="672" spans="1:3" ht="15" x14ac:dyDescent="0.25">
      <c r="A672" s="3" t="s">
        <v>671</v>
      </c>
      <c r="B672" s="3" t="s">
        <v>4</v>
      </c>
      <c r="C672" s="4" t="str">
        <f ca="1">IFERROR(__xludf.DUMMYFUNCTION("GOOGLETRANSLATE(A672, ""auto"", ""bn"")"),"TW: আফিম, অ্যালকোহল, আগাছা বৈধতা খুঁজছি না - শুধু সত্য। আমি এটা সংক্ষেপে বলব। কয়েক মাসের মধ্যে অস্ত্রোপচারের প্রস্তুতি নেওয়ার জন্য আমাকে সম্প্রতি গাঁজা (যা আমি প্রতিদিন করতাম) এবং সিগারেট ছেড়ে দিতে হয়েছিল। তাই আমি কিছু মরফিন খেয়েছিলাম। এটি খুব কম পরি"&amp;"মাণে ছিল এবং আমি সম্ভবত যতটা ভেবেছিলাম ততটা বাড়াতে পারিনি (মানসিক প্রতিক্রিয়া), কিন্তু তারপর থেকে আমি এটি নিয়ে চিন্তাভাবনা থামাতে পারিনি। নিজেকে আরও চেষ্টা করা থেকে বিরত রাখার জন্য আজ রাতে খুব বেশি মাতাল হয়েছি। আমি যখন এটি লিখছি, তখন উত্তরটি বেশ স্পষ্"&amp;"ট মনে হচ্ছে। কিন্তু একবার কিছু করার পরে কি আপনাকে সত্যিই আসক্ত বলে বিবেচনা করা যেতে পারে? আমার কি কোনও সভায় যাওয়া উচিত? ব্লাহ।")</f>
        <v>TW: আফিম, অ্যালকোহল, আগাছা বৈধতা খুঁজছি না - শুধু সত্য। আমি এটা সংক্ষেপে বলব। কয়েক মাসের মধ্যে অস্ত্রোপচারের প্রস্তুতি নেওয়ার জন্য আমাকে সম্প্রতি গাঁজা (যা আমি প্রতিদিন করতাম) এবং সিগারেট ছেড়ে দিতে হয়েছিল। তাই আমি কিছু মরফিন খেয়েছিলাম। এটি খুব কম পরিমাণে ছিল এবং আমি সম্ভবত যতটা ভেবেছিলাম ততটা বাড়াতে পারিনি (মানসিক প্রতিক্রিয়া), কিন্তু তারপর থেকে আমি এটি নিয়ে চিন্তাভাবনা থামাতে পারিনি। নিজেকে আরও চেষ্টা করা থেকে বিরত রাখার জন্য আজ রাতে খুব বেশি মাতাল হয়েছি। আমি যখন এটি লিখছি, তখন উত্তরটি বেশ স্পষ্ট মনে হচ্ছে। কিন্তু একবার কিছু করার পরে কি আপনাকে সত্যিই আসক্ত বলে বিবেচনা করা যেতে পারে? আমার কি কোনও সভায় যাওয়া উচিত? ব্লাহ।</v>
      </c>
    </row>
    <row r="673" spans="1:3" ht="15" x14ac:dyDescent="0.25">
      <c r="A673" s="3" t="s">
        <v>672</v>
      </c>
      <c r="B673" s="3" t="s">
        <v>4</v>
      </c>
      <c r="C673" s="4" t="str">
        <f ca="1">IFERROR(__xludf.DUMMYFUNCTION("GOOGLETRANSLATE(A673, ""auto"", ""bn"")"),"আমি ভয় পাচ্ছি যে আমি হস্তমৈথুনে আসক্ত। আমার দিনে অন্তত একবার এটা করার একটা তাগিদ আছে। তাছাড়া, আমার বয়স প্রায় ২০। ১৪ বছর বয়স থেকে এটা করেছি। আমি FAP না থাকা ইত্যাদি নিয়ে অনেক কথা বলি। আমি জানি না এটা আমার শরীর আমাকে নিজেকে উপভোগ করতে বলছে নাকি শুধু আসক্তি"&amp;" যা ব্যবহার করতে চায়। NNN-তে আমি ১৭ দিন ধরে রাখতে পারতাম, তারপর আমি বিস্ফোরিত হতে যাচ্ছিলাম। কেউ এই সম্পর্কে কিছু জানেন? প্রতিদিন এই ধরনের যৌন তাগিদ থাকা কি স্বাভাবিক?")</f>
        <v>আমি ভয় পাচ্ছি যে আমি হস্তমৈথুনে আসক্ত। আমার দিনে অন্তত একবার এটা করার একটা তাগিদ আছে। তাছাড়া, আমার বয়স প্রায় ২০। ১৪ বছর বয়স থেকে এটা করেছি। আমি FAP না থাকা ইত্যাদি নিয়ে অনেক কথা বলি। আমি জানি না এটা আমার শরীর আমাকে নিজেকে উপভোগ করতে বলছে নাকি শুধু আসক্তি যা ব্যবহার করতে চায়। NNN-তে আমি ১৭ দিন ধরে রাখতে পারতাম, তারপর আমি বিস্ফোরিত হতে যাচ্ছিলাম। কেউ এই সম্পর্কে কিছু জানেন? প্রতিদিন এই ধরনের যৌন তাগিদ থাকা কি স্বাভাবিক?</v>
      </c>
    </row>
    <row r="674" spans="1:3" ht="15" x14ac:dyDescent="0.25">
      <c r="A674" s="3" t="s">
        <v>673</v>
      </c>
      <c r="B674" s="3" t="s">
        <v>4</v>
      </c>
      <c r="C674" s="4" t="str">
        <f ca="1">IFERROR(__xludf.DUMMYFUNCTION("GOOGLETRANSLATE(A674, ""auto"", ""bn"")"),"আত্ম-করুণা আবারও ফিরে আসার দিকে পরিচালিত করে। 'আমি বেচারা, বেচারা, আমাকে আরেকটা পানীয় ঢেলে দাও' এই কথাটা আমার কাছে সবসময়ই সত্য। আমি মদ্যপানের সময়টা খুব খারাপভাবে কাটাচ্ছিলাম, তারপর শান্ত হয়ে গেলাম এবং বুঝতে পারলাম যে আমার আরও খারাপ লাগছে। সব ধরণের হতা"&amp;"শাজনক ঘটনা ঘটতে শুরু করেছে, আমি সারাদিন ধরে ""কিছু খারাপ ঘটতে চলেছে"" অনুভূতি অনুভব করছিলাম। আমাদের ভুলে যাওয়া উচিত নয় যে আমরা কীভাবে অনুভব করি তার নিয়ন্ত্রণ আমাদের হাতে। এমন এক মুহূর্ত আসবে যখন আমি ভাবব: এটা নয়, এখন নয়, আমাকে যে নোংরা জিনিসের সাথে ম"&amp;"োকাবিলা করতে হবে তার উপর আরেকটি জিনিস, এটাকে ধোঁকা দাও। কিন্তু ""ধোঁকা দাও""। আমাকে ""ধোঁকা দাও"" মুহূর্তটি সম্পর্কে সচেতন থাকতে হবে এবং এক ধাপ পিছিয়ে যেতে হবে, কারণ এর পরের প্রতিটি পদক্ষেপই আত্ম-ধ্বংসাত্মক হবে। ""আমি কখন বিশ্রাম নেব? আমার পুরষ্কার কখন? "&amp;"অন্যরা কেন এত ভালো থাকে, এমনকি যারা কষ্ট পাচ্ছে তারাও ভালো করছে বলে মনে হচ্ছে? তাছাড়া, পুরো পৃথিবী ভেঙে পড়ছে!")</f>
        <v>আত্ম-করুণা আবারও ফিরে আসার দিকে পরিচালিত করে। 'আমি বেচারা, বেচারা, আমাকে আরেকটা পানীয় ঢেলে দাও' এই কথাটা আমার কাছে সবসময়ই সত্য। আমি মদ্যপানের সময়টা খুব খারাপভাবে কাটাচ্ছিলাম, তারপর শান্ত হয়ে গেলাম এবং বুঝতে পারলাম যে আমার আরও খারাপ লাগছে। সব ধরণের হতাশাজনক ঘটনা ঘটতে শুরু করেছে, আমি সারাদিন ধরে "কিছু খারাপ ঘটতে চলেছে" অনুভূতি অনুভব করছিলাম। আমাদের ভুলে যাওয়া উচিত নয় যে আমরা কীভাবে অনুভব করি তার নিয়ন্ত্রণ আমাদের হাতে। এমন এক মুহূর্ত আসবে যখন আমি ভাবব: এটা নয়, এখন নয়, আমাকে যে নোংরা জিনিসের সাথে মোকাবিলা করতে হবে তার উপর আরেকটি জিনিস, এটাকে ধোঁকা দাও। কিন্তু "ধোঁকা দাও"। আমাকে "ধোঁকা দাও" মুহূর্তটি সম্পর্কে সচেতন থাকতে হবে এবং এক ধাপ পিছিয়ে যেতে হবে, কারণ এর পরের প্রতিটি পদক্ষেপই আত্ম-ধ্বংসাত্মক হবে। "আমি কখন বিশ্রাম নেব? আমার পুরষ্কার কখন? অন্যরা কেন এত ভালো থাকে, এমনকি যারা কষ্ট পাচ্ছে তারাও ভালো করছে বলে মনে হচ্ছে? তাছাড়া, পুরো পৃথিবী ভেঙে পড়ছে!</v>
      </c>
    </row>
    <row r="675" spans="1:3" ht="15" x14ac:dyDescent="0.25">
      <c r="A675" s="3" t="s">
        <v>674</v>
      </c>
      <c r="B675" s="3" t="s">
        <v>4</v>
      </c>
      <c r="C675" s="4" t="str">
        <f ca="1">IFERROR(__xludf.DUMMYFUNCTION("GOOGLETRANSLATE(A675, ""auto"", ""bn"")"),"এক মাস আগে কিছু পরিবর্তন করেছিলাম, তার আগে আমার কয়েক মাস ছিল। আমার মাসখানেক আগে রিল্যাপস ওভারডোজ, মানসিক হাসপাতালে ভর্তির কারণে হাসপাতালে ভর্তি হয়েছিলাম। দুই সপ্তাহ সেখানে ছিলাম তারপর বহির্বিভাগীয় পুনর্বাসন / মানসিক অসুস্থতা গ্রুপ প্রোগ্রামে ছেড়ে দেওয"&amp;"়া হয়েছিল। এই বহির্বিভাগীয় স্থানে আমার বাইপোলার অতিরিক্ত ওষুধ ধরা পড়েছিল, এবং আমি এখনও সেই সমস্ত রোগ নির্ণয়ের সাথে লড়াই করছি। যাই হোক গতকাল আমি আবার পারসেন্টস ওষুধ খেয়েছি। আসল এবং চাপযুক্ত ওষুধ। আমি বিশ্বাস করতে পারছি না যে অতিরিক্ত মাত্রার পরে আমি "&amp;"থামব কিন্তু না, সেই অনুভূতি এত ভালো যে ভুলে যাওয়া যাবে না। আমি এটা চালিয়ে যেতে পারছি না যদিও এর পরিণতি আমার মৃত্যুতে পরিণত হবে। আমি এই বড়িগুলি খেয়ে আসছি বহু বছর হয়ে গেছে, আমি প্রতিদিনের ব্যবহার এবং প্রত্যাহার থেকে অনেক দূরে এসেছি, কিন্তু আমি এগুলি ছা"&amp;"ড়া জীবন কল্পনাও করতে পারি না। এগুলি আমার আরামের অঞ্চল ছিল কিন্তু আমি দেখতে পাচ্ছি যে আমার ""আরামের অঞ্চল"" ধীরে ধীরে আমাকে ধ্বংস করছে। আমাকে অবশ্যই এই বড়িগুলি থেকে দূরে থাকতে হবে। আমাকে কেবল বেরিয়ে আসতে হয়েছিল আমার মনে হচ্ছে এটি সর্বত্র ছড়িয়ে পড়েছে"&amp;", তবে এটি ঠিক আছে।")</f>
        <v>এক মাস আগে কিছু পরিবর্তন করেছিলাম, তার আগে আমার কয়েক মাস ছিল। আমার মাসখানেক আগে রিল্যাপস ওভারডোজ, মানসিক হাসপাতালে ভর্তির কারণে হাসপাতালে ভর্তি হয়েছিলাম। দুই সপ্তাহ সেখানে ছিলাম তারপর বহির্বিভাগীয় পুনর্বাসন / মানসিক অসুস্থতা গ্রুপ প্রোগ্রামে ছেড়ে দেওয়া হয়েছিল। এই বহির্বিভাগীয় স্থানে আমার বাইপোলার অতিরিক্ত ওষুধ ধরা পড়েছিল, এবং আমি এখনও সেই সমস্ত রোগ নির্ণয়ের সাথে লড়াই করছি। যাই হোক গতকাল আমি আবার পারসেন্টস ওষুধ খেয়েছি। আসল এবং চাপযুক্ত ওষুধ। আমি বিশ্বাস করতে পারছি না যে অতিরিক্ত মাত্রার পরে আমি থামব কিন্তু না, সেই অনুভূতি এত ভালো যে ভুলে যাওয়া যাবে না। আমি এটা চালিয়ে যেতে পারছি না যদিও এর পরিণতি আমার মৃত্যুতে পরিণত হবে। আমি এই বড়িগুলি খেয়ে আসছি বহু বছর হয়ে গেছে, আমি প্রতিদিনের ব্যবহার এবং প্রত্যাহার থেকে অনেক দূরে এসেছি, কিন্তু আমি এগুলি ছাড়া জীবন কল্পনাও করতে পারি না। এগুলি আমার আরামের অঞ্চল ছিল কিন্তু আমি দেখতে পাচ্ছি যে আমার "আরামের অঞ্চল" ধীরে ধীরে আমাকে ধ্বংস করছে। আমাকে অবশ্যই এই বড়িগুলি থেকে দূরে থাকতে হবে। আমাকে কেবল বেরিয়ে আসতে হয়েছিল আমার মনে হচ্ছে এটি সর্বত্র ছড়িয়ে পড়েছে, তবে এটি ঠিক আছে।</v>
      </c>
    </row>
    <row r="676" spans="1:3" ht="15" x14ac:dyDescent="0.25">
      <c r="A676" s="3" t="s">
        <v>675</v>
      </c>
      <c r="B676" s="3" t="s">
        <v>4</v>
      </c>
      <c r="C676" s="4" t="str">
        <f ca="1">IFERROR(__xludf.DUMMYFUNCTION("GOOGLETRANSLATE(A676, ""auto"", ""bn"")"),"আমার প্রথম বর্ষের শুরুতে (৬ বছর আগে) আমি আমার প্রথম জুল পান করলাম। আমার এটা খুব ভালো লেগেছিল। শুরু থেকেই আমার নেশা লেগে ছিল। তাছাড়া, আমি তখন থেকে এখন পর্যন্ত কিছু ছোট বিরতি/মাঝখানে ছেড়ে দেওয়ার চেষ্টা করেছিলাম। এখন প্রায় এক বছর আগে, আমি প্রচুর পরিমাণে "&amp;"গাঁজা ধূমপান শুরু করেছিলাম। এটি ""রাতের রুটিন"" হিসাবে শুরু হয়েছিল? ঘুম থেকে ওঠা এবং বেক করা এবং রাতের রুটিন, এটি ছাড়া আমার দৈনন্দিন জীবন চলতে পারে না। যেহেতু আমি দুটি একসাথে এত ঘন ঘন ব্যবহার করতাম যে তারা প্রায় একই মাদকে পরিণত হয়েছে। তাই আমি নিকোটিন "&amp;"ছাড়া গাঁজা ধূমপান করতে পারি না এবং নেশা ছাড়া নিকোটিন চাই না। আমি নিজেও জানি যে এই দুটির কোনটিই আমার উপকার করে না। সত্যি বলতে, আমি এমন পর্যায়ে পৌঁছেছি যেখানে দুটি পদার্থ ব্যবহার করলে আনন্দের চেয়ে বেশি পার্শ্বপ্রতিক্রিয়া হয়।")</f>
        <v>আমার প্রথম বর্ষের শুরুতে (৬ বছর আগে) আমি আমার প্রথম জুল পান করলাম। আমার এটা খুব ভালো লেগেছিল। শুরু থেকেই আমার নেশা লেগে ছিল। তাছাড়া, আমি তখন থেকে এখন পর্যন্ত কিছু ছোট বিরতি/মাঝখানে ছেড়ে দেওয়ার চেষ্টা করেছিলাম। এখন প্রায় এক বছর আগে, আমি প্রচুর পরিমাণে গাঁজা ধূমপান শুরু করেছিলাম। এটি "রাতের রুটিন" হিসাবে শুরু হয়েছিল? ঘুম থেকে ওঠা এবং বেক করা এবং রাতের রুটিন, এটি ছাড়া আমার দৈনন্দিন জীবন চলতে পারে না। যেহেতু আমি দুটি একসাথে এত ঘন ঘন ব্যবহার করতাম যে তারা প্রায় একই মাদকে পরিণত হয়েছে। তাই আমি নিকোটিন ছাড়া গাঁজা ধূমপান করতে পারি না এবং নেশা ছাড়া নিকোটিন চাই না। আমি নিজেও জানি যে এই দুটির কোনটিই আমার উপকার করে না। সত্যি বলতে, আমি এমন পর্যায়ে পৌঁছেছি যেখানে দুটি পদার্থ ব্যবহার করলে আনন্দের চেয়ে বেশি পার্শ্বপ্রতিক্রিয়া হয়।</v>
      </c>
    </row>
    <row r="677" spans="1:3" ht="15" x14ac:dyDescent="0.25">
      <c r="A677" s="3" t="s">
        <v>676</v>
      </c>
      <c r="B677" s="3" t="s">
        <v>4</v>
      </c>
      <c r="C677" s="4" t="str">
        <f ca="1">IFERROR(__xludf.DUMMYFUNCTION("GOOGLETRANSLATE(A677, ""auto"", ""bn"")"),"এটা হয়তো বোকামি মনে হতে পারে, কিন্তু আমি বার্গার এবং কোকা-কোলার প্রতি আসক্ত হয়ে পড়েছি। এটা যেন গরম মরুভূমিতে ঠান্ডা জল খুঁজে পাওয়ার মতো। এটা আমাকে প্রায় ৩-৪ ঘন্টা ধরে উত্তেজিত করে তোলে এবং আমি প্রতিদিন খেতে চাই। আমি শুধু কোকা-কোলা পান করতে পছন্দ করি না"&amp;", এটি আমাকে উচ্চ TBH করে না। তবে, যদি আমি এটি বার্গার এবং ফ্রাই দিয়ে চেষ্টা করি, এটি আমাকে উত্তেজিত করে তোলে। আমি কীভাবে এটি বন্ধ করতে পারি? আমি এমনকি গাঁজাও খাই না, তাই আমি আসক্তি সম্পর্কে কিছুই জানি না।")</f>
        <v>এটা হয়তো বোকামি মনে হতে পারে, কিন্তু আমি বার্গার এবং কোকা-কোলার প্রতি আসক্ত হয়ে পড়েছি। এটা যেন গরম মরুভূমিতে ঠান্ডা জল খুঁজে পাওয়ার মতো। এটা আমাকে প্রায় ৩-৪ ঘন্টা ধরে উত্তেজিত করে তোলে এবং আমি প্রতিদিন খেতে চাই। আমি শুধু কোকা-কোলা পান করতে পছন্দ করি না, এটি আমাকে উচ্চ TBH করে না। তবে, যদি আমি এটি বার্গার এবং ফ্রাই দিয়ে চেষ্টা করি, এটি আমাকে উত্তেজিত করে তোলে। আমি কীভাবে এটি বন্ধ করতে পারি? আমি এমনকি গাঁজাও খাই না, তাই আমি আসক্তি সম্পর্কে কিছুই জানি না।</v>
      </c>
    </row>
    <row r="678" spans="1:3" ht="15" x14ac:dyDescent="0.25">
      <c r="A678" s="3" t="s">
        <v>677</v>
      </c>
      <c r="B678" s="3" t="s">
        <v>4</v>
      </c>
      <c r="C678" s="4" t="str">
        <f ca="1">IFERROR(__xludf.DUMMYFUNCTION("GOOGLETRANSLATE(A678, ""auto"", ""bn"")"),"TF কীভাবে বন্ধ হবে জানি না। এটা আমার ওষুধ (এগুলো কাজ করে না এবং বিশ্বাস করে যে এগুলো আমাকে আরও খারাপ করে তোলে)। এটা খুব বেশি আসক্তি নয়, বরং নির্ভরতা। আমি 300mg প্রেগাবালিন এবং 45mg মিরটাজাপিন খাই এবং এগুলো ডাক্তারের প্রেসক্রিপশনে আছে। এগুলো আর কাজ করে না"&amp;", এবং প্রেগাবালিন আমাকে আত্মহত্যার দিকে ঠেলে দিচ্ছে বলে মনে হচ্ছে (আমার মনে হয় কারণ আমি ডোজ কমানোর চেষ্টা করার পর পুনরায় সুস্থ হওয়ার পর থেকে আমার এইরকম অনুভূতি হচ্ছে)। যখন আমি তা ছাড়ার চেষ্টা করি, তখন পরিস্থিতি আরও 10 গুণ খারাপ হয়ে যায়। আমি আমার চাক"&amp;"রি ছেড়ে পুনর্বাসনে যাওয়ার কথা ভাবছি যাতে চিকিৎসাগতভাবে ডিটক্স করা যায় এবং তারপর পরের বছর নিজেকে সুস্থ হওয়ার জন্য সময় দেই। আমি কয়েক মাস আগে আবার ""বিনোদনমূলক"" ওষুধও ছেড়ে দিয়েছি কিন্তু আমার প্রেগাবালিন আমাকে যেভাবে ভাবতে বাধ্য করে, তা দেখে, সুস্থ থ"&amp;"াকা সত্যিই কঠিন প্রমাণিত হচ্ছে। কেউ কি প্রেসক্রিপশনে থাকা ওষুধ ছেড়ে দেওয়া কঠিন বলে মনে করেছেন, কিন্তু এটি করার উপায় খুঁজে পেয়েছেন?")</f>
        <v>TF কীভাবে বন্ধ হবে জানি না। এটা আমার ওষুধ (এগুলো কাজ করে না এবং বিশ্বাস করে যে এগুলো আমাকে আরও খারাপ করে তোলে)। এটা খুব বেশি আসক্তি নয়, বরং নির্ভরতা। আমি 300mg প্রেগাবালিন এবং 45mg মিরটাজাপিন খাই এবং এগুলো ডাক্তারের প্রেসক্রিপশনে আছে। এগুলো আর কাজ করে না, এবং প্রেগাবালিন আমাকে আত্মহত্যার দিকে ঠেলে দিচ্ছে বলে মনে হচ্ছে (আমার মনে হয় কারণ আমি ডোজ কমানোর চেষ্টা করার পর পুনরায় সুস্থ হওয়ার পর থেকে আমার এইরকম অনুভূতি হচ্ছে)। যখন আমি তা ছাড়ার চেষ্টা করি, তখন পরিস্থিতি আরও 10 গুণ খারাপ হয়ে যায়। আমি আমার চাকরি ছেড়ে পুনর্বাসনে যাওয়ার কথা ভাবছি যাতে চিকিৎসাগতভাবে ডিটক্স করা যায় এবং তারপর পরের বছর নিজেকে সুস্থ হওয়ার জন্য সময় দেই। আমি কয়েক মাস আগে আবার "বিনোদনমূলক" ওষুধও ছেড়ে দিয়েছি কিন্তু আমার প্রেগাবালিন আমাকে যেভাবে ভাবতে বাধ্য করে, তা দেখে, সুস্থ থাকা সত্যিই কঠিন প্রমাণিত হচ্ছে। কেউ কি প্রেসক্রিপশনে থাকা ওষুধ ছেড়ে দেওয়া কঠিন বলে মনে করেছেন, কিন্তু এটি করার উপায় খুঁজে পেয়েছেন?</v>
      </c>
    </row>
    <row r="679" spans="1:3" ht="15" x14ac:dyDescent="0.25">
      <c r="A679" s="3" t="s">
        <v>678</v>
      </c>
      <c r="B679" s="3" t="s">
        <v>4</v>
      </c>
      <c r="C679" s="4" t="str">
        <f ca="1">IFERROR(__xludf.DUMMYFUNCTION("GOOGLETRANSLATE(A679, ""auto"", ""bn"")"),"বেজোস ব্যবহার শুরু করার পর থেকে আমি এই চিন্তাভাবনার সাথে লড়াই করে যাচ্ছি। বহু বছর আগে আমার অ্যালকোহলের সমস্যা ছিল, এবং এখন আমার মনে হয় আমি আমার বেজোস ব্যবহারের ক্ষেত্রেও একই ধরণের আচরণ বুঝতে পারছি। তাছাড়া, আমার খারাপ লাগার কারণে আমাকে ওষুধ খেতে হয়, কিন্"&amp;"তু মাঝে মাঝে মনে হয় যে আমার খারাপ লাগছে কারণ আমাকে সেগুলি খেতে হয়... এটা কি যুক্তিসঙ্গত?")</f>
        <v>বেজোস ব্যবহার শুরু করার পর থেকে আমি এই চিন্তাভাবনার সাথে লড়াই করে যাচ্ছি। বহু বছর আগে আমার অ্যালকোহলের সমস্যা ছিল, এবং এখন আমার মনে হয় আমি আমার বেজোস ব্যবহারের ক্ষেত্রেও একই ধরণের আচরণ বুঝতে পারছি। তাছাড়া, আমার খারাপ লাগার কারণে আমাকে ওষুধ খেতে হয়, কিন্তু মাঝে মাঝে মনে হয় যে আমার খারাপ লাগছে কারণ আমাকে সেগুলি খেতে হয়... এটা কি যুক্তিসঙ্গত?</v>
      </c>
    </row>
    <row r="680" spans="1:3" ht="15" x14ac:dyDescent="0.25">
      <c r="A680" s="3" t="s">
        <v>679</v>
      </c>
      <c r="B680" s="3" t="s">
        <v>4</v>
      </c>
      <c r="C680" s="4" t="str">
        <f ca="1">IFERROR(__xludf.DUMMYFUNCTION("GOOGLETRANSLATE(A680, ""auto"", ""bn"")"),"আমি কখনো ভাবিনি যে আমি এখানে আসবো। আমার বেশ কয়েক বছর ধরে আফিমের নেশা আছে। তাছাড়া, আমি এখন দুই বছর ধরে সুস্থ হয়ে উঠছি! তাছাড়া, অবশেষে আমি সাহায্য পেয়েছি এবং রিপ্লেসমেন্ট থেরাপি হিসেবে সাবক্সোন গ্রহণ করেছি। তাছাড়া, আমি অনেক দিন ধরে ভাবছিলাম যে আমি এভা"&amp;"বেই আটকে আছি। তাছাড়া, আমি কল্পনাও করতে পারিনি যে প্রতিদিন সর্বোচ্চ ডোজ না নেওয়া। তাছাড়া, আমি জানতাম এটি ব্যবহারের চেয়ে ভালো, কিন্তু তবুও আমি আটকা পড়েছিলাম, বিশেষ করে যখন আমি অতিরিক্ত ব্যবহার করতাম এবং মাসের শেষে ঘাটতি অনুভব করতাম। এটাই ছিল সবচেয়ে খা"&amp;"রাপ। কিন্তু ধীরে ধীরে আমি বুঝতে পারলাম যে কম আসলে বেশি করে এবং আমি আর নিজেকে উপভোগ করছি না। আজ আমার ডাক্তার আনুষ্ঠানিকভাবে আমাকে 2mg স্ট্রিপগুলিতে পরিবর্তন করেছেন!! এবং আমি খুব ভালো বোধ করছি! আমি অনুভব করি না যে আসক্তরা কোনও সম্ভাব্য উচ্চ মাত্রা হারানোর ভ"&amp;"য়ে আঁকড়ে ধরছে। আমি এটা বিশ্বাস করতে পারছি না। তাছাড়া, মাত্র এক বছর আগে আমি নিজেকে এখানে কল্পনাও করতে পারিনি।")</f>
        <v>আমি কখনো ভাবিনি যে আমি এখানে আসবো। আমার বেশ কয়েক বছর ধরে আফিমের নেশা আছে। তাছাড়া, আমি এখন দুই বছর ধরে সুস্থ হয়ে উঠছি! তাছাড়া, অবশেষে আমি সাহায্য পেয়েছি এবং রিপ্লেসমেন্ট থেরাপি হিসেবে সাবক্সোন গ্রহণ করেছি। তাছাড়া, আমি অনেক দিন ধরে ভাবছিলাম যে আমি এভাবেই আটকে আছি। তাছাড়া, আমি কল্পনাও করতে পারিনি যে প্রতিদিন সর্বোচ্চ ডোজ না নেওয়া। তাছাড়া, আমি জানতাম এটি ব্যবহারের চেয়ে ভালো, কিন্তু তবুও আমি আটকা পড়েছিলাম, বিশেষ করে যখন আমি অতিরিক্ত ব্যবহার করতাম এবং মাসের শেষে ঘাটতি অনুভব করতাম। এটাই ছিল সবচেয়ে খারাপ। কিন্তু ধীরে ধীরে আমি বুঝতে পারলাম যে কম আসলে বেশি করে এবং আমি আর নিজেকে উপভোগ করছি না। আজ আমার ডাক্তার আনুষ্ঠানিকভাবে আমাকে 2mg স্ট্রিপগুলিতে পরিবর্তন করেছেন!! এবং আমি খুব ভালো বোধ করছি! আমি অনুভব করি না যে আসক্তরা কোনও সম্ভাব্য উচ্চ মাত্রা হারানোর ভয়ে আঁকড়ে ধরছে। আমি এটা বিশ্বাস করতে পারছি না। তাছাড়া, মাত্র এক বছর আগে আমি নিজেকে এখানে কল্পনাও করতে পারিনি।</v>
      </c>
    </row>
    <row r="681" spans="1:3" ht="15" x14ac:dyDescent="0.25">
      <c r="A681" s="3" t="s">
        <v>19</v>
      </c>
      <c r="B681" s="3" t="s">
        <v>4</v>
      </c>
      <c r="C681" s="4" t="str">
        <f ca="1">IFERROR(__xludf.DUMMYFUNCTION("GOOGLETRANSLATE(A681, ""auto"", ""bn"")"),"আমি একেবারেই পাগল। সমস্যা হলো আমি ভালো হতে চাই না, কারণ আমি নেটফ্লিক্সকে এত উপভোগ করি (খুব অপরাধবোধে ভরা।) নেটফ্লিক্সের অনুষ্ঠানের তুলনায় বাকি সবকিছুই খুব বিরক্তিকর মনে হয়। আমার জীবনের মূল ক্ষেত্রগুলো যেমন আমার ঘুম এবং কাজ এই তীব্র আসক্তির কারণে ভুগছে। আম"&amp;"ার মনে হয় আমি যেকোনো মাদকের চেয়ে নেটফ্লিক্সের প্রতি বেশি আসক্ত। আমি বারবার বসে বসে পরবর্তী পর্বে ক্লিক করি এবং ৬ ঘন্টা কেটে যায়। আর এর জন্য আমি নিজেকে ঘৃণা করি। প্রতি রাতে আমি বলি আমি থামব, প্রতিবার যখন আমি ঘর থেকে বের হই তখন বলি আমি থামব, এবং তারপর আব"&amp;"ার ঘরে ফিরে এসে অনুষ্ঠানটি দেখি।")</f>
        <v>আমি একেবারেই পাগল। সমস্যা হলো আমি ভালো হতে চাই না, কারণ আমি নেটফ্লিক্সকে এত উপভোগ করি (খুব অপরাধবোধে ভরা।) নেটফ্লিক্সের অনুষ্ঠানের তুলনায় বাকি সবকিছুই খুব বিরক্তিকর মনে হয়। আমার জীবনের মূল ক্ষেত্রগুলো যেমন আমার ঘুম এবং কাজ এই তীব্র আসক্তির কারণে ভুগছে। আমার মনে হয় আমি যেকোনো মাদকের চেয়ে নেটফ্লিক্সের প্রতি বেশি আসক্ত। আমি বারবার বসে বসে পরবর্তী পর্বে ক্লিক করি এবং ৬ ঘন্টা কেটে যায়। আর এর জন্য আমি নিজেকে ঘৃণা করি। প্রতি রাতে আমি বলি আমি থামব, প্রতিবার যখন আমি ঘর থেকে বের হই তখন বলি আমি থামব, এবং তারপর আবার ঘরে ফিরে এসে অনুষ্ঠানটি দেখি।</v>
      </c>
    </row>
    <row r="682" spans="1:3" ht="15" x14ac:dyDescent="0.25">
      <c r="A682" s="3" t="s">
        <v>680</v>
      </c>
      <c r="B682" s="3" t="s">
        <v>4</v>
      </c>
      <c r="C682" s="4" t="str">
        <f ca="1">IFERROR(__xludf.DUMMYFUNCTION("GOOGLETRANSLATE(A682, ""auto"", ""bn"")"),"তাহলে আমার আসক্তি কোনও মাদক বা এরকম জিনিস নয়, কিন্তু এটা ছোট, তাই আসক্তিকর এবং এটা সত্যিই আমাকে দু: খিত এবং খুব হতাশাগ্রস্ত এবং অনুপ্রাণিত করে তোলে। আমি আবার ভিডিও গেম খেলতে চাই। আমি আবার লিনাক্সের কাজ করতে চাই। আমি আরও ভালো ঘুমাতে চাই। কিন্তু এই বাজে অ্"&amp;"যালগরিদম আমাকে সেই কার্যকলাপ থেকে দূরে রাখছে।")</f>
        <v>তাহলে আমার আসক্তি কোনও মাদক বা এরকম জিনিস নয়, কিন্তু এটা ছোট, তাই আসক্তিকর এবং এটা সত্যিই আমাকে দু: খিত এবং খুব হতাশাগ্রস্ত এবং অনুপ্রাণিত করে তোলে। আমি আবার ভিডিও গেম খেলতে চাই। আমি আবার লিনাক্সের কাজ করতে চাই। আমি আরও ভালো ঘুমাতে চাই। কিন্তু এই বাজে অ্যালগরিদম আমাকে সেই কার্যকলাপ থেকে দূরে রাখছে।</v>
      </c>
    </row>
    <row r="683" spans="1:3" ht="15" x14ac:dyDescent="0.25">
      <c r="A683" s="3" t="s">
        <v>681</v>
      </c>
      <c r="B683" s="3" t="s">
        <v>4</v>
      </c>
      <c r="C683" s="4" t="str">
        <f ca="1">IFERROR(__xludf.DUMMYFUNCTION("GOOGLETRANSLATE(A683, ""auto"", ""bn"")"),"সাবক্সোন বন্ধ করার পর আমাকে অ্যাটম নেওয়ার পরামর্শ দেওয়া হয়েছিল, আমার কাছে এখনও ৮ মিলিগ্রামের একটি স্ট্রিপ বাকি আছে যা আমি প্রতিদিন এক স্ট্রিপের ১৬ ভাগের এক ভাগ খাই। আমি রেড বালি ৫০ মিলিগ্রাম ক্যাপসুল কিনেছি এবং অ্যাটম কীভাবে খাবো সে সম্পর্কে কারো পরামর্শ"&amp;" আছে কিনা তা ভাবছি। এটা কি চা দিয়ে তৈরি করা ভালো নাকি ক্যাপসুল হিসেবে খাওয়া ভালো? আমার কতটুকু খাওয়া উচিত? সাবক্সোন বন্ধ করে অ্যাটম খাওয়া শুরু করার জন্য অপেক্ষা করা উচিত নাকি শেষ করার আগে অ্যাটম খাওয়া শুরু করা উচিত? সাবক্সোন বন্ধ করার জন্য অ্যাটম কি গ্রহ"&amp;"ণের যোগ্য? যে কেউ পরামর্শ দিতে পারেন তার জন্য আগাম ধন্যবাদ!")</f>
        <v>সাবক্সোন বন্ধ করার পর আমাকে অ্যাটম নেওয়ার পরামর্শ দেওয়া হয়েছিল, আমার কাছে এখনও ৮ মিলিগ্রামের একটি স্ট্রিপ বাকি আছে যা আমি প্রতিদিন এক স্ট্রিপের ১৬ ভাগের এক ভাগ খাই। আমি রেড বালি ৫০ মিলিগ্রাম ক্যাপসুল কিনেছি এবং অ্যাটম কীভাবে খাবো সে সম্পর্কে কারো পরামর্শ আছে কিনা তা ভাবছি। এটা কি চা দিয়ে তৈরি করা ভালো নাকি ক্যাপসুল হিসেবে খাওয়া ভালো? আমার কতটুকু খাওয়া উচিত? সাবক্সোন বন্ধ করে অ্যাটম খাওয়া শুরু করার জন্য অপেক্ষা করা উচিত নাকি শেষ করার আগে অ্যাটম খাওয়া শুরু করা উচিত? সাবক্সোন বন্ধ করার জন্য অ্যাটম কি গ্রহণের যোগ্য? যে কেউ পরামর্শ দিতে পারেন তার জন্য আগাম ধন্যবাদ!</v>
      </c>
    </row>
    <row r="684" spans="1:3" ht="15" x14ac:dyDescent="0.25">
      <c r="A684" s="3" t="s">
        <v>682</v>
      </c>
      <c r="B684" s="3" t="s">
        <v>4</v>
      </c>
      <c r="C684" s="4" t="str">
        <f ca="1">IFERROR(__xludf.DUMMYFUNCTION("GOOGLETRANSLATE(A684, ""auto"", ""bn"")"),"তাই আমি ১৩ বছর বয়স থেকেই আগাছা ব্যবহার করে আসছি। এখন ৫৭ বছর। গত ৫-৬ বছর ধরে আমি ব্যতিক্রম ছাড়াই প্রতিদিন ব্যবহার করে আসছি। আমার কাজ DOT মান অনুসরণ করে যার জন্য এলোমেলো পরীক্ষার প্রয়োজন। আমি কৃত্রিম প্রস্রাব ব্যবহার করে সিস্টেমকে প্রতারণা করি। আমার ব্যব"&amp;"হার গোপন করার চাপে আমি ক্লান্ত। গত রবিবার আমার ইচ্ছাকৃতভাবে সবকিছু শেষ হয়ে গেছে, ফুল, গাড়ি, গামি ইত্যাদি। এখন ৫ দিন ধরে ব্যবহার না করেই, যদিও আমি মধু খাচ্ছি না, আগাছা শারীরিকভাবে আসক্তিকর নয়। আমি নিজেকে একঘেয়েমি দিয়ে শূন্যস্থান পূরণ করার জন্য এমন কিছ"&amp;"ু খুঁজছি। আমি জানি সময়ই নিরাময়কারী কিন্তু এটি কঠিন।")</f>
        <v>তাই আমি ১৩ বছর বয়স থেকেই আগাছা ব্যবহার করে আসছি। এখন ৫৭ বছর। গত ৫-৬ বছর ধরে আমি ব্যতিক্রম ছাড়াই প্রতিদিন ব্যবহার করে আসছি। আমার কাজ DOT মান অনুসরণ করে যার জন্য এলোমেলো পরীক্ষার প্রয়োজন। আমি কৃত্রিম প্রস্রাব ব্যবহার করে সিস্টেমকে প্রতারণা করি। আমার ব্যবহার গোপন করার চাপে আমি ক্লান্ত। গত রবিবার আমার ইচ্ছাকৃতভাবে সবকিছু শেষ হয়ে গেছে, ফুল, গাড়ি, গামি ইত্যাদি। এখন ৫ দিন ধরে ব্যবহার না করেই, যদিও আমি মধু খাচ্ছি না, আগাছা শারীরিকভাবে আসক্তিকর নয়। আমি নিজেকে একঘেয়েমি দিয়ে শূন্যস্থান পূরণ করার জন্য এমন কিছু খুঁজছি। আমি জানি সময়ই নিরাময়কারী কিন্তু এটি কঠিন।</v>
      </c>
    </row>
    <row r="685" spans="1:3" ht="15" x14ac:dyDescent="0.25">
      <c r="A685" s="3" t="s">
        <v>683</v>
      </c>
      <c r="B685" s="3" t="s">
        <v>4</v>
      </c>
      <c r="C685" s="4" t="str">
        <f ca="1">IFERROR(__xludf.DUMMYFUNCTION("GOOGLETRANSLATE(A685, ""auto"", ""bn"")"),"বর্তমানে, আমি ২৫ বছর বয়সী একজন ছেলে, ডেনমার্কে থাকি। আমার বন্ধুরা এবং আমি ৮ বছর আগে মাদক সেবন শুরু করেছিলাম। তুমি জানোই, আমরা একটু গাঁজা সেবন শুরু করেছিলাম, একটা ভালো, নির্দোষ সময় কাটাতাম। সেই সময়, আমরা প্রায়শই প্রচার করতাম যে শক্তিশালী কিছু না করা উচ"&amp;"িত, সেই গাঁজা যথেষ্ট ছিল অ্যাডা অ্যাডা অ্যাডা। যদিও, সময়ের সাথে সাথে, আমরা কেবল পাথরবাজ থেকে ""সকল ব্যবসার জ্যাক"" হয়ে উঠি। এলএসডি, এমডিএমএ, এস রুম, 2সিবি, কোকেন, কেটামিন, পার্সি, এবং বিভিন্ন ধরণের এডিএইচডি ওষুধ, এবং একসময় নীল চাঁদে একটু অ্যান্টিঅ্যাংজ"&amp;"াইটি। যদিও আমরা অবশেষে কখনও শক্তিশালী কিছু না করার মন্ত্র ত্যাগ করেছি, তবুও আমরা সম্মান এবং যত্ন সহকারে ওষুধ এবং ফ্রিকোয়েন্সি ব্যবহার করার চেষ্টা করেছি। এবং আমি স্বীকার করতেই হবে, বেশিরভাগ ছেলেই ক্যারিয়ার, সম্পর্ক ইত্যাদির ক্ষেত্রে নিজেদের জন্য বেশ ভালো"&amp;" করছে। আমরা আমাদের কল্পনার দিক থেকে নিখুঁত কিছু করছি না, তবে আমরা আয়নায় নিজেদের দেখতে পারি (যদি না আমরা এমডিএমএ থেকে নেমে আসি)")</f>
        <v>বর্তমানে, আমি ২৫ বছর বয়সী একজন ছেলে, ডেনমার্কে থাকি। আমার বন্ধুরা এবং আমি ৮ বছর আগে মাদক সেবন শুরু করেছিলাম। তুমি জানোই, আমরা একটু গাঁজা সেবন শুরু করেছিলাম, একটা ভালো, নির্দোষ সময় কাটাতাম। সেই সময়, আমরা প্রায়শই প্রচার করতাম যে শক্তিশালী কিছু না করা উচিত, সেই গাঁজা যথেষ্ট ছিল অ্যাডা অ্যাডা অ্যাডা। যদিও, সময়ের সাথে সাথে, আমরা কেবল পাথরবাজ থেকে "সকল ব্যবসার জ্যাক" হয়ে উঠি। এলএসডি, এমডিএমএ, এস রুম, 2সিবি, কোকেন, কেটামিন, পার্সি, এবং বিভিন্ন ধরণের এডিএইচডি ওষুধ, এবং একসময় নীল চাঁদে একটু অ্যান্টিঅ্যাংজাইটি। যদিও আমরা অবশেষে কখনও শক্তিশালী কিছু না করার মন্ত্র ত্যাগ করেছি, তবুও আমরা সম্মান এবং যত্ন সহকারে ওষুধ এবং ফ্রিকোয়েন্সি ব্যবহার করার চেষ্টা করেছি। এবং আমি স্বীকার করতেই হবে, বেশিরভাগ ছেলেই ক্যারিয়ার, সম্পর্ক ইত্যাদির ক্ষেত্রে নিজেদের জন্য বেশ ভালো করছে। আমরা আমাদের কল্পনার দিক থেকে নিখুঁত কিছু করছি না, তবে আমরা আয়নায় নিজেদের দেখতে পারি (যদি না আমরা এমডিএমএ থেকে নেমে আসি)</v>
      </c>
    </row>
    <row r="686" spans="1:3" ht="15" x14ac:dyDescent="0.25">
      <c r="A686" s="3" t="s">
        <v>684</v>
      </c>
      <c r="B686" s="3" t="s">
        <v>4</v>
      </c>
      <c r="C686" s="4" t="str">
        <f ca="1">IFERROR(__xludf.DUMMYFUNCTION("GOOGLETRANSLATE(A686, ""auto"", ""bn"")"),"আমার বাবাকে কিভাবে সাহায্য করব, যিনি একজন মাদকাসক্ত? যদি জিজ্ঞাসা করার এই জায়গাটি ভুল হয়, তাহলে দুঃখিত, আমার সত্যিই কিছু পরামর্শের প্রয়োজন। আমার বাবা গত বছর থেকে পুনর্বাসনে ছিলেন এবং বাইরেও ছিলেন। এই সময়ের মধ্যে আমার বাবা-মায়ের বিবাহবিচ্ছেদ হয়ে যায়"&amp;" এবং আমি এখন কেবল আমার মায়ের সাথে থাকি। তিনি আবার অসুস্থ হয়ে পড়েন এবং আজ পুনর্বাসনের বাইরে আছেন। আমার কাকা মনে করেন যে তাকে সুস্থ রাখতে আমার তার সাথে আরও বেশি সময় কাটানো উচিত। সত্যি বলতে, আমি মাঝে মাঝে তাকে দেখা এড়িয়ে চলেছি কারণ তার সবচেয়ে খারাপ আস"&amp;"ক্তির সময় সে আমার এবং আমার মাকে যেভাবে আচরণ করেছিল তাতে আমার এখনও অনেক কষ্ট হয়। আমি জানি এটা তার দোষ নয় কিন্তু এটি এখনও আমার জন্য কঠিন। এই অনুভূতিগুলিকে কীভাবে একপাশে রাখা যায় সে সম্পর্কে কোন পরামর্শ? এবং তাকে সাহায্য করার জন্য আমি তার সাথে কী করতে পা"&amp;"রি?")</f>
        <v>আমার বাবাকে কিভাবে সাহায্য করব, যিনি একজন মাদকাসক্ত? যদি জিজ্ঞাসা করার এই জায়গাটি ভুল হয়, তাহলে দুঃখিত, আমার সত্যিই কিছু পরামর্শের প্রয়োজন। আমার বাবা গত বছর থেকে পুনর্বাসনে ছিলেন এবং বাইরেও ছিলেন। এই সময়ের মধ্যে আমার বাবা-মায়ের বিবাহবিচ্ছেদ হয়ে যায় এবং আমি এখন কেবল আমার মায়ের সাথে থাকি। তিনি আবার অসুস্থ হয়ে পড়েন এবং আজ পুনর্বাসনের বাইরে আছেন। আমার কাকা মনে করেন যে তাকে সুস্থ রাখতে আমার তার সাথে আরও বেশি সময় কাটানো উচিত। সত্যি বলতে, আমি মাঝে মাঝে তাকে দেখা এড়িয়ে চলেছি কারণ তার সবচেয়ে খারাপ আসক্তির সময় সে আমার এবং আমার মাকে যেভাবে আচরণ করেছিল তাতে আমার এখনও অনেক কষ্ট হয়। আমি জানি এটা তার দোষ নয় কিন্তু এটি এখনও আমার জন্য কঠিন। এই অনুভূতিগুলিকে কীভাবে একপাশে রাখা যায় সে সম্পর্কে কোন পরামর্শ? এবং তাকে সাহায্য করার জন্য আমি তার সাথে কী করতে পারি?</v>
      </c>
    </row>
    <row r="687" spans="1:3" ht="15" x14ac:dyDescent="0.25">
      <c r="A687" s="3" t="s">
        <v>685</v>
      </c>
      <c r="B687" s="3" t="s">
        <v>4</v>
      </c>
      <c r="C687" s="4" t="str">
        <f ca="1">IFERROR(__xludf.DUMMYFUNCTION("GOOGLETRANSLATE(A687, ""auto"", ""bn"")"),"আমি পর্ন, নিকোটিন এবং আগাছা একেবারেই ছেড়ে দিয়েছি। আমি ১১ দিন আগে ছেড়ে দিয়েছি এবং খুব খারাপ লাগছে, কুয়াশাচ্ছন্ন, একাকী এবং সবচেয়ে খারাপ একটানা মাথাব্যথা অনুভব করছি। আমি খুব কষ্ট পাচ্ছি কিন্তু আমার মনে হচ্ছে দিন দিন পরিস্থিতির উন্নতি হচ্ছে কিন্তু আমি "&amp;"কি আরও ৩ সপ্তাহ বা তারও বেশি সময় ধরে এটি সহ্য করার মতো না হওয়া পর্যন্ত কীভাবে এটি কাটিয়ে উঠতে পারি তা দেখার জন্য লড়াই করছি? তাছাড়া, আমি জানি এটি ছেড়ে দেওয়া মূল্যবান কিন্তু আমি সেই চিন্তাভাবনাগুলির সাথে লড়াই করছি যা বলার চেষ্টা করে যে এটির মূল্য নে"&amp;"ই। আপনারা কি আমাকে কিছু উৎসাহের কথা বলতে পারেন!")</f>
        <v>আমি পর্ন, নিকোটিন এবং আগাছা একেবারেই ছেড়ে দিয়েছি। আমি ১১ দিন আগে ছেড়ে দিয়েছি এবং খুব খারাপ লাগছে, কুয়াশাচ্ছন্ন, একাকী এবং সবচেয়ে খারাপ একটানা মাথাব্যথা অনুভব করছি। আমি খুব কষ্ট পাচ্ছি কিন্তু আমার মনে হচ্ছে দিন দিন পরিস্থিতির উন্নতি হচ্ছে কিন্তু আমি কি আরও ৩ সপ্তাহ বা তারও বেশি সময় ধরে এটি সহ্য করার মতো না হওয়া পর্যন্ত কীভাবে এটি কাটিয়ে উঠতে পারি তা দেখার জন্য লড়াই করছি? তাছাড়া, আমি জানি এটি ছেড়ে দেওয়া মূল্যবান কিন্তু আমি সেই চিন্তাভাবনাগুলির সাথে লড়াই করছি যা বলার চেষ্টা করে যে এটির মূল্য নেই। আপনারা কি আমাকে কিছু উৎসাহের কথা বলতে পারেন!</v>
      </c>
    </row>
    <row r="688" spans="1:3" ht="15" x14ac:dyDescent="0.25">
      <c r="A688" s="3" t="s">
        <v>135</v>
      </c>
      <c r="B688" s="3" t="s">
        <v>4</v>
      </c>
      <c r="C688" s="4" t="str">
        <f ca="1">IFERROR(__xludf.DUMMYFUNCTION("GOOGLETRANSLATE(A688, ""auto"", ""bn"")"),"আমার বয়স ২১ মিলিয়ন। আমার বাবা মদ্যপানের কারণে মারা গেছেন এবং আমার পরিবারের অন্য সবাই হয় মদ্যপ, অথবা অন্তত মদ্যপান করতে ভালোবাসে। এটা দেখে আমার মদ্যপান নষ্ট হয়ে গেছে এবং আমি খুব কমই মদ্যপান করি। সোশ্যাল মিডিয়া, ভিডিও গেম, টিভি ইত্যাদির প্রতি আসক্তির সাথে "&amp;"আমার লড়াই হয়। আমি নেটফ্লিক্স দেখতে পারি না কারণ একবার আমি একটি সিরিজ শুরু করলে এটি আমার জীবন গ্রাস করে, এবং আমি এটি উপভোগ না করলেও দিনে ১৬ ঘন্টা দেখি। তাছাড়া, আমি ক্রমাগত সোশ্যাল মিডিয়া ছেড়ে দেওয়ার চেষ্টা করি, কিন্তু কয়েকদিন পর ব্যর্থ হই এবং আত্মনিয়ন্ত্"&amp;"রণের সাথে সত্যিই লড়াই করি। তাছাড়া, আমি কেবল বাধ্যবাধকতা প্রতিরোধ করতে পারি না এবং আমার বন্ধুরা বুঝতে পারে না কেন আমি কেবল থামতে পারছি না। তুমি কি মনে করো আমার কেবল শৃঙ্খলার সমস্যা আছে নাকি আমার জেনেটিক্সও ভূমিকা পালন করতে পারে? মদ্যপরা কি পদার্থ-বহির্ভূত"&amp;" আসক্তির সাথেও লড়াই করে?")</f>
        <v>আমার বয়স ২১ মিলিয়ন। আমার বাবা মদ্যপানের কারণে মারা গেছেন এবং আমার পরিবারের অন্য সবাই হয় মদ্যপ, অথবা অন্তত মদ্যপান করতে ভালোবাসে। এটা দেখে আমার মদ্যপান নষ্ট হয়ে গেছে এবং আমি খুব কমই মদ্যপান করি। সোশ্যাল মিডিয়া, ভিডিও গেম, টিভি ইত্যাদির প্রতি আসক্তির সাথে আমার লড়াই হয়। আমি নেটফ্লিক্স দেখতে পারি না কারণ একবার আমি একটি সিরিজ শুরু করলে এটি আমার জীবন গ্রাস করে, এবং আমি এটি উপভোগ না করলেও দিনে ১৬ ঘন্টা দেখি। তাছাড়া, আমি ক্রমাগত সোশ্যাল মিডিয়া ছেড়ে দেওয়ার চেষ্টা করি, কিন্তু কয়েকদিন পর ব্যর্থ হই এবং আত্মনিয়ন্ত্রণের সাথে সত্যিই লড়াই করি। তাছাড়া, আমি কেবল বাধ্যবাধকতা প্রতিরোধ করতে পারি না এবং আমার বন্ধুরা বুঝতে পারে না কেন আমি কেবল থামতে পারছি না। তুমি কি মনে করো আমার কেবল শৃঙ্খলার সমস্যা আছে নাকি আমার জেনেটিক্সও ভূমিকা পালন করতে পারে? মদ্যপরা কি পদার্থ-বহির্ভূত আসক্তির সাথেও লড়াই করে?</v>
      </c>
    </row>
    <row r="689" spans="1:3" ht="15" x14ac:dyDescent="0.25">
      <c r="A689" s="3" t="s">
        <v>686</v>
      </c>
      <c r="B689" s="3" t="s">
        <v>4</v>
      </c>
      <c r="C689" s="4" t="str">
        <f ca="1">IFERROR(__xludf.DUMMYFUNCTION("GOOGLETRANSLATE(A689, ""auto"", ""bn"")"),"আমি আগে ওপিওয়েড/আগাছা/নিকোটিন/সব ধরণের মাদকাসক্ত ছিলাম, যার জন্য আমি খুবই কৃতজ্ঞ যে আমি এখন ২ বছর ধরে মাদকাসক্ত। কিন্তু মাদকাসক্তি কমানোর পর আমি অন্যান্য জিনিসের প্রতি তীব্র আসক্তিতে ভুগছি, যেমন খাওয়া এবং টাকা খরচ করা। নিজেকে থামানো আমার পক্ষে অত্যন্ত কঠ"&amp;"িন, আমার বয়স ১৭ এবং আমার কোনও আসল বিল বা অন্য কিছু আছে, তাই আমি যদি আমার টাকা খরচ করি তাহলে ঠিক আছে, তবে আমি আমার জমানো টাকা খরচ করছি। আমি কিছুদিন আগে ফাঙ্ক পপ সংগ্রহ করতে শুরু করেছিলাম এবং এখন ১০০ এরও বেশি হয়ে গেছে। এগুলো হয়তো ভালো মনে হচ্ছে না, কিন্ত"&amp;"ু এগুলো বেশ দামি হতে পারে এবং আমি মনে করি এতে কিছু একটা আছে, আমি নিজেকে না বলতে পারছি না। মাদকাসক্তি কমানোর পর থেকে খাওয়ার ক্ষেত্রেও একই কথা প্রযোজ্য। আমি প্রায় ১০০ পাউন্ড ওজন বাড়িয়েছি। আমি বুঝতে পেরেছি যে আমার জীবন কেবল একটি আসক্তি থেকে অন্য আসক্তিতে"&amp;" চলে যাচ্ছে। যদি কেউ একই রকম অভিজ্ঞতা লাভ করে থাকে এবং কোন পরামর্শ থাকে তবে আমি অত্যন্ত কৃতজ্ঞ থাকব, এবং যারা মাদকাসক্তি সম্পর্কে কথা বলার জন্য কাউকে খুঁজছেন তারা SMU-তে যোগাযোগ করতে দ্বিধা করবেন না।")</f>
        <v>আমি আগে ওপিওয়েড/আগাছা/নিকোটিন/সব ধরণের মাদকাসক্ত ছিলাম, যার জন্য আমি খুবই কৃতজ্ঞ যে আমি এখন ২ বছর ধরে মাদকাসক্ত। কিন্তু মাদকাসক্তি কমানোর পর আমি অন্যান্য জিনিসের প্রতি তীব্র আসক্তিতে ভুগছি, যেমন খাওয়া এবং টাকা খরচ করা। নিজেকে থামানো আমার পক্ষে অত্যন্ত কঠিন, আমার বয়স ১৭ এবং আমার কোনও আসল বিল বা অন্য কিছু আছে, তাই আমি যদি আমার টাকা খরচ করি তাহলে ঠিক আছে, তবে আমি আমার জমানো টাকা খরচ করছি। আমি কিছুদিন আগে ফাঙ্ক পপ সংগ্রহ করতে শুরু করেছিলাম এবং এখন ১০০ এরও বেশি হয়ে গেছে। এগুলো হয়তো ভালো মনে হচ্ছে না, কিন্তু এগুলো বেশ দামি হতে পারে এবং আমি মনে করি এতে কিছু একটা আছে, আমি নিজেকে না বলতে পারছি না। মাদকাসক্তি কমানোর পর থেকে খাওয়ার ক্ষেত্রেও একই কথা প্রযোজ্য। আমি প্রায় ১০০ পাউন্ড ওজন বাড়িয়েছি। আমি বুঝতে পেরেছি যে আমার জীবন কেবল একটি আসক্তি থেকে অন্য আসক্তিতে চলে যাচ্ছে। যদি কেউ একই রকম অভিজ্ঞতা লাভ করে থাকে এবং কোন পরামর্শ থাকে তবে আমি অত্যন্ত কৃতজ্ঞ থাকব, এবং যারা মাদকাসক্তি সম্পর্কে কথা বলার জন্য কাউকে খুঁজছেন তারা SMU-তে যোগাযোগ করতে দ্বিধা করবেন না।</v>
      </c>
    </row>
    <row r="690" spans="1:3" ht="15" x14ac:dyDescent="0.25">
      <c r="A690" s="3" t="s">
        <v>687</v>
      </c>
      <c r="B690" s="3" t="s">
        <v>4</v>
      </c>
      <c r="C690" s="4" t="str">
        <f ca="1">IFERROR(__xludf.DUMMYFUNCTION("GOOGLETRANSLATE(A690, ""auto"", ""bn"")"),"আমি জানি না এই সম্প্রদায়টি জিজ্ঞাসা করা সঠিক কিনা, এবং আমি নিশ্চিত যে অনেকেই আমাকে আর কখনও ধূমপান না করার পরামর্শ দেবেন। আমি এই পরামর্শের জন্য উন্মুক্ত, কিন্তু এটি আসলে আমার লক্ষ্য নয়। মূলত, আমি প্রায় এক বছর ধরে সম্পূর্ণ হতাশাগ্রস্ত এবং হতাশ হয়ে বেঁচে"&amp;" আছি, এবং ছয় মাস আগে প্রতিক্রিয়ায় একজন অলস ব্যক্তি হয়ে পড়েছিলাম। গত সপ্তাহেই আমি হঠাৎ করেই সিদ্ধান্ত নিয়েছিলাম যে আমার জীবনকে ঘুরিয়ে দেব, এবং আমি একজন থেরাপিস্টের সাথে দেখা করছি এবং তারপর থেকে আমি আমার লক্ষ্যগুলি সফলভাবে অর্জন করছি। ব্যাপারটা হল, আ"&amp;"জকের মতো দিনগুলিতে আমি বিরক্ত এবং কেবল ঘরের কাজ করার জন্য (এবং একটি খেলা দেখার জন্য!) কাজ করতে হবে, এবং আমি অবশ্যই তা করতে চাই। আমি কেবল ধূমপান ছেড়ে দিয়েছি কারণ এটি আমাকে নিজের যত্ন নিতে বাধা দিচ্ছিল, কিন্তু যেহেতু আমি ইতিমধ্যেই আমার জীবনকে ঘুরিয়ে দেওয"&amp;"়ার জন্য প্রতিশ্রুতিবদ্ধ, এবং আমি একজন থেরাপিস্টের সাথে দেখা করছি, আমার বন্ধুদের সাথে এটি সম্পর্কে যোগাযোগ করছি, ইত্যাদি, তাই আমি মনে করি না যে আমি যদি মাসে কয়েকবার ধূমপান করি তবে আমার পুরানো অভ্যাসে ফিরে যাওয়ার কোনও ঝুঁকি আছে, কেবল মজা করার জন্য। স্পষ্"&amp;"টতই, এটা সম্ভব যে আমি পক্ষপাতদুষ্ট এবং বিষণ্ণতায় ফিরে যাব এবং মাঝে মাঝে ধূমপান করতে দিলে আমার জীবন নষ্ট হয়ে যাবে, অথবা যদি আমি খুব তাড়াতাড়ি আবার শুরু করি (মাত্র এক সপ্তাহ হয়েছে, কিন্তু সেই সপ্তাহে আমার বন্ধু অনেক কিছু বদলে গেছে) তাহলে হাদ্দাদ? সবাই র"&amp;"েডিট বলে? আমি কি আজ, পরের মাসে, নাকি আর কখনও ধূমপান করতে পারি না?")</f>
        <v>আমি জানি না এই সম্প্রদায়টি জিজ্ঞাসা করা সঠিক কিনা, এবং আমি নিশ্চিত যে অনেকেই আমাকে আর কখনও ধূমপান না করার পরামর্শ দেবেন। আমি এই পরামর্শের জন্য উন্মুক্ত, কিন্তু এটি আসলে আমার লক্ষ্য নয়। মূলত, আমি প্রায় এক বছর ধরে সম্পূর্ণ হতাশাগ্রস্ত এবং হতাশ হয়ে বেঁচে আছি, এবং ছয় মাস আগে প্রতিক্রিয়ায় একজন অলস ব্যক্তি হয়ে পড়েছিলাম। গত সপ্তাহেই আমি হঠাৎ করেই সিদ্ধান্ত নিয়েছিলাম যে আমার জীবনকে ঘুরিয়ে দেব, এবং আমি একজন থেরাপিস্টের সাথে দেখা করছি এবং তারপর থেকে আমি আমার লক্ষ্যগুলি সফলভাবে অর্জন করছি। ব্যাপারটা হল, আজকের মতো দিনগুলিতে আমি বিরক্ত এবং কেবল ঘরের কাজ করার জন্য (এবং একটি খেলা দেখার জন্য!) কাজ করতে হবে, এবং আমি অবশ্যই তা করতে চাই। আমি কেবল ধূমপান ছেড়ে দিয়েছি কারণ এটি আমাকে নিজের যত্ন নিতে বাধা দিচ্ছিল, কিন্তু যেহেতু আমি ইতিমধ্যেই আমার জীবনকে ঘুরিয়ে দেওয়ার জন্য প্রতিশ্রুতিবদ্ধ, এবং আমি একজন থেরাপিস্টের সাথে দেখা করছি, আমার বন্ধুদের সাথে এটি সম্পর্কে যোগাযোগ করছি, ইত্যাদি, তাই আমি মনে করি না যে আমি যদি মাসে কয়েকবার ধূমপান করি তবে আমার পুরানো অভ্যাসে ফিরে যাওয়ার কোনও ঝুঁকি আছে, কেবল মজা করার জন্য। স্পষ্টতই, এটা সম্ভব যে আমি পক্ষপাতদুষ্ট এবং বিষণ্ণতায় ফিরে যাব এবং মাঝে মাঝে ধূমপান করতে দিলে আমার জীবন নষ্ট হয়ে যাবে, অথবা যদি আমি খুব তাড়াতাড়ি আবার শুরু করি (মাত্র এক সপ্তাহ হয়েছে, কিন্তু সেই সপ্তাহে আমার বন্ধু অনেক কিছু বদলে গেছে) তাহলে হাদ্দাদ? সবাই রেডিট বলে? আমি কি আজ, পরের মাসে, নাকি আর কখনও ধূমপান করতে পারি না?</v>
      </c>
    </row>
    <row r="691" spans="1:3" ht="15" x14ac:dyDescent="0.25">
      <c r="A691" s="3" t="s">
        <v>688</v>
      </c>
      <c r="B691" s="3" t="s">
        <v>4</v>
      </c>
      <c r="C691" s="4" t="str">
        <f ca="1">IFERROR(__xludf.DUMMYFUNCTION("GOOGLETRANSLATE(A691, ""auto"", ""bn"")"),"হে বন্ধুরা, আমার বেশ কিছু আসক্তিকর আচরণ আছে যা মাঝে মাঝে আমার জীবনকে ধ্বংস করে দেয়। আমি ইতিমধ্যেই ধূমপান ত্যাগ করতে বেশ সফল হয়েছি (৪ মাস ধরে আমি নিজেকে শান্ত রেখেছি), কিন্তু কিছু অভ্যাস এখনও আমার জীবনে খুব বেশি বিদ্যমান। যখন আপনি আসক্তিকর আচরণ এড়াতে না"&amp;" পারেন, তখন অপরাধবোধ এবং লজ্জা কীভাবে মোকাবেলা করবেন সে সম্পর্কে আপনার কৌশলগুলি জানতে চেয়েছিলাম?")</f>
        <v>হে বন্ধুরা, আমার বেশ কিছু আসক্তিকর আচরণ আছে যা মাঝে মাঝে আমার জীবনকে ধ্বংস করে দেয়। আমি ইতিমধ্যেই ধূমপান ত্যাগ করতে বেশ সফল হয়েছি (৪ মাস ধরে আমি নিজেকে শান্ত রেখেছি), কিন্তু কিছু অভ্যাস এখনও আমার জীবনে খুব বেশি বিদ্যমান। যখন আপনি আসক্তিকর আচরণ এড়াতে না পারেন, তখন অপরাধবোধ এবং লজ্জা কীভাবে মোকাবেলা করবেন সে সম্পর্কে আপনার কৌশলগুলি জানতে চেয়েছিলাম?</v>
      </c>
    </row>
    <row r="692" spans="1:3" ht="15" x14ac:dyDescent="0.25">
      <c r="A692" s="3" t="s">
        <v>689</v>
      </c>
      <c r="B692" s="3" t="s">
        <v>4</v>
      </c>
      <c r="C692" s="4" t="str">
        <f ca="1">IFERROR(__xludf.DUMMYFUNCTION("GOOGLETRANSLATE(A692, ""auto"", ""bn"")"),"আমি বর্তমানে Xanax এবং Percy থেকে বেরিয়ে আসার চেষ্টা করছি এবং অনলাইনে কোথাও সাহায্য করার জন্য কোনও গাইড খুঁজে পাচ্ছি না। সবসময় একই উত্তর ছিল পুনর্বাসন কেন্দ্রে যাওয়া। তাই আমি কয়েকটি পুনর্বাসন কেন্দ্র, হাসপাতাল, Er রুম, detox কেন্দ্রে ফোন করার সিদ্ধান্ত"&amp;" নিই এবং তালিকাটি চলতে থাকে। এই লোকদের ফোন করার উত্তর ছিল, ফোনে আপনাকে চিকিৎসা সংক্রান্ত তথ্য দেওয়ার অনুমতি নেই। আমাকে বলা হয়েছিল যে আমার কাছে কেবল দুটি বিকল্প ছিল চিকিৎসার জন্য আসা অথবা পুনর্বাসনে যাওয়া। তাই আমি ভাবছিলাম যে ফোনে এই তথ্য দেওয়া কি অবৈধ"&amp;", নাকি আমি কেবল অর্থের জন্য চিকিৎসা শিল্পের দ্বারা প্রতারিত হচ্ছি। আমি কেবল পরিষ্কার থাকতে চাই, এবং আমি সুস্থ থাকতে পারি, কিন্তু আমাকে এটি নিজেই করতে হবে, আমি নিজেই এটি করতে পারি। তাই যদি কেউ আমাকে সাহায্য করতে পারেন এবং আমাকে কিছু টিপস দিতে পারেন তবে আমি"&amp;" সত্যিই কৃতজ্ঞ থাকব পরিষ্কার হওয়া আমার সমস্যার সমাধানের একটি সূচনা হবে কিন্তু আমি বর্তমানে যে পরিমাণ গ্রহণ করছি তা নিয়ে আমি মাথা ঘামাতে পারছি না।")</f>
        <v>আমি বর্তমানে Xanax এবং Percy থেকে বেরিয়ে আসার চেষ্টা করছি এবং অনলাইনে কোথাও সাহায্য করার জন্য কোনও গাইড খুঁজে পাচ্ছি না। সবসময় একই উত্তর ছিল পুনর্বাসন কেন্দ্রে যাওয়া। তাই আমি কয়েকটি পুনর্বাসন কেন্দ্র, হাসপাতাল, Er রুম, detox কেন্দ্রে ফোন করার সিদ্ধান্ত নিই এবং তালিকাটি চলতে থাকে। এই লোকদের ফোন করার উত্তর ছিল, ফোনে আপনাকে চিকিৎসা সংক্রান্ত তথ্য দেওয়ার অনুমতি নেই। আমাকে বলা হয়েছিল যে আমার কাছে কেবল দুটি বিকল্প ছিল চিকিৎসার জন্য আসা অথবা পুনর্বাসনে যাওয়া। তাই আমি ভাবছিলাম যে ফোনে এই তথ্য দেওয়া কি অবৈধ, নাকি আমি কেবল অর্থের জন্য চিকিৎসা শিল্পের দ্বারা প্রতারিত হচ্ছি। আমি কেবল পরিষ্কার থাকতে চাই, এবং আমি সুস্থ থাকতে পারি, কিন্তু আমাকে এটি নিজেই করতে হবে, আমি নিজেই এটি করতে পারি। তাই যদি কেউ আমাকে সাহায্য করতে পারেন এবং আমাকে কিছু টিপস দিতে পারেন তবে আমি সত্যিই কৃতজ্ঞ থাকব পরিষ্কার হওয়া আমার সমস্যার সমাধানের একটি সূচনা হবে কিন্তু আমি বর্তমানে যে পরিমাণ গ্রহণ করছি তা নিয়ে আমি মাথা ঘামাতে পারছি না।</v>
      </c>
    </row>
    <row r="693" spans="1:3" ht="15" x14ac:dyDescent="0.25">
      <c r="A693" s="3" t="s">
        <v>690</v>
      </c>
      <c r="B693" s="3" t="s">
        <v>4</v>
      </c>
      <c r="C693" s="4" t="str">
        <f ca="1">IFERROR(__xludf.DUMMYFUNCTION("GOOGLETRANSLATE(A693, ""auto"", ""bn"")"),"আমি যখন ছোট ছিলাম, তখন ধূমপান/নিকোটিনের নেশায় আসক্ত হয়ে পড়ার বোকামিপূর্ণ ভুল করেছিলাম, এবং প্রায় এক বছর ধরে এই অভ্যাসের ফলে ১৬ বছর বয়সে আমি একজন দায়িত্বশীল তরুণ হিসেবে পরিণত হয়েছি। আমি মাঝেমধ্যে এক সপ্তাহেরও কম সময় ধূমপান ত্যাগ করার চেষ্টা করেছি, এবং আসলে"&amp;" তেমন কোনও প্রচেষ্টাও করিনি। তাছাড়া, আমি ভাবছি এখানে কারও কি একই রকম অভিজ্ঞতা হয়েছে কিনা, এবং আপনি ধূমপান ত্যাগ করার জন্য কী করেছেন তা জানতে আমি আগ্রহী। ধূমপান ত্যাগের ক্ষেত্রে একটি ক্রমবর্ধমান পদ্ধতি গ্রহণ করাই ভালো। তবে যেকোনো নির্দেশনা স্বাগত।")</f>
        <v>আমি যখন ছোট ছিলাম, তখন ধূমপান/নিকোটিনের নেশায় আসক্ত হয়ে পড়ার বোকামিপূর্ণ ভুল করেছিলাম, এবং প্রায় এক বছর ধরে এই অভ্যাসের ফলে ১৬ বছর বয়সে আমি একজন দায়িত্বশীল তরুণ হিসেবে পরিণত হয়েছি। আমি মাঝেমধ্যে এক সপ্তাহেরও কম সময় ধূমপান ত্যাগ করার চেষ্টা করেছি, এবং আসলে তেমন কোনও প্রচেষ্টাও করিনি। তাছাড়া, আমি ভাবছি এখানে কারও কি একই রকম অভিজ্ঞতা হয়েছে কিনা, এবং আপনি ধূমপান ত্যাগ করার জন্য কী করেছেন তা জানতে আমি আগ্রহী। ধূমপান ত্যাগের ক্ষেত্রে একটি ক্রমবর্ধমান পদ্ধতি গ্রহণ করাই ভালো। তবে যেকোনো নির্দেশনা স্বাগত।</v>
      </c>
    </row>
    <row r="694" spans="1:3" ht="15" x14ac:dyDescent="0.25">
      <c r="A694" s="3" t="s">
        <v>691</v>
      </c>
      <c r="B694" s="3" t="s">
        <v>4</v>
      </c>
      <c r="C694" s="4" t="str">
        <f ca="1">IFERROR(__xludf.DUMMYFUNCTION("GOOGLETRANSLATE(A694, ""auto"", ""bn"")"),"আমার বয়স মাত্র ১৫ বছর এবং আমি কোনও কিছুতেই আসক্ত নই, কিন্তু যখন কোনও ধরণের মাদক সহজলভ্য হয় তখন আমি নিজেকে সামলাতে পারি না। আমি যে মাদক সেবন করেছি তা হলো আফিম, অ্যাডেরল এবং আগাছা। আমি নেশাগ্রস্ত থাকতে ভালোবাসি, এবং আমি সবসময় নেশার জন্য আকাঙ্ক্ষা বন্ধ করতে"&amp;" চাই, কারণ এটি আমার জন্য ভয়াবহ। আমি খুব অপরাধবোধ করি কারণ আমি জানি এটি আমার জন্য ভয়াবহ। কারো কি এমন কোন কথা আছে যা আমার মনে রাখা উচিত বা কোন পরামর্শ দয়া করে আমার সত্যিই এটির প্রয়োজন।")</f>
        <v>আমার বয়স মাত্র ১৫ বছর এবং আমি কোনও কিছুতেই আসক্ত নই, কিন্তু যখন কোনও ধরণের মাদক সহজলভ্য হয় তখন আমি নিজেকে সামলাতে পারি না। আমি যে মাদক সেবন করেছি তা হলো আফিম, অ্যাডেরল এবং আগাছা। আমি নেশাগ্রস্ত থাকতে ভালোবাসি, এবং আমি সবসময় নেশার জন্য আকাঙ্ক্ষা বন্ধ করতে চাই, কারণ এটি আমার জন্য ভয়াবহ। আমি খুব অপরাধবোধ করি কারণ আমি জানি এটি আমার জন্য ভয়াবহ। কারো কি এমন কোন কথা আছে যা আমার মনে রাখা উচিত বা কোন পরামর্শ দয়া করে আমার সত্যিই এটির প্রয়োজন।</v>
      </c>
    </row>
    <row r="695" spans="1:3" ht="15" x14ac:dyDescent="0.25">
      <c r="A695" s="3" t="s">
        <v>692</v>
      </c>
      <c r="B695" s="3" t="s">
        <v>4</v>
      </c>
      <c r="C695" s="4" t="str">
        <f ca="1">IFERROR(__xludf.DUMMYFUNCTION("GOOGLETRANSLATE(A695, ""auto"", ""bn"")"),"এই মাসে আমার বাগদত্তা আর আমার সম্পর্ক ৬ বছর ধরে। এই পুরো সময়টা একসাথে বড়ি খাওয়ার ফলে আমাদের অবস্থা আরও খারাপ হতে থাকে। আচ্ছা, আমি জানতে পারলাম যে আমাদের দাঁতের জন্য বড়িগুলো তৈরি হচ্ছিল। এটা আমাকে আমার পুরো জীবনটা পুনর্মূল্যায়ন করতে বাধ্য করেছে। আমি ব"&amp;"ুঝতে পেরেছি যে আমার ব্যবহারের কারণে আমি সবকিছু হারিয়ে ফেলেছি। আমি নিজের জন্য স্বাস্থ্য বীমা করেছি এবং পুনর্বাসনের জন্য একটি চিকিৎসা কেন্দ্র খুঁজে পেয়েছি.... কিন্তু আমার বাগদত্তা যেতে চায় না। সে বলে যে সে তার চাকরি ছেড়ে যেতে পারবে না। সে আমার মতো করে উ"&amp;"ঠে চলে যেতে পারবে না। এটা আমাকে সত্যিই কষ্ট দিয়েছে। আমি তাকে বলেছিলাম যে আমি তার সাথে জীবনের বাস্তব অভিজ্ঞতা অর্জন করতে চাই, আমি তাকে অনেক ভালোবাসি। কিন্তু আমার মনে হচ্ছে যদি আমি পুনর্বাসনে যাই.... আমরা শেষ হয়ে যাব। সে আমার কাছে যা আছে তা হল। আমি এতটা ক"&amp;"্ষতির মধ্যে আছি। আমি জানি না কী করব। সে এই পুরো সময়টা আমার যত্ন নিয়েছে। কিন্তু এই পুরো সময়টা আমি তার সাথে থাকার সময় আমার জীবনের কোনও উন্নতি হয়নি.... কিন্তু তারও হয়নি। মানুষ কি সত্যিই ভাবে যে তারা উঠে যেতে পারবে না, নাকি তোমরা সবাই ভাবছো যে সে যেতে চ"&amp;"ায় না। আমি একটা পুনর্বাসন কেন্দ্র খুঁজে পেয়েছি যেখানে তারা পরের দিন আমাকে তুলে নেবে। আমি তাকে টেক্সট করেছিলাম, আর সে আমাকে বলেছিল যে এখনও যেতে পারবে না কারণ সে আমাকে মিস করবে। আচ্ছা, আজ ইলেকট্রিক বন্ধ হয়ে গেছে। জীবন আরও খারাপ হচ্ছে, আর আমার মনে হচ্ছে আম"&amp;"ি এক অন্তহীন অতল গহ্বরে পড়ে যাচ্ছি। যদিও এর কোনও অতল গহ্বর নেই, এটাই আমাকে কষ্ট দিচ্ছে। সাহায্য না পেলে জীবন আরও খারাপ হতে পারে এবং আরও খারাপ হবে।")</f>
        <v>এই মাসে আমার বাগদত্তা আর আমার সম্পর্ক ৬ বছর ধরে। এই পুরো সময়টা একসাথে বড়ি খাওয়ার ফলে আমাদের অবস্থা আরও খারাপ হতে থাকে। আচ্ছা, আমি জানতে পারলাম যে আমাদের দাঁতের জন্য বড়িগুলো তৈরি হচ্ছিল। এটা আমাকে আমার পুরো জীবনটা পুনর্মূল্যায়ন করতে বাধ্য করেছে। আমি বুঝতে পেরেছি যে আমার ব্যবহারের কারণে আমি সবকিছু হারিয়ে ফেলেছি। আমি নিজের জন্য স্বাস্থ্য বীমা করেছি এবং পুনর্বাসনের জন্য একটি চিকিৎসা কেন্দ্র খুঁজে পেয়েছি.... কিন্তু আমার বাগদত্তা যেতে চায় না। সে বলে যে সে তার চাকরি ছেড়ে যেতে পারবে না। সে আমার মতো করে উঠে চলে যেতে পারবে না। এটা আমাকে সত্যিই কষ্ট দিয়েছে। আমি তাকে বলেছিলাম যে আমি তার সাথে জীবনের বাস্তব অভিজ্ঞতা অর্জন করতে চাই, আমি তাকে অনেক ভালোবাসি। কিন্তু আমার মনে হচ্ছে যদি আমি পুনর্বাসনে যাই.... আমরা শেষ হয়ে যাব। সে আমার কাছে যা আছে তা হল। আমি এতটা ক্ষতির মধ্যে আছি। আমি জানি না কী করব। সে এই পুরো সময়টা আমার যত্ন নিয়েছে। কিন্তু এই পুরো সময়টা আমি তার সাথে থাকার সময় আমার জীবনের কোনও উন্নতি হয়নি.... কিন্তু তারও হয়নি। মানুষ কি সত্যিই ভাবে যে তারা উঠে যেতে পারবে না, নাকি তোমরা সবাই ভাবছো যে সে যেতে চায় না। আমি একটা পুনর্বাসন কেন্দ্র খুঁজে পেয়েছি যেখানে তারা পরের দিন আমাকে তুলে নেবে। আমি তাকে টেক্সট করেছিলাম, আর সে আমাকে বলেছিল যে এখনও যেতে পারবে না কারণ সে আমাকে মিস করবে। আচ্ছা, আজ ইলেকট্রিক বন্ধ হয়ে গেছে। জীবন আরও খারাপ হচ্ছে, আর আমার মনে হচ্ছে আমি এক অন্তহীন অতল গহ্বরে পড়ে যাচ্ছি। যদিও এর কোনও অতল গহ্বর নেই, এটাই আমাকে কষ্ট দিচ্ছে। সাহায্য না পেলে জীবন আরও খারাপ হতে পারে এবং আরও খারাপ হবে।</v>
      </c>
    </row>
    <row r="696" spans="1:3" ht="15" x14ac:dyDescent="0.25">
      <c r="A696" s="3" t="s">
        <v>247</v>
      </c>
      <c r="B696" s="3" t="s">
        <v>4</v>
      </c>
      <c r="C696" s="4" t="str">
        <f ca="1">IFERROR(__xludf.DUMMYFUNCTION("GOOGLETRANSLATE(A696, ""auto"", ""bn"")"),"৩০ বছর বয়সে আমি এই খারাপ ছেলেদের ত্যাগ করেছিলাম, অর্থাৎ আমি সারাদিন, প্রতিদিন ধূমপান ছেড়ে দিয়েছিলাম। কিন্তু তারপর আমিও (একটি দানবের মতো) মদ্যপান করতাম এবং খাইতাম - এবং আমার মোকাবেলা করার পদ্ধতি সম্পর্কে খুব অজ্ঞ ছিলাম, (অটিজম এবং ADHD রোগ নির্ণয়ের আগে"&amp;" এবং পরবর্তী স্তরে সাধারণ আত্ম-আবিষ্কার...) আমি এখন সব নিয়ন্ত্রণে এনেছি, অবশেষে, ৩৩ বছর বয়সে, তবে নভেম্বরে আমার কিছুটা মানসিক বিপর্যয় হয়েছিল এবং ছয় সপ্তাহ ধরে ধূমপান করেছি, বড়দিনের পরে সুস্থ হয়ে উঠেছিলাম, তারপর আমার দাদি তাৎক্ষণিকভাবে হাসপাতালে ভর্"&amp;"তি হন এবং তারপর জানুয়ারির শেষে মারা যান, তাই আমি প্রায় তিন মাস ধরে ধূমপান চালিয়ে যাচ্ছিলাম। আমি এই অধার্মিক পরিমাণে ধূমপান করছি এবং জানতাম যে এটি আমাকে সত্যিই খারাপ, খারাপ জায়গায় ফেলে দেবে যখন আমি থামিয়ে দিয়েছিলাম... এবং আমরা এখন এখানে। আমি আবার শে"&amp;"ষ করেছি কারণ আমি এটি পরিমিতভাবে করতে পারি না, চতুর্থ বা পঞ্চম জয়েন্টের পরে আঘাত পাওয়ার আগেই আমার ফুসফুস একেবারে ভাজা হয়ে যায়। এটি ব্যয়বহুল এবং অস্থির এবং আমার বর্তমান আধ্যাত্মিক মূল্যবোধের সাথে ভালভাবে সামঞ্জস্যপূর্ণ নয়। আগাছা আমাকে অনেক কিছু খুলে দ"&amp;"িয়েছে এবং অনেক কিছু বদলে দিয়েছে, কিন্তু সেই ব্যবহার অপব্যবহারে পরিণত হয়েছে এবং আমার কেবল এগিয়ে যাওয়ার প্রয়োজন ছিল। যাই হোক, আমি আসলে এখানে যা চাই তা হলো, সম্ভবত, আশা করি এমন লোকদের কাছ থেকে আশ্বস্ত করা যায় যারা বোঝেন.... আসক্তি আমার জীবনে, কখনও, কখনও মোকা"&amp;"বেলা করা সবচেয়ে কঠিন জিনিস। ছোটবেলায় মানসিক আঘাত, তারপর অটিজমের আচার-অনুষ্ঠানের আনন্দের দ্বিগুণ ধাক্কা এবং তারপর ADHD-এর মানসিক ব্যবস্থাপনা এবং এর সাথে যা আসে... এটি একজন সাধারণ মানুষের মতো কাজ করা একেবারে অসম্ভব করে তোলে। আজকাল আমার কোনও আসক্ত বন্ধু নেই"&amp;" এবং যে তা বুঝতে পারে তার সাথে কথা বলতে সত্যিই কষ্ট হচ্ছে.... তাই এখন অবশ্যই আমি সম্পূর্ণরূপে অস্থির এবং সবকিছু অনুভব করছি। আমি টানা দুই দিন ঘুমিয়েছিলাম, এবং সেখান থেকে বেরিয়ে এসে আমি ড্রামে একটি দুর্দান্ত সেশন এবং একটি দীর্ঘ হাঁটাচলা করতে পেরেছি, তবে, "&amp;"আমি এখন 3 তম দিনে আছি, এবং আমি একেবারে, একেবারে ভয়ঙ্কর, মানসিক এবং মানসিকভাবে অনুভব করছি? আমি জীবনের মধ্য দিয়ে একটা বিষণ্ণ ভূতের মতো কাজ করছি এবং প্রবাহিত হচ্ছি, কিন্তু বিশ্বাসের বাইরেও বিরক্তিকর, অবশ্যই প্রত্যাহারের স্বাভাবিক বোকামি, কিন্তু তারপর অস্তি"&amp;"ত্বের ভয় আমাকে এমন একটা চিরস্থায়ী শর্ট ফিউজিং সার্কিটের মতো অনুভব করাচ্ছে যা একটি কৃষ্ণগহ্বরে চুষে ফেলা হতে চলেছে। এটি আমার উপরের পিঠ দিয়ে আমার দিকে তাকিয়ে আসছে, আমি আতঙ্কিত বোধ করছি, শুধু, এই সম্পূর্ণ অস্তিত্বের, ভয়াবহ, ভয়ানক, কেবল ভয়ানক, ভয়ানক অন"&amp;"ুভূতি.... ধূমপান সবকিছু দূর করে দেবে, কিন্তু তারপর এটি আরও খারাপভাবে ফিরে আসবে, তাই আমি সম্ভবত অনিবার্যকে আর দীর্ঘায়িত করতে পারব না... ঈশ্বর, দয়া করে কেউ কি আছেন যারা এই পরিস্থিতির মধ্য দিয়ে আমাকে সাহায্য করার জন্য কিছু ভিত্তি, আর্থিং, আশ্বস্ত, বোঝার, "&amp;"প্রেরণাদায়ক শব্দ দিয়ে আছেন? আমি মনে করতে পারছি না এটি কতক্ষণ স্থায়ী হবে... আমি কি ঠিক হব?? কারো কি কোন মজার, আশ্বস্ত, সদয় গল্প বা শব্দ বা এমনকি একটি বক্তৃতা আছে...?")</f>
        <v>৩০ বছর বয়সে আমি এই খারাপ ছেলেদের ত্যাগ করেছিলাম, অর্থাৎ আমি সারাদিন, প্রতিদিন ধূমপান ছেড়ে দিয়েছিলাম। কিন্তু তারপর আমিও (একটি দানবের মতো) মদ্যপান করতাম এবং খাইতাম - এবং আমার মোকাবেলা করার পদ্ধতি সম্পর্কে খুব অজ্ঞ ছিলাম, (অটিজম এবং ADHD রোগ নির্ণয়ের আগে এবং পরবর্তী স্তরে সাধারণ আত্ম-আবিষ্কার...) আমি এখন সব নিয়ন্ত্রণে এনেছি, অবশেষে, ৩৩ বছর বয়সে, তবে নভেম্বরে আমার কিছুটা মানসিক বিপর্যয় হয়েছিল এবং ছয় সপ্তাহ ধরে ধূমপান করেছি, বড়দিনের পরে সুস্থ হয়ে উঠেছিলাম, তারপর আমার দাদি তাৎক্ষণিকভাবে হাসপাতালে ভর্তি হন এবং তারপর জানুয়ারির শেষে মারা যান, তাই আমি প্রায় তিন মাস ধরে ধূমপান চালিয়ে যাচ্ছিলাম। আমি এই অধার্মিক পরিমাণে ধূমপান করছি এবং জানতাম যে এটি আমাকে সত্যিই খারাপ, খারাপ জায়গায় ফেলে দেবে যখন আমি থামিয়ে দিয়েছিলাম... এবং আমরা এখন এখানে। আমি আবার শেষ করেছি কারণ আমি এটি পরিমিতভাবে করতে পারি না, চতুর্থ বা পঞ্চম জয়েন্টের পরে আঘাত পাওয়ার আগেই আমার ফুসফুস একেবারে ভাজা হয়ে যায়। এটি ব্যয়বহুল এবং অস্থির এবং আমার বর্তমান আধ্যাত্মিক মূল্যবোধের সাথে ভালভাবে সামঞ্জস্যপূর্ণ নয়। আগাছা আমাকে অনেক কিছু খুলে দিয়েছে এবং অনেক কিছু বদলে দিয়েছে, কিন্তু সেই ব্যবহার অপব্যবহারে পরিণত হয়েছে এবং আমার কেবল এগিয়ে যাওয়ার প্রয়োজন ছিল। যাই হোক, আমি আসলে এখানে যা চাই তা হলো, সম্ভবত, আশা করি এমন লোকদের কাছ থেকে আশ্বস্ত করা যায় যারা বোঝেন.... আসক্তি আমার জীবনে, কখনও, কখনও মোকাবেলা করা সবচেয়ে কঠিন জিনিস। ছোটবেলায় মানসিক আঘাত, তারপর অটিজমের আচার-অনুষ্ঠানের আনন্দের দ্বিগুণ ধাক্কা এবং তারপর ADHD-এর মানসিক ব্যবস্থাপনা এবং এর সাথে যা আসে... এটি একজন সাধারণ মানুষের মতো কাজ করা একেবারে অসম্ভব করে তোলে। আজকাল আমার কোনও আসক্ত বন্ধু নেই এবং যে তা বুঝতে পারে তার সাথে কথা বলতে সত্যিই কষ্ট হচ্ছে.... তাই এখন অবশ্যই আমি সম্পূর্ণরূপে অস্থির এবং সবকিছু অনুভব করছি। আমি টানা দুই দিন ঘুমিয়েছিলাম, এবং সেখান থেকে বেরিয়ে এসে আমি ড্রামে একটি দুর্দান্ত সেশন এবং একটি দীর্ঘ হাঁটাচলা করতে পেরেছি, তবে, আমি এখন 3 তম দিনে আছি, এবং আমি একেবারে, একেবারে ভয়ঙ্কর, মানসিক এবং মানসিকভাবে অনুভব করছি? আমি জীবনের মধ্য দিয়ে একটা বিষণ্ণ ভূতের মতো কাজ করছি এবং প্রবাহিত হচ্ছি, কিন্তু বিশ্বাসের বাইরেও বিরক্তিকর, অবশ্যই প্রত্যাহারের স্বাভাবিক বোকামি, কিন্তু তারপর অস্তিত্বের ভয় আমাকে এমন একটা চিরস্থায়ী শর্ট ফিউজিং সার্কিটের মতো অনুভব করাচ্ছে যা একটি কৃষ্ণগহ্বরে চুষে ফেলা হতে চলেছে। এটি আমার উপরের পিঠ দিয়ে আমার দিকে তাকিয়ে আসছে, আমি আতঙ্কিত বোধ করছি, শুধু, এই সম্পূর্ণ অস্তিত্বের, ভয়াবহ, ভয়ানক, কেবল ভয়ানক, ভয়ানক অনুভূতি.... ধূমপান সবকিছু দূর করে দেবে, কিন্তু তারপর এটি আরও খারাপভাবে ফিরে আসবে, তাই আমি সম্ভবত অনিবার্যকে আর দীর্ঘায়িত করতে পারব না... ঈশ্বর, দয়া করে কেউ কি আছেন যারা এই পরিস্থিতির মধ্য দিয়ে আমাকে সাহায্য করার জন্য কিছু ভিত্তি, আর্থিং, আশ্বস্ত, বোঝার, প্রেরণাদায়ক শব্দ দিয়ে আছেন? আমি মনে করতে পারছি না এটি কতক্ষণ স্থায়ী হবে... আমি কি ঠিক হব?? কারো কি কোন মজার, আশ্বস্ত, সদয় গল্প বা শব্দ বা এমনকি একটি বক্তৃতা আছে...?</v>
      </c>
    </row>
    <row r="697" spans="1:3" ht="15" x14ac:dyDescent="0.25">
      <c r="A697" s="3" t="s">
        <v>693</v>
      </c>
      <c r="B697" s="3" t="s">
        <v>4</v>
      </c>
      <c r="C697" s="4" t="str">
        <f ca="1">IFERROR(__xludf.DUMMYFUNCTION("GOOGLETRANSLATE(A697, ""auto"", ""bn"")"),"আমি ১০০% মাদকমুক্ত ছিলাম। কিন্তু এক বছর আগে আমার জিএফ আমাকে আগাছা এবং অ্যাডেরালের সাথে পরিচয় করিয়ে দেয়, এবং পরে আমি ধূমপান শুরু করি কিন্তু নিকোটিন পাউচে চলে যাই। আমি দীর্ঘ সময় ধরে আগাছা ছাড়া ভালো আছি, এবং সামগ্রিকভাবে উদ্দীপকের চেয়ে এটি অনেক কম কামন"&amp;"া করি। আমি সপ্তাহে একটি অ্যাডেরাল খেতে নিজেকে বাধ্য করতে সক্ষম হয়েছিলাম, কিন্তু তা প্রতি ৩ দিন পর পর হয়ে যায় এবং এখন প্রতিদিন সেবন এড়ানোর জন্য লড়াই। সিগারেট/এনআইসি আমার মাঝে মাঝে ইচ্ছা করে, কিন্তু আমি জানি এটি অনেক সাহায্য করবে আরএন। আমি সবকিছুতেই ঠা"&amp;"ন্ডা টার্কি করার চেষ্টা করছি কিন্তু এটি দ্বিতীয় দিন এবং আমার কিছুটা খারাপ প্রত্যাহার হচ্ছে। আমার কি একবারে সব ছেড়ে দেওয়ার চেষ্টা করা উচিত, নাকি আরাম করার জন্য নিকোটিন পাউচ ব্যবহার করা উচিত?")</f>
        <v>আমি ১০০% মাদকমুক্ত ছিলাম। কিন্তু এক বছর আগে আমার জিএফ আমাকে আগাছা এবং অ্যাডেরালের সাথে পরিচয় করিয়ে দেয়, এবং পরে আমি ধূমপান শুরু করি কিন্তু নিকোটিন পাউচে চলে যাই। আমি দীর্ঘ সময় ধরে আগাছা ছাড়া ভালো আছি, এবং সামগ্রিকভাবে উদ্দীপকের চেয়ে এটি অনেক কম কামনা করি। আমি সপ্তাহে একটি অ্যাডেরাল খেতে নিজেকে বাধ্য করতে সক্ষম হয়েছিলাম, কিন্তু তা প্রতি ৩ দিন পর পর হয়ে যায় এবং এখন প্রতিদিন সেবন এড়ানোর জন্য লড়াই। সিগারেট/এনআইসি আমার মাঝে মাঝে ইচ্ছা করে, কিন্তু আমি জানি এটি অনেক সাহায্য করবে আরএন। আমি সবকিছুতেই ঠান্ডা টার্কি করার চেষ্টা করছি কিন্তু এটি দ্বিতীয় দিন এবং আমার কিছুটা খারাপ প্রত্যাহার হচ্ছে। আমার কি একবারে সব ছেড়ে দেওয়ার চেষ্টা করা উচিত, নাকি আরাম করার জন্য নিকোটিন পাউচ ব্যবহার করা উচিত?</v>
      </c>
    </row>
    <row r="698" spans="1:3" ht="15" x14ac:dyDescent="0.25">
      <c r="A698" s="3" t="s">
        <v>694</v>
      </c>
      <c r="B698" s="3" t="s">
        <v>4</v>
      </c>
      <c r="C698" s="4" t="str">
        <f ca="1">IFERROR(__xludf.DUMMYFUNCTION("GOOGLETRANSLATE(A698, ""auto"", ""bn"")"),"আমার মনে হয় আমি কারো কাছ থেকে পরামর্শ চাইছি। ছোটবেলা থেকেই সে যা কিছু করার আছে (আগাছা, কোকেন, মেথ ইত্যাদি) করেছে। ১৫ বছর বয়স থেকেই সে নেশায় লিপ্ত। তাছাড়া, তার ৩টি পিঠের অস্ত্রোপচার হয়েছে, তাই আমি জানি তার ব্যথা আছে। কিন্তু, সে নিজেকে সাহায্য করার জন্"&amp;"য যা যা প্রয়োজন তা করে না। সে রাস্তা থেকে কেনা ব্যথার ওষুধের অপব্যবহার করবে, তার ডাক্তারের সাথে যোগাযোগ করবে না বা সাহায্য বা পরামর্শের জন্য কাইরোপ্র্যাক্টরের কাছে যাবে না। সে বছরের পর বছর ধরে বেশ কয়েকবার পুনর্বাসনে গেছে। আমরা ৫ বছর ধরে একসাথে আছি, এবং "&amp;"আমরা নরকের মধ্য দিয়ে গেছি। আমরা সম্প্রতি আমাদের বিবাহের অনেক সমস্যা কাটিয়ে ওঠার চেষ্টা করছি। আমি একেবারেই নিখুঁত ছিলাম না, তবে আমি তাকে অনেক ভালোবাসি। আমি কোনও ওষুধ ব্যবহার করি না, তবে আমি বিষণ্ণতা, উদ্বেগ ইত্যাদির জন্য প্রেসক্রিপশনের বড়ি খাচ্ছি। অনেক "&amp;"বছর ধরে আমিই একমাত্র বিল পরিশোধ করছি, কারণ সে তার বেতনের চেক দিয়ে বড়ি খাবে। আমার ধৈর্য এবং বিকল্প শেষ হয়ে যাচ্ছে। আমি তাকে খুব ভালোবাসি। কিন্তু, সে আমাকে ক্রমাগত মিথ্যা বলে। কয়েক মাস আগে আমি যখন বাড়ি ছেড়ে চলে আসি, তখন আমরা দুজনেই আবার চেষ্টা করার সি"&amp;"দ্ধান্ত নিয়েছিলাম। আমি বাড়ি ফিরে আসি, এবং সে প্রায় ৪ মাস ধরে সুস্থ ছিল। কিন্তু, সে আবার তা করে। আমাকে তার জন্য অ্যাম্বুলেন্স ডাকতে হয়েছিল। সে দুটি ভিন্ন কাউন্টিতে DUI-এর জন্য আইনি ঝামেলায়ও পড়েছে। এই কারণে সে জেলে গেছে, কিন্তু বেশিদিন থাকেনি। তার পরি"&amp;"বার সবসময় তাকে সমর্থন করেছে/সক্ষম করেছে এবং আমার মনে হয় আমিও তার সাথে থাকার জন্য একই কাজ করছি। কিন্তু, আমি আমার স্বামীকে তালাক দিতে চাই না। আমি জানি না আর কী করব। আমি এখন ঠিক ঘর ছেড়ে যেতে পারছি না... এবং, আমার মনে হয় না যে আমারই এটা করা উচিত। কিন্তু, "&amp;"আমরা তার পরিবার থেকে ভাড়া নিই তাই আমাকেই চলে যেতে হবে। আমি জানি না কিভাবে সে ক্রমাগত আমার সাথে মিথ্যা কথা বলে, এমনকি যখন সে হাতেনাতে ধরা পড়ে। আমি জানি ৯৯.৯% নিশ্চিত, এমনকি যখন আমি এটি প্রমাণ করতে পারি না, যখন সে ব্যবহার করছে।")</f>
        <v>আমার মনে হয় আমি কারো কাছ থেকে পরামর্শ চাইছি। ছোটবেলা থেকেই সে যা কিছু করার আছে (আগাছা, কোকেন, মেথ ইত্যাদি) করেছে। ১৫ বছর বয়স থেকেই সে নেশায় লিপ্ত। তাছাড়া, তার ৩টি পিঠের অস্ত্রোপচার হয়েছে, তাই আমি জানি তার ব্যথা আছে। কিন্তু, সে নিজেকে সাহায্য করার জন্য যা যা প্রয়োজন তা করে না। সে রাস্তা থেকে কেনা ব্যথার ওষুধের অপব্যবহার করবে, তার ডাক্তারের সাথে যোগাযোগ করবে না বা সাহায্য বা পরামর্শের জন্য কাইরোপ্র্যাক্টরের কাছে যাবে না। সে বছরের পর বছর ধরে বেশ কয়েকবার পুনর্বাসনে গেছে। আমরা ৫ বছর ধরে একসাথে আছি, এবং আমরা নরকের মধ্য দিয়ে গেছি। আমরা সম্প্রতি আমাদের বিবাহের অনেক সমস্যা কাটিয়ে ওঠার চেষ্টা করছি। আমি একেবারেই নিখুঁত ছিলাম না, তবে আমি তাকে অনেক ভালোবাসি। আমি কোনও ওষুধ ব্যবহার করি না, তবে আমি বিষণ্ণতা, উদ্বেগ ইত্যাদির জন্য প্রেসক্রিপশনের বড়ি খাচ্ছি। অনেক বছর ধরে আমিই একমাত্র বিল পরিশোধ করছি, কারণ সে তার বেতনের চেক দিয়ে বড়ি খাবে। আমার ধৈর্য এবং বিকল্প শেষ হয়ে যাচ্ছে। আমি তাকে খুব ভালোবাসি। কিন্তু, সে আমাকে ক্রমাগত মিথ্যা বলে। কয়েক মাস আগে আমি যখন বাড়ি ছেড়ে চলে আসি, তখন আমরা দুজনেই আবার চেষ্টা করার সিদ্ধান্ত নিয়েছিলাম। আমি বাড়ি ফিরে আসি, এবং সে প্রায় ৪ মাস ধরে সুস্থ ছিল। কিন্তু, সে আবার তা করে। আমাকে তার জন্য অ্যাম্বুলেন্স ডাকতে হয়েছিল। সে দুটি ভিন্ন কাউন্টিতে DUI-এর জন্য আইনি ঝামেলায়ও পড়েছে। এই কারণে সে জেলে গেছে, কিন্তু বেশিদিন থাকেনি। তার পরিবার সবসময় তাকে সমর্থন করেছে/সক্ষম করেছে এবং আমার মনে হয় আমিও তার সাথে থাকার জন্য একই কাজ করছি। কিন্তু, আমি আমার স্বামীকে তালাক দিতে চাই না। আমি জানি না আর কী করব। আমি এখন ঠিক ঘর ছেড়ে যেতে পারছি না... এবং, আমার মনে হয় না যে আমারই এটা করা উচিত। কিন্তু, আমরা তার পরিবার থেকে ভাড়া নিই তাই আমাকেই চলে যেতে হবে। আমি জানি না কিভাবে সে ক্রমাগত আমার সাথে মিথ্যা কথা বলে, এমনকি যখন সে হাতেনাতে ধরা পড়ে। আমি জানি ৯৯.৯% নিশ্চিত, এমনকি যখন আমি এটি প্রমাণ করতে পারি না, যখন সে ব্যবহার করছে।</v>
      </c>
    </row>
    <row r="699" spans="1:3" ht="15" x14ac:dyDescent="0.25">
      <c r="A699" s="3" t="s">
        <v>695</v>
      </c>
      <c r="B699" s="3" t="s">
        <v>4</v>
      </c>
      <c r="C699" s="4" t="str">
        <f ca="1">IFERROR(__xludf.DUMMYFUNCTION("GOOGLETRANSLATE(A699, ""auto"", ""bn"")"),"তাই আমি শান্ত থাকার চেষ্টা করছি, কিন্তু মনে হচ্ছে যখনই আমি এক সপ্তাহ বিশ্রাম নিই, তখনই এমন পরিস্থিতি আসে যেখানে আমি ঝামেলায় পড়তে পারি, এবং আমি সচেতনভাবে এটি মেনে নিই। আমার ""বন্ধুরা?"" আসলে কি আমার বন্ধু নয় এবং আমি জানি যে আমি একা থাকার ধারণার সাথে লড়"&amp;"াই করছি (আমার স্বামী ছাড়া) যে আমি কেবল আমার জীবন ধ্বংস করছি এমন লোকদের সাথে থাকার জন্য যারা আমাকে দরকারী মনে করে।")</f>
        <v>তাই আমি শান্ত থাকার চেষ্টা করছি, কিন্তু মনে হচ্ছে যখনই আমি এক সপ্তাহ বিশ্রাম নিই, তখনই এমন পরিস্থিতি আসে যেখানে আমি ঝামেলায় পড়তে পারি, এবং আমি সচেতনভাবে এটি মেনে নিই। আমার "বন্ধুরা?" আসলে কি আমার বন্ধু নয় এবং আমি জানি যে আমি একা থাকার ধারণার সাথে লড়াই করছি (আমার স্বামী ছাড়া) যে আমি কেবল আমার জীবন ধ্বংস করছি এমন লোকদের সাথে থাকার জন্য যারা আমাকে দরকারী মনে করে।</v>
      </c>
    </row>
    <row r="700" spans="1:3" ht="15" x14ac:dyDescent="0.25">
      <c r="A700" s="3" t="s">
        <v>696</v>
      </c>
      <c r="B700" s="3" t="s">
        <v>4</v>
      </c>
      <c r="C700" s="4" t="str">
        <f ca="1">IFERROR(__xludf.DUMMYFUNCTION("GOOGLETRANSLATE(A700, ""auto"", ""bn"")"),"হে সকল, আমি বিশ্বাস করি এটি সম্প্রদায় নির্দেশিকাগুলির মধ্যে পড়ে এবং যদি আপনি অন্যথায় বিশ্বাস করেন, আমি আগেই ক্ষমা চেয়ে নিচ্ছি! আমি সত্যি বলতে এমন জায়গাগুলি সম্পর্কে চিন্তা করার চেষ্টা করছি যেখানে এমন লোক থাকতে পারে যারা এর মূল্য খুঁজে পাবে কারণ আমি স"&amp;"ত্যিই এটি তৈরিতে অনেক সময় এবং প্রচেষ্টা ব্যয় করেছি! আমি ব্যক্তিগতভাবে ঠিক এই জাতীয় কিছু চেয়েছিলাম, কিন্তু কোথাও এটি খুঁজে পাইনি, তাই আমি নিজেই এটি তৈরি করেছি lol! আশা করি এটি কারও সাহায্য করতে পারে! এটি 12 টি ধাপের আমার সংস্করণ যা আমি ""শান্তির পদক্ষে"&amp;"প"" বলি - আমি ব্যক্তিগতভাবে পুরানো বিগ বুক এবং ফ্রিবি 12-পদক্ষেপের অনলাইন ওয়ার্কশিটগুলিতে ডুবে থাকতে পারিনি যা দেখে মনে হয়েছিল যে কোনও কিন্ডারগার্টেন তাদের একসাথে রেখেছিল lol! তাই, আমি নিজের এবং অন্যদের জন্য এটি তৈরি করেছি! #OneDayAtaTime সুস্থতার জন্য "&amp;"সকলের শুভকামনা!")</f>
        <v>হে সকল, আমি বিশ্বাস করি এটি সম্প্রদায় নির্দেশিকাগুলির মধ্যে পড়ে এবং যদি আপনি অন্যথায় বিশ্বাস করেন, আমি আগেই ক্ষমা চেয়ে নিচ্ছি! আমি সত্যি বলতে এমন জায়গাগুলি সম্পর্কে চিন্তা করার চেষ্টা করছি যেখানে এমন লোক থাকতে পারে যারা এর মূল্য খুঁজে পাবে কারণ আমি সত্যিই এটি তৈরিতে অনেক সময় এবং প্রচেষ্টা ব্যয় করেছি! আমি ব্যক্তিগতভাবে ঠিক এই জাতীয় কিছু চেয়েছিলাম, কিন্তু কোথাও এটি খুঁজে পাইনি, তাই আমি নিজেই এটি তৈরি করেছি lol! আশা করি এটি কারও সাহায্য করতে পারে! এটি 12 টি ধাপের আমার সংস্করণ যা আমি "শান্তির পদক্ষেপ" বলি - আমি ব্যক্তিগতভাবে পুরানো বিগ বুক এবং ফ্রিবি 12-পদক্ষেপের অনলাইন ওয়ার্কশিটগুলিতে ডুবে থাকতে পারিনি যা দেখে মনে হয়েছিল যে কোনও কিন্ডারগার্টেন তাদের একসাথে রেখেছিল lol! তাই, আমি নিজের এবং অন্যদের জন্য এটি তৈরি করেছি! #OneDayAtaTime সুস্থতার জন্য সকলের শুভকামনা!</v>
      </c>
    </row>
    <row r="701" spans="1:3" ht="15" x14ac:dyDescent="0.25">
      <c r="A701" s="3" t="s">
        <v>697</v>
      </c>
      <c r="B701" s="3" t="s">
        <v>4</v>
      </c>
      <c r="C701" s="4" t="str">
        <f ca="1">IFERROR(__xludf.DUMMYFUNCTION("GOOGLETRANSLATE(A701, ""auto"", ""bn"")"),"হাই! তো... গত বছর আমি আমার বয়ফ্রেন্ডের সাথে থাকতাম। দুঃখের বিষয়, আমাদের সম্পর্ক ভেঙে যায়, সে চলে যায়, আর আমি আসলে নিজের সাথে কী করব তা জানতাম না। আমাদের অনেক সমস্যার মধ্যে একটি ছিল আমার গাঁজার অভ্যাস। আমার অনেক শক্তি আছে তাই এটি আমাকে কখনও চাপ দেয়নি "&amp;"বা অন্য কিছুর জন্য নয়, তবে অবশ্যই আমি তাকে বুঝতে পারি। আমরা আবার কয়েক মাস ধরে একসাথে আছি, কিন্তু আমি এখনও আমার অ্যাপার্টমেন্টে একা। আমার চাকরি আছে, আমি একজন ছাত্র, আমি ফিট এবং আমার কিছু শখ আছে। আমার পক্ষে শান্ত থাকা কঠিন নয় - যতক্ষণ আমি অন্যদের সাথে থা"&amp;"কি। বাড়িতে, আমি দৈনন্দিন কাঠামো ইত্যাদি নিয়ে লড়াই করি (কিন্তু আমার ADHD এবং BPD আছে তাই এটি সবসময়ই এমন ছিল)। আমার এবং আমি যে জীবন চাই (আর্থিক স্বাধীনতা, হা হা) তার মধ্যে একমাত্র জিনিসটি দাঁড়িয়ে আছে তা হল গাঁজা। ধূমপান ছাড়াই কীভাবে একা থাকা যায় এবং"&amp;" সুস্থ থাকা যায় সে সম্পর্কে আপনার কারও কি কোন টিপস আছে? এটা আমার নার্ভাস হয়ে উঠছে, আমি জানি আমি আরও ভালো করতে পারি। আমি ২১ বছর বয়সী একজন মেয়ে যে গত ৩-৪ বছর ধরে প্রতিদিন ধূমপান করে আসছি কিন্তু প্রায় কেউই জানে না। আমার নেশার প্রবণতা আছে এবং তাই আমি যেকোনো"&amp;" ধরণের মাদকদ্রব্য থেকে দূরে থাকার চেষ্টা করি। এটা সত্যিই আমার নার্ভাস করে তোলে কারণ আগাছা আমার জীবনের একমাত্র জিনিস যা আমি কাটিয়ে উঠতে পারি না।")</f>
        <v>হাই! তো... গত বছর আমি আমার বয়ফ্রেন্ডের সাথে থাকতাম। দুঃখের বিষয়, আমাদের সম্পর্ক ভেঙে যায়, সে চলে যায়, আর আমি আসলে নিজের সাথে কী করব তা জানতাম না। আমাদের অনেক সমস্যার মধ্যে একটি ছিল আমার গাঁজার অভ্যাস। আমার অনেক শক্তি আছে তাই এটি আমাকে কখনও চাপ দেয়নি বা অন্য কিছুর জন্য নয়, তবে অবশ্যই আমি তাকে বুঝতে পারি। আমরা আবার কয়েক মাস ধরে একসাথে আছি, কিন্তু আমি এখনও আমার অ্যাপার্টমেন্টে একা। আমার চাকরি আছে, আমি একজন ছাত্র, আমি ফিট এবং আমার কিছু শখ আছে। আমার পক্ষে শান্ত থাকা কঠিন নয় - যতক্ষণ আমি অন্যদের সাথে থাকি। বাড়িতে, আমি দৈনন্দিন কাঠামো ইত্যাদি নিয়ে লড়াই করি (কিন্তু আমার ADHD এবং BPD আছে তাই এটি সবসময়ই এমন ছিল)। আমার এবং আমি যে জীবন চাই (আর্থিক স্বাধীনতা, হা হা) তার মধ্যে একমাত্র জিনিসটি দাঁড়িয়ে আছে তা হল গাঁজা। ধূমপান ছাড়াই কীভাবে একা থাকা যায় এবং সুস্থ থাকা যায় সে সম্পর্কে আপনার কারও কি কোন টিপস আছে? এটা আমার নার্ভাস হয়ে উঠছে, আমি জানি আমি আরও ভালো করতে পারি। আমি ২১ বছর বয়সী একজন মেয়ে যে গত ৩-৪ বছর ধরে প্রতিদিন ধূমপান করে আসছি কিন্তু প্রায় কেউই জানে না। আমার নেশার প্রবণতা আছে এবং তাই আমি যেকোনো ধরণের মাদকদ্রব্য থেকে দূরে থাকার চেষ্টা করি। এটা সত্যিই আমার নার্ভাস করে তোলে কারণ আগাছা আমার জীবনের একমাত্র জিনিস যা আমি কাটিয়ে উঠতে পারি না।</v>
      </c>
    </row>
    <row r="702" spans="1:3" ht="15" x14ac:dyDescent="0.25">
      <c r="A702" s="3" t="s">
        <v>698</v>
      </c>
      <c r="B702" s="3" t="s">
        <v>4</v>
      </c>
      <c r="C702" s="4" t="str">
        <f ca="1">IFERROR(__xludf.DUMMYFUNCTION("GOOGLETRANSLATE(A702, ""auto"", ""bn"")"),"আমার বয়স ২৭, কিন্তু যখন আমি হাই স্কুলে পড়তাম এবং বিশের কোঠার গোড়া শুরুতে মাঝেমধ্যেই? আমি নিজেকে কেটে ফেলতাম। খুব বেশি গভীরভাবে নয়, কিন্তু এটা মানসিক চাপ কমানোর মতো মনে হতো। তারপর আমি বেশিরভাগ সময় ধরে অতিরিক্ত মদ্যপান এবং একটু কোকাকোলা পান করতে শুরু করি। আ"&amp;"মি তিন বছর ধরে নিষ্ক্রিয় ছিলাম এবং শেষ কবে নিজেকে কেটেছিলাম তাও মনে করতে পারছি না। কিন্তু এটা একটা ঝগড়া। আর আমার মনে হয় নিজেকে কেটে ফেলার তাগিদ এবং মাদক সেবনের তাগিদ একই রকম। যেন আমি এই কাজটি খুব খারাপভাবে করতে চাই! কিন্তু পরে যে লজ্জা আসে তার কারণে আমি "&amp;"তা করবো না। লোভ এত তীব্র এবং এটি একটি ক্লান্তিকর অভ্যন্তরীণ লড়াই।")</f>
        <v>আমার বয়স ২৭, কিন্তু যখন আমি হাই স্কুলে পড়তাম এবং বিশের কোঠার গোড়া শুরুতে মাঝেমধ্যেই? আমি নিজেকে কেটে ফেলতাম। খুব বেশি গভীরভাবে নয়, কিন্তু এটা মানসিক চাপ কমানোর মতো মনে হতো। তারপর আমি বেশিরভাগ সময় ধরে অতিরিক্ত মদ্যপান এবং একটু কোকাকোলা পান করতে শুরু করি। আমি তিন বছর ধরে নিষ্ক্রিয় ছিলাম এবং শেষ কবে নিজেকে কেটেছিলাম তাও মনে করতে পারছি না। কিন্তু এটা একটা ঝগড়া। আর আমার মনে হয় নিজেকে কেটে ফেলার তাগিদ এবং মাদক সেবনের তাগিদ একই রকম। যেন আমি এই কাজটি খুব খারাপভাবে করতে চাই! কিন্তু পরে যে লজ্জা আসে তার কারণে আমি তা করবো না। লোভ এত তীব্র এবং এটি একটি ক্লান্তিকর অভ্যন্তরীণ লড়াই।</v>
      </c>
    </row>
    <row r="703" spans="1:3" ht="15" x14ac:dyDescent="0.25">
      <c r="A703" s="3" t="s">
        <v>699</v>
      </c>
      <c r="B703" s="3" t="s">
        <v>4</v>
      </c>
      <c r="C703" s="4" t="str">
        <f ca="1">IFERROR(__xludf.DUMMYFUNCTION("GOOGLETRANSLATE(A703, ""auto"", ""bn"")"),"হ্যালো সবাই, আমার পোস্টগুলো সাধারণত ভিউ হয় না, তাই আমি খুব বেশি আশা করি না। আমি একজন মহিলা, মাত্র বিশ বছর বয়সী। আমি প্রায় সতেরো বছর বয়সী। শুরুতে আমার বাবা-মায়ের একজন হঠাৎ মারা যাওয়ার কারণে। কিন্তু এখন, দুই বছরেরও বেশি সময় হয়ে গেছে। আমি আর গাঁজা সেবন করি ন"&amp;"া, তবে কিছুদিন ধরে সিগারেট খেতাম এবং অন্যান্য বেপরোয়া কাজ করতাম। আমি বলতে চাই যে আমি এখন ভালো আছি, কিন্তু এখনও আমার মদ্যপানের ইচ্ছা আছে এবং আমি এর দিকে ঝুঁকে পড়ি। তাছাড়া, আমার অফিসিয়ালভাবে বিষণ্ণতা এবং উদ্বেগের রোগ নির্ণয় করা হয়েছে। কিন্তু আমি চিকিৎসা ন"&amp;"িতে পারছি না। প্রতি দুই সপ্তাহে একটি ৩০-৬০ বোতল মদ প্রতি সপ্তাহে ১০০ থেরাপির চেয়ে সস্তা। আমি বুঝতে পারি যে এগুলো সবই অজুহাতের মতো শোনাচ্ছে; কিন্তু আমার একটি পূর্ণকালীন চাকরি আছে এবং আমি কি একজন পূর্ণকালীন কলেজ ছাত্র? আমি আমার ঘর পরিষ্কার রাখতে পারি এবং ব"&amp;"াচ্চাদের দেখাশোনা করতে পারি। তাছাড়া, আমি ""প্রয়োজনীয়"" সব কাজ করতে পারি। কিন্তু আমি আর কিছু করতে পারি না। আমি যে জিনিসগুলো উপভোগ করি বা ব্যায়াম করি সেগুলো পড়তে বা ব্যায়াম করতে নিজেকে বাধ্য করতে পারি না। আমি জানি এটা হয়তো বোকামি শোনাচ্ছে, কিন্তু আমি পুনর্ব"&amp;"াসনে যেতে পারব না। তাছাড়া, আমি এখন পরিবারের সাথে থাকি এবং যদি আমি পুনর্বাসনে যাই তাহলে আমার বাড়ি, চাকরি হারাতে হবে এবং সম্ভবত স্কুলে পড়াশুনা করতেও পিছিয়ে পড়তে হবে। তাছাড়া, আমি মদ্যপানের দিকে ঝুঁকে পড়ি, কিন্তু আমি সপ্তাহে একবার নিজেকে সীমাবদ্ধ রাখার"&amp;" জন্য যথাসাধ্য চেষ্টা করি। দয়া করে বলুন, কেউ, কীভাবে আমি এটা সামলাতে পারি। একা বাঁচতে এবং সাহায্য চাইতে আমাকে কমপক্ষে আরও ৩ বছর বেঁচে থাকতে হবে। কোনটি সবচেয়ে ভালো কাজ করে, ঔষধ? আইডিকে যোগব্যায়াম? আমার কি এমন কিছু আছে যা আমি সামলাতে পারি... যাই পরামর্শ দ"&amp;"াও না কেন, দয়া করে আমার কাছে পাঠাও।")</f>
        <v>হ্যালো সবাই, আমার পোস্টগুলো সাধারণত ভিউ হয় না, তাই আমি খুব বেশি আশা করি না। আমি একজন মহিলা, মাত্র বিশ বছর বয়সী। আমি প্রায় সতেরো বছর বয়সী। শুরুতে আমার বাবা-মায়ের একজন হঠাৎ মারা যাওয়ার কারণে। কিন্তু এখন, দুই বছরেরও বেশি সময় হয়ে গেছে। আমি আর গাঁজা সেবন করি না, তবে কিছুদিন ধরে সিগারেট খেতাম এবং অন্যান্য বেপরোয়া কাজ করতাম। আমি বলতে চাই যে আমি এখন ভালো আছি, কিন্তু এখনও আমার মদ্যপানের ইচ্ছা আছে এবং আমি এর দিকে ঝুঁকে পড়ি। তাছাড়া, আমার অফিসিয়ালভাবে বিষণ্ণতা এবং উদ্বেগের রোগ নির্ণয় করা হয়েছে। কিন্তু আমি চিকিৎসা নিতে পারছি না। প্রতি দুই সপ্তাহে একটি ৩০-৬০ বোতল মদ প্রতি সপ্তাহে ১০০ থেরাপির চেয়ে সস্তা। আমি বুঝতে পারি যে এগুলো সবই অজুহাতের মতো শোনাচ্ছে; কিন্তু আমার একটি পূর্ণকালীন চাকরি আছে এবং আমি কি একজন পূর্ণকালীন কলেজ ছাত্র? আমি আমার ঘর পরিষ্কার রাখতে পারি এবং বাচ্চাদের দেখাশোনা করতে পারি। তাছাড়া, আমি "প্রয়োজনীয়" সব কাজ করতে পারি। কিন্তু আমি আর কিছু করতে পারি না। আমি যে জিনিসগুলো উপভোগ করি বা ব্যায়াম করি সেগুলো পড়তে বা ব্যায়াম করতে নিজেকে বাধ্য করতে পারি না। আমি জানি এটা হয়তো বোকামি শোনাচ্ছে, কিন্তু আমি পুনর্বাসনে যেতে পারব না। তাছাড়া, আমি এখন পরিবারের সাথে থাকি এবং যদি আমি পুনর্বাসনে যাই তাহলে আমার বাড়ি, চাকরি হারাতে হবে এবং সম্ভবত স্কুলে পড়াশুনা করতেও পিছিয়ে পড়তে হবে। তাছাড়া, আমি মদ্যপানের দিকে ঝুঁকে পড়ি, কিন্তু আমি সপ্তাহে একবার নিজেকে সীমাবদ্ধ রাখার জন্য যথাসাধ্য চেষ্টা করি। দয়া করে বলুন, কেউ, কীভাবে আমি এটা সামলাতে পারি। একা বাঁচতে এবং সাহায্য চাইতে আমাকে কমপক্ষে আরও ৩ বছর বেঁচে থাকতে হবে। কোনটি সবচেয়ে ভালো কাজ করে, ঔষধ? আইডিকে যোগব্যায়াম? আমার কি এমন কিছু আছে যা আমি সামলাতে পারি... যাই পরামর্শ দাও না কেন, দয়া করে আমার কাছে পাঠাও।</v>
      </c>
    </row>
    <row r="704" spans="1:3" ht="15" x14ac:dyDescent="0.25">
      <c r="A704" s="3" t="s">
        <v>700</v>
      </c>
      <c r="B704" s="3" t="s">
        <v>4</v>
      </c>
      <c r="C704" s="4" t="str">
        <f ca="1">IFERROR(__xludf.DUMMYFUNCTION("GOOGLETRANSLATE(A704, ""auto"", ""bn"")"),"আমার বড় ভাই মাদকাসক্ত, আমি জানি না কী ধরণের, কিন্তু আমি বড়ি এবং গাঁজা দেখেছি, তার পরিবারের কারও সাথেই তার ঘনিষ্ঠ সম্পর্ক নেই, আমি চেষ্টা করেছি কিন্তু সে আমাকে ভেতরে ঢুকতে দেয় না, আমি তাকে অনেকবার বাইরে আমন্ত্রণ জানাই অথবা কেবল তার সাথে বসে কথা বলতে চাই"&amp;", কিন্তু সে সবসময় বাতিল করে দেয় অথবা ঘুমাচ্ছে অথবা তার বন্ধুদের সাথে বাইরে থাকে, সে খুব কমই বাড়িতে থাকে। আমি প্রতি 2 সপ্তাহ বা তার বেশি সময় অন্তর তাকে মাত্র 5 মিনিটের জন্য দেখি। আমি তাকে টেক্সট করি, কিন্তু সে খুব কমই সাড়া দেয়। আমি সত্যিই তাকে সাহায্"&amp;"য করতে চাই! তার বয়স 26 বছর এবং সে তার জীবন নষ্ট করছে এবং এটি আমার হৃদয় ভেঙে দিচ্ছে। আমার বাবা তার উপর খুব বেশি নির্ভর করে এবং আমার মা যখনই চায় তখনই তাকে টাকা দেয়।")</f>
        <v>আমার বড় ভাই মাদকাসক্ত, আমি জানি না কী ধরণের, কিন্তু আমি বড়ি এবং গাঁজা দেখেছি, তার পরিবারের কারও সাথেই তার ঘনিষ্ঠ সম্পর্ক নেই, আমি চেষ্টা করেছি কিন্তু সে আমাকে ভেতরে ঢুকতে দেয় না, আমি তাকে অনেকবার বাইরে আমন্ত্রণ জানাই অথবা কেবল তার সাথে বসে কথা বলতে চাই, কিন্তু সে সবসময় বাতিল করে দেয় অথবা ঘুমাচ্ছে অথবা তার বন্ধুদের সাথে বাইরে থাকে, সে খুব কমই বাড়িতে থাকে। আমি প্রতি 2 সপ্তাহ বা তার বেশি সময় অন্তর তাকে মাত্র 5 মিনিটের জন্য দেখি। আমি তাকে টেক্সট করি, কিন্তু সে খুব কমই সাড়া দেয়। আমি সত্যিই তাকে সাহায্য করতে চাই! তার বয়স 26 বছর এবং সে তার জীবন নষ্ট করছে এবং এটি আমার হৃদয় ভেঙে দিচ্ছে। আমার বাবা তার উপর খুব বেশি নির্ভর করে এবং আমার মা যখনই চায় তখনই তাকে টাকা দেয়।</v>
      </c>
    </row>
    <row r="705" spans="1:3" ht="15" x14ac:dyDescent="0.25">
      <c r="A705" s="3" t="s">
        <v>701</v>
      </c>
      <c r="B705" s="3" t="s">
        <v>4</v>
      </c>
      <c r="C705" s="4" t="str">
        <f ca="1">IFERROR(__xludf.DUMMYFUNCTION("GOOGLETRANSLATE(A705, ""auto"", ""bn"")"),"আমি তার সাথে ৩ বছর ধরে নরকের মধ্য দিয়ে হেঁটেছি। সে সবকিছু হারিয়েছে এবং আমি সবসময় তার পিছনে ছিলাম। সে বেরিয়ে এসেছে, ৫ বছর ধরে সুস্থ (শান্ত) অবস্থায় ছিল, এবং উন্নতি করছে। এখন সে আবার সবকিছু হারানোর পথে। আমি তাকে সাহায্য করেছি কারণ আমি তাকে ""ভালোবাসি"""&amp;" এবং না বলতে পারিনি। আমি আর এমনটা না করার জন্য দৃঢ়প্রতিজ্ঞ, কিন্তু সর্বোত্তম পরিস্থিতিতে আমার সীমানা প্রয়োগ করতে সমস্যা হয়। তাছাড়া, আমি জানি যতক্ষণ না সে সাহায্যের জন্য প্রস্তুত হয় ততক্ষণ আমি খুব বেশি কিছু করতে পারি না, কিন্তু এই সময়ের মধ্যে আমি কী "&amp;"করব? আমি কীভাবে আমার বন্ধুকে সাহায্য করব এবং নিজেকে ঝুঁকিতে ফেলব না?")</f>
        <v>আমি তার সাথে ৩ বছর ধরে নরকের মধ্য দিয়ে হেঁটেছি। সে সবকিছু হারিয়েছে এবং আমি সবসময় তার পিছনে ছিলাম। সে বেরিয়ে এসেছে, ৫ বছর ধরে সুস্থ (শান্ত) অবস্থায় ছিল, এবং উন্নতি করছে। এখন সে আবার সবকিছু হারানোর পথে। আমি তাকে সাহায্য করেছি কারণ আমি তাকে "ভালোবাসি" এবং না বলতে পারিনি। আমি আর এমনটা না করার জন্য দৃঢ়প্রতিজ্ঞ, কিন্তু সর্বোত্তম পরিস্থিতিতে আমার সীমানা প্রয়োগ করতে সমস্যা হয়। তাছাড়া, আমি জানি যতক্ষণ না সে সাহায্যের জন্য প্রস্তুত হয় ততক্ষণ আমি খুব বেশি কিছু করতে পারি না, কিন্তু এই সময়ের মধ্যে আমি কী করব? আমি কীভাবে আমার বন্ধুকে সাহায্য করব এবং নিজেকে ঝুঁকিতে ফেলব না?</v>
      </c>
    </row>
    <row r="706" spans="1:3" ht="15" x14ac:dyDescent="0.25">
      <c r="A706" s="3" t="s">
        <v>702</v>
      </c>
      <c r="B706" s="3" t="s">
        <v>4</v>
      </c>
      <c r="C706" s="4" t="str">
        <f ca="1">IFERROR(__xludf.DUMMYFUNCTION("GOOGLETRANSLATE(A706, ""auto"", ""bn"")"),"অনিদ্রা আমি? ১৭ দিন ধরে ফেন্টানিল খেয়ে সুস্থ ছিলাম এবং ঠান্ডা লেগেছিল। আমি সাবসক্রিপশন নেব না। তাই দয়া করে এগুলো নিয়ে কিছু বলবেন না। কিন্তু আমি প্রতি ৩০ সেকেন্ডে প্রায় ২৫টি প্রেসড ফেক নিচ্ছিলাম। তাই আমি জানি এটা কিছু সময় লাগতে পারে। কিন্তু আমি শুধু কিছু "&amp;"ধারণা পাওয়ার চেষ্টা করছি। কেউ কি জানেন এই অনিদ্রা কতক্ষণ থাকে? আমি হয়তো এই দীর্ঘ দিন ধরে ৪ ঘন্টা ঘুমিয়েছি। কেউ কি এমন কিছু সুপারিশ করতে পারেন যা আসক্তিহীন। আমি সুস্থ থাকার চেষ্টা করছি এবং জুস ডাব্লিউআরএলডি ওষুধ বন্ধ রাখার চেষ্টা করছি। আমি আগাছা, মেলাটোনিন"&amp;", অ্যাটম এবং আরও কিছু ওষুধ ব্যবহার করেছি কিন্তু কাজ না করায় বন্ধ করে দিয়েছি? আমি শুধু একটু ঘুম চাই যাতে আমি ভালো বোধ করতে পারি।")</f>
        <v>অনিদ্রা আমি? ১৭ দিন ধরে ফেন্টানিল খেয়ে সুস্থ ছিলাম এবং ঠান্ডা লেগেছিল। আমি সাবসক্রিপশন নেব না। তাই দয়া করে এগুলো নিয়ে কিছু বলবেন না। কিন্তু আমি প্রতি ৩০ সেকেন্ডে প্রায় ২৫টি প্রেসড ফেক নিচ্ছিলাম। তাই আমি জানি এটা কিছু সময় লাগতে পারে। কিন্তু আমি শুধু কিছু ধারণা পাওয়ার চেষ্টা করছি। কেউ কি জানেন এই অনিদ্রা কতক্ষণ থাকে? আমি হয়তো এই দীর্ঘ দিন ধরে ৪ ঘন্টা ঘুমিয়েছি। কেউ কি এমন কিছু সুপারিশ করতে পারেন যা আসক্তিহীন। আমি সুস্থ থাকার চেষ্টা করছি এবং জুস ডাব্লিউআরএলডি ওষুধ বন্ধ রাখার চেষ্টা করছি। আমি আগাছা, মেলাটোনিন, অ্যাটম এবং আরও কিছু ওষুধ ব্যবহার করেছি কিন্তু কাজ না করায় বন্ধ করে দিয়েছি? আমি শুধু একটু ঘুম চাই যাতে আমি ভালো বোধ করতে পারি।</v>
      </c>
    </row>
    <row r="707" spans="1:3" ht="15" x14ac:dyDescent="0.25">
      <c r="A707" s="3" t="s">
        <v>703</v>
      </c>
      <c r="B707" s="3" t="s">
        <v>4</v>
      </c>
      <c r="C707" s="4" t="str">
        <f ca="1">IFERROR(__xludf.DUMMYFUNCTION("GOOGLETRANSLATE(A707, ""auto"", ""bn"")"),"প্রেক্ষাপটের কথা বলতে গেলে, আমি গত ৩ বছর ধরে নিয়মিত (প্রতিদিন না হলেও কয়েকদিন পর পর) গাঁজা ধূমপান করছি। ৫ মাস ধরে আমার অ্যালকোহলের নেশা ছিল এবং আমি সপ্তাহে ঘন")</f>
        <v>প্রেক্ষাপটের কথা বলতে গেলে, আমি গত ৩ বছর ধরে নিয়মিত (প্রতিদিন না হলেও কয়েকদিন পর পর) গাঁজা ধূমপান করছি। ৫ মাস ধরে আমার অ্যালকোহলের নেশা ছিল এবং আমি সপ্তাহে ঘন</v>
      </c>
    </row>
    <row r="708" spans="1:3" ht="15" x14ac:dyDescent="0.25">
      <c r="A708" s="3" t="s">
        <v>704</v>
      </c>
      <c r="B708" s="3" t="s">
        <v>4</v>
      </c>
      <c r="C708" s="4" t="str">
        <f ca="1">IFERROR(__xludf.DUMMYFUNCTION("GOOGLETRANSLATE(A708, ""auto"", ""bn"")"),"আমরা ১৮ বছর বা তার বেশি বয়সী প্রাপ্তবয়স্কদের জন্য নিউ সাইকোঅ্যাকটিভ সাবস্ট্যান্সেস (NPS) অভিজ্ঞতার উপর একটি জরিপ সম্পন্ন করার জন্য খুঁজছি। জরিপটি হেলথ কানাডার পক্ষ থেকে ভিক্টোরিয়া, বিসি-তে অবস্থিত একটি বেসরকারি গবেষণা সংস্থা R.A. Malatest দ্বারা পরিচাল"&amp;"িত হচ্ছে এবং কানাডায় NPS ব্যবহার আরও ভালভাবে বোঝার জন্য তথ্য ব্যবহার করা হবে। আপনি যদি কানাডায় গত ১২ মাসে NPS ব্যবহার করে থাকেন, তাহলে আমাদের সংক্ষিপ্ত অনলাইন জরিপটি সম্পন্ন করে আপনার অভিজ্ঞতা সম্পর্কে আমাদের জানাতে পারেন। জরিপটি যে কারোর জন্য উন্মুক্ত "&amp;"(১৮ বছর বা তার বেশি বয়সী বাসিন্দা এবং অনাবাসী) যতক্ষণ না NPS অভিজ্ঞতা কানাডায় গত ১২ মাসের মধ্যে হয়েছে।")</f>
        <v>আমরা ১৮ বছর বা তার বেশি বয়সী প্রাপ্তবয়স্কদের জন্য নিউ সাইকোঅ্যাকটিভ সাবস্ট্যান্সেস (NPS) অভিজ্ঞতার উপর একটি জরিপ সম্পন্ন করার জন্য খুঁজছি। জরিপটি হেলথ কানাডার পক্ষ থেকে ভিক্টোরিয়া, বিসি-তে অবস্থিত একটি বেসরকারি গবেষণা সংস্থা R.A. Malatest দ্বারা পরিচালিত হচ্ছে এবং কানাডায় NPS ব্যবহার আরও ভালভাবে বোঝার জন্য তথ্য ব্যবহার করা হবে। আপনি যদি কানাডায় গত ১২ মাসে NPS ব্যবহার করে থাকেন, তাহলে আমাদের সংক্ষিপ্ত অনলাইন জরিপটি সম্পন্ন করে আপনার অভিজ্ঞতা সম্পর্কে আমাদের জানাতে পারেন। জরিপটি যে কারোর জন্য উন্মুক্ত (১৮ বছর বা তার বেশি বয়সী বাসিন্দা এবং অনাবাসী) যতক্ষণ না NPS অভিজ্ঞতা কানাডায় গত ১২ মাসের মধ্যে হয়েছে।</v>
      </c>
    </row>
    <row r="709" spans="1:3" ht="15" x14ac:dyDescent="0.25">
      <c r="A709" s="3" t="s">
        <v>705</v>
      </c>
      <c r="B709" s="3" t="s">
        <v>4</v>
      </c>
      <c r="C709" s="4" t="str">
        <f ca="1">IFERROR(__xludf.DUMMYFUNCTION("GOOGLETRANSLATE(A709, ""auto"", ""bn"")"),"এটা সব শুরু হয়েছিল লেবু বিয়ার দিয়ে যখন আমি সত্যিই ছোট ছিলাম, যেমন ১৬ বছরের কম, এবং তারপর দিনে কয়েকটি সিগারেট, দ্রুত এগিয়ে, আমি বছরের পর বছর ধরে প্রতিদিন কফি এবং সিগারেট খেতাম যতক্ষণ না আমার বয়স ২৩ বা ২৪ বছর? আমি কি ভাবছি? আমি প্রায় ২৪/২৫ বছর বয়সে "&amp;"এগুলো ছেড়ে দিয়েছিলাম এবং তারপর পেট/পিত্তের সমস্যার কারণে খুব স্বাস্থ্যকর খাবার খেতে শুরু করেছিলাম। কিন্তু একই সাথে চকোলেট এবং সাধারণভাবে খারাপ জিনিস খেতে শুরু করেছিলাম। এবং গত বছর, অতিরিক্ত সীমাবদ্ধতার পরে, আমি আগের চেয়ে বেশি চকলেট খেয়েছি, যদিও আমি আগ"&amp;"েও এটি প্রায়শই খেতাম। কিন্তু এটি এমন পর্যায়ে পৌঁছেছে যে একদিনও এটি ছাড়া চলে না। আমার বয়স এখন ২৬, এবং আমি এখনও সিগারেটমুক্ত এবং গতবারের মতো টানা ১০ দিন ধরে চিনি ছেড়ে দেওয়ার মতো সাফল্যের সাথে সমস্ত চিনির আকাঙ্ক্ষা ছাড়াই কেটে ফেলেছি, আমি বলতে পারি। কি"&amp;"ন্তু আমি ১ জানুয়ারী থেকে ধীরে ধীরে এটি বাদ দিতে শুরু করেছি। কারণ চকোলেট ছেড়ে দেওয়া কঠিন। রুটি থেকে চিনি আসলে নয়। ব্যাপারটা হল আমার কাছে এখনও কিছু ফল আছে, কিন্তু আমি কখনোই যথেষ্ট পরিমাণে খাই না। এখন শীতকাল তাই পেট জ্বালাপোড়া না করে এমন খুব বেশি খাবার "&amp;"আমি খেতে পারছি না।")</f>
        <v>এটা সব শুরু হয়েছিল লেবু বিয়ার দিয়ে যখন আমি সত্যিই ছোট ছিলাম, যেমন ১৬ বছরের কম, এবং তারপর দিনে কয়েকটি সিগারেট, দ্রুত এগিয়ে, আমি বছরের পর বছর ধরে প্রতিদিন কফি এবং সিগারেট খেতাম যতক্ষণ না আমার বয়স ২৩ বা ২৪ বছর? আমি কি ভাবছি? আমি প্রায় ২৪/২৫ বছর বয়সে এগুলো ছেড়ে দিয়েছিলাম এবং তারপর পেট/পিত্তের সমস্যার কারণে খুব স্বাস্থ্যকর খাবার খেতে শুরু করেছিলাম। কিন্তু একই সাথে চকোলেট এবং সাধারণভাবে খারাপ জিনিস খেতে শুরু করেছিলাম। এবং গত বছর, অতিরিক্ত সীমাবদ্ধতার পরে, আমি আগের চেয়ে বেশি চকলেট খেয়েছি, যদিও আমি আগেও এটি প্রায়শই খেতাম। কিন্তু এটি এমন পর্যায়ে পৌঁছেছে যে একদিনও এটি ছাড়া চলে না। আমার বয়স এখন ২৬, এবং আমি এখনও সিগারেটমুক্ত এবং গতবারের মতো টানা ১০ দিন ধরে চিনি ছেড়ে দেওয়ার মতো সাফল্যের সাথে সমস্ত চিনির আকাঙ্ক্ষা ছাড়াই কেটে ফেলেছি, আমি বলতে পারি। কিন্তু আমি ১ জানুয়ারী থেকে ধীরে ধীরে এটি বাদ দিতে শুরু করেছি। কারণ চকোলেট ছেড়ে দেওয়া কঠিন। রুটি থেকে চিনি আসলে নয়। ব্যাপারটা হল আমার কাছে এখনও কিছু ফল আছে, কিন্তু আমি কখনোই যথেষ্ট পরিমাণে খাই না। এখন শীতকাল তাই পেট জ্বালাপোড়া না করে এমন খুব বেশি খাবার আমি খেতে পারছি না।</v>
      </c>
    </row>
    <row r="710" spans="1:3" ht="15" x14ac:dyDescent="0.25">
      <c r="A710" s="3" t="s">
        <v>706</v>
      </c>
      <c r="B710" s="3" t="s">
        <v>4</v>
      </c>
      <c r="C710" s="4" t="str">
        <f ca="1">IFERROR(__xludf.DUMMYFUNCTION("GOOGLETRANSLATE(A710, ""auto"", ""bn"")"),"আসক্তি আসলে কী, তা মাস খানেক বা এমনকি দশক ধরে চলতে থাকার পরও একটা ধ্রুবক কথা মনে করিয়ে দেয় আসক্তি। আসক্তি অসাধারণ, এটি ভালো বোধ করে, কিন্তু আপনি এখনও তা জানেন না: এর পরিণতি। আসক্তি ক্ষতিকারক, আপনি জানেন যে এটি ঠিক নয়। কিন্তু এটি ভালো বোধ করে, এবং আপনি "&amp;"আত্মবিশ্বাসী। আসক্তি অস্বাস্থ্যকর, যদি আপনি চালিয়ে যান, কিন্তু আপনি জানেন যে আপনি যদি এটি চালিয়ে যান, তবে এটি এমন কিছু যা মানুষের ভবিষ্যত ধ্বংস করে দেয়। আসক্তি উপলব্ধি করা হয়, আপনি বুঝতে পারেন যে আপনি আসক্ত, কিন্তু এটি ভালো বোধ করে তাই আপনি আসলে চিন্ত"&amp;"া করেন না। আসক্তি এখন আপনার জীবনের অংশ, আসক্ত হওয়া আপনার ব্যক্তিত্বের একটি অংশ হয়ে উঠেছে। আসক্তি সম্পর্কে আমার নিজস্ব অভিজ্ঞতা বলতে চাই, জিজ্ঞাসা করবেন না। শুধু আসক্তি থেকে দূরে থাকুন।")</f>
        <v>আসক্তি আসলে কী, তা মাস খানেক বা এমনকি দশক ধরে চলতে থাকার পরও একটা ধ্রুবক কথা মনে করিয়ে দেয় আসক্তি। আসক্তি অসাধারণ, এটি ভালো বোধ করে, কিন্তু আপনি এখনও তা জানেন না: এর পরিণতি। আসক্তি ক্ষতিকারক, আপনি জানেন যে এটি ঠিক নয়। কিন্তু এটি ভালো বোধ করে, এবং আপনি আত্মবিশ্বাসী। আসক্তি অস্বাস্থ্যকর, যদি আপনি চালিয়ে যান, কিন্তু আপনি জানেন যে আপনি যদি এটি চালিয়ে যান, তবে এটি এমন কিছু যা মানুষের ভবিষ্যত ধ্বংস করে দেয়। আসক্তি উপলব্ধি করা হয়, আপনি বুঝতে পারেন যে আপনি আসক্ত, কিন্তু এটি ভালো বোধ করে তাই আপনি আসলে চিন্তা করেন না। আসক্তি এখন আপনার জীবনের অংশ, আসক্ত হওয়া আপনার ব্যক্তিত্বের একটি অংশ হয়ে উঠেছে। আসক্তি সম্পর্কে আমার নিজস্ব অভিজ্ঞতা বলতে চাই, জিজ্ঞাসা করবেন না। শুধু আসক্তি থেকে দূরে থাকুন।</v>
      </c>
    </row>
    <row r="711" spans="1:3" ht="15" x14ac:dyDescent="0.25">
      <c r="A711" s="3" t="s">
        <v>707</v>
      </c>
      <c r="B711" s="3" t="s">
        <v>4</v>
      </c>
      <c r="C711" s="4" t="str">
        <f ca="1">IFERROR(__xludf.DUMMYFUNCTION("GOOGLETRANSLATE(A711, ""auto"", ""bn"")"),"হাই, আমি ক্লান্ত ঘুম থেকে উঠি, দেরি করে ঘুমাই, সোশ্যাল নেটওয়ার্কে আসক্ত, বিছানা থেকে উঠতে পারছি না। বুঝতে পারছি না কী করব, আমার সাহায্য দরকার। আমার ফোন এবং সোশ্যাল নেটওয়ার্কের এই আসক্তি বন্ধ করার জন্য আমি কী করতে পারি? আমি আমার ফোনে এত সময় ব্যয় করা বন"&amp;"্ধ করার জন্য বা কিছু অ্যাপের ব্যবহার সীমিত করার জন্য ব্লকিং অ্যাপ ইনস্টল করার চেষ্টা করেছি, কিন্তু এটি মোটেও কাজ করেনি, আমি কেবল এটি বন্ধ করে দেব অথবা আনইনস্টল করব...")</f>
        <v>হাই, আমি ক্লান্ত ঘুম থেকে উঠি, দেরি করে ঘুমাই, সোশ্যাল নেটওয়ার্কে আসক্ত, বিছানা থেকে উঠতে পারছি না। বুঝতে পারছি না কী করব, আমার সাহায্য দরকার। আমার ফোন এবং সোশ্যাল নেটওয়ার্কের এই আসক্তি বন্ধ করার জন্য আমি কী করতে পারি? আমি আমার ফোনে এত সময় ব্যয় করা বন্ধ করার জন্য বা কিছু অ্যাপের ব্যবহার সীমিত করার জন্য ব্লকিং অ্যাপ ইনস্টল করার চেষ্টা করেছি, কিন্তু এটি মোটেও কাজ করেনি, আমি কেবল এটি বন্ধ করে দেব অথবা আনইনস্টল করব...</v>
      </c>
    </row>
    <row r="712" spans="1:3" ht="15" x14ac:dyDescent="0.25">
      <c r="A712" s="3" t="s">
        <v>708</v>
      </c>
      <c r="B712" s="3" t="s">
        <v>4</v>
      </c>
      <c r="C712" s="4" t="str">
        <f ca="1">IFERROR(__xludf.DUMMYFUNCTION("GOOGLETRANSLATE(A712, ""auto"", ""bn"")"),"কয়েক মাস আগে টেলিফোনের খুঁটিতে ধাক্কা খেয়ে তার গাড়িটি সম্পূর্ণ ক্ষতিগ্রস্ত হয় এবং গতকাল তাকে চাকরি থেকে বরখাস্ত করা হয়। নতুন চাকরির জন্য ইন্টারভিউ দেওয়ার জন্য এবং যদি তাকে নিয়োগ করা হয়, তাহলে চাকরিতে পৌঁছানোর জন্য তার বর্তমানে পরিবহনের প্রয়োজন। স"&amp;"ে আমাকে আমার গাড়ি ব্যবহার/কিনতে টাকা দিচ্ছে (আমি রাজ্যের বাইরে থাকি বলে আমি এটি ব্যবহার করি না) এবং যদিও আমার অন্তর্দৃষ্টি না বলে, আমি নিজেকে সাহায্য না করে থাকতে পারছি না কারণ আমি যদি তাকে আমার গাড়ি ব্যবহার করতে না দিই, তাহলে আমি তার ক্রমাগত বেকারত্ব এ"&amp;"বং তার পরবর্তী সবকিছুতে অবদান রাখছি। তাকে এই সাহায্য অস্বীকার করা এবং সে কীভাবে কষ্ট পাচ্ছে এবং অনিবার্য আত্ম-ধ্বংসের একটি পরিচিত পথে ঝাঁপিয়ে পড়ছে তা দেখার জন্য আমার হৃদয় ভেঙে যায়। তার হতাশার কথা শুনে আমার হৃদয় ভেঙে যায় কারণ আমি তাকে ভীত, ভেঙে পড়া "&amp;"শিশু, বিচ্ছিন্ন এবং একাকী, যে এত যন্ত্রণা ভোগ করেছে। তাছাড়া, আমার হৃদয় ভেঙে যায় যে সে যা চাইছে, এই সাহায্য, এই অনুগ্রহ, তা অস্বীকার করে আমি তাকে আরও বিচ্ছিন্ন করছি এবং এই ধারণাটিকে আরও শক্তিশালী করছি যে সে একা এবং অসমর্থিত।")</f>
        <v>কয়েক মাস আগে টেলিফোনের খুঁটিতে ধাক্কা খেয়ে তার গাড়িটি সম্পূর্ণ ক্ষতিগ্রস্ত হয় এবং গতকাল তাকে চাকরি থেকে বরখাস্ত করা হয়। নতুন চাকরির জন্য ইন্টারভিউ দেওয়ার জন্য এবং যদি তাকে নিয়োগ করা হয়, তাহলে চাকরিতে পৌঁছানোর জন্য তার বর্তমানে পরিবহনের প্রয়োজন। সে আমাকে আমার গাড়ি ব্যবহার/কিনতে টাকা দিচ্ছে (আমি রাজ্যের বাইরে থাকি বলে আমি এটি ব্যবহার করি না) এবং যদিও আমার অন্তর্দৃষ্টি না বলে, আমি নিজেকে সাহায্য না করে থাকতে পারছি না কারণ আমি যদি তাকে আমার গাড়ি ব্যবহার করতে না দিই, তাহলে আমি তার ক্রমাগত বেকারত্ব এবং তার পরবর্তী সবকিছুতে অবদান রাখছি। তাকে এই সাহায্য অস্বীকার করা এবং সে কীভাবে কষ্ট পাচ্ছে এবং অনিবার্য আত্ম-ধ্বংসের একটি পরিচিত পথে ঝাঁপিয়ে পড়ছে তা দেখার জন্য আমার হৃদয় ভেঙে যায়। তার হতাশার কথা শুনে আমার হৃদয় ভেঙে যায় কারণ আমি তাকে ভীত, ভেঙে পড়া শিশু, বিচ্ছিন্ন এবং একাকী, যে এত যন্ত্রণা ভোগ করেছে। তাছাড়া, আমার হৃদয় ভেঙে যায় যে সে যা চাইছে, এই সাহায্য, এই অনুগ্রহ, তা অস্বীকার করে আমি তাকে আরও বিচ্ছিন্ন করছি এবং এই ধারণাটিকে আরও শক্তিশালী করছি যে সে একা এবং অসমর্থিত।</v>
      </c>
    </row>
    <row r="713" spans="1:3" ht="15" x14ac:dyDescent="0.25">
      <c r="A713" s="3" t="s">
        <v>709</v>
      </c>
      <c r="B713" s="3" t="s">
        <v>4</v>
      </c>
      <c r="C713" s="4" t="str">
        <f ca="1">IFERROR(__xludf.DUMMYFUNCTION("GOOGLETRANSLATE(A713, ""auto"", ""bn"")"),"এক সপ্তাহ হয়ে গেল, আমি অস্থির এবং কাজ করার সময় মনোযোগ দিতে পারছি না। মনে হচ্ছে আমি কেবল ১-২ ঘন্টাই আমার কাজে পুরোপুরি মনোযোগ দিতে পারি। কিন্তু আজ আমি এক কাপ কফি কিনেছি এবং দীর্ঘ এক ঘন্টা ধরে ঠিকঠাক কাজ করতে পারছি। আমার কি প্রতিদিন এক কাপ কফি খাওয়া চালি"&amp;"য়ে যাওয়া উচিত, নাকি থামানোর চেষ্টা করা উচিত?")</f>
        <v>এক সপ্তাহ হয়ে গেল, আমি অস্থির এবং কাজ করার সময় মনোযোগ দিতে পারছি না। মনে হচ্ছে আমি কেবল ১-২ ঘন্টাই আমার কাজে পুরোপুরি মনোযোগ দিতে পারি। কিন্তু আজ আমি এক কাপ কফি কিনেছি এবং দীর্ঘ এক ঘন্টা ধরে ঠিকঠাক কাজ করতে পারছি। আমার কি প্রতিদিন এক কাপ কফি খাওয়া চালিয়ে যাওয়া উচিত, নাকি থামানোর চেষ্টা করা উচিত?</v>
      </c>
    </row>
    <row r="714" spans="1:3" ht="15" x14ac:dyDescent="0.25">
      <c r="A714" s="3" t="s">
        <v>710</v>
      </c>
      <c r="B714" s="3" t="s">
        <v>4</v>
      </c>
      <c r="C714" s="4" t="str">
        <f ca="1">IFERROR(__xludf.DUMMYFUNCTION("GOOGLETRANSLATE(A714, ""auto"", ""bn"")"),"আমরা সম্প্রতি তার পরিবারের সাথে রাজ্যের বাইরে দেখা করেছি যেখানে সে তার বোনের সাথে পুনরায় যোগাযোগ করেছে। সে প্রায় এক বছর ধরে সুস্থ ছিল, আমি নিশ্চিত যে একবার সে ব্যবহার করেছিল, কিন্তু আমি এটি প্রমাণ করতে পারছি না। আমরা যখন রাজ্যের বাইরে বেড়াতে গিয়েছিলাম"&amp;" তখন সে বলেছিল যে সে তার আগের রাতে তার বোনের পাঠানো টেক্সট মেসেজগুলি মুছে ফেলেছে। আমার মনে হয়েছিল এটি অদ্ভুত - তারপর বাড়ি ফেরার পথে সে খুব অদ্ভুত এবং উত্তেজিত আচরণ করছিল এবং কোনও বিষয় নিয়ে আমার সাথে তর্ক শুরু করেছিল। যখন সে ঘুমিয়ে পড়েছিল তখন আমি তার"&amp;" ঘড়িতে তার বার্তাগুলি পড়েছিলাম যেখানে সে ""তাকে দু'জনের সাথে জড়িয়ে ধরার"" প্রস্তাব দিয়েছিল। কোনটি বা কতগুলি তা বুঝতে পারছি না। আমরা বাড়ি ফিরে আসার পর থেকে সবকিছু ঠিকঠাক আছে, কিন্তু এখন আমি দেখতে পাচ্ছি যে সে তাকে তার কাজের ঠিকানা দিয়েছে যাতে সে বিশ"&amp;"েষভাবে প্যাকেজগুলি গ্রহণ করতে পারে তাই আমি এখানে সেগুলি আটকাবো না।")</f>
        <v>আমরা সম্প্রতি তার পরিবারের সাথে রাজ্যের বাইরে দেখা করেছি যেখানে সে তার বোনের সাথে পুনরায় যোগাযোগ করেছে। সে প্রায় এক বছর ধরে সুস্থ ছিল, আমি নিশ্চিত যে একবার সে ব্যবহার করেছিল, কিন্তু আমি এটি প্রমাণ করতে পারছি না। আমরা যখন রাজ্যের বাইরে বেড়াতে গিয়েছিলাম তখন সে বলেছিল যে সে তার আগের রাতে তার বোনের পাঠানো টেক্সট মেসেজগুলি মুছে ফেলেছে। আমার মনে হয়েছিল এটি অদ্ভুত - তারপর বাড়ি ফেরার পথে সে খুব অদ্ভুত এবং উত্তেজিত আচরণ করছিল এবং কোনও বিষয় নিয়ে আমার সাথে তর্ক শুরু করেছিল। যখন সে ঘুমিয়ে পড়েছিল তখন আমি তার ঘড়িতে তার বার্তাগুলি পড়েছিলাম যেখানে সে "তাকে দু'জনের সাথে জড়িয়ে ধরার" প্রস্তাব দিয়েছিল। কোনটি বা কতগুলি তা বুঝতে পারছি না। আমরা বাড়ি ফিরে আসার পর থেকে সবকিছু ঠিকঠাক আছে, কিন্তু এখন আমি দেখতে পাচ্ছি যে সে তাকে তার কাজের ঠিকানা দিয়েছে যাতে সে বিশেষভাবে প্যাকেজগুলি গ্রহণ করতে পারে তাই আমি এখানে সেগুলি আটকাবো না।</v>
      </c>
    </row>
    <row r="715" spans="1:3" ht="15" x14ac:dyDescent="0.25">
      <c r="A715" s="3" t="s">
        <v>711</v>
      </c>
      <c r="B715" s="3" t="s">
        <v>4</v>
      </c>
      <c r="C715" s="4" t="str">
        <f ca="1">IFERROR(__xludf.DUMMYFUNCTION("GOOGLETRANSLATE(A715, ""auto"", ""bn"")"),"আমি সপ্তাহে মাত্র এক প্যাকেট M&amp;Ms খেতাম, কিন্তু একবার একগুচ্ছ কিনে খাওয়া শুরু করলে, এখন অর্ধেক প্যাকেট শেষ না হওয়া পর্যন্ত বুঝতেই পারি না যে আমি M&amp;Ms খাচ্ছি। আমি এখন প্রতিদিন প্রায় ২ প্যাকেট খাই, আমি আগে সাপ্তাহিক KFC খেতাম, কিন্তু সম্প্রতি আমি সত্যিই "&amp;"এটি উপভোগ করছি, এবং সপ্তাহে ১৫টি চিকেন স্ট্রিপ, ২টি বড় ফ্রাই এবং ২টি বড় পপকর্ন খাচ্ছি। দয়া করে সাহায্য করুন।")</f>
        <v>আমি সপ্তাহে মাত্র এক প্যাকেট M&amp;Ms খেতাম, কিন্তু একবার একগুচ্ছ কিনে খাওয়া শুরু করলে, এখন অর্ধেক প্যাকেট শেষ না হওয়া পর্যন্ত বুঝতেই পারি না যে আমি M&amp;Ms খাচ্ছি। আমি এখন প্রতিদিন প্রায় ২ প্যাকেট খাই, আমি আগে সাপ্তাহিক KFC খেতাম, কিন্তু সম্প্রতি আমি সত্যিই এটি উপভোগ করছি, এবং সপ্তাহে ১৫টি চিকেন স্ট্রিপ, ২টি বড় ফ্রাই এবং ২টি বড় পপকর্ন খাচ্ছি। দয়া করে সাহায্য করুন।</v>
      </c>
    </row>
    <row r="716" spans="1:3" ht="15" x14ac:dyDescent="0.25">
      <c r="A716" s="3" t="s">
        <v>712</v>
      </c>
      <c r="B716" s="3" t="s">
        <v>4</v>
      </c>
      <c r="C716" s="4" t="str">
        <f ca="1">IFERROR(__xludf.DUMMYFUNCTION("GOOGLETRANSLATE(A716, ""auto"", ""bn"")"),"প্রেক্ষাপটে বলতে গেলে, আমার বাবা একজন মদ্যপ এবং আমার ভাইয়েরও মাদকাসক্তির ইতিহাস রয়েছে যা সে এখনও অসংখ্যবার পুনর্বাসনে যাওয়ার পরেও ভোগে। আমি ১৩ বছর বয়স থেকে প্রায় প্রতিদিনই গাঁজা ধূমপান করে আসছি এবং একই সাথে মদ্যপানও শুরু করেছি। বসন্তে আমার মদ্যপানের "&amp;"নেশা তৈরি হয়েছিল যা অক্টোবর পর্যন্ত স্থায়ী ছিল, আমি প্রতিদিন স্কুলে মাতাল হয়ে পড়তাম এবং ক্রমাগত অজ্ঞান হয়ে যেতাম, এটি ছিল সত্যিই একটি অন্ধকার সময়, আমি ২ সপ্তাহের বেন্ডারে ছিলাম এবং শেষের দিকে গুরুতর অসুস্থ হয়ে পড়ি - কিন্তু তারপর থেকে আমাকে মদের কা"&amp;"ছাকাছি যেতে দেওয়া হয়নি, তাই আমাকে কিছুটা ঠান্ডা মাথায় এটি খেতে হয়েছিল যদিও এটি কঠিন ছিল। আমি প্রতিদিন মদ্যপান বন্ধ করার পর থেকে আমি আরও বেশি গাঁজা ধূমপান শুরু করেছি, তারপর এটি আগের মতো ভালো লাগেনি তাই আমি এক্সট্যাসি বড়ি খাওয়া শুরু করেছি এবং আমি দুই "&amp;"মাস ধরে প্রতি সপ্তাহান্তে কয়েকটি খাচ্ছি। আমি ভদকা, গাঁজা, কম মাত্রার ফেন্টানাইল, যা কিছু আমি ধরে রাখতে পারি তার সাথে মিশিয়েছি। শেষ পর্যন্ত আমি কিছু ডাউনসার্সও খেয়েছি। লেইসযুক্ত বড়িও খেয়েছিলাম যার ফলে আমি অজ্ঞান হয়ে পড়েছিলাম। গতকালই আমি বাড কিনেছি এ"&amp;"বং এই সপ্তাহান্তে আরও কিছু বড়ি কেনার পরিকল্পনা করছি। আমি মদ্যপানের পুনরাবৃত্তি এবং আত্ম-ক্ষতির আশঙ্কাও করছি। যেহেতু আমি আগেও আসক্ত ছিলাম, তাই আমি ভয় পাচ্ছি যে আমি বড়িগুলিতে আসক্ত হয়ে যাব। আমি আসক্তির শুরুটা অনুভব করতে পারছি এবং এটি আমাকে ভয় দেখাচ্ছে।"&amp;" আমি জানি সবচেয়ে সহজ সমাধান হল থামানো, কিন্তু আমি সত্যিই অতিরিক্ত আসক্তির জন্য খুব আগ্রহী। আমি সত্যিই একটি অন্ধকার জায়গায় আছি তাই এটি মোকাবেলা করার একটি প্রক্রিয়া IG। আমি জানি না কী করব। আমি মনে করি আমি কেবল কিছু পরামর্শ বা প্রেরণা চাইছি। নিরাপদ ব্যবহ"&amp;"ার এবং আসক্তি প্রতিরোধের জন্য পরামর্শ দেওয়া উচিত ধন্যবাদ")</f>
        <v>প্রেক্ষাপটে বলতে গেলে, আমার বাবা একজন মদ্যপ এবং আমার ভাইয়েরও মাদকাসক্তির ইতিহাস রয়েছে যা সে এখনও অসংখ্যবার পুনর্বাসনে যাওয়ার পরেও ভোগে। আমি ১৩ বছর বয়স থেকে প্রায় প্রতিদিনই গাঁজা ধূমপান করে আসছি এবং একই সাথে মদ্যপানও শুরু করেছি। বসন্তে আমার মদ্যপানের নেশা তৈরি হয়েছিল যা অক্টোবর পর্যন্ত স্থায়ী ছিল, আমি প্রতিদিন স্কুলে মাতাল হয়ে পড়তাম এবং ক্রমাগত অজ্ঞান হয়ে যেতাম, এটি ছিল সত্যিই একটি অন্ধকার সময়, আমি ২ সপ্তাহের বেন্ডারে ছিলাম এবং শেষের দিকে গুরুতর অসুস্থ হয়ে পড়ি - কিন্তু তারপর থেকে আমাকে মদের কাছাকাছি যেতে দেওয়া হয়নি, তাই আমাকে কিছুটা ঠান্ডা মাথায় এটি খেতে হয়েছিল যদিও এটি কঠিন ছিল। আমি প্রতিদিন মদ্যপান বন্ধ করার পর থেকে আমি আরও বেশি গাঁজা ধূমপান শুরু করেছি, তারপর এটি আগের মতো ভালো লাগেনি তাই আমি এক্সট্যাসি বড়ি খাওয়া শুরু করেছি এবং আমি দুই মাস ধরে প্রতি সপ্তাহান্তে কয়েকটি খাচ্ছি। আমি ভদকা, গাঁজা, কম মাত্রার ফেন্টানাইল, যা কিছু আমি ধরে রাখতে পারি তার সাথে মিশিয়েছি। শেষ পর্যন্ত আমি কিছু ডাউনসার্সও খেয়েছি। লেইসযুক্ত বড়িও খেয়েছিলাম যার ফলে আমি অজ্ঞান হয়ে পড়েছিলাম। গতকালই আমি বাড কিনেছি এবং এই সপ্তাহান্তে আরও কিছু বড়ি কেনার পরিকল্পনা করছি। আমি মদ্যপানের পুনরাবৃত্তি এবং আত্ম-ক্ষতির আশঙ্কাও করছি। যেহেতু আমি আগেও আসক্ত ছিলাম, তাই আমি ভয় পাচ্ছি যে আমি বড়িগুলিতে আসক্ত হয়ে যাব। আমি আসক্তির শুরুটা অনুভব করতে পারছি এবং এটি আমাকে ভয় দেখাচ্ছে। আমি জানি সবচেয়ে সহজ সমাধান হল থামানো, কিন্তু আমি সত্যিই অতিরিক্ত আসক্তির জন্য খুব আগ্রহী। আমি সত্যিই একটি অন্ধকার জায়গায় আছি তাই এটি মোকাবেলা করার একটি প্রক্রিয়া IG। আমি জানি না কী করব। আমি মনে করি আমি কেবল কিছু পরামর্শ বা প্রেরণা চাইছি। নিরাপদ ব্যবহার এবং আসক্তি প্রতিরোধের জন্য পরামর্শ দেওয়া উচিত ধন্যবাদ</v>
      </c>
    </row>
    <row r="717" spans="1:3" ht="15" x14ac:dyDescent="0.25">
      <c r="A717" s="3" t="s">
        <v>713</v>
      </c>
      <c r="B717" s="3" t="s">
        <v>4</v>
      </c>
      <c r="C717" s="4" t="str">
        <f ca="1">IFERROR(__xludf.DUMMYFUNCTION("GOOGLETRANSLATE(A717, ""auto"", ""bn"")"),"যদি তাই হয়, আমি লক্ষ্য করেছি যে আমি প্রতিদিন পানি খাই? পরিমাণ মতো আদা-আল, ​​পেপসি বা অন্য যেকোনো কার্বনেটেড পানীয়। যদি আর কিছু না থাকে তবে আমার মস্তিষ্ক জুস, দুধ বা কফি দিয়ে প্রতিস্থাপন করার কথা ভাবে কিন্তু কখনোই পানি খায় না। আমি দেখতে পাই যে পানির স্"&amp;"বাদ সবসময় এমন হয় যেন এতে কিছুটা দুধ আছে, যদিও আমি জানি যে তা হয় না। পানির অভাবে আমি ছোটখাটো স্বাস্থ্য সমস্যায় ভুগছি, কিন্তু আমি কখনই এটি পান করতে রাজি নই। তাছাড়া, আমি আমার ত্বক পরিষ্কার করতে, ওজন কমাতে এবং সামগ্রিকভাবে এর চেয়ে স্বাস্থ্যকর জীবনযাপন ক"&amp;"রতে চাই, তবে আমার সাহায্যের প্রয়োজন। সঠিক কাজটি করার জন্য আমার ইচ্ছাশক্তিকে শক্তিশালী করার বা কৌশল করার জন্য আমি কি কিছু করতে পারি?")</f>
        <v>যদি তাই হয়, আমি লক্ষ্য করেছি যে আমি প্রতিদিন পানি খাই? পরিমাণ মতো আদা-আল, ​​পেপসি বা অন্য যেকোনো কার্বনেটেড পানীয়। যদি আর কিছু না থাকে তবে আমার মস্তিষ্ক জুস, দুধ বা কফি দিয়ে প্রতিস্থাপন করার কথা ভাবে কিন্তু কখনোই পানি খায় না। আমি দেখতে পাই যে পানির স্বাদ সবসময় এমন হয় যেন এতে কিছুটা দুধ আছে, যদিও আমি জানি যে তা হয় না। পানির অভাবে আমি ছোটখাটো স্বাস্থ্য সমস্যায় ভুগছি, কিন্তু আমি কখনই এটি পান করতে রাজি নই। তাছাড়া, আমি আমার ত্বক পরিষ্কার করতে, ওজন কমাতে এবং সামগ্রিকভাবে এর চেয়ে স্বাস্থ্যকর জীবনযাপন করতে চাই, তবে আমার সাহায্যের প্রয়োজন। সঠিক কাজটি করার জন্য আমার ইচ্ছাশক্তিকে শক্তিশালী করার বা কৌশল করার জন্য আমি কি কিছু করতে পারি?</v>
      </c>
    </row>
    <row r="718" spans="1:3" ht="15" x14ac:dyDescent="0.25">
      <c r="A718" s="3" t="s">
        <v>714</v>
      </c>
      <c r="B718" s="3" t="s">
        <v>4</v>
      </c>
      <c r="C718" s="4" t="str">
        <f ca="1">IFERROR(__xludf.DUMMYFUNCTION("GOOGLETRANSLATE(A718, ""auto"", ""bn"")"),"আমার বাবা-মা (জন্মের পর থেকেই মা এবং সৎ বাবা) দুজনেই মাদক সেবন করে আসছেন, আমার মনে আছে। আমার বয়স যখন ১৩-১৪ বছর তখন থেকেই আমি বুঝতে শুরু করেছিলাম যে আসলে কী ঘটছে (১৮ এখন) আমি জানি না তারা প্রধান মাদক কী, আমি জানি তারা মাদক সেবন করে কারণ এটি পুরো ঘরকে দুর্"&amp;"গন্ধযুক্ত করে তোলে কিন্তু তারা প্রধান মাদক টিন ফয়েল/অ্যালুমিনিয়াম ফয়েল সেবন করে। এটা কি আসলেই হেরোইন? আমি যে গবেষণা করেছি তাতে এটাই প্রমাণিত হয়েছে? আমি জানি না কোথা থেকে তাদের সাহায্য করা শুরু করব। আমাদের সম্পর্ক সম্পূর্ণ স্বাভাবিক প্রেমময় পরিবারের ম"&amp;"তো এবং আমি কিছু নষ্ট করতে চাই না? আমরা বেশ দরিদ্র এবং শীঘ্রই আমাদের বাড়ি থেকে বের করে দেওয়া হতে পারে এবং বলা হতে পারে যে বাড়িটি ধ্বংসস্তূপে পরিণত হয়েছে, তারা মৌলিক খাবার, জল, তাপ, বিদ্যুৎ ইত্যাদি ছাড়া অন্য কোনও কিছুর যত্ন নেয় না।")</f>
        <v>আমার বাবা-মা (জন্মের পর থেকেই মা এবং সৎ বাবা) দুজনেই মাদক সেবন করে আসছেন, আমার মনে আছে। আমার বয়স যখন ১৩-১৪ বছর তখন থেকেই আমি বুঝতে শুরু করেছিলাম যে আসলে কী ঘটছে (১৮ এখন) আমি জানি না তারা প্রধান মাদক কী, আমি জানি তারা মাদক সেবন করে কারণ এটি পুরো ঘরকে দুর্গন্ধযুক্ত করে তোলে কিন্তু তারা প্রধান মাদক টিন ফয়েল/অ্যালুমিনিয়াম ফয়েল সেবন করে। এটা কি আসলেই হেরোইন? আমি যে গবেষণা করেছি তাতে এটাই প্রমাণিত হয়েছে? আমি জানি না কোথা থেকে তাদের সাহায্য করা শুরু করব। আমাদের সম্পর্ক সম্পূর্ণ স্বাভাবিক প্রেমময় পরিবারের মতো এবং আমি কিছু নষ্ট করতে চাই না? আমরা বেশ দরিদ্র এবং শীঘ্রই আমাদের বাড়ি থেকে বের করে দেওয়া হতে পারে এবং বলা হতে পারে যে বাড়িটি ধ্বংসস্তূপে পরিণত হয়েছে, তারা মৌলিক খাবার, জল, তাপ, বিদ্যুৎ ইত্যাদি ছাড়া অন্য কোনও কিছুর যত্ন নেয় না।</v>
      </c>
    </row>
    <row r="719" spans="1:3" ht="15" x14ac:dyDescent="0.25">
      <c r="A719" s="3" t="s">
        <v>715</v>
      </c>
      <c r="B719" s="3" t="s">
        <v>4</v>
      </c>
      <c r="C719" s="4" t="str">
        <f ca="1">IFERROR(__xludf.DUMMYFUNCTION("GOOGLETRANSLATE(A719, ""auto"", ""bn"")"),"হ্যাঁ, শিরোনামে যা বলা হয়েছে, তাই বলছি। আমার বয়স মাত্র ১৮, আর আমি কখনো ভাবিনি যে আমার এই অবস্থায় পড়তে হবে, কিন্তু আমি আমার বাবার সাথে NC যাওয়ার কথা ভাবছি। শুরুতেই খারাপ ফর্ম্যাটিংয়ের জন্য আমি দুঃখিত, আমি মোবাইলে থাকি। গল্পে আসি। প্রায় এক বছর ধরে বাবার "&amp;"সাথে আমার যোগাযোগ কম, প্রয়োজনেই কেবল তার সাথে কথা বলি। প্রয়োজন হলে আমি তাকে কোথাও গাড়ি চালিয়ে নিয়ে যাই (তার গাড়িটি কেড়ে নেওয়া হয়েছে কারণ সে টাকা দিতে পারেনি), আমি তার সাথে পারিবারিক অনুষ্ঠানে যাই, কিন্তু এক বছরেরও বেশি সময় ধরে আমরা তাকে আগের মতো আড্ডা দি"&amp;"তে বলিনি। প্রায় ৩ বছর আগে, সে তার প্রাক্তনকে (আমার মাকে নয়) ত্যাগ করে। সে একজন প্রচণ্ড মেথ ব্যবহারকারী ছিল (আমি যতদূর জানি তাদের সম্পর্কের শেষের দিকে) কিন্তু এটা আমার কাছে স্পষ্ট ছিল, তাদের সম্পর্ক ভেঙে যাওয়ার পর সে মেথ নেয়। আমি তাকে শহরের আশেপাশে আমার চে"&amp;"য়ে বেশি রোগা (আমি ১০০ পাউন্ড) দেখতাম এবং আমার বাবার সাথে ডেটিং করার সময় সে বেশ মোটা ছিল (৩০০ পাউন্ডের বেশি নয়)। আমিও জানি মেথের প্রভাব কী, কারণ আমার পরিবারের অন্যান্য সদস্যরাও এটি ব্যবহার করত, এবং এটা স্পষ্ট ছিল যে সে আসক্ত ছিল। মেথ ছিল বিচ্ছেদের একটি ব"&amp;"ড় কারণ, এবং খুব সামান্য পরিমাণই ছিল কারণ সে আমার এবং আমার বোনের সাথে যেভাবে আচরণ করেছিল। সে আমাদের সাথে এতটাই অভদ্র ছিল যে সে আমাদের গালি দিত এবং এমন আচরণ করত যেন বাড়িটি তার (এটি আমার বাবার নামে ছিল ১০০% এবং ভাড়া দেওয়ার মতো যথেষ্ট অর্থ তার ছিল না)। আম"&amp;"ি তার সম্পর্কে বিস্তারিত বলতে যাচ্ছি না, কারণ এই পোস্টটি আমার বাবার সম্পর্কে। প্রায় ২ বছর আগে পরিস্থিতি খারাপ হতে শুরু করে। আমার বাবা গভীর রাতে রাইড-শেয়ার করতেন এবং আমার বোনদের গাড়ি চুরি করতে শুরু করেন। তারপর প্রায় দেড় বছর আগে, আমি এবং আমার বোন তার গ"&amp;"াড়িতে একটি ক্র্যাক পাইপ পেয়েছি (সে ব্যবহার করে না, এটি তার বা তার বন্ধুর কোনও উপায় নেই)। তারপর থেকে তার অবস্থা খারাপ হয়ে গেছে। প্রথমত, সে এই গ্রীষ্মে তার ১৩ বছর বয়সী কুকুর হারিয়েছে। তারপর, গ্রীষ্মের শেষে, আমার বোনের কুকুরছানাটি পারভোভাইরাসে আক্রান্ত"&amp;" হয়ে মারা গেল (এক বছরও হয়নি)। সে তার কুকুরের খুব কাছের ছিল এবং মারা যাওয়ার পর সে ভেঙে পড়েছিল। তারপর, তার ট্রাকটি 2 বছরেরও বেশি সময় ধরে টাকা না দেওয়ার কারণে ব্যাংক থেকে রিপো-এড করা হয়েছিল! এই পরবর্তী সংখ্যার জন্যই আমি এই পোস্টটি করছি। 3 দিন আগে, আমি"&amp;" তাকে আমার বোনের গাড়িতে চড়াই দিয়েছিলাম যাতে সে রাতের জন্য বাইরে যেতে পারে। (এখানে -40c) সে আমার বোনকে বলেছিল যে সে পরের দিন দুপুরের মধ্যে ফিরে আসবে, তাই আমি এতে কিছুই ভাবিনি। সে যখন আমার গাড়িতে ছিল তখন সে খুব বাচাল ছিল, কিন্তু আমি মনে করিনি যে সে খুব "&amp;"বেশি মেজাজে আছে। সে আমার বোনের গাড়িতে বুস্ট করার পর, সে চলে যায়। 4 ঘন্টা আগে থেকে আর কারো কথা শোনা যায়নি। আমার পুরো পরিবার তাকে ধরার চেষ্টা করছিল, সে আমার বোনকে কাজে দেরি করে নিয়েছিল, এবং সে কোনও কথাই বলেনি। সে 3 দিন ধরে ফেসবুকে সক্রিয় ছিল এবং কেউ কো"&amp;"নও উত্তর দেয়নি। আমরা জানি সে কোথায় আছে, তার একমাত্র কারণ হলো সে আমার সৎ বাবা তার বর্তমান জায়গা থেকে কয়েক ব্লক দূরে আমার বোনের গাড়িটা ঘুরতে ঘুরতে ধরে ফেলে। (আমার মনে হয় এটা বেশ স্পষ্ট যে সে কেন অনেক দূরে গাড়ি পার্ক করছিল; সে জানত আমরা তাকে খুঁজছি এবং চা"&amp;"য়নি যে আমরা তার বাড়িতে তার গাড়ি দেখতে পাই) সে ঘুড়ির মতো উত্তেজিত হয়ে বললো সে ""জুয়া খেলতে"" চায়? নববর্ষের আগে শেষবারের মতো। এখন আমি জানি না কী করতে হবে। ১৮ বছর বয়সী কোনও কিশোরীরই তার বাবার এইসব খারাপ কাজের মধ্য দিয়ে যাওয়া দেখা উচিত নয়। আমি বন্ধুদের এইস"&amp;"বের মধ্য দিয়ে যেতে দেখেছি এবং যখন আমি এটা সামলাতে পারি না তখন আমি তাদের কথা বন্ধ করে দিয়েছি, কিন্তু আমি জানি না আমি আমার নিজের বাবার সাথে এটা করতে পারব কিনা। আমি এখনও তার সাথে কথা বলিনি, নববর্ষের আগের দিন যাওয়ার পরিকল্পনা করছি। এই পরিস্থিতিতে কী করতে হবে "&amp;"সে সম্পর্কে কারো কোন পরামর্শ থাকলে দয়া করে মন্তব্য করুন। কিছু সাহায্য করবে।")</f>
        <v>হ্যাঁ, শিরোনামে যা বলা হয়েছে, তাই বলছি। আমার বয়স মাত্র ১৮, আর আমি কখনো ভাবিনি যে আমার এই অবস্থায় পড়তে হবে, কিন্তু আমি আমার বাবার সাথে NC যাওয়ার কথা ভাবছি। শুরুতেই খারাপ ফর্ম্যাটিংয়ের জন্য আমি দুঃখিত, আমি মোবাইলে থাকি। গল্পে আসি। প্রায় এক বছর ধরে বাবার সাথে আমার যোগাযোগ কম, প্রয়োজনেই কেবল তার সাথে কথা বলি। প্রয়োজন হলে আমি তাকে কোথাও গাড়ি চালিয়ে নিয়ে যাই (তার গাড়িটি কেড়ে নেওয়া হয়েছে কারণ সে টাকা দিতে পারেনি), আমি তার সাথে পারিবারিক অনুষ্ঠানে যাই, কিন্তু এক বছরেরও বেশি সময় ধরে আমরা তাকে আগের মতো আড্ডা দিতে বলিনি। প্রায় ৩ বছর আগে, সে তার প্রাক্তনকে (আমার মাকে নয়) ত্যাগ করে। সে একজন প্রচণ্ড মেথ ব্যবহারকারী ছিল (আমি যতদূর জানি তাদের সম্পর্কের শেষের দিকে) কিন্তু এটা আমার কাছে স্পষ্ট ছিল, তাদের সম্পর্ক ভেঙে যাওয়ার পর সে মেথ নেয়। আমি তাকে শহরের আশেপাশে আমার চেয়ে বেশি রোগা (আমি ১০০ পাউন্ড) দেখতাম এবং আমার বাবার সাথে ডেটিং করার সময় সে বেশ মোটা ছিল (৩০০ পাউন্ডের বেশি নয়)। আমিও জানি মেথের প্রভাব কী, কারণ আমার পরিবারের অন্যান্য সদস্যরাও এটি ব্যবহার করত, এবং এটা স্পষ্ট ছিল যে সে আসক্ত ছিল। মেথ ছিল বিচ্ছেদের একটি বড় কারণ, এবং খুব সামান্য পরিমাণই ছিল কারণ সে আমার এবং আমার বোনের সাথে যেভাবে আচরণ করেছিল। সে আমাদের সাথে এতটাই অভদ্র ছিল যে সে আমাদের গালি দিত এবং এমন আচরণ করত যেন বাড়িটি তার (এটি আমার বাবার নামে ছিল ১০০% এবং ভাড়া দেওয়ার মতো যথেষ্ট অর্থ তার ছিল না)। আমি তার সম্পর্কে বিস্তারিত বলতে যাচ্ছি না, কারণ এই পোস্টটি আমার বাবার সম্পর্কে। প্রায় ২ বছর আগে পরিস্থিতি খারাপ হতে শুরু করে। আমার বাবা গভীর রাতে রাইড-শেয়ার করতেন এবং আমার বোনদের গাড়ি চুরি করতে শুরু করেন। তারপর প্রায় দেড় বছর আগে, আমি এবং আমার বোন তার গাড়িতে একটি ক্র্যাক পাইপ পেয়েছি (সে ব্যবহার করে না, এটি তার বা তার বন্ধুর কোনও উপায় নেই)। তারপর থেকে তার অবস্থা খারাপ হয়ে গেছে। প্রথমত, সে এই গ্রীষ্মে তার ১৩ বছর বয়সী কুকুর হারিয়েছে। তারপর, গ্রীষ্মের শেষে, আমার বোনের কুকুরছানাটি পারভোভাইরাসে আক্রান্ত হয়ে মারা গেল (এক বছরও হয়নি)। সে তার কুকুরের খুব কাছের ছিল এবং মারা যাওয়ার পর সে ভেঙে পড়েছিল। তারপর, তার ট্রাকটি 2 বছরেরও বেশি সময় ধরে টাকা না দেওয়ার কারণে ব্যাংক থেকে রিপো-এড করা হয়েছিল! এই পরবর্তী সংখ্যার জন্যই আমি এই পোস্টটি করছি। 3 দিন আগে, আমি তাকে আমার বোনের গাড়িতে চড়াই দিয়েছিলাম যাতে সে রাতের জন্য বাইরে যেতে পারে। (এখানে -40c) সে আমার বোনকে বলেছিল যে সে পরের দিন দুপুরের মধ্যে ফিরে আসবে, তাই আমি এতে কিছুই ভাবিনি। সে যখন আমার গাড়িতে ছিল তখন সে খুব বাচাল ছিল, কিন্তু আমি মনে করিনি যে সে খুব বেশি মেজাজে আছে। সে আমার বোনের গাড়িতে বুস্ট করার পর, সে চলে যায়। 4 ঘন্টা আগে থেকে আর কারো কথা শোনা যায়নি। আমার পুরো পরিবার তাকে ধরার চেষ্টা করছিল, সে আমার বোনকে কাজে দেরি করে নিয়েছিল, এবং সে কোনও কথাই বলেনি। সে 3 দিন ধরে ফেসবুকে সক্রিয় ছিল এবং কেউ কোনও উত্তর দেয়নি। আমরা জানি সে কোথায় আছে, তার একমাত্র কারণ হলো সে আমার সৎ বাবা তার বর্তমান জায়গা থেকে কয়েক ব্লক দূরে আমার বোনের গাড়িটা ঘুরতে ঘুরতে ধরে ফেলে। (আমার মনে হয় এটা বেশ স্পষ্ট যে সে কেন অনেক দূরে গাড়ি পার্ক করছিল; সে জানত আমরা তাকে খুঁজছি এবং চায়নি যে আমরা তার বাড়িতে তার গাড়ি দেখতে পাই) সে ঘুড়ির মতো উত্তেজিত হয়ে বললো সে "জুয়া খেলতে" চায়? নববর্ষের আগে শেষবারের মতো। এখন আমি জানি না কী করতে হবে। ১৮ বছর বয়সী কোনও কিশোরীরই তার বাবার এইসব খারাপ কাজের মধ্য দিয়ে যাওয়া দেখা উচিত নয়। আমি বন্ধুদের এইসবের মধ্য দিয়ে যেতে দেখেছি এবং যখন আমি এটা সামলাতে পারি না তখন আমি তাদের কথা বন্ধ করে দিয়েছি, কিন্তু আমি জানি না আমি আমার নিজের বাবার সাথে এটা করতে পারব কিনা। আমি এখনও তার সাথে কথা বলিনি, নববর্ষের আগের দিন যাওয়ার পরিকল্পনা করছি। এই পরিস্থিতিতে কী করতে হবে সে সম্পর্কে কারো কোন পরামর্শ থাকলে দয়া করে মন্তব্য করুন। কিছু সাহায্য করবে।</v>
      </c>
    </row>
    <row r="720" spans="1:3" ht="15" x14ac:dyDescent="0.25">
      <c r="A720" s="3" t="s">
        <v>716</v>
      </c>
      <c r="B720" s="3" t="s">
        <v>4</v>
      </c>
      <c r="C720" s="4" t="str">
        <f ca="1">IFERROR(__xludf.DUMMYFUNCTION("GOOGLETRANSLATE(A720, ""auto"", ""bn"")"),"আমি দুই বছর ধরে ধূমপান করছি এবং জ্যানাক্স খাচ্ছি, এবং আমি এমন একটি দেশে চলে এসেছি যেখানে এই জিনিসগুলি নেই। গত দুই মাস ধরে আমি ঠিক আছি কিন্তু এখন আমি কেবল একটি জয়েন্ট জ্বালানোর কথা ভাবছি, একটি ফিজি পানীয় পান করছি এবং দুটি বড়ি খাচ্ছি। এটা করার স্মৃতি আমা"&amp;"র মস্তিষ্ক থেকে সরে যাচ্ছে না। স্বল্পমেয়াদী শান্তির সেই স্মৃতি ভুলে যাওয়া খুব কঠিন যে আমি সাহায্যের জন্য নিকোটিন ভ্যাপ করছি কিন্তু এই জিনিসটি এত কঠিন। আমি গাঁজা পেতে পারি, কিন্তু আমি কমপক্ষে তিন মাসের জন্য জেলে যাব এবং এই দেশে আমার ভবিষ্যত ধ্বংস করব। জয"&amp;"়েন্ট জ্বালানোর এবং আরামের অনুভূতির এই ছবিগুলি আমি কেবল চলে যেতে দিতে পারি না।")</f>
        <v>আমি দুই বছর ধরে ধূমপান করছি এবং জ্যানাক্স খাচ্ছি, এবং আমি এমন একটি দেশে চলে এসেছি যেখানে এই জিনিসগুলি নেই। গত দুই মাস ধরে আমি ঠিক আছি কিন্তু এখন আমি কেবল একটি জয়েন্ট জ্বালানোর কথা ভাবছি, একটি ফিজি পানীয় পান করছি এবং দুটি বড়ি খাচ্ছি। এটা করার স্মৃতি আমার মস্তিষ্ক থেকে সরে যাচ্ছে না। স্বল্পমেয়াদী শান্তির সেই স্মৃতি ভুলে যাওয়া খুব কঠিন যে আমি সাহায্যের জন্য নিকোটিন ভ্যাপ করছি কিন্তু এই জিনিসটি এত কঠিন। আমি গাঁজা পেতে পারি, কিন্তু আমি কমপক্ষে তিন মাসের জন্য জেলে যাব এবং এই দেশে আমার ভবিষ্যত ধ্বংস করব। জয়েন্ট জ্বালানোর এবং আরামের অনুভূতির এই ছবিগুলি আমি কেবল চলে যেতে দিতে পারি না।</v>
      </c>
    </row>
    <row r="721" spans="1:3" ht="15" x14ac:dyDescent="0.25">
      <c r="A721" s="3" t="s">
        <v>717</v>
      </c>
      <c r="B721" s="3" t="s">
        <v>4</v>
      </c>
      <c r="C721" s="4" t="str">
        <f ca="1">IFERROR(__xludf.DUMMYFUNCTION("GOOGLETRANSLATE(A721, ""auto"", ""bn"")"),"ধূমপানের অভ্যাসটা আমার উপর আসার আগেই আমি তা ছেড়ে দিয়েছিলাম, কিন্তু আজ রাতে আমার অনেক ক্ষতি হয়ে গেল। আমি এক প্যাকেট নিকোটিন পাউচ কিনেছিলাম। তাছাড়া, আমি কয়েকদিন ধরে ধূমপান ত্যাগের সমস্যায় ভুগছি। তাছাড়া, আমি কয়েক মাস আগে ধূমপান ছেড়ে দিয়েছিলাম, কিন্"&amp;"তু আমার স্বপ্ন এবং আকাঙ্ক্ষা ছিল। তাছাড়া, আমি অনেক ক্ষতি করেছি...")</f>
        <v>ধূমপানের অভ্যাসটা আমার উপর আসার আগেই আমি তা ছেড়ে দিয়েছিলাম, কিন্তু আজ রাতে আমার অনেক ক্ষতি হয়ে গেল। আমি এক প্যাকেট নিকোটিন পাউচ কিনেছিলাম। তাছাড়া, আমি কয়েকদিন ধরে ধূমপান ত্যাগের সমস্যায় ভুগছি। তাছাড়া, আমি কয়েক মাস আগে ধূমপান ছেড়ে দিয়েছিলাম, কিন্তু আমার স্বপ্ন এবং আকাঙ্ক্ষা ছিল। তাছাড়া, আমি অনেক ক্ষতি করেছি...</v>
      </c>
    </row>
    <row r="722" spans="1:3" ht="15" x14ac:dyDescent="0.25">
      <c r="A722" s="3" t="s">
        <v>718</v>
      </c>
      <c r="B722" s="3" t="s">
        <v>4</v>
      </c>
      <c r="C722" s="4" t="str">
        <f ca="1">IFERROR(__xludf.DUMMYFUNCTION("GOOGLETRANSLATE(A722, ""auto"", ""bn"")"),"আমি মিথ্যা বলছি কারণ মনে হচ্ছে না যে তারা আসলেই চিন্তা করে যে সেখানে থাকা লোকেরা পরিষ্কার-পরিচ্ছন্ন থাকে কিনা। আমার পাঁচ বছরের স্বামী (২৫ মিলিয়ন) প্রায় দেড় বছর ধরে উদ্দীপক ওষুধের সাথে তার আসক্তির সাথে লড়াই করছে। (আমার বয়স ২৪ ফুট) যখন সে ব্যবহার করে ত"&amp;"খন সে এমন ভয়ঙ্কর সিদ্ধান্ত নেয় যা আমার অনুভূতিতে আঘাত করে (একটি পৃথক এবং খুব দীর্ঘ গল্প, এটি একাধিক ব্রেকআপের কারণ হয়েছে)। এই গ্রীষ্মের শুরুতে সে তার পছন্দের রাজ্যে একটি পুনরুদ্ধার প্রোগ্রামে থাকার জন্য পুরো দেশ জুড়ে চলে গেছে। (সে রাজ্যের বাইরে অন্য প"&amp;"্রোগ্রামে চলে গেছে, প্রতিটি প্রোগ্রামে পুনরায় আক্রান্ত হয়েছে, এবং প্রতিবার বাড়িতে আসার পরপরই ব্যবহার চালিয়ে গেছে। মোট পাঁচবার, যার মধ্যে সে এখন যেটিতে আছে তাও অন্তর্ভুক্ত। আমাকে বলে যে এই সময়টি আলাদা এবং সে গত তিনবারও পরিষ্কার-পরিচ্ছন্ন রয়েছে।")</f>
        <v>আমি মিথ্যা বলছি কারণ মনে হচ্ছে না যে তারা আসলেই চিন্তা করে যে সেখানে থাকা লোকেরা পরিষ্কার-পরিচ্ছন্ন থাকে কিনা। আমার পাঁচ বছরের স্বামী (২৫ মিলিয়ন) প্রায় দেড় বছর ধরে উদ্দীপক ওষুধের সাথে তার আসক্তির সাথে লড়াই করছে। (আমার বয়স ২৪ ফুট) যখন সে ব্যবহার করে তখন সে এমন ভয়ঙ্কর সিদ্ধান্ত নেয় যা আমার অনুভূতিতে আঘাত করে (একটি পৃথক এবং খুব দীর্ঘ গল্প, এটি একাধিক ব্রেকআপের কারণ হয়েছে)। এই গ্রীষ্মের শুরুতে সে তার পছন্দের রাজ্যে একটি পুনরুদ্ধার প্রোগ্রামে থাকার জন্য পুরো দেশ জুড়ে চলে গেছে। (সে রাজ্যের বাইরে অন্য প্রোগ্রামে চলে গেছে, প্রতিটি প্রোগ্রামে পুনরায় আক্রান্ত হয়েছে, এবং প্রতিবার বাড়িতে আসার পরপরই ব্যবহার চালিয়ে গেছে। মোট পাঁচবার, যার মধ্যে সে এখন যেটিতে আছে তাও অন্তর্ভুক্ত। আমাকে বলে যে এই সময়টি আলাদা এবং সে গত তিনবারও পরিষ্কার-পরিচ্ছন্ন রয়েছে।</v>
      </c>
    </row>
    <row r="723" spans="1:3" ht="15" x14ac:dyDescent="0.25">
      <c r="A723" s="3" t="s">
        <v>719</v>
      </c>
      <c r="B723" s="3" t="s">
        <v>4</v>
      </c>
      <c r="C723" s="4" t="str">
        <f ca="1">IFERROR(__xludf.DUMMYFUNCTION("GOOGLETRANSLATE(A723, ""auto"", ""bn"")"),"তাই আমি প্রতিদিন গেনশিন ইমপ্যাক্ট নামে একটি গেম খেলি এবং যখন আমি থামার চেষ্টা করি, তখন আমাকে সবসময় কোনও না কোনওভাবে পিছনে টেনে নেওয়া হয় এবং আমি কি গেমটি খেলছি। এটি এমন পর্যায়ে পৌঁছেছে যেখানে এটি স্কুলে আমার গ্রেডের উপর প্রভাব ফেলছে এবং আমি নিদারুণভাবে"&amp;" থামতে চাই এবং চাই কিন্তু আমি কি কোনওভাবে সবসময় ফিরে আসি এবং আমি কি গেমটি খেলি। কীভাবে থামাতে হবে সে সম্পর্কে কোনও পরামর্শ?")</f>
        <v>তাই আমি প্রতিদিন গেনশিন ইমপ্যাক্ট নামে একটি গেম খেলি এবং যখন আমি থামার চেষ্টা করি, তখন আমাকে সবসময় কোনও না কোনওভাবে পিছনে টেনে নেওয়া হয় এবং আমি কি গেমটি খেলছি। এটি এমন পর্যায়ে পৌঁছেছে যেখানে এটি স্কুলে আমার গ্রেডের উপর প্রভাব ফেলছে এবং আমি নিদারুণভাবে থামতে চাই এবং চাই কিন্তু আমি কি কোনওভাবে সবসময় ফিরে আসি এবং আমি কি গেমটি খেলি। কীভাবে থামাতে হবে সে সম্পর্কে কোনও পরামর্শ?</v>
      </c>
    </row>
    <row r="724" spans="1:3" ht="15" x14ac:dyDescent="0.25">
      <c r="A724" s="3" t="s">
        <v>720</v>
      </c>
      <c r="B724" s="3" t="s">
        <v>4</v>
      </c>
      <c r="C724" s="4" t="str">
        <f ca="1">IFERROR(__xludf.DUMMYFUNCTION("GOOGLETRANSLATE(A724, ""auto"", ""bn"")"),"আমি জানতাম আমার বড় ভাই (২৪) ছোটবেলায় ওষুধ নিয়ে পরীক্ষা-নিরীক্ষা করেছে, কিন্তু প্রায় এক বছর আগে পর্যন্ত জানতাম না এটা কতটা খারাপ। তার অনেক শারীরিক সমস্যা ছিল, স্নায়ুর ব্যথার জন্য তার বাহুতে অস্ত্রোপচার করা হয়েছিল। তার ঘুমের সমস্যা আছে এবং তার এক সপ্তাহের র"&amp;"োগ প্রতিরোধ ক্ষমতা আছে। অস্ত্রোপচারের পর এই ওষুধগুলো খাওয়ার পরও সে জ্যানাক্স নিচ্ছিল, কে জানে আর কী। আমি তাকে তার কম্পিউটারে অতিরিক্ত মাত্রায় টেবিলে পাউডার এবং কাটা খড় দিয়ে ওষুধ খাওয়াতে দেখেছি। অ্যাম্বুলেন্স এসেছিল, এবং সে কয়েকদিন হাসপাতালে ছিল। আমি এবং আ"&amp;"মার বাবা-মা তার ঘর পরিষ্কার করেছিলাম কারণ আমরা খুব চিন্তিত ছিলাম এবং এমন অনেক জিনিস খুঁজে পেয়েছিলাম যা আমরা আশা করিনি: টন টন ব্যাগ, কাটা খড়, ডট রেসিডিউ, অ্যাটম, জ্যানাক্স, হেরোইন রেসিডিউ ইত্যাদি। এক মাস পর তার বান্ধবীর বাড়িতে এটি দ্বিতীয়বার ঘটে। সে তার"&amp;" মাদক ব্যবহারের তীব্রতা সম্পর্কে জানত না, তাকে এভাবে দেখা সহ্য করতে পারেনি তাই তাদের সম্পর্ক ভেঙে যায়, এবং সে শেষ পর্যন্ত সেই অ্যাপার্টমেন্টে চলে যায় যেখানে তারা লিজ স্বাক্ষর করেছিল, তাকে ছাড়াই। সে একজন মনোবিজ্ঞানীর কাছে যেতে রাজি হয়েছিল, কিন্তু সে মাত"&amp;"্র একবার গিয়েছিল এবং আর ফিরে আসেনি। তার অবস্থা ভালো বলে মনে হচ্ছিল, সে কিছুটা জিমে যাচ্ছিল, আমার বাবা-মা এবং আমার সাথে সময় কাটাচ্ছিল (যদিও আমরা ছোটবেলা থেকে খুব একটা ভালো ছিলাম না)। যাইহোক, আমরা সম্প্রতি লক্ষ্য করেছি যে অনেক নতুন ব্যাগে হেরোইন ছিল, তার "&amp;"কাছে খুব কম টাকা ছিল কারণ সে ভালোভাবে জীবনযাপন করে এবং তার খরচও খুব কম, এবং আজ সে বলেছে যে সে ঘুমাতে সমস্যায় পড়ছে এবং জেলে থাকার কারণে খুব স্পষ্ট দুঃস্বপ্ন দেখছে। ঘুম থেকে ওঠার কয়েক ঘন্টা পরেও, সে এখনও নিশ্চিত ছিল যে তার দুঃস্বপ্নে যা ঘটেছে তা বাস্তব। "&amp;"সে নিশ্চিত ছিল যে সে জেলে আছে যদিও সে আসলে 3 দিন ধরে বাড়ি থেকে বের হয়নি। আমি মনে করি আমি যা বলছি তা হল আমার বাবা-মা এবং আমি অত্যন্ত চিন্তিত। আমরা তাকে খুব ভালোবাসি, কিন্তু আমরা কীভাবে সাহায্য করতে পারি? আমার বাবা-মা এটা কঠিন বলে মনে করেন কারণ তারা তাকে "&amp;"ঠিক নিয়ন্ত্রণ করতে পারেন না কারণ তার বয়স 24 বছর, এবং তারা তার কাজ পর্যবেক্ষণ করতে পারেন না। তারা তাকে বের করে দিতে চান না কারণ এতে পরিস্থিতি আরও খারাপ হবে। আমি বুঝতে পারি যে এই ধরণের পরিস্থিতির মধ্য দিয়ে যাওয়া অনেক লোকই এটি নিয়ে কথা বলতে স্বাচ্ছন্দ্য"&amp;" বোধ করেন না। আমি শুধু চাই সে ভালো থাকুক কিন্তু তাকে নিয়মিতভাবে বলা ছাড়া আর কোন সাহায্য করা যায় না যে আমি তাকে ভালোবাসি এবং যে কোনও সময় আমি তার পাশে আছি। তাছাড়া, আমি এই বিষয়টি নিয়ে কথা বলার জন্য আসক্তি বিশেষজ্ঞ একজন মনোবিজ্ঞানীর সাথে যোগাযোগ করেছি, কিন"&amp;"্তু ভেবেছিলাম এখানে আমি কিছু ভালো পরামর্শ পেতে পারি।")</f>
        <v>আমি জানতাম আমার বড় ভাই (২৪) ছোটবেলায় ওষুধ নিয়ে পরীক্ষা-নিরীক্ষা করেছে, কিন্তু প্রায় এক বছর আগে পর্যন্ত জানতাম না এটা কতটা খারাপ। তার অনেক শারীরিক সমস্যা ছিল, স্নায়ুর ব্যথার জন্য তার বাহুতে অস্ত্রোপচার করা হয়েছিল। তার ঘুমের সমস্যা আছে এবং তার এক সপ্তাহের রোগ প্রতিরোধ ক্ষমতা আছে। অস্ত্রোপচারের পর এই ওষুধগুলো খাওয়ার পরও সে জ্যানাক্স নিচ্ছিল, কে জানে আর কী। আমি তাকে তার কম্পিউটারে অতিরিক্ত মাত্রায় টেবিলে পাউডার এবং কাটা খড় দিয়ে ওষুধ খাওয়াতে দেখেছি। অ্যাম্বুলেন্স এসেছিল, এবং সে কয়েকদিন হাসপাতালে ছিল। আমি এবং আমার বাবা-মা তার ঘর পরিষ্কার করেছিলাম কারণ আমরা খুব চিন্তিত ছিলাম এবং এমন অনেক জিনিস খুঁজে পেয়েছিলাম যা আমরা আশা করিনি: টন টন ব্যাগ, কাটা খড়, ডট রেসিডিউ, অ্যাটম, জ্যানাক্স, হেরোইন রেসিডিউ ইত্যাদি। এক মাস পর তার বান্ধবীর বাড়িতে এটি দ্বিতীয়বার ঘটে। সে তার মাদক ব্যবহারের তীব্রতা সম্পর্কে জানত না, তাকে এভাবে দেখা সহ্য করতে পারেনি তাই তাদের সম্পর্ক ভেঙে যায়, এবং সে শেষ পর্যন্ত সেই অ্যাপার্টমেন্টে চলে যায় যেখানে তারা লিজ স্বাক্ষর করেছিল, তাকে ছাড়াই। সে একজন মনোবিজ্ঞানীর কাছে যেতে রাজি হয়েছিল, কিন্তু সে মাত্র একবার গিয়েছিল এবং আর ফিরে আসেনি। তার অবস্থা ভালো বলে মনে হচ্ছিল, সে কিছুটা জিমে যাচ্ছিল, আমার বাবা-মা এবং আমার সাথে সময় কাটাচ্ছিল (যদিও আমরা ছোটবেলা থেকে খুব একটা ভালো ছিলাম না)। যাইহোক, আমরা সম্প্রতি লক্ষ্য করেছি যে অনেক নতুন ব্যাগে হেরোইন ছিল, তার কাছে খুব কম টাকা ছিল কারণ সে ভালোভাবে জীবনযাপন করে এবং তার খরচও খুব কম, এবং আজ সে বলেছে যে সে ঘুমাতে সমস্যায় পড়ছে এবং জেলে থাকার কারণে খুব স্পষ্ট দুঃস্বপ্ন দেখছে। ঘুম থেকে ওঠার কয়েক ঘন্টা পরেও, সে এখনও নিশ্চিত ছিল যে তার দুঃস্বপ্নে যা ঘটেছে তা বাস্তব। সে নিশ্চিত ছিল যে সে জেলে আছে যদিও সে আসলে 3 দিন ধরে বাড়ি থেকে বের হয়নি। আমি মনে করি আমি যা বলছি তা হল আমার বাবা-মা এবং আমি অত্যন্ত চিন্তিত। আমরা তাকে খুব ভালোবাসি, কিন্তু আমরা কীভাবে সাহায্য করতে পারি? আমার বাবা-মা এটা কঠিন বলে মনে করেন কারণ তারা তাকে ঠিক নিয়ন্ত্রণ করতে পারেন না কারণ তার বয়স 24 বছর, এবং তারা তার কাজ পর্যবেক্ষণ করতে পারেন না। তারা তাকে বের করে দিতে চান না কারণ এতে পরিস্থিতি আরও খারাপ হবে। আমি বুঝতে পারি যে এই ধরণের পরিস্থিতির মধ্য দিয়ে যাওয়া অনেক লোকই এটি নিয়ে কথা বলতে স্বাচ্ছন্দ্য বোধ করেন না। আমি শুধু চাই সে ভালো থাকুক কিন্তু তাকে নিয়মিতভাবে বলা ছাড়া আর কোন সাহায্য করা যায় না যে আমি তাকে ভালোবাসি এবং যে কোনও সময় আমি তার পাশে আছি। তাছাড়া, আমি এই বিষয়টি নিয়ে কথা বলার জন্য আসক্তি বিশেষজ্ঞ একজন মনোবিজ্ঞানীর সাথে যোগাযোগ করেছি, কিন্তু ভেবেছিলাম এখানে আমি কিছু ভালো পরামর্শ পেতে পারি।</v>
      </c>
    </row>
    <row r="725" spans="1:3" ht="15" x14ac:dyDescent="0.25">
      <c r="A725" s="3" t="s">
        <v>721</v>
      </c>
      <c r="B725" s="3" t="s">
        <v>4</v>
      </c>
      <c r="C725" s="4" t="str">
        <f ca="1">IFERROR(__xludf.DUMMYFUNCTION("GOOGLETRANSLATE(A725, ""auto"", ""bn"")"),"দয়া করে যেকোনো পরামর্শের জন্য কৃতজ্ঞ। আমার বয়স ২০ বছর, আমি হাই স্কুল থেকেই পর্ন এবং হস্তমৈথুনের আসক্তির সাথে লড়াই করছি। সত্যি বলতে, ১৪ দিন ধরে আমি সবচেয়ে বেশি অসহায় বোধ করছি। এই ধরণের কিছু বাজি ধরতে না পারার কারণে আমার খুব হতাশা হচ্ছে। আমি আরও ভয় পা"&amp;"চ্ছি কারণ আমি এই সমস্ত কিছুর কাছে নিজেকে অসাড় বোধ করতে শুরু করতে পারি যেন আমি কখনও পরিবর্তন করতে পারব না।")</f>
        <v>দয়া করে যেকোনো পরামর্শের জন্য কৃতজ্ঞ। আমার বয়স ২০ বছর, আমি হাই স্কুল থেকেই পর্ন এবং হস্তমৈথুনের আসক্তির সাথে লড়াই করছি। সত্যি বলতে, ১৪ দিন ধরে আমি সবচেয়ে বেশি অসহায় বোধ করছি। এই ধরণের কিছু বাজি ধরতে না পারার কারণে আমার খুব হতাশা হচ্ছে। আমি আরও ভয় পাচ্ছি কারণ আমি এই সমস্ত কিছুর কাছে নিজেকে অসাড় বোধ করতে শুরু করতে পারি যেন আমি কখনও পরিবর্তন করতে পারব না।</v>
      </c>
    </row>
    <row r="726" spans="1:3" ht="15" x14ac:dyDescent="0.25">
      <c r="A726" s="3" t="s">
        <v>722</v>
      </c>
      <c r="B726" s="3" t="s">
        <v>4</v>
      </c>
      <c r="C726" s="4" t="str">
        <f ca="1">IFERROR(__xludf.DUMMYFUNCTION("GOOGLETRANSLATE(A726, ""auto"", ""bn"")"),"আমি ইতিমধ্যেই তাকে আমার মায়ের বাড়ি থেকে বের করে দিয়েছি। আমার শুধু মানসিক সমর্থনের প্রয়োজন, আমি শুধু তার সাথে কথা বলতে চাই, কিন্তু আমি জানি তাকে আবার ঘরে ঢুকতে না দিয়ে আমি থাকতে পারব না, আর আমি তাও করতে পারব না। আমার বাচ্চা হচ্ছে আর সে গুরুত্বপূর্ণ বিষয়ের "&amp;"চেয়ে মাদককে বেছে নিয়েছে। আমি কীভাবে এগিয়ে যাওয়ার পদক্ষেপগুলি শুরু করব কারণ আমার মনে হয় না সে খুব শীঘ্রই সুস্থ হবে। দয়া করে এই পোস্টটি উপেক্ষা করবেন না, দয়া করে আমাকে সাহায্য করুন।")</f>
        <v>আমি ইতিমধ্যেই তাকে আমার মায়ের বাড়ি থেকে বের করে দিয়েছি। আমার শুধু মানসিক সমর্থনের প্রয়োজন, আমি শুধু তার সাথে কথা বলতে চাই, কিন্তু আমি জানি তাকে আবার ঘরে ঢুকতে না দিয়ে আমি থাকতে পারব না, আর আমি তাও করতে পারব না। আমার বাচ্চা হচ্ছে আর সে গুরুত্বপূর্ণ বিষয়ের চেয়ে মাদককে বেছে নিয়েছে। আমি কীভাবে এগিয়ে যাওয়ার পদক্ষেপগুলি শুরু করব কারণ আমার মনে হয় না সে খুব শীঘ্রই সুস্থ হবে। দয়া করে এই পোস্টটি উপেক্ষা করবেন না, দয়া করে আমাকে সাহায্য করুন।</v>
      </c>
    </row>
    <row r="727" spans="1:3" ht="15" x14ac:dyDescent="0.25">
      <c r="A727" s="3" t="s">
        <v>723</v>
      </c>
      <c r="B727" s="3" t="s">
        <v>4</v>
      </c>
      <c r="C727" s="4" t="str">
        <f ca="1">IFERROR(__xludf.DUMMYFUNCTION("GOOGLETRANSLATE(A727, ""auto"", ""bn"")"),"কিছুদিন আগে পর্যন্ত আমি ফ্যান ফিকশনের প্রতি আচ্ছন্ন ছিলাম। যেমন, আচ্ছন্ন। এটি আমাকে কঠিন সময় পার করতেও সাহায্য করেছে। এবং এখন পর্যন্ত, যখন আমি কঠিন সময় পার করেছি, আমার মনে হয় যদি [সেই সময়ে আমার প্রিয় কাল্পনিক চরিত্র] এত ট্রমা এবং চাপ সহ্য করতে পারত, "&amp;"তাহলে আমি, কোনও সমস্যা/ট্রমা ছাড়াই একজন সাধারণ মানুষ, অবশ্যই এই পরিস্থিতির মধ্য দিয়ে যেতে পারতাম। কিন্তু সমস্যা হল, বয়স বাড়ার সাথে সাথে এই পদ্ধতিটি কাজ করা বন্ধ করে দেয়। যখন আমি নিজেকে পড়া বন্ধ করতে বাধ্য করি, তখন এটি এক সপ্তাহের জন্য কাজ করে। তারপর"&amp;" আমি আরও বেশি করে পুনরুত্থিত হই। আমি আমার 90% সময় পড়ার জন্য ব্যয় করি। আমারও ক্লিনিক্যাল ডিপ্রেশন আছে এবং আমি অন্য কোনও শখ খুঁজে পাই না, এমনকি যদি আমি কিছুতে আগ্রহী হই।")</f>
        <v>কিছুদিন আগে পর্যন্ত আমি ফ্যান ফিকশনের প্রতি আচ্ছন্ন ছিলাম। যেমন, আচ্ছন্ন। এটি আমাকে কঠিন সময় পার করতেও সাহায্য করেছে। এবং এখন পর্যন্ত, যখন আমি কঠিন সময় পার করেছি, আমার মনে হয় যদি [সেই সময়ে আমার প্রিয় কাল্পনিক চরিত্র] এত ট্রমা এবং চাপ সহ্য করতে পারত, তাহলে আমি, কোনও সমস্যা/ট্রমা ছাড়াই একজন সাধারণ মানুষ, অবশ্যই এই পরিস্থিতির মধ্য দিয়ে যেতে পারতাম। কিন্তু সমস্যা হল, বয়স বাড়ার সাথে সাথে এই পদ্ধতিটি কাজ করা বন্ধ করে দেয়। যখন আমি নিজেকে পড়া বন্ধ করতে বাধ্য করি, তখন এটি এক সপ্তাহের জন্য কাজ করে। তারপর আমি আরও বেশি করে পুনরুত্থিত হই। আমি আমার 90% সময় পড়ার জন্য ব্যয় করি। আমারও ক্লিনিক্যাল ডিপ্রেশন আছে এবং আমি অন্য কোনও শখ খুঁজে পাই না, এমনকি যদি আমি কিছুতে আগ্রহী হই।</v>
      </c>
    </row>
    <row r="728" spans="1:3" ht="15" x14ac:dyDescent="0.25">
      <c r="A728" s="3" t="s">
        <v>724</v>
      </c>
      <c r="B728" s="3" t="s">
        <v>4</v>
      </c>
      <c r="C728" s="4" t="str">
        <f ca="1">IFERROR(__xludf.DUMMYFUNCTION("GOOGLETRANSLATE(A728, ""auto"", ""bn"")"),"এটা আমার দ্বিতীয়বারের মতো পোস্ট। আমার ভাগ্নিকে কীভাবে সাহায্য করা যায় সে সম্পর্কে আমার সত্যিই পরামর্শের প্রয়োজন, কিন্তু সত্যি বলতে, এখানে আমার সমস্ত আবেগ প্রকাশ করার সুযোগটি খুবই সহায়ক হবে। আমি চার মাস আগের একটি ছোট্ট ভ্রমণে যেতে চাই। তখনই আমার ভাগ্নি"&amp;"কে তার ব্যবস্থাপনা পদ থেকে বরখাস্ত করা হয়েছিল, তার বিবরণ অনুসারে, কোনও কারণ ছাড়াই। আমাকে বলা হয়েছিল যে টাইম শিটে সমস্যা রয়েছে। এটা আমার কাছে কখনই অর্থহীন ছিল না। এটি একটি ছোট শহর, তাই আমার ভাগ্নি ঘটনাক্রমে ব্যবসায়ে এসে বলল, ""আরে, পুরানো ম্যানেজারের "&amp;"সাথে যাই হোক না কেন, সে সুন্দর দেখাচ্ছিল?"" নতুন ম্যানেজার বলল যে পুরানো ম্যানেজার বাথরুমে মাদক সেবন করতে গিয়ে ধরা পড়েছে। যখন আমার ভাগ্নি আমাকে বলল তখন তথ্যটি সম্পূর্ণ যুক্তিসঙ্গত। তাকে বরখাস্ত করার পর সে আবার একটি পুরানো চাকরিতে কাজ করতে গিয়েছিল যেখান"&amp;"ে তার সহকর্মীরা সবাই আফিম ব্যবহার করত এবং কঠোর ব্যবস্থার পরে তারা স্ক্রিপ্ট পেতে পারে না, তাই আমার ভয় হল তারা হেরোইনের সাথে শয়তানের সাথে জড়িত। বরখাস্তের পরের মাসগুলিতে আমি দেখেছি আমার ভাগ্নি আমার ভাগ্নির থেকে আরও দূরে সরে গেছে, তারা দুজনেই সবসময় এত ঘন"&amp;"িষ্ঠ ছিল। এর অর্থ হলো সে আর আমার সাথে দেখা করতে আসেনি, এবং আমি জানতাম এটা একটা খারাপ লক্ষণ। আমি মনে করি নিজেকে কিছুটা দোষারোপ করি যে তাকে চাকরিচ্যুত করার সাথে সাথেই সে এগিয়ে আসেনি এবং উত্তরের জন্য চাপ দেয়নি। আমার অভিজ্ঞতা বলে যে তাকে চাপ দিলে সে ""হু আম"&amp;"ি আমি কষ্ট পাচ্ছি"" এবং ""আমি মাদক ব্যবহার করছি না আমি কেবল ক্লান্ত।"" এই ধরণের মনোভাব পোষণ করবে। খাবারের সময় সে এতটাই ক্লান্ত যে সে ঘুমিয়ে পড়তে শুরু করে। আমি টেবিলের দিকে তাকিয়ে দেখি খাবারে মুখ খোলা আছে, মনে হচ্ছে যেন একটা অপ্রীতিকর ঘটনা ঘটতে চলেছে, "&amp;"এবং আমি অসহায়। যে পরিবারটি রাতের খাবারের আয়োজন করেছিল তারা তার জন্য ভীত ছিল এবং পরের ঘটনাটি আপনি জানেন যে সে গাড়িতে লাফিয়ে গাড়ি চালিয়ে চলে যাচ্ছে। পরিবার তাকে গাড়ি না চালানোর জন্য অনুরোধ করেছিল, কিন্তু সে মাদকাসক্ত হয়ে চলে গেছে। পরের দিনই থাক। আমি"&amp;" এবং আমার ভাগ্নী আমার ভাগ্নীকে এখানে আসতে এবং আড্ডা দিতে উৎসাহিত করি। ভাগ্নী প্রত্যাখ্যান করে এবং বলে যে তার ""খুব খারাপ লাগছে"" সে এখন কাউকে দেখতে পাচ্ছে না। আমরা দুজনেই তাকে আশ্বস্ত করি যে বিছানায় যাওয়ার দরকার নেই, শুধু আড্ডা দিতে এসে। আমি এবং আমার ভা"&amp;"গ্নী দুজনেই সংলাপ খোলা রাখার চেষ্টা করছিলাম। আমার ভাগ্নী আসতে অস্বীকৃতি জানালো, আর তার মেসেজগুলো ছিল বহুদিন ধরেই অজুহাত হিসেবে লেখা যে কেন তাকে যৌন নির্যাতন করা তার দোষ নয়। আমার ভাগ্নে আমার ভাইয়ের সাথে কথা বলার সাহসী সিদ্ধান্ত নেয় এবং তাকে বলে, ""তুমি "&amp;"কি দেখতে পাচ্ছ না যে তোমার মেয়ে মাদকাসক্ত?"" আমার ভাই সম্পূর্ণ অস্বীকার করে বলে, ""সে বলেছিল সে ক্লান্ত ছিল এবং আমি বিশ্বাস করি সে। গল্পটা হল আমার ভাইয়ের স্ত্রীও ব্যথার ওষুধ খাচ্ছে এবং মায়ের মতো মেয়ের (আমার খুব রাগ হচ্ছে) আমার মনে হয় সে তাদের দুজনের "&amp;"কাউকেই খারাপ কাজ করতে দেখে না। থ্যাঙ্কসগিভিংয়ের (আমার মায়ের মৃত্যুবার্ষিকী) আগে শেষ পারিবারিক অনুষ্ঠানে, আমার ভাইয়ের স্ত্রী প্রার্থনা করার জন্য দাঁড়াতে পারেনি, সমুদ্র সৈকতে একটি দৃশ্য তৈরি করেছিল যখন আমরা প্রার্থনা করার চেষ্টা করছিলাম। এটা ভয়াবহ ছিল,"&amp;" কিন্তু আমার সহানুভূতি ছিল যে তার সাহায্যের প্রয়োজন ছিল। সমস্যা হল কেউ সাহায্য পাচ্ছে না। আমি ঘুম থেকে উঠে আমার ভাগ্নিকে টেক্সট করতে চাই, ""তুমি কি নিরাপদ?"" আমি সত্যিই জানি না আর কী করব কারণ আমার ভাগ্নি সাহায্য চায় না। আমার ভাগ্নি ""তার জীবন কতটা কঠিন "&amp;"ছিল"" এবং ""সে তার বাবা-মায়ের কাছ থেকে কোনও ভালোবাসা পায় না"" এবং ""সে ক্রমাগত চাকরিতে অবিচার করা হচ্ছে এবং সেই কারণেই সে কাজ করছে না"" এই ভেবে ডুবে থাকতে চায়। মেয়েটি গৃহহীন হতে প্রায় দুই দিন বাকি। এখানেই পরামর্শটা কাজে লাগে... যখন সে গৃহহীন থাকে, আর"&amp;" আমার বাড়িতে তাকে আরএক্স থাকলে আমি নিরাপদ বোধ করি না, তখন আমি কী করব? সে একাধিকবার ওষুধ চুরি করেছে - গত বছর আগে কারণ আমি তাকে সেট আপ করেছিলাম এবং সে আসার আগে বড়ি গুনেছিলাম। আমি তার জন্য ভয় পাচ্ছি যে সে অতিরিক্ত মাত্রায় সেবন করবে। আমি ভয় পাচ্ছি যে আমি"&amp;" তাকে সাহায্য করতে পারব না কারণ সে সাহায্য চায় না কারণ তার কোনও সমস্যা নেই। পরিবারের সাথে দেখা করার জন্য এত আগ্রহ প্রকাশ করার পর, পুরো পরিবারের সামনে সে স্পষ্টতই বাইরে বেরিয়ে যেতে সমস্যায় পড়েছে। সে কি সাহায্যের জন্য চিৎকার করার জন্য যৌনসঙ্গম করেছিল? আ"&amp;"মার ভাগ্নে তাকে সাহায্য পাওয়ার কথা জিজ্ঞাসা করেছিল, এবং সে বলে, ""সে একজন ডাক্তারের কাছে যাবে।"" এটা কাজ করে না, তাকে পুনর্বাসনে যেতে হবে কারণ সে অনেকবার ছেড়ে দিয়েছে বলে মনে হয় - প্রতিবার পুনর্বাসনে সে নিজেকে ছেড়ে দেওয়ার উপায় খুঁজে পেয়েছিল। আমি প্"&amp;"রার্থনা করি এটি বিষয়ের সাথে খাপ খায় - আমার ভাগ্নীকে সাহায্য করা দরকার, কিন্তু সে সাহায্য চায় না, তাহলে তুমি কী করতে পারো? আমি আগের পরামর্শটি গ্রহণ করেছি এবং আসক্তি সম্পর্কে পরিবারের সাথে কথা বলেছি এবং কেউ কেউ অস্বীকার করছে এবং অন্যরা কী করতে হবে তা না "&amp;"জেনেই পিছিয়ে এসেছে। আমরা কী করতে পারি?")</f>
        <v>এটা আমার দ্বিতীয়বারের মতো পোস্ট। আমার ভাগ্নিকে কীভাবে সাহায্য করা যায় সে সম্পর্কে আমার সত্যিই পরামর্শের প্রয়োজন, কিন্তু সত্যি বলতে, এখানে আমার সমস্ত আবেগ প্রকাশ করার সুযোগটি খুবই সহায়ক হবে। আমি চার মাস আগের একটি ছোট্ট ভ্রমণে যেতে চাই। তখনই আমার ভাগ্নিকে তার ব্যবস্থাপনা পদ থেকে বরখাস্ত করা হয়েছিল, তার বিবরণ অনুসারে, কোনও কারণ ছাড়াই। আমাকে বলা হয়েছিল যে টাইম শিটে সমস্যা রয়েছে। এটা আমার কাছে কখনই অর্থহীন ছিল না। এটি একটি ছোট শহর, তাই আমার ভাগ্নি ঘটনাক্রমে ব্যবসায়ে এসে বলল, "আরে, পুরানো ম্যানেজারের সাথে যাই হোক না কেন, সে সুন্দর দেখাচ্ছিল?" নতুন ম্যানেজার বলল যে পুরানো ম্যানেজার বাথরুমে মাদক সেবন করতে গিয়ে ধরা পড়েছে। যখন আমার ভাগ্নি আমাকে বলল তখন তথ্যটি সম্পূর্ণ যুক্তিসঙ্গত। তাকে বরখাস্ত করার পর সে আবার একটি পুরানো চাকরিতে কাজ করতে গিয়েছিল যেখানে তার সহকর্মীরা সবাই আফিম ব্যবহার করত এবং কঠোর ব্যবস্থার পরে তারা স্ক্রিপ্ট পেতে পারে না, তাই আমার ভয় হল তারা হেরোইনের সাথে শয়তানের সাথে জড়িত। বরখাস্তের পরের মাসগুলিতে আমি দেখেছি আমার ভাগ্নি আমার ভাগ্নির থেকে আরও দূরে সরে গেছে, তারা দুজনেই সবসময় এত ঘনিষ্ঠ ছিল। এর অর্থ হলো সে আর আমার সাথে দেখা করতে আসেনি, এবং আমি জানতাম এটা একটা খারাপ লক্ষণ। আমি মনে করি নিজেকে কিছুটা দোষারোপ করি যে তাকে চাকরিচ্যুত করার সাথে সাথেই সে এগিয়ে আসেনি এবং উত্তরের জন্য চাপ দেয়নি। আমার অভিজ্ঞতা বলে যে তাকে চাপ দিলে সে "হু আমি আমি কষ্ট পাচ্ছি" এবং "আমি মাদক ব্যবহার করছি না আমি কেবল ক্লান্ত।" এই ধরণের মনোভাব পোষণ করবে। খাবারের সময় সে এতটাই ক্লান্ত যে সে ঘুমিয়ে পড়তে শুরু করে। আমি টেবিলের দিকে তাকিয়ে দেখি খাবারে মুখ খোলা আছে, মনে হচ্ছে যেন একটা অপ্রীতিকর ঘটনা ঘটতে চলেছে, এবং আমি অসহায়। যে পরিবারটি রাতের খাবারের আয়োজন করেছিল তারা তার জন্য ভীত ছিল এবং পরের ঘটনাটি আপনি জানেন যে সে গাড়িতে লাফিয়ে গাড়ি চালিয়ে চলে যাচ্ছে। পরিবার তাকে গাড়ি না চালানোর জন্য অনুরোধ করেছিল, কিন্তু সে মাদকাসক্ত হয়ে চলে গেছে। পরের দিনই থাক। আমি এবং আমার ভাগ্নী আমার ভাগ্নীকে এখানে আসতে এবং আড্ডা দিতে উৎসাহিত করি। ভাগ্নী প্রত্যাখ্যান করে এবং বলে যে তার "খুব খারাপ লাগছে" সে এখন কাউকে দেখতে পাচ্ছে না। আমরা দুজনেই তাকে আশ্বস্ত করি যে বিছানায় যাওয়ার দরকার নেই, শুধু আড্ডা দিতে এসে। আমি এবং আমার ভাগ্নী দুজনেই সংলাপ খোলা রাখার চেষ্টা করছিলাম। আমার ভাগ্নী আসতে অস্বীকৃতি জানালো, আর তার মেসেজগুলো ছিল বহুদিন ধরেই অজুহাত হিসেবে লেখা যে কেন তাকে যৌন নির্যাতন করা তার দোষ নয়। আমার ভাগ্নে আমার ভাইয়ের সাথে কথা বলার সাহসী সিদ্ধান্ত নেয় এবং তাকে বলে, "তুমি কি দেখতে পাচ্ছ না যে তোমার মেয়ে মাদকাসক্ত?" আমার ভাই সম্পূর্ণ অস্বীকার করে বলে, "সে বলেছিল সে ক্লান্ত ছিল এবং আমি বিশ্বাস করি সে। গল্পটা হল আমার ভাইয়ের স্ত্রীও ব্যথার ওষুধ খাচ্ছে এবং মায়ের মতো মেয়ের (আমার খুব রাগ হচ্ছে) আমার মনে হয় সে তাদের দুজনের কাউকেই খারাপ কাজ করতে দেখে না। থ্যাঙ্কসগিভিংয়ের (আমার মায়ের মৃত্যুবার্ষিকী) আগে শেষ পারিবারিক অনুষ্ঠানে, আমার ভাইয়ের স্ত্রী প্রার্থনা করার জন্য দাঁড়াতে পারেনি, সমুদ্র সৈকতে একটি দৃশ্য তৈরি করেছিল যখন আমরা প্রার্থনা করার চেষ্টা করছিলাম। এটা ভয়াবহ ছিল, কিন্তু আমার সহানুভূতি ছিল যে তার সাহায্যের প্রয়োজন ছিল। সমস্যা হল কেউ সাহায্য পাচ্ছে না। আমি ঘুম থেকে উঠে আমার ভাগ্নিকে টেক্সট করতে চাই, "তুমি কি নিরাপদ?" আমি সত্যিই জানি না আর কী করব কারণ আমার ভাগ্নি সাহায্য চায় না। আমার ভাগ্নি "তার জীবন কতটা কঠিন ছিল" এবং "সে তার বাবা-মায়ের কাছ থেকে কোনও ভালোবাসা পায় না" এবং "সে ক্রমাগত চাকরিতে অবিচার করা হচ্ছে এবং সেই কারণেই সে কাজ করছে না" এই ভেবে ডুবে থাকতে চায়। মেয়েটি গৃহহীন হতে প্রায় দুই দিন বাকি। এখানেই পরামর্শটা কাজে লাগে... যখন সে গৃহহীন থাকে, আর আমার বাড়িতে তাকে আরএক্স থাকলে আমি নিরাপদ বোধ করি না, তখন আমি কী করব? সে একাধিকবার ওষুধ চুরি করেছে - গত বছর আগে কারণ আমি তাকে সেট আপ করেছিলাম এবং সে আসার আগে বড়ি গুনেছিলাম। আমি তার জন্য ভয় পাচ্ছি যে সে অতিরিক্ত মাত্রায় সেবন করবে। আমি ভয় পাচ্ছি যে আমি তাকে সাহায্য করতে পারব না কারণ সে সাহায্য চায় না কারণ তার কোনও সমস্যা নেই। পরিবারের সাথে দেখা করার জন্য এত আগ্রহ প্রকাশ করার পর, পুরো পরিবারের সামনে সে স্পষ্টতই বাইরে বেরিয়ে যেতে সমস্যায় পড়েছে। সে কি সাহায্যের জন্য চিৎকার করার জন্য যৌনসঙ্গম করেছিল? আমার ভাগ্নে তাকে সাহায্য পাওয়ার কথা জিজ্ঞাসা করেছিল, এবং সে বলে, "সে একজন ডাক্তারের কাছে যাবে।" এটা কাজ করে না, তাকে পুনর্বাসনে যেতে হবে কারণ সে অনেকবার ছেড়ে দিয়েছে বলে মনে হয় - প্রতিবার পুনর্বাসনে সে নিজেকে ছেড়ে দেওয়ার উপায় খুঁজে পেয়েছিল। আমি প্রার্থনা করি এটি বিষয়ের সাথে খাপ খায় - আমার ভাগ্নীকে সাহায্য করা দরকার, কিন্তু সে সাহায্য চায় না, তাহলে তুমি কী করতে পারো? আমি আগের পরামর্শটি গ্রহণ করেছি এবং আসক্তি সম্পর্কে পরিবারের সাথে কথা বলেছি এবং কেউ কেউ অস্বীকার করছে এবং অন্যরা কী করতে হবে তা না জেনেই পিছিয়ে এসেছে। আমরা কী করতে পারি?</v>
      </c>
    </row>
    <row r="729" spans="1:3" ht="15" x14ac:dyDescent="0.25">
      <c r="A729" s="3" t="s">
        <v>725</v>
      </c>
      <c r="B729" s="3" t="s">
        <v>4</v>
      </c>
      <c r="C729" s="4" t="str">
        <f ca="1">IFERROR(__xludf.DUMMYFUNCTION("GOOGLETRANSLATE(A729, ""auto"", ""bn"")"),"আমার মা ৬০ বছর বয়সেও কোন সঞ্চয় না করে বেতনের চেক ধরে জুয়া খেলেন। কোন সম্পদ নেই এবং স্বামী মদ্যপান করেন এবং মানসিক ও শারীরিকভাবে এতটাই ভেঙে পড়েন যে তিনি কাজ করতে পারেন না। আমি লটারির মতো মিথ্যা আশার কথাও বলছি না, তিনি বছরে হাজার হাজার টাকা খরচ করেন কেব"&amp;"ল একটি বাজে মোবাইল ডোনাটি গেমের জন্য কয়েন প্যাক কিনে যখন তিনি ক্যাসিনো থেকে এক বছরের জন্য নিজেকে নিষিদ্ধ করতে রাজি হন। এটিও একটি দুঃখজনক চক্র যা আমি আমার শৈশব জুড়ে দেখেছি এমনকি জুয়া খেলার জন্য বেতন-ঋণও পেতে হয়েছিল।")</f>
        <v>আমার মা ৬০ বছর বয়সেও কোন সঞ্চয় না করে বেতনের চেক ধরে জুয়া খেলেন। কোন সম্পদ নেই এবং স্বামী মদ্যপান করেন এবং মানসিক ও শারীরিকভাবে এতটাই ভেঙে পড়েন যে তিনি কাজ করতে পারেন না। আমি লটারির মতো মিথ্যা আশার কথাও বলছি না, তিনি বছরে হাজার হাজার টাকা খরচ করেন কেবল একটি বাজে মোবাইল ডোনাটি গেমের জন্য কয়েন প্যাক কিনে যখন তিনি ক্যাসিনো থেকে এক বছরের জন্য নিজেকে নিষিদ্ধ করতে রাজি হন। এটিও একটি দুঃখজনক চক্র যা আমি আমার শৈশব জুড়ে দেখেছি এমনকি জুয়া খেলার জন্য বেতন-ঋণও পেতে হয়েছিল।</v>
      </c>
    </row>
    <row r="730" spans="1:3" ht="15" x14ac:dyDescent="0.25">
      <c r="A730" s="3" t="s">
        <v>726</v>
      </c>
      <c r="B730" s="3" t="s">
        <v>4</v>
      </c>
      <c r="C730" s="4" t="str">
        <f ca="1">IFERROR(__xludf.DUMMYFUNCTION("GOOGLETRANSLATE(A730, ""auto"", ""bn"")"),"তাই আমি (২৪ ফুট) থ্যাঙ্কসগিভিং ছুটিতে আমার ভাইয়ের (১৮ মিটার) কাছে যাচ্ছিলাম। সে কলেজ থেকে স্নাতক ডিগ্রি অর্জনের সময় সেখানেই যায়। সে তার ক্লাসে সত্যিই সংগ্রাম করছে। তাছাড়া, সে ১.৮৭ জিপিএ নিয়ে সম্পূর্ণরূপে ব্যর্থ হয়েছে যখন তার ২.০ প্রয়োজন। তাছাড়া, তা"&amp;"র ক্ষত সারানোর জন্য পরের সেমিস্টারে তাকে একাডেমিক প্রবেশনে থাকতে হবে। সেমিস্টারের শুরুতে সে পাগল হয়ে গিয়েছিল। প্রথম আড়াই মাসের মধ্যে সে মাত্র ৫ দিন সুস্থ ছিল। এক রাতে সে একটি ড্যাব পেনে ২০টি হিট খেয়েছিল এবং ৫টি ককটেল খেয়েছিল। সে বুঝতে পেরেছিল যে সে ব"&amp;"্যর্থ হচ্ছে তাই সে মদ্যপান বন্ধ করে দিয়েছে। কিন্তু সে আমাদের বলেছিল যে সে এখনও মদ্যপান করছে। (যা আমরা করি তাই বড় কিছু নয়)। এই সপ্তাহে যখন সে এখানে এসেছিল তখন সে আমাকে বলেছিল যে তার বান্ধবী আরও শক্তিশালী মাদক সেবন করে। মেথ বা হিরোইন নয় বরং কোকেন এবং বড"&amp;"়ি এবং সেই স্তরের জিনিস। সে বলেছিল যে সে কেবল গাঁজা এবং বড়ি খায়। আমি জিজ্ঞেস করলাম কোন বড়িগুলো, আর সে বললো অনৈতিক (তার ADHD আছে এবং এর জন্য প্রেসক্রিপশন আছে কিন্তু আমি নিশ্চিত নই যে এটাই একমাত্র ধরণের ওষুধ সে খাচ্ছে) আর Xanax। আমি খুব চিন্তিত। তার বান্"&amp;"ধবী কঠিন কাজ করে, আর সে দেখিয়েছে যে সে জিনিসপত্রের সাথে পাগল হয়ে যাবে। কিন্তু যখন আমি তাকে বললাম যে পার্টি করা বন্ধ করে স্কুলে মনোযোগ দিতে হবে তখন সে আমাকে এটাও বলেছিল যে যদি সে স্কুলের সাথে আত্মহত্যা করতে এবং সামাজিক না হতে চায়, তাহলে সে স্কুল ছেড়ে দ"&amp;"িতে পারে। যদি সে আমাকে যা বলেছিল তার চেয়েও খারাপ কাজ করে তাহলে কী হবে? যদি ফাইনাল আসার সাথে সাথে পরিস্থিতি আরও খারাপ হয়? আমি নিশ্চিত নই যে আমার বাবা-মাকে বলা উচিত কিনা। তারা ইতিমধ্যেই বলেছে যে যদি তারা জানতে পারে যে সে এই কাজ করছে তাহলে তারা তাকে বের কর"&amp;"ে দেবে। আর আমার মা সেই ধরণের যে তাকে সেমিস্টারের মধ্যে অনেক দূরে টেনে নিয়ে যাবে। যেমন খুঁজে বের করো, গাড়ি চালিয়ে দুই দিনের মধ্যে তাকে সেখান থেকে সরিয়ে দাও। এছাড়াও, সে আমাকে এই কথা বলার জন্য বিশ্বাস করেছিল। বড় কিছু ঘটলে আমি সেই বিশ্বাস ভাঙতে চাই না। "&amp;"যদি তার সাহায্যের প্রয়োজন হয় এবং মনে হয় যে সে আমাকে বিশ্বাস করতে পারছে না তাহলে কী হবে? এক বছর আগে সে আমাকে স্পষ্ট করে বলেছিল যে, তার পরিবার বড় হোক বা না হোক, সে কিছু যায় আসে না, যদি সে আমাদের মধ্যে কেউ থাকে বা কথা বলে, সে যদি আমাদের বাকিদের আর কখনও "&amp;"না দেখে, তাহলেও সে কিছু যায় আসে না। আমি তাকে হারাতে পারি। আমি যদি তার বিশ্বাস ভাঙি, তাহলে আমি তাকে হারাতে পারি। তার বিশ্বাস ভাঙা এবং আমার বাবা-মা তাকে স্কুল থেকে বের করে দেওয়া কি ঠিক হবে? যদি পরিস্থিতি তার কথার চেয়ে খারাপ হয়? নাকি আরও খারাপ হয়? তোমাদ"&amp;"ের কেউ কি এই পরিস্থিতির মধ্য দিয়ে গেছে??")</f>
        <v>তাই আমি (২৪ ফুট) থ্যাঙ্কসগিভিং ছুটিতে আমার ভাইয়ের (১৮ মিটার) কাছে যাচ্ছিলাম। সে কলেজ থেকে স্নাতক ডিগ্রি অর্জনের সময় সেখানেই যায়। সে তার ক্লাসে সত্যিই সংগ্রাম করছে। তাছাড়া, সে ১.৮৭ জিপিএ নিয়ে সম্পূর্ণরূপে ব্যর্থ হয়েছে যখন তার ২.০ প্রয়োজন। তাছাড়া, তার ক্ষত সারানোর জন্য পরের সেমিস্টারে তাকে একাডেমিক প্রবেশনে থাকতে হবে। সেমিস্টারের শুরুতে সে পাগল হয়ে গিয়েছিল। প্রথম আড়াই মাসের মধ্যে সে মাত্র ৫ দিন সুস্থ ছিল। এক রাতে সে একটি ড্যাব পেনে ২০টি হিট খেয়েছিল এবং ৫টি ককটেল খেয়েছিল। সে বুঝতে পেরেছিল যে সে ব্যর্থ হচ্ছে তাই সে মদ্যপান বন্ধ করে দিয়েছে। কিন্তু সে আমাদের বলেছিল যে সে এখনও মদ্যপান করছে। (যা আমরা করি তাই বড় কিছু নয়)। এই সপ্তাহে যখন সে এখানে এসেছিল তখন সে আমাকে বলেছিল যে তার বান্ধবী আরও শক্তিশালী মাদক সেবন করে। মেথ বা হিরোইন নয় বরং কোকেন এবং বড়ি এবং সেই স্তরের জিনিস। সে বলেছিল যে সে কেবল গাঁজা এবং বড়ি খায়। আমি জিজ্ঞেস করলাম কোন বড়িগুলো, আর সে বললো অনৈতিক (তার ADHD আছে এবং এর জন্য প্রেসক্রিপশন আছে কিন্তু আমি নিশ্চিত নই যে এটাই একমাত্র ধরণের ওষুধ সে খাচ্ছে) আর Xanax। আমি খুব চিন্তিত। তার বান্ধবী কঠিন কাজ করে, আর সে দেখিয়েছে যে সে জিনিসপত্রের সাথে পাগল হয়ে যাবে। কিন্তু যখন আমি তাকে বললাম যে পার্টি করা বন্ধ করে স্কুলে মনোযোগ দিতে হবে তখন সে আমাকে এটাও বলেছিল যে যদি সে স্কুলের সাথে আত্মহত্যা করতে এবং সামাজিক না হতে চায়, তাহলে সে স্কুল ছেড়ে দিতে পারে। যদি সে আমাকে যা বলেছিল তার চেয়েও খারাপ কাজ করে তাহলে কী হবে? যদি ফাইনাল আসার সাথে সাথে পরিস্থিতি আরও খারাপ হয়? আমি নিশ্চিত নই যে আমার বাবা-মাকে বলা উচিত কিনা। তারা ইতিমধ্যেই বলেছে যে যদি তারা জানতে পারে যে সে এই কাজ করছে তাহলে তারা তাকে বের করে দেবে। আর আমার মা সেই ধরণের যে তাকে সেমিস্টারের মধ্যে অনেক দূরে টেনে নিয়ে যাবে। যেমন খুঁজে বের করো, গাড়ি চালিয়ে দুই দিনের মধ্যে তাকে সেখান থেকে সরিয়ে দাও। এছাড়াও, সে আমাকে এই কথা বলার জন্য বিশ্বাস করেছিল। বড় কিছু ঘটলে আমি সেই বিশ্বাস ভাঙতে চাই না। যদি তার সাহায্যের প্রয়োজন হয় এবং মনে হয় যে সে আমাকে বিশ্বাস করতে পারছে না তাহলে কী হবে? এক বছর আগে সে আমাকে স্পষ্ট করে বলেছিল যে, তার পরিবার বড় হোক বা না হোক, সে কিছু যায় আসে না, যদি সে আমাদের মধ্যে কেউ থাকে বা কথা বলে, সে যদি আমাদের বাকিদের আর কখনও না দেখে, তাহলেও সে কিছু যায় আসে না। আমি তাকে হারাতে পারি। আমি যদি তার বিশ্বাস ভাঙি, তাহলে আমি তাকে হারাতে পারি। তার বিশ্বাস ভাঙা এবং আমার বাবা-মা তাকে স্কুল থেকে বের করে দেওয়া কি ঠিক হবে? যদি পরিস্থিতি তার কথার চেয়ে খারাপ হয়? নাকি আরও খারাপ হয়? তোমাদের কেউ কি এই পরিস্থিতির মধ্য দিয়ে গেছে??</v>
      </c>
    </row>
    <row r="731" spans="1:3" ht="15" x14ac:dyDescent="0.25">
      <c r="A731" s="3" t="s">
        <v>727</v>
      </c>
      <c r="B731" s="3" t="s">
        <v>4</v>
      </c>
      <c r="C731" s="4" t="str">
        <f ca="1">IFERROR(__xludf.DUMMYFUNCTION("GOOGLETRANSLATE(A731, ""auto"", ""bn"")"),"এক বছর আগে যখন আমি প্রথম চিকিৎসা নিতে যাই, তখন এটা আমাকে খুব একটা বিরক্ত করত না। আমি প্রতিদিন ফার্মেসিতে যেতাম, একরকম, আমি এটা উপভোগ করতাম কারণ এটি আমাকে ঘর থেকে বের করে দিত এবং আমাকে রুটিন দিত, কিন্তু আজকাল, আমি একেবারেই ভয় পাই! আমার ফার্মেসি মাত্র ৫ মি"&amp;"নিটের হাঁটার মতো, কিন্তু আজকাল, আমার যাওয়ার জন্য কোনও শক্তি বা প্রেরণা নেই, বিশেষ করে যদি আমার ধূমপানের জন্য সরঞ্জাম থাকে, কারণ আমার মেথাডোনের প্রয়োজন হবে না কারণ আমার প্রত্যাহার হবে না, তাই সাধারণত যদি আমি ধূমপান করে থাকি তবে আমি ফার্মেসিতে যাই না। যেহ"&amp;"েতু গত বছর রাতে কোনও এলোমেলো লোক আমার মুখে ঘুষি মেরেছিল, তাই বাড়ি থেকে বেরিয়ে বাইরে যাওয়া ইতিমধ্যেই বেশ একটা মিশন কারণ এটি সত্যিই আমার আত্মবিশ্বাসকে ভেঙে দেয় এবং আমার উদ্বেগ এবং PTSDকে আরও খারাপ করে তোলে, তাই এটি আমাকে যেতে না চাওয়ার ক্ষেত্রে একটি বড"&amp;"় ভূমিকা পালন করেছে কিন্তু তার উপরে, আমার এটি করার জন্য কোনও শক্তি বা প্রেরণা নেই।")</f>
        <v>এক বছর আগে যখন আমি প্রথম চিকিৎসা নিতে যাই, তখন এটা আমাকে খুব একটা বিরক্ত করত না। আমি প্রতিদিন ফার্মেসিতে যেতাম, একরকম, আমি এটা উপভোগ করতাম কারণ এটি আমাকে ঘর থেকে বের করে দিত এবং আমাকে রুটিন দিত, কিন্তু আজকাল, আমি একেবারেই ভয় পাই! আমার ফার্মেসি মাত্র ৫ মিনিটের হাঁটার মতো, কিন্তু আজকাল, আমার যাওয়ার জন্য কোনও শক্তি বা প্রেরণা নেই, বিশেষ করে যদি আমার ধূমপানের জন্য সরঞ্জাম থাকে, কারণ আমার মেথাডোনের প্রয়োজন হবে না কারণ আমার প্রত্যাহার হবে না, তাই সাধারণত যদি আমি ধূমপান করে থাকি তবে আমি ফার্মেসিতে যাই না। যেহেতু গত বছর রাতে কোনও এলোমেলো লোক আমার মুখে ঘুষি মেরেছিল, তাই বাড়ি থেকে বেরিয়ে বাইরে যাওয়া ইতিমধ্যেই বেশ একটা মিশন কারণ এটি সত্যিই আমার আত্মবিশ্বাসকে ভেঙে দেয় এবং আমার উদ্বেগ এবং PTSDকে আরও খারাপ করে তোলে, তাই এটি আমাকে যেতে না চাওয়ার ক্ষেত্রে একটি বড় ভূমিকা পালন করেছে কিন্তু তার উপরে, আমার এটি করার জন্য কোনও শক্তি বা প্রেরণা নেই।</v>
      </c>
    </row>
    <row r="732" spans="1:3" ht="15" x14ac:dyDescent="0.25">
      <c r="A732" s="3" t="s">
        <v>728</v>
      </c>
      <c r="B732" s="3" t="s">
        <v>4</v>
      </c>
      <c r="C732" s="4" t="str">
        <f ca="1">IFERROR(__xludf.DUMMYFUNCTION("GOOGLETRANSLATE(A732, ""auto"", ""bn"")"),"আমি ওপিওয়েড ছাড়ার চেষ্টা করছি। আমি দিনে ২.৩০ সেকেন্ড করে ওপিওয়েড খাচ্ছিলাম এবং চার দিন আগে আমি কোল্ড টার্কি ছেড়ে দিয়েছি। আমার পেট খারাপ হয়ে গেছে। আমি প্রায় দুই ঘন্টার বেশি ঘুমাতে পারি না এবং যখন আমার পেটের সমস্যা এবং ঘুমিয়ে পড়ার জন্য কারো কোন পরা"&amp;"মর্শ থাকে তখনও আমি ঘুমাই না। আমি আগেও একবার নিরামিষ খাই, কিন্তু এত খারাপ কখনও হয়নি।")</f>
        <v>আমি ওপিওয়েড ছাড়ার চেষ্টা করছি। আমি দিনে ২.৩০ সেকেন্ড করে ওপিওয়েড খাচ্ছিলাম এবং চার দিন আগে আমি কোল্ড টার্কি ছেড়ে দিয়েছি। আমার পেট খারাপ হয়ে গেছে। আমি প্রায় দুই ঘন্টার বেশি ঘুমাতে পারি না এবং যখন আমার পেটের সমস্যা এবং ঘুমিয়ে পড়ার জন্য কারো কোন পরামর্শ থাকে তখনও আমি ঘুমাই না। আমি আগেও একবার নিরামিষ খাই, কিন্তু এত খারাপ কখনও হয়নি।</v>
      </c>
    </row>
    <row r="733" spans="1:3" ht="15" x14ac:dyDescent="0.25">
      <c r="A733" s="3" t="s">
        <v>729</v>
      </c>
      <c r="B733" s="3" t="s">
        <v>4</v>
      </c>
      <c r="C733" s="4" t="str">
        <f ca="1">IFERROR(__xludf.DUMMYFUNCTION("GOOGLETRANSLATE(A733, ""auto"", ""bn"")"),"আর কেউ কি মনে করেন যে ব্যবহারের ফলে আপনার আঙুলের চামড়া তুলে মুখের চামড়া কামড়ানোর মতো ভয়ঙ্কর বা খারাপ অভ্যাস তৈরি হয়েছে? আমার সবসময়ই এর একটা খারাপ অভ্যাস ছিল, আমি যখন উদ্বিগ্ন, রাগান্বিত বা চাপে থাকি তখন এটি করি কিন্তু ব্যবহারের ফলে এটি আরও ১০ গুণ খা"&amp;"রাপ হয়ে গেছে। আসলে, আমার মনে হয় না যে আমি এখন আর উদ্বিগ্ন, চাপে থাকি তখনই এটি করি, আমি কেবল তখনই এটি করি যখন আমার প্রচণ্ড উত্তেজনা থাকে বা যখন আমার ক্ষুধা লাগে। আমি এটা ঘৃণা করি। আমার মুখ সবসময় খুব ব্যথা করে, এবং আমার হাত দেখতে খুব পচা লাগে, এবং একজন ম"&amp;"হিলার জন্য, এটি দেখতে ভালো নয়, বিশেষ করে যেহেতু আমার হাত খুব ছোট এবং সূক্ষ্ম।")</f>
        <v>আর কেউ কি মনে করেন যে ব্যবহারের ফলে আপনার আঙুলের চামড়া তুলে মুখের চামড়া কামড়ানোর মতো ভয়ঙ্কর বা খারাপ অভ্যাস তৈরি হয়েছে? আমার সবসময়ই এর একটা খারাপ অভ্যাস ছিল, আমি যখন উদ্বিগ্ন, রাগান্বিত বা চাপে থাকি তখন এটি করি কিন্তু ব্যবহারের ফলে এটি আরও ১০ গুণ খারাপ হয়ে গেছে। আসলে, আমার মনে হয় না যে আমি এখন আর উদ্বিগ্ন, চাপে থাকি তখনই এটি করি, আমি কেবল তখনই এটি করি যখন আমার প্রচণ্ড উত্তেজনা থাকে বা যখন আমার ক্ষুধা লাগে। আমি এটা ঘৃণা করি। আমার মুখ সবসময় খুব ব্যথা করে, এবং আমার হাত দেখতে খুব পচা লাগে, এবং একজন মহিলার জন্য, এটি দেখতে ভালো নয়, বিশেষ করে যেহেতু আমার হাত খুব ছোট এবং সূক্ষ্ম।</v>
      </c>
    </row>
    <row r="734" spans="1:3" ht="15" x14ac:dyDescent="0.25">
      <c r="A734" s="3" t="s">
        <v>730</v>
      </c>
      <c r="B734" s="3" t="s">
        <v>4</v>
      </c>
      <c r="C734" s="4" t="str">
        <f ca="1">IFERROR(__xludf.DUMMYFUNCTION("GOOGLETRANSLATE(A734, ""auto"", ""bn"")"),"তাই শুক্রবার আমি জানতে পারলাম যে, আমি যে ব্যক্তিকে দেখছি সে ৫ বছরেরও বেশি সময় ধরে হেরোইনের প্রতি আসক্ত। শুক্রবার তার দ্বিতীয় ওভারডোজ হয়েছিল, এবং আমিই তাকে খুঁজে পেয়েছি। তারপর থেকে আমি তার পরিবারের সাথে যোগাযোগ করেছি এবং আমাকে বলা মিথ্যার পাহাড় আবিষ্ক"&amp;"ার করেছি। আমার কোনও ধারণা ছিল না যে সে সেবন করছে। তাছাড়া, আমি এতটা বুদ্ধিমান ছিলাম না কারণ আমি তার সাথে খুব খুশি ছিলাম। তাছাড়া, আমি এই মুহূর্তে খুব দ্বিধাগ্রস্ত বোধ করছি। সে কয়েকদিন ধরে হাসপাতালে। মনে হচ্ছে MESA তার গুরুত্বপূর্ণ অঙ্গগুলি দখল করে নিয়েছ"&amp;"ে। আমার খুব বিশ্বাসঘাতকতা বোধ হচ্ছে, কিন্তু আমি মনে করি সে একজন ভালো মানুষ এবং তার সাহায্যের প্রয়োজন এবং অবশ্যই আমি চাই না যে সে মারা যাক। তবে আমার মনে হয় না যে আমি তাকে সাহায্য করতে পারব, এবং আমি এখনও বুঝতে পারছি যে কয়েক মাস ধরে আমাকে ক্রমাগত মিথ্যা ব"&amp;"লা হয়েছিল। যারা আসক্তদের ভালোবাসতেন তাদের কাছ থেকে কোন পরামর্শ?")</f>
        <v>তাই শুক্রবার আমি জানতে পারলাম যে, আমি যে ব্যক্তিকে দেখছি সে ৫ বছরেরও বেশি সময় ধরে হেরোইনের প্রতি আসক্ত। শুক্রবার তার দ্বিতীয় ওভারডোজ হয়েছিল, এবং আমিই তাকে খুঁজে পেয়েছি। তারপর থেকে আমি তার পরিবারের সাথে যোগাযোগ করেছি এবং আমাকে বলা মিথ্যার পাহাড় আবিষ্কার করেছি। আমার কোনও ধারণা ছিল না যে সে সেবন করছে। তাছাড়া, আমি এতটা বুদ্ধিমান ছিলাম না কারণ আমি তার সাথে খুব খুশি ছিলাম। তাছাড়া, আমি এই মুহূর্তে খুব দ্বিধাগ্রস্ত বোধ করছি। সে কয়েকদিন ধরে হাসপাতালে। মনে হচ্ছে MESA তার গুরুত্বপূর্ণ অঙ্গগুলি দখল করে নিয়েছে। আমার খুব বিশ্বাসঘাতকতা বোধ হচ্ছে, কিন্তু আমি মনে করি সে একজন ভালো মানুষ এবং তার সাহায্যের প্রয়োজন এবং অবশ্যই আমি চাই না যে সে মারা যাক। তবে আমার মনে হয় না যে আমি তাকে সাহায্য করতে পারব, এবং আমি এখনও বুঝতে পারছি যে কয়েক মাস ধরে আমাকে ক্রমাগত মিথ্যা বলা হয়েছিল। যারা আসক্তদের ভালোবাসতেন তাদের কাছ থেকে কোন পরামর্শ?</v>
      </c>
    </row>
    <row r="735" spans="1:3" ht="15" x14ac:dyDescent="0.25">
      <c r="A735" s="3" t="s">
        <v>731</v>
      </c>
      <c r="B735" s="3" t="s">
        <v>4</v>
      </c>
      <c r="C735" s="4" t="str">
        <f ca="1">IFERROR(__xludf.DUMMYFUNCTION("GOOGLETRANSLATE(A735, ""auto"", ""bn"")"),"আমি প্রায় ২ বছর ধরে প্রতিদিন গাঁজার ধূমপান করছি, বলতে পারি। হাই স্কুলে বন্ধুদের সাথে ধূমপান শুরু করেছিলাম এবং সংক্ষেপে বলতে গেলে, নেশা আমার গলায় গেঁথে আছে। একমাত্র সময়/জায়গা যেখানে আমি কখনোই উত্তেজিত হই না এবং গাঁজার কথা ভাবি না তা হল কর্মক্ষেত্র (আমি রান"&amp;"্না করার জন্য কলেজ ছেড়ে দিচ্ছি)। আমি জানি যে আমি কিছুদিন ধরে আসক্ত, কিন্তু কেন জানি না। আমি বিশেষ করে একাকীত্ব, অযোগ্যতা এবং অনিশ্চয়তার অনুভূতির সাথে লড়াই করি, কিন্তু গাঁজা এই অনুভূতিগুলিকে উপশম করে না, এটি সর্বোত্তমভাবে একটি বিভ্রান্তি। তাছাড়া, আমি জা"&amp;"নি না কিভাবে এই সমস্ত সম্পর্কে আমার অনুভূতিগুলি বর্ণনা করব কারণ আমি সত্যি বলতে আমার অনুভূতিগুলি কী তাও জানি না। আমার জীবন মেঘলা লাগছে এবং স্বামী/স্ত্রীর গাঁজার আসক্তি সম্পর্কে আপনার কিছু গল্প দেখার পর, আমি জানি যে একদিন আমিও এমন হব: ২৪/৭ উচ্চ, খিটখিটে, দূ"&amp;"রে থাকা, এবং যাদের আমি ভালোবাসি তাদের জন্য সেখানে না থাকা। আমার মনে হয় আমি একটা সন্ধিক্ষণে আছি এবং আমি জানি আমি এই আসক্তি ত্যাগ করার পথ বেছে নিতে চাই কিন্তু আমি ভীষণ ভয় পাচ্ছি। হয়তো আমি আগাছা, ব্যর্থতা বা অন্য কিছু ছাড়া জীবনকে ভয় পাই, আমি জানি না, তব"&amp;"ে আমি ভয় পাচ্ছি। আপনার যেকোনো পরামর্শ, অভিজ্ঞতা বা প্রশ্ন অত্যন্ত প্রশংসা করা হয়েছে। এই সাব-এ থাকার জন্য আপনাদের সকলকে ধন্যবাদ।")</f>
        <v>আমি প্রায় ২ বছর ধরে প্রতিদিন গাঁজার ধূমপান করছি, বলতে পারি। হাই স্কুলে বন্ধুদের সাথে ধূমপান শুরু করেছিলাম এবং সংক্ষেপে বলতে গেলে, নেশা আমার গলায় গেঁথে আছে। একমাত্র সময়/জায়গা যেখানে আমি কখনোই উত্তেজিত হই না এবং গাঁজার কথা ভাবি না তা হল কর্মক্ষেত্র (আমি রান্না করার জন্য কলেজ ছেড়ে দিচ্ছি)। আমি জানি যে আমি কিছুদিন ধরে আসক্ত, কিন্তু কেন জানি না। আমি বিশেষ করে একাকীত্ব, অযোগ্যতা এবং অনিশ্চয়তার অনুভূতির সাথে লড়াই করি, কিন্তু গাঁজা এই অনুভূতিগুলিকে উপশম করে না, এটি সর্বোত্তমভাবে একটি বিভ্রান্তি। তাছাড়া, আমি জানি না কিভাবে এই সমস্ত সম্পর্কে আমার অনুভূতিগুলি বর্ণনা করব কারণ আমি সত্যি বলতে আমার অনুভূতিগুলি কী তাও জানি না। আমার জীবন মেঘলা লাগছে এবং স্বামী/স্ত্রীর গাঁজার আসক্তি সম্পর্কে আপনার কিছু গল্প দেখার পর, আমি জানি যে একদিন আমিও এমন হব: ২৪/৭ উচ্চ, খিটখিটে, দূরে থাকা, এবং যাদের আমি ভালোবাসি তাদের জন্য সেখানে না থাকা। আমার মনে হয় আমি একটা সন্ধিক্ষণে আছি এবং আমি জানি আমি এই আসক্তি ত্যাগ করার পথ বেছে নিতে চাই কিন্তু আমি ভীষণ ভয় পাচ্ছি। হয়তো আমি আগাছা, ব্যর্থতা বা অন্য কিছু ছাড়া জীবনকে ভয় পাই, আমি জানি না, তবে আমি ভয় পাচ্ছি। আপনার যেকোনো পরামর্শ, অভিজ্ঞতা বা প্রশ্ন অত্যন্ত প্রশংসা করা হয়েছে। এই সাব-এ থাকার জন্য আপনাদের সকলকে ধন্যবাদ।</v>
      </c>
    </row>
    <row r="736" spans="1:3" ht="15" x14ac:dyDescent="0.25">
      <c r="A736" s="3" t="s">
        <v>732</v>
      </c>
      <c r="B736" s="3" t="s">
        <v>4</v>
      </c>
      <c r="C736" s="4" t="str">
        <f ca="1">IFERROR(__xludf.DUMMYFUNCTION("GOOGLETRANSLATE(A736, ""auto"", ""bn"")"),"আমি সবসময়ই যেকোনো ছেলের মতো ভিডিও গেম খেলতে আগ্রহী ছিলাম, কিন্তু আসক্তির দিকে আমার পথ শুরু হয়েছিল প্রথম কম্পিউটার (আরও দ্বিতীয়ত, কারণ প্রথমটি ছিল সেই পুরনো বড় স্লোপোকগুলির মধ্যে একটি যেখানে আমরা সলিটায়ার এবং মাইনসুইপার খেলতাম)। আমি প্রাথমিক বিদ্যালয়ের ৭ম "&amp;"বা ৮ম শ্রেণীতে পড়ি, এবং এটি স্কুলের জন্য থাকার কথা ছিল, কিন্তু সম্ভবত এটি ছিল সবচেয়ে কম - এটি ছিল ৬০% গেমিং, ২০% পর্ণ, ১৫% ইউটিউব/সোশ্যাল মিডিয়া এবং শেষ ৫% ছিল স্কুলের জন্য। আমার বাবা-মা কখনওই কোনও সীমা নির্ধারণ করেননি যে আমি (আমরা - আমার ভাই এবং বোনেরা)"&amp;" কতটা এতে থাকতে পারি এবং তাই অবশ্যই আমরা সারাদিন এতে ছিলাম। এটা মজার ছিল, cod2 বা কাউন্টারস্ট্রাইক খেলার সেই অবিরাম ঘন্টার কথা ভাবলে আমার প্রিয় স্মৃতিগুলি (অনলাইন বন্ধু, গিল্ড ইত্যাদি) মনে পড়ে যায়। বড় হওয়ার সাথে সাথে আমার মনে হয় গেমিং একঘেয়েমি হয়ে গেছে এ"&amp;"বং পর্ণ এবং ইউটিউব অনেক বেশি লাভ করেছে। আমার একটা সময় ছিল যখন আমি প্রোগ্রামিং, অ্যানিমেশন, থ্রিডি মডেলিং এবং অঙ্কন শেখার চেষ্টা করতাম। (৪ বছর) বছরের পর বছর ধরে, যখন আমি কম্পিউটারে ঘরে বসে থাকার সিদ্ধান্ত নিই, তখন আমি মূলত বন্ধুবান্ধব থাকার সুযোগ হারিয়ে "&amp;"ফেলেছি, যেমন বাস্তব জীবনের বন্ধুদের সাথে আড্ডা দেওয়া, গেম খেলা, কথা বলা ইত্যাদি। এর ফলে, আমার মনে হয়েছে যে অনলাইনে না থাকা, অর্থাৎ অনলাইনে না থাকা, এই বিষাক্ত জিনিসটি দূর করার অর্থ হল এই শেষ জিনিসটি থেকে মুক্তি পাওয়া যা আমাকে আমার জীবনের লক্ষ্যহীনতা থে"&amp;"কে খুশি/বিক্ষিপ্ত রাখে। আমি বর্তমানে প্রোগ্রামার বা থ্রিডি মডেলার হিসেবে কাজ করি না, তবে জীবনের একমাত্র জিনিস যা আমাকে আকর্ষণ করেছে, তবে আমার মনে হয় কম্পিউটার, ফোন বন্ধ করে দেই (আমার ফোন মূলত কর্মক্ষেত্রে যখন খুব কম কাজ থাকে তখন আমার জন্য একটি বিভ্রান্তি"&amp;"কর বিষয় এবং আমি এটি রেডডিট পড়ার জন্য এবং গোচা গেমগুলির জন্য ব্যবহার করি (জুয়া গেমগুলির জন্য আমি কম বেশি যত্ন নিচ্ছি, যদিও আমি আগে তাদের জন্য আসল অর্থ ব্যয় করতাম)) এবং কিছু ব্যায়াম করা, কিছু লোকের সাথে দেখা করা এবং অনলাইন জগৎ বন্ধ করে দেওয়া। তাছাড়া,"&amp;" এখন আমারও তাই মনে হচ্ছে, কিন্তু আগামীকাল আমি সম্ভবত ""নিরাপদ স্থানে"" ফিরে আসব অথবা যখন জীবন আমাকে কোনওভাবে চ্যালেঞ্জ জানাবে, তা সে কর্মক্ষেত্রে হোক বা অস্বস্তিকর সামাজিক পরিস্থিতির... তাছাড়া, আমার বয়স প্রায় ২৮ বছর এবং আমার জীবন মূলত কিছুই নয় এবং আমা"&amp;"র মনে হয় না যে আমি এখনও বছরের পর বছর ধরে কোনও কিছুর জন্য কাজ করতে শিখেছি/গ্রহণ করেছি যাতে এটি অর্জন করা যায়। তাছাড়া, আমি ৪ বছর ধরে কাজ করতাম এবং আমার আয় কম ছিল এবং আমি কেবল একটি লক্ষ্য নির্ধারণ করেছিলাম এবং কেবল সাধারণ গণনার মাধ্যমে এটি অর্জন করা সম্ভ"&amp;"ব ছিল না। তাছাড়া, আমাকে ৪ বছর ধরে কোনও অর্থ ব্যয় করতে হত না শুধুমাত্র একটি খারাপ সেকেন্ড হ্যান্ড গাড়ি কিনতে যা সম্ভবত ৫ বছরেই নষ্ট হয়ে যেত। আমার মায়ের গাড়ি ব্যবহার না করতে পারলে কতটা কঠিন হত তা কল্পনাও করতে পারছি না। দীর্ঘ পোস্টের জন্য দুঃখিত, আরও ব"&amp;"িস্তারিত যোগ করলে আরও দীর্ঘ হতে পারত, তবে আমার মনের অবস্থা চিত্রিত করার জন্য এটি যথেষ্ট।")</f>
        <v>আমি সবসময়ই যেকোনো ছেলের মতো ভিডিও গেম খেলতে আগ্রহী ছিলাম, কিন্তু আসক্তির দিকে আমার পথ শুরু হয়েছিল প্রথম কম্পিউটার (আরও দ্বিতীয়ত, কারণ প্রথমটি ছিল সেই পুরনো বড় স্লোপোকগুলির মধ্যে একটি যেখানে আমরা সলিটায়ার এবং মাইনসুইপার খেলতাম)। আমি প্রাথমিক বিদ্যালয়ের ৭ম বা ৮ম শ্রেণীতে পড়ি, এবং এটি স্কুলের জন্য থাকার কথা ছিল, কিন্তু সম্ভবত এটি ছিল সবচেয়ে কম - এটি ছিল ৬০% গেমিং, ২০% পর্ণ, ১৫% ইউটিউব/সোশ্যাল মিডিয়া এবং শেষ ৫% ছিল স্কুলের জন্য। আমার বাবা-মা কখনওই কোনও সীমা নির্ধারণ করেননি যে আমি (আমরা - আমার ভাই এবং বোনেরা) কতটা এতে থাকতে পারি এবং তাই অবশ্যই আমরা সারাদিন এতে ছিলাম। এটা মজার ছিল, cod2 বা কাউন্টারস্ট্রাইক খেলার সেই অবিরাম ঘন্টার কথা ভাবলে আমার প্রিয় স্মৃতিগুলি (অনলাইন বন্ধু, গিল্ড ইত্যাদি) মনে পড়ে যায়। বড় হওয়ার সাথে সাথে আমার মনে হয় গেমিং একঘেয়েমি হয়ে গেছে এবং পর্ণ এবং ইউটিউব অনেক বেশি লাভ করেছে। আমার একটা সময় ছিল যখন আমি প্রোগ্রামিং, অ্যানিমেশন, থ্রিডি মডেলিং এবং অঙ্কন শেখার চেষ্টা করতাম। (৪ বছর) বছরের পর বছর ধরে, যখন আমি কম্পিউটারে ঘরে বসে থাকার সিদ্ধান্ত নিই, তখন আমি মূলত বন্ধুবান্ধব থাকার সুযোগ হারিয়ে ফেলেছি, যেমন বাস্তব জীবনের বন্ধুদের সাথে আড্ডা দেওয়া, গেম খেলা, কথা বলা ইত্যাদি। এর ফলে, আমার মনে হয়েছে যে অনলাইনে না থাকা, অর্থাৎ অনলাইনে না থাকা, এই বিষাক্ত জিনিসটি দূর করার অর্থ হল এই শেষ জিনিসটি থেকে মুক্তি পাওয়া যা আমাকে আমার জীবনের লক্ষ্যহীনতা থেকে খুশি/বিক্ষিপ্ত রাখে। আমি বর্তমানে প্রোগ্রামার বা থ্রিডি মডেলার হিসেবে কাজ করি না, তবে জীবনের একমাত্র জিনিস যা আমাকে আকর্ষণ করেছে, তবে আমার মনে হয় কম্পিউটার, ফোন বন্ধ করে দেই (আমার ফোন মূলত কর্মক্ষেত্রে যখন খুব কম কাজ থাকে তখন আমার জন্য একটি বিভ্রান্তিকর বিষয় এবং আমি এটি রেডডিট পড়ার জন্য এবং গোচা গেমগুলির জন্য ব্যবহার করি (জুয়া গেমগুলির জন্য আমি কম বেশি যত্ন নিচ্ছি, যদিও আমি আগে তাদের জন্য আসল অর্থ ব্যয় করতাম)) এবং কিছু ব্যায়াম করা, কিছু লোকের সাথে দেখা করা এবং অনলাইন জগৎ বন্ধ করে দেওয়া। তাছাড়া, এখন আমারও তাই মনে হচ্ছে, কিন্তু আগামীকাল আমি সম্ভবত "নিরাপদ স্থানে" ফিরে আসব অথবা যখন জীবন আমাকে কোনওভাবে চ্যালেঞ্জ জানাবে, তা সে কর্মক্ষেত্রে হোক বা অস্বস্তিকর সামাজিক পরিস্থিতির... তাছাড়া, আমার বয়স প্রায় ২৮ বছর এবং আমার জীবন মূলত কিছুই নয় এবং আমার মনে হয় না যে আমি এখনও বছরের পর বছর ধরে কোনও কিছুর জন্য কাজ করতে শিখেছি/গ্রহণ করেছি যাতে এটি অর্জন করা যায়। তাছাড়া, আমি ৪ বছর ধরে কাজ করতাম এবং আমার আয় কম ছিল এবং আমি কেবল একটি লক্ষ্য নির্ধারণ করেছিলাম এবং কেবল সাধারণ গণনার মাধ্যমে এটি অর্জন করা সম্ভব ছিল না। তাছাড়া, আমাকে ৪ বছর ধরে কোনও অর্থ ব্যয় করতে হত না শুধুমাত্র একটি খারাপ সেকেন্ড হ্যান্ড গাড়ি কিনতে যা সম্ভবত ৫ বছরেই নষ্ট হয়ে যেত। আমার মায়ের গাড়ি ব্যবহার না করতে পারলে কতটা কঠিন হত তা কল্পনাও করতে পারছি না। দীর্ঘ পোস্টের জন্য দুঃখিত, আরও বিস্তারিত যোগ করলে আরও দীর্ঘ হতে পারত, তবে আমার মনের অবস্থা চিত্রিত করার জন্য এটি যথেষ্ট।</v>
      </c>
    </row>
    <row r="737" spans="1:3" ht="15" x14ac:dyDescent="0.25">
      <c r="A737" s="3" t="s">
        <v>733</v>
      </c>
      <c r="B737" s="3" t="s">
        <v>4</v>
      </c>
      <c r="C737" s="4" t="str">
        <f ca="1">IFERROR(__xludf.DUMMYFUNCTION("GOOGLETRANSLATE(A737, ""auto"", ""bn"")"),"তাই আমার সোশ্যাল মিডিয়ার প্রতি খুব একটা আসক্তি নেই, আমার নিজের সোশ্যাল মিডিয়া থেকে দূরে থাকতে কোনও সমস্যা নেই, কিন্তু আমার জীবনে যারা ছিল তাদের খোঁজখবর নেওয়া বন্ধ করতে পারছি না। আমার প্রেমিকের প্রাক্তন এবং আমি কিছুদিন ধরে বন্ধু ছিলাম, এবং সে সম্প্রতি এ"&amp;"কটি মডেলিং এজেন্সিতে যোগ দিয়েছে এবং খুব সফল হয়েছে, এবং এটি আমার সমস্ত আত্মবিশ্বাসকে নষ্ট করে দিয়েছে কারণ হাই স্কুলের লোকেরা আমাদের সাথে সবসময় তুলনা করত। আমি জানি এটা বোকামি, কিন্তু আমি দিনে একাধিকবার তার এবং আমার নির্যাতনকারী প্রাক্তন ইত্যাদির খোঁজখবর"&amp;" নেওয়া বন্ধ করতে পারছি না। কীভাবে থামাবো তার কোন টিপস আছে?")</f>
        <v>তাই আমার সোশ্যাল মিডিয়ার প্রতি খুব একটা আসক্তি নেই, আমার নিজের সোশ্যাল মিডিয়া থেকে দূরে থাকতে কোনও সমস্যা নেই, কিন্তু আমার জীবনে যারা ছিল তাদের খোঁজখবর নেওয়া বন্ধ করতে পারছি না। আমার প্রেমিকের প্রাক্তন এবং আমি কিছুদিন ধরে বন্ধু ছিলাম, এবং সে সম্প্রতি একটি মডেলিং এজেন্সিতে যোগ দিয়েছে এবং খুব সফল হয়েছে, এবং এটি আমার সমস্ত আত্মবিশ্বাসকে নষ্ট করে দিয়েছে কারণ হাই স্কুলের লোকেরা আমাদের সাথে সবসময় তুলনা করত। আমি জানি এটা বোকামি, কিন্তু আমি দিনে একাধিকবার তার এবং আমার নির্যাতনকারী প্রাক্তন ইত্যাদির খোঁজখবর নেওয়া বন্ধ করতে পারছি না। কীভাবে থামাবো তার কোন টিপস আছে?</v>
      </c>
    </row>
    <row r="738" spans="1:3" ht="15" x14ac:dyDescent="0.25">
      <c r="A738" s="3" t="s">
        <v>734</v>
      </c>
      <c r="B738" s="3" t="s">
        <v>4</v>
      </c>
      <c r="C738" s="4" t="str">
        <f ca="1">IFERROR(__xludf.DUMMYFUNCTION("GOOGLETRANSLATE(A738, ""auto"", ""bn"")"),"আমি এখানে নতুন এবং আমি শুধু কিছু পরামর্শ/উৎসাহ খুঁজছি। আমি কয়েক বছর ধরে সাবক্সোন খাচ্ছি, এবং সম্প্রতি আমার মনে হয় বেশিরভাগ ফেন্টানিলই ফেন্টানিল, আশা করা হেরোইন নয়। তাছাড়া, আমি প্রতিদিন ৪ মিলিগ্রাম সেবন করছিলাম এবং কোনও বোকার মতো কারণে আবার সেবন করার সি"&amp;"দ্ধান্ত নিলাম। আমার কুকুর মারা গেছে এবং বিষণ্ণতা ইত্যাদি। আমি পড়েছি যে দ্রুত প্রত্যাহার প্রতিরোধের জন্য সাবসেক্টিভ ওষুধ ফিরে পেতে আমাকে ২৪ ঘন্টা অপেক্ষা করতে হবে। আমি জানি আমি ততক্ষণে অসুস্থ হয়ে পড়ব এবং ভাবছিলাম যে আপনারা কি ২৪ ঘন্টার আগে এটি গ্রহণ করে"&amp;"ছেন এবং আপনাদের অভিজ্ঞতা কেমন ছিল। যাই হোক, আমি আশা করি এখানে সবাই ভালো আছেন।")</f>
        <v>আমি এখানে নতুন এবং আমি শুধু কিছু পরামর্শ/উৎসাহ খুঁজছি। আমি কয়েক বছর ধরে সাবক্সোন খাচ্ছি, এবং সম্প্রতি আমার মনে হয় বেশিরভাগ ফেন্টানিলই ফেন্টানিল, আশা করা হেরোইন নয়। তাছাড়া, আমি প্রতিদিন ৪ মিলিগ্রাম সেবন করছিলাম এবং কোনও বোকার মতো কারণে আবার সেবন করার সিদ্ধান্ত নিলাম। আমার কুকুর মারা গেছে এবং বিষণ্ণতা ইত্যাদি। আমি পড়েছি যে দ্রুত প্রত্যাহার প্রতিরোধের জন্য সাবসেক্টিভ ওষুধ ফিরে পেতে আমাকে ২৪ ঘন্টা অপেক্ষা করতে হবে। আমি জানি আমি ততক্ষণে অসুস্থ হয়ে পড়ব এবং ভাবছিলাম যে আপনারা কি ২৪ ঘন্টার আগে এটি গ্রহণ করেছেন এবং আপনাদের অভিজ্ঞতা কেমন ছিল। যাই হোক, আমি আশা করি এখানে সবাই ভালো আছেন।</v>
      </c>
    </row>
    <row r="739" spans="1:3" ht="15" x14ac:dyDescent="0.25">
      <c r="A739" s="3" t="s">
        <v>735</v>
      </c>
      <c r="B739" s="3" t="s">
        <v>4</v>
      </c>
      <c r="C739" s="4" t="str">
        <f ca="1">IFERROR(__xludf.DUMMYFUNCTION("GOOGLETRANSLATE(A739, ""auto"", ""bn"")"),"আমি একজন ছাত্র যে ওপিওয়েড আসক্তির উপর একটি গবেষণা প্রকল্প করছি। এই গবেষণার উদ্দেশ্য হল গবেষণা প্রশ্নের উত্তর খুঁজে বের করা? কোন কারণগুলি একজন ব্যক্তিকে ওপিওয়েড আসক্তির ঝুঁকিতে ফেলতে পারে?? এই জরিপটি মাত্র ৫ মিনিটেরও কম সময় নেয় এবং সকল বয়স এবং অঞ্চলের"&amp;" মানুষের জন্য উন্মুক্ত। একমাত্র শর্ত হল এমন একজন ব্যক্তি যিনি বর্তমানে ওপিওয়েড আসক্তির সাথে মোকাবিলা করছেন, অথবা পূর্বে ওপিওয়েড আসক্তি ছিল। এই জরিপটি ১০০% বেনামী এবং গোপনীয়। তবে, একটি ইমেল অ্যাকাউন্টে সাইন ইন করা প্রয়োজন এবং এটি শুধুমাত্র একই ব্যক্তির"&amp;" একাধিক প্রতিক্রিয়া প্রতিরোধ করার জন্য। এই ইমেল ঠিকানাটি স্রষ্টার (আমি) কাছে প্রকাশ করা হয়নি। জরিপের ক্ষেত্রে, সমস্ত উত্তর শুধুমাত্র স্রষ্টার (আমি) দ্বারা বিশ্লেষণ করা হবে এবং ডেটা গ্রাফ, চার্ট এবং পরিসংখ্যানে উপস্থাপন করা হবে।")</f>
        <v>আমি একজন ছাত্র যে ওপিওয়েড আসক্তির উপর একটি গবেষণা প্রকল্প করছি। এই গবেষণার উদ্দেশ্য হল গবেষণা প্রশ্নের উত্তর খুঁজে বের করা? কোন কারণগুলি একজন ব্যক্তিকে ওপিওয়েড আসক্তির ঝুঁকিতে ফেলতে পারে?? এই জরিপটি মাত্র ৫ মিনিটেরও কম সময় নেয় এবং সকল বয়স এবং অঞ্চলের মানুষের জন্য উন্মুক্ত। একমাত্র শর্ত হল এমন একজন ব্যক্তি যিনি বর্তমানে ওপিওয়েড আসক্তির সাথে মোকাবিলা করছেন, অথবা পূর্বে ওপিওয়েড আসক্তি ছিল। এই জরিপটি ১০০% বেনামী এবং গোপনীয়। তবে, একটি ইমেল অ্যাকাউন্টে সাইন ইন করা প্রয়োজন এবং এটি শুধুমাত্র একই ব্যক্তির একাধিক প্রতিক্রিয়া প্রতিরোধ করার জন্য। এই ইমেল ঠিকানাটি স্রষ্টার (আমি) কাছে প্রকাশ করা হয়নি। জরিপের ক্ষেত্রে, সমস্ত উত্তর শুধুমাত্র স্রষ্টার (আমি) দ্বারা বিশ্লেষণ করা হবে এবং ডেটা গ্রাফ, চার্ট এবং পরিসংখ্যানে উপস্থাপন করা হবে।</v>
      </c>
    </row>
    <row r="740" spans="1:3" ht="15" x14ac:dyDescent="0.25">
      <c r="A740" s="3" t="s">
        <v>736</v>
      </c>
      <c r="B740" s="3" t="s">
        <v>4</v>
      </c>
      <c r="C740" s="4" t="str">
        <f ca="1">IFERROR(__xludf.DUMMYFUNCTION("GOOGLETRANSLATE(A740, ""auto"", ""bn"")"),"গতকাল আমার ভাগ্নির সাথে দেখা হয়েছে। ওর ১১ টায় আসার কথা ছিল। আমি ওকে দেখতে পাইনি, তাই আমি ওকে একটা মেসেজ পাঠিয়ে বললাম যে তুমি কি এখনও ১১ টায় আসছো? জবাবে, আমার ভাগ্নির ফোন পেলাম, সে খুব উত্তেজিত হয়ে বলল, ""আমি কি তোমাকে বলেছিলাম যে আমি তোমার জন্য কিছু ক"&amp;"রবো?"" আমি বললাম, ""না, তুমি বলেছিলে তুমি দেখা করতে চাও এবং ১১ টায় এখানে আসবো।"" আমি শুধু ওর সাথে কথা বলছি। ফোন করার সময় আমি ওর গলার স্বর উঁচু করে লক্ষ্য করলাম, দ্রুত কথা বলছি কিন্তু ওর গলার স্বরটা কেমন যেন একটা ঘোলাটে। আমি ওকে বললাম, ""তুমি যদি না আসো "&amp;"তাহলে কোন সমস্যা নেই। আমি শুধু জানতে চেয়েছিলাম। আমি আরও বললাম, ""তুমি সম্পূর্ণরূপে নিস্তেজ মনে হচ্ছে, তুমি যখন ভালো বোধ করবে তখন কেন বিশ্রাম নাও এবং দেখা করো না?"" আমার ভাগ্নি বলল, ""না, আমাকে যাই হোক দ্বীপে আসতে হবে।"" আমি বললাম, ""ওহ, তুমি কি এখনও শহরে"&amp;"র দক্ষিণ প্রান্তে কাজ করছো?"" আমার ভাগ্নি বলল, না, সে কাজ করছে না এবং দ্বীপে আসার কোন কারণও জানায়নি। এটা প্রাসঙ্গিক কারণ আমি এমন এক দ্বীপে থাকি যেখানে পর্যটনই সবচেয়ে বেশি জনপ্রিয় এবং এখন জায়গাগুলো খোলা থাকে না। বছরের এই সময়ে আসার কিছু নেই। সত্যি বলতে"&amp;", সে আসুক বা না আসুক তাতে কোনও পার্থক্য ছিল না। যাই হোক, প্রায় তিন ঘন্টা পরে আমার কাছে একটি ফোন আসে। আমার ভাগ্নি যদি আড্ডা দিতে চায়, তাহলে সে আমার পাশেই থাকে। আমি হ্যাঁ বলি কারণ আমি বাড়িতে আছি এবং সে এখানে আসে। সে জোরে চিৎকার করে বলছে যে সে আমার সোফা এ"&amp;"বং চেয়ার কতটা ভালোবাসে। সে একটি ব্যবহৃত সোফা এবং চেয়ার নিয়ে অতিরিক্ত উত্তেজিত। তাছাড়া, সে আমাকে বলে যে সে আগামী ছয় মাস আর কাজ করবে না এবং বেকারত্বে থাকবে, কিন্তু একই বাক্যে সে আমাকে বলে যে তার বেকারত্বের সমস্যা আছে এবং ছয় মাস ধরে আছে। আমার ভাগ্নি কখন"&amp;"ও বেকারত্বের ভাতা নিশ্চিত করার জন্য কিছু করেনি। আমার ভাগ্নি ইতিমধ্যেই ছয় মাস আগে একটি দাবি করেছে এবং অতিরিক্ত তথ্যের জন্য তাদের অনুরোধে কখনও সাড়া দেয়নি এবং এভাবেই পরিস্থিতি বিপর্যস্ত হয়ে পড়ে। তার মনে, সিস্টেম তার সাথে অন্যায় করেছে। আমি তার সাথে সাবধ"&amp;"ানে কথা বলেছিলাম এবং তাকে বলেছিলাম, ""না, আমার মনে হয় না তারা তোমাকে ভুল বোঝানোর চেষ্টা করেছে। আমার মনে হয় তোমাকে ফোন করে রিপোর্ট করতে হয়েছিল যে তোমার ঘন্টার পর ঘন্টা কাজ ছিল এবং বেকারত্ব আর চাও না। সে খুব অস্থির এবং কখনও তা করেনি এবং এখন বলছে, ""ওহ, এ"&amp;"টা আমার সাথে ঘটছে।"" এবার, পেট ফাঁপা করার অংশে আসি। সে যখন এখানে ছিল তখন আমি লক্ষ্য করলাম যে সে কীভাবে কথা বলছিল, আমি দেখতে পেলাম সে খুব দ্রুত নড়াচড়া করছে। আমরা সোফায় বসে ছিলাম ঠিক সেই সময় আমি দেখলাম আমার ভাগ্নি ঘুমাতে শুরু করেছে। এখন, আমি বুঝতে পারছি"&amp;" রাতের ভালো ঘুম হচ্ছে না, কিন্তু এটা ভিন্ন ছিল। আমার ভাগ্নি ঘুমাতে শুরু করার সময় যেমনটা মনে আছে ঠিক তেমনই ঘুমিয়ে পড়ছিল। আমার ভাগ্নিকে আরেকটি অদ্ভুত জিনিস আমি আমার ভাগ্নিকে জানিয়েছিলাম তা হল, আমার ভাগ্নি প্রায় ছয় মাস আগে কেমন যেন অদৃশ্য হয়ে গেল। আমর"&amp;"া নিয়মিত আড্ডা দিতাম এবং হঠাৎ করে সে সপ্তাহান্তে আসত না, এবং সে টেক্সট এবং ফোন কলের উত্তর দেওয়া বন্ধ করে দেয়। এটি স্বাভাবিক আচরণ নয় এবং যখন আমার ভাগ্নি এবং আমি তাকে দেখেছিলাম তখন আমরা দুজনেই একমত হয়েছিলাম যে সে স্পষ্টতই আবার মাদকাসক্ত। আমি ভয় পাচ্ছি"&amp;" যে আমার ভাগ্নি মাদকাসক্ত ছিল। (আফিম) এবং সে দ্বীপে আসার কারণ ছিল জার্বিল খাবার কিনতে কাউকে বাজারে নিয়ে যাওয়ার জন্য। আমার ভাগ্নি এক ঘন্টারও বেশি সময় গাড়ি চালিয়ে তার বন্ধুকে জার্বিল খাবার আনতে নিয়ে যেত। কোনভাবেই না - আমি বাজে কথা বলি। আমার মনে হয় আম"&amp;"ার ভাগ্নি শহরের অন্য প্রান্তে দ্বীপে মাদক সংগ্রহ করতে গিয়েছিল। সে কাজ বন্ধ করে দিয়েছে, এবং এখন সে বলছে যে তার বেকারত্ব নেই এবং সে কী করবে। আমি জানি না কী করব। আমি আমার ভাগ্নিকে ডেকে বলতে চাই ""তুমি ওষুধ খেয়ে ফেলেছো"", কিন্তু শেষবার যখন আমি তাকে ফোন করে"&amp;"ছিলাম তখন সে আমাকে অভিশাপ দিয়েছিল, বলেছিল যে সে মাদক গ্রহণ করেনি (সম্পূর্ণ মিথ্যা)। এরপর আমার সম্পর্কে ভয়ঙ্কর কথা বলা হয়েছিল এবং তাকে অভিযোগ করার জন্য সে আর কখনও আমার সাথে কথা বলবে না। আমার ভাগ্নি যখন তার কিছু প্রয়োজন হয়েছিল তখন আবার আমার সাথে কথা বল"&amp;"েছিল। এবং, আমার সম্পর্কে তার অনুভূতি সম্পর্কে তার উত্থান-পতন নিয়ে আমার কোনও সমস্যা নেই। আসল কথা হল আমি সঠিক বলেছিলাম যে সে মাদক ব্যবহার করছিল। আমি ভাবতে পারছি না যে সে এই দ্বীপে মাদক সংগ্রহ করতে এসেছিল কারণ তার পুরানো বন্ধু রয়েছে। ওরা ছিল ব্যবহারকারী। ক"&amp;"য়েক বছর আগে আমিও একই ধরণ লক্ষ্য করেছি যখন সে পুরনো ""বন্ধুদের"" সাথে যোগাযোগ রাখত এবং আড্ডা দিত যাদের সাথে সে আগে ব্যবহার করত। আমার মনে হয় আজ যে ব্যক্তিকে সে দেখেছে সে তার সরবরাহকারী।")</f>
        <v>গতকাল আমার ভাগ্নির সাথে দেখা হয়েছে। ওর ১১ টায় আসার কথা ছিল। আমি ওকে দেখতে পাইনি, তাই আমি ওকে একটা মেসেজ পাঠিয়ে বললাম যে তুমি কি এখনও ১১ টায় আসছো? জবাবে, আমার ভাগ্নির ফোন পেলাম, সে খুব উত্তেজিত হয়ে বলল, "আমি কি তোমাকে বলেছিলাম যে আমি তোমার জন্য কিছু করবো?" আমি বললাম, "না, তুমি বলেছিলে তুমি দেখা করতে চাও এবং ১১ টায় এখানে আসবো।" আমি শুধু ওর সাথে কথা বলছি। ফোন করার সময় আমি ওর গলার স্বর উঁচু করে লক্ষ্য করলাম, দ্রুত কথা বলছি কিন্তু ওর গলার স্বরটা কেমন যেন একটা ঘোলাটে। আমি ওকে বললাম, "তুমি যদি না আসো তাহলে কোন সমস্যা নেই। আমি শুধু জানতে চেয়েছিলাম। আমি আরও বললাম, "তুমি সম্পূর্ণরূপে নিস্তেজ মনে হচ্ছে, তুমি যখন ভালো বোধ করবে তখন কেন বিশ্রাম নাও এবং দেখা করো না?" আমার ভাগ্নি বলল, "না, আমাকে যাই হোক দ্বীপে আসতে হবে।" আমি বললাম, "ওহ, তুমি কি এখনও শহরের দক্ষিণ প্রান্তে কাজ করছো?" আমার ভাগ্নি বলল, না, সে কাজ করছে না এবং দ্বীপে আসার কোন কারণও জানায়নি। এটা প্রাসঙ্গিক কারণ আমি এমন এক দ্বীপে থাকি যেখানে পর্যটনই সবচেয়ে বেশি জনপ্রিয় এবং এখন জায়গাগুলো খোলা থাকে না। বছরের এই সময়ে আসার কিছু নেই। সত্যি বলতে, সে আসুক বা না আসুক তাতে কোনও পার্থক্য ছিল না। যাই হোক, প্রায় তিন ঘন্টা পরে আমার কাছে একটি ফোন আসে। আমার ভাগ্নি যদি আড্ডা দিতে চায়, তাহলে সে আমার পাশেই থাকে। আমি হ্যাঁ বলি কারণ আমি বাড়িতে আছি এবং সে এখানে আসে। সে জোরে চিৎকার করে বলছে যে সে আমার সোফা এবং চেয়ার কতটা ভালোবাসে। সে একটি ব্যবহৃত সোফা এবং চেয়ার নিয়ে অতিরিক্ত উত্তেজিত। তাছাড়া, সে আমাকে বলে যে সে আগামী ছয় মাস আর কাজ করবে না এবং বেকারত্বে থাকবে, কিন্তু একই বাক্যে সে আমাকে বলে যে তার বেকারত্বের সমস্যা আছে এবং ছয় মাস ধরে আছে। আমার ভাগ্নি কখনও বেকারত্বের ভাতা নিশ্চিত করার জন্য কিছু করেনি। আমার ভাগ্নি ইতিমধ্যেই ছয় মাস আগে একটি দাবি করেছে এবং অতিরিক্ত তথ্যের জন্য তাদের অনুরোধে কখনও সাড়া দেয়নি এবং এভাবেই পরিস্থিতি বিপর্যস্ত হয়ে পড়ে। তার মনে, সিস্টেম তার সাথে অন্যায় করেছে। আমি তার সাথে সাবধানে কথা বলেছিলাম এবং তাকে বলেছিলাম, "না, আমার মনে হয় না তারা তোমাকে ভুল বোঝানোর চেষ্টা করেছে। আমার মনে হয় তোমাকে ফোন করে রিপোর্ট করতে হয়েছিল যে তোমার ঘন্টার পর ঘন্টা কাজ ছিল এবং বেকারত্ব আর চাও না। সে খুব অস্থির এবং কখনও তা করেনি এবং এখন বলছে, "ওহ, এটা আমার সাথে ঘটছে।" এবার, পেট ফাঁপা করার অংশে আসি। সে যখন এখানে ছিল তখন আমি লক্ষ্য করলাম যে সে কীভাবে কথা বলছিল, আমি দেখতে পেলাম সে খুব দ্রুত নড়াচড়া করছে। আমরা সোফায় বসে ছিলাম ঠিক সেই সময় আমি দেখলাম আমার ভাগ্নি ঘুমাতে শুরু করেছে। এখন, আমি বুঝতে পারছি রাতের ভালো ঘুম হচ্ছে না, কিন্তু এটা ভিন্ন ছিল। আমার ভাগ্নি ঘুমাতে শুরু করার সময় যেমনটা মনে আছে ঠিক তেমনই ঘুমিয়ে পড়ছিল। আমার ভাগ্নিকে আরেকটি অদ্ভুত জিনিস আমি আমার ভাগ্নিকে জানিয়েছিলাম তা হল, আমার ভাগ্নি প্রায় ছয় মাস আগে কেমন যেন অদৃশ্য হয়ে গেল। আমরা নিয়মিত আড্ডা দিতাম এবং হঠাৎ করে সে সপ্তাহান্তে আসত না, এবং সে টেক্সট এবং ফোন কলের উত্তর দেওয়া বন্ধ করে দেয়। এটি স্বাভাবিক আচরণ নয় এবং যখন আমার ভাগ্নি এবং আমি তাকে দেখেছিলাম তখন আমরা দুজনেই একমত হয়েছিলাম যে সে স্পষ্টতই আবার মাদকাসক্ত। আমি ভয় পাচ্ছি যে আমার ভাগ্নি মাদকাসক্ত ছিল। (আফিম) এবং সে দ্বীপে আসার কারণ ছিল জার্বিল খাবার কিনতে কাউকে বাজারে নিয়ে যাওয়ার জন্য। আমার ভাগ্নি এক ঘন্টারও বেশি সময় গাড়ি চালিয়ে তার বন্ধুকে জার্বিল খাবার আনতে নিয়ে যেত। কোনভাবেই না - আমি বাজে কথা বলি। আমার মনে হয় আমার ভাগ্নি শহরের অন্য প্রান্তে দ্বীপে মাদক সংগ্রহ করতে গিয়েছিল। সে কাজ বন্ধ করে দিয়েছে, এবং এখন সে বলছে যে তার বেকারত্ব নেই এবং সে কী করবে। আমি জানি না কী করব। আমি আমার ভাগ্নিকে ডেকে বলতে চাই "তুমি ওষুধ খেয়ে ফেলেছো", কিন্তু শেষবার যখন আমি তাকে ফোন করেছিলাম তখন সে আমাকে অভিশাপ দিয়েছিল, বলেছিল যে সে মাদক গ্রহণ করেনি (সম্পূর্ণ মিথ্যা)। এরপর আমার সম্পর্কে ভয়ঙ্কর কথা বলা হয়েছিল এবং তাকে অভিযোগ করার জন্য সে আর কখনও আমার সাথে কথা বলবে না। আমার ভাগ্নি যখন তার কিছু প্রয়োজন হয়েছিল তখন আবার আমার সাথে কথা বলেছিল। এবং, আমার সম্পর্কে তার অনুভূতি সম্পর্কে তার উত্থান-পতন নিয়ে আমার কোনও সমস্যা নেই। আসল কথা হল আমি সঠিক বলেছিলাম যে সে মাদক ব্যবহার করছিল। আমি ভাবতে পারছি না যে সে এই দ্বীপে মাদক সংগ্রহ করতে এসেছিল কারণ তার পুরানো বন্ধু রয়েছে। ওরা ছিল ব্যবহারকারী। কয়েক বছর আগে আমিও একই ধরণ লক্ষ্য করেছি যখন সে পুরনো "বন্ধুদের" সাথে যোগাযোগ রাখত এবং আড্ডা দিত যাদের সাথে সে আগে ব্যবহার করত। আমার মনে হয় আজ যে ব্যক্তিকে সে দেখেছে সে তার সরবরাহকারী।</v>
      </c>
    </row>
    <row r="741" spans="1:3" ht="15" x14ac:dyDescent="0.25">
      <c r="A741" s="3" t="s">
        <v>737</v>
      </c>
      <c r="B741" s="3" t="s">
        <v>4</v>
      </c>
      <c r="C741" s="4" t="str">
        <f ca="1">IFERROR(__xludf.DUMMYFUNCTION("GOOGLETRANSLATE(A741, ""auto"", ""bn"")"),"আমি প্রায় এক সপ্তাহ আগে গাঁজা ধূমপান শুরু করেছি, এবং আমি এটা সত্যিই পছন্দ করি। আমি চিন্তিত যে আমি হয়তো কতটা এবং কতবার ধূমপান করি তা নিয়ে সীমা লঙ্ঘন করছি। তাছাড়া, আমি প্রতিদিন (৬) ধূমপান করেছি এবং কয়েকবার আমার ড্যাব পেন ব্যবহার করেছি। তাছাড়া, যখন আমি কাজ ক"&amp;"রি এবং যখন আমি জানি যে আমার কিছু করার নেই তখন আমি ধূমপান করি না। এটি আমার মেজাজ উন্নত করেছে এবং আমাকে কম আত্মহত্যা করতে বাধ্য করেছে এবং আমার সঙ্গী বলে যে আমি সবকিছু নিয়ে কম চিন্তিত তাই আমি মনে করি না যে আমি বিপজ্জনক, তবে আমি জানতে চাই কখন আমি সীমা লঙ্ঘন "&amp;"করেছি।")</f>
        <v>আমি প্রায় এক সপ্তাহ আগে গাঁজা ধূমপান শুরু করেছি, এবং আমি এটা সত্যিই পছন্দ করি। আমি চিন্তিত যে আমি হয়তো কতটা এবং কতবার ধূমপান করি তা নিয়ে সীমা লঙ্ঘন করছি। তাছাড়া, আমি প্রতিদিন (৬) ধূমপান করেছি এবং কয়েকবার আমার ড্যাব পেন ব্যবহার করেছি। তাছাড়া, যখন আমি কাজ করি এবং যখন আমি জানি যে আমার কিছু করার নেই তখন আমি ধূমপান করি না। এটি আমার মেজাজ উন্নত করেছে এবং আমাকে কম আত্মহত্যা করতে বাধ্য করেছে এবং আমার সঙ্গী বলে যে আমি সবকিছু নিয়ে কম চিন্তিত তাই আমি মনে করি না যে আমি বিপজ্জনক, তবে আমি জানতে চাই কখন আমি সীমা লঙ্ঘন করেছি।</v>
      </c>
    </row>
    <row r="742" spans="1:3" ht="15" x14ac:dyDescent="0.25">
      <c r="A742" s="3" t="s">
        <v>738</v>
      </c>
      <c r="B742" s="3" t="s">
        <v>4</v>
      </c>
      <c r="C742" s="4" t="str">
        <f ca="1">IFERROR(__xludf.DUMMYFUNCTION("GOOGLETRANSLATE(A742, ""auto"", ""bn"")"),"আমার বিবাহিত জীবনের ৩ বছর হয়ে গেছে। বিয়ের আগে আমার কেবল গাঁজা ছিল। সেটাও একবার ছিল, খুব একটা ভালো লাগেনি। ৫ বছর আগে আমার স্বামীর সাথে আমার দেখা হয়েছিল। যখন আমি তার সাথে দেখা করি তখন সে আমাকে বলেছিল এবং আমি তাকে আমার বন্ধুর সাথে কোক এবং বড়ি খাওয়ার বিষ"&amp;"য়ে কথা বলতে শুনেছিলাম। আমি এতে রাজি ছিলাম না, কিন্তু আমি কেবল তার সাথেই থেকেছিলাম কারণ এতদিন পর এমন কিছুর সাথে দেখা হয়েছিল যার জন্য আমি খুব একা ছিলাম এবং সত্যিই দেখতে চেয়েছিলাম যে সে কেমন আছে। সম্পর্ক গড়ে ওঠার সাথে সাথে সে মুখ খুলে বলল যে তার কোক এবং "&amp;"আরও অনেক কিছু আছে। আমার কেবল একটি নিয়ম ছিল এবং তা হল আমরা যে দেশে কাজ করছিলাম সেখানে তা না রাখা কারণ সেখানে এটি একটি গুরুতর অপরাধ ছিল। কিন্তু সে এখনও তা চালিয়ে যাচ্ছিল কারণ সে এটি বন্ধ করতে পারেনি। আমি সত্যিই তাকে ছেড়ে দিতে চাইনি কারণ সে একজন ভালো ছেলে"&amp;"। প্রায় ২ বছর সময় লেগেছিল এবং অবশেষে সে থামিয়ে দিয়েছিল। আমি এমনকি তাকে বলেছিলাম যে সে সত্যিই চায় যে সে বাড়ি ফিরে পার্টি করুক এবং ফিরে আসুক কারণ আমি চাইনি যে সে এখানে সবকিছু ঝুঁকির মধ্যে ফেলুক। যাই হোক, ভালো খবর হল সে এটি বন্ধ করে দিয়েছে। কোভিডের কা"&amp;"রণে আমরা দেশে ফিরে এসেছি এবং এই সমস্ত ওষুধ বিনামূল্যে পাওয়া যায়। আমরা আসার এক বছর হয়ে গেছে এবং মাত্র ৩ বার পার্টি করেছি। আমার মনে হয় এটা আমাদের করা উচিত নয়। ওর বয়স ৩০ এর শেষের দিকে এবং আমার বয়স ৩০ এর প্রথম দিকে। আমার মনে হয় এখন থামার সময় এসেছে, কিন্ত"&amp;"ু আমার মনে হয় না সেও চায়। শেষ পার্টিটা একটু বেশিই উন্মাদ ছিল কারণ আমরা এমন একটা জায়গায় গিয়েছিলাম যেখানে আমাদের বন্ধুর অন্য বন্ধুরা ছিল এবং সেখানে একজন যৌনকর্মী ছিল। আমিও খুব বেশি আনন্দিত ছিলাম না, আমিও একজন সাধুর মতো আচরণ করার চেষ্টা করছিলাম। কিন্তু আমার "&amp;"সেখানে থাকার কথা ছিল না। সেখানে ১০ জন ছেলে ছিল, দুজন যৌনকর্মী এবং আমি। আমার স্বামীর বন্ধু আমাকে ঘুষ দেওয়ার জন্য তার উপর খুব রেগে ছিল। আর এখন ৪ দিন পরও আমি আর আমার স্বামী এত মাদক সেবনের পরও বিষণ্ণ বোধ করছি। এমনকি এটা কয়েকবার ঘটেছে, আমার মনে হয় এটা ভালো জিন"&amp;"িস নয়। দয়া করে বলুন আমার কী করা উচিত।")</f>
        <v>আমার বিবাহিত জীবনের ৩ বছর হয়ে গেছে। বিয়ের আগে আমার কেবল গাঁজা ছিল। সেটাও একবার ছিল, খুব একটা ভালো লাগেনি। ৫ বছর আগে আমার স্বামীর সাথে আমার দেখা হয়েছিল। যখন আমি তার সাথে দেখা করি তখন সে আমাকে বলেছিল এবং আমি তাকে আমার বন্ধুর সাথে কোক এবং বড়ি খাওয়ার বিষয়ে কথা বলতে শুনেছিলাম। আমি এতে রাজি ছিলাম না, কিন্তু আমি কেবল তার সাথেই থেকেছিলাম কারণ এতদিন পর এমন কিছুর সাথে দেখা হয়েছিল যার জন্য আমি খুব একা ছিলাম এবং সত্যিই দেখতে চেয়েছিলাম যে সে কেমন আছে। সম্পর্ক গড়ে ওঠার সাথে সাথে সে মুখ খুলে বলল যে তার কোক এবং আরও অনেক কিছু আছে। আমার কেবল একটি নিয়ম ছিল এবং তা হল আমরা যে দেশে কাজ করছিলাম সেখানে তা না রাখা কারণ সেখানে এটি একটি গুরুতর অপরাধ ছিল। কিন্তু সে এখনও তা চালিয়ে যাচ্ছিল কারণ সে এটি বন্ধ করতে পারেনি। আমি সত্যিই তাকে ছেড়ে দিতে চাইনি কারণ সে একজন ভালো ছেলে। প্রায় ২ বছর সময় লেগেছিল এবং অবশেষে সে থামিয়ে দিয়েছিল। আমি এমনকি তাকে বলেছিলাম যে সে সত্যিই চায় যে সে বাড়ি ফিরে পার্টি করুক এবং ফিরে আসুক কারণ আমি চাইনি যে সে এখানে সবকিছু ঝুঁকির মধ্যে ফেলুক। যাই হোক, ভালো খবর হল সে এটি বন্ধ করে দিয়েছে। কোভিডের কারণে আমরা দেশে ফিরে এসেছি এবং এই সমস্ত ওষুধ বিনামূল্যে পাওয়া যায়। আমরা আসার এক বছর হয়ে গেছে এবং মাত্র ৩ বার পার্টি করেছি। আমার মনে হয় এটা আমাদের করা উচিত নয়। ওর বয়স ৩০ এর শেষের দিকে এবং আমার বয়স ৩০ এর প্রথম দিকে। আমার মনে হয় এখন থামার সময় এসেছে, কিন্তু আমার মনে হয় না সেও চায়। শেষ পার্টিটা একটু বেশিই উন্মাদ ছিল কারণ আমরা এমন একটা জায়গায় গিয়েছিলাম যেখানে আমাদের বন্ধুর অন্য বন্ধুরা ছিল এবং সেখানে একজন যৌনকর্মী ছিল। আমিও খুব বেশি আনন্দিত ছিলাম না, আমিও একজন সাধুর মতো আচরণ করার চেষ্টা করছিলাম। কিন্তু আমার সেখানে থাকার কথা ছিল না। সেখানে ১০ জন ছেলে ছিল, দুজন যৌনকর্মী এবং আমি। আমার স্বামীর বন্ধু আমাকে ঘুষ দেওয়ার জন্য তার উপর খুব রেগে ছিল। আর এখন ৪ দিন পরও আমি আর আমার স্বামী এত মাদক সেবনের পরও বিষণ্ণ বোধ করছি। এমনকি এটা কয়েকবার ঘটেছে, আমার মনে হয় এটা ভালো জিনিস নয়। দয়া করে বলুন আমার কী করা উচিত।</v>
      </c>
    </row>
    <row r="743" spans="1:3" ht="15" x14ac:dyDescent="0.25">
      <c r="A743" s="3" t="s">
        <v>739</v>
      </c>
      <c r="B743" s="3" t="s">
        <v>4</v>
      </c>
      <c r="C743" s="4" t="str">
        <f ca="1">IFERROR(__xludf.DUMMYFUNCTION("GOOGLETRANSLATE(A743, ""auto"", ""bn"")"),"এটা হয়তো বোকামি শোনাতে পারে, কিন্তু এগুলো আসলে ""গুরুতর"" কিছু নয়। এটা আসলে এক্সট্রা স্ট্রেংথ টাইলেনল বড়ি, কিন্তু যখনই সে জিজ্ঞাসা করে যে আমার মাথাব্যথা হয়েছে কিনা, আমি তাকে হ্যাঁ বলি কারণ আমি বড়িগুলো খাচ্ছি। তারা ওয়ালমার্টে এগুলোর একটি বড় বোতল বিক"&amp;"্রি করে, এবং আমার কাছে এগুলো কেনার টাকা আছে। আমি জানি না যদি আমি প্রায় প্রতিদিন এত বেশি খাই তাহলে তারা আমার কী ক্ষতি করতে পারে।")</f>
        <v>এটা হয়তো বোকামি শোনাতে পারে, কিন্তু এগুলো আসলে "গুরুতর" কিছু নয়। এটা আসলে এক্সট্রা স্ট্রেংথ টাইলেনল বড়ি, কিন্তু যখনই সে জিজ্ঞাসা করে যে আমার মাথাব্যথা হয়েছে কিনা, আমি তাকে হ্যাঁ বলি কারণ আমি বড়িগুলো খাচ্ছি। তারা ওয়ালমার্টে এগুলোর একটি বড় বোতল বিক্রি করে, এবং আমার কাছে এগুলো কেনার টাকা আছে। আমি জানি না যদি আমি প্রায় প্রতিদিন এত বেশি খাই তাহলে তারা আমার কী ক্ষতি করতে পারে।</v>
      </c>
    </row>
    <row r="744" spans="1:3" ht="15" x14ac:dyDescent="0.25">
      <c r="A744" s="3" t="s">
        <v>740</v>
      </c>
      <c r="B744" s="3" t="s">
        <v>4</v>
      </c>
      <c r="C744" s="4" t="str">
        <f ca="1">IFERROR(__xludf.DUMMYFUNCTION("GOOGLETRANSLATE(A744, ""auto"", ""bn"")"),"আমার বয়স (৩৩ ফুট) এবং আমি আমার সঙ্গীর (৩১ মি) ব্যক্তিত্বের উল্লেখযোগ্য পরিবর্তন লক্ষ্য করেছি। সে সবসময় আবেগ নিয়ন্ত্রণের সাথে লড়াই করে এবং তার পরিবারের সকল পক্ষ থেকেই মদ্যপানের একটি খুব শক্তিশালী ইতিহাস রয়েছে। ফলস্বরূপ সে মদ্যপান করে না। তাছাড়া, সে কল"&amp;"েজ থেকে প্রতিদিন গাঁজা ব্যবহার করে আসছে এবং সম্প্রতি আমি তার ব্যক্তিত্বে বিশাল পরিবর্তন লক্ষ্য করেছি। সে খুব আক্রমণাত্মক, অভিযোগকারী এবং বেশিরভাগ সময়ই রাগান্বিত। তার থেকে একেবারেই আলাদা। আমাদের সম্পর্কের যে কোনও সময় আমি তার অতিরিক্ত গাঁজা ব্যবহারের কথা "&amp;"উল্লেখ করেছি, এটি একটি তর্ক-বিতর্কে পরিণত হয়। সে সারা দিন, প্রতিদিন, কর্মক্ষেত্র ছাড়া ব্যবহার করে। সপ্তাহান্তে, সে ঘুম থেকে ওঠার মুহূর্ত থেকে ঘুমাতে যাওয়ার আগ পর্যন্ত ভেপিং করে এবং সপ্তাহের দিনগুলিতে সে বাড়ি ফিরে ঘুমাতে যাওয়ার আগ পর্যন্ত ব্যবহার করে।"&amp;" সে নিজেকে সান্ত্বনা দেওয়ার জন্য, উদযাপন করার জন্য - কেবল সবকিছুর জন্য - আগাছা ব্যবহার করে। আমি একবার জিজ্ঞাসা করেছিলাম যে আমাদের কি একটি ""শান্ত দিন"" থাকতে পারে? এক সপ্তাহ এবং এটি একটি বিশাল তর্কের জন্ম দেয়। আমাকে সবসময় বলা হয় যে গাঁজা নেশাগ্রস্ত কর"&amp;"ে না, এবং এর অপব্যবহার করা যায় না, এবং আমি জানি এটি সত্য নয়। আমার মনে হচ্ছে এটি একটি খুব অন্ধকার মোড় ঘুরিয়ে দিচ্ছে এবং রাগ এবং অভিক্ষেপ তার ব্যক্তিত্বের ব্যতিক্রম ছিল, এখন এটি একটি দৈনন্দিন বাস্তবতা হয়ে উঠেছে। তাছাড়া, আমি জানি না কী করব। আমি কীভাবে এ"&amp;"টি মোকাবেলা করব?")</f>
        <v>আমার বয়স (৩৩ ফুট) এবং আমি আমার সঙ্গীর (৩১ মি) ব্যক্তিত্বের উল্লেখযোগ্য পরিবর্তন লক্ষ্য করেছি। সে সবসময় আবেগ নিয়ন্ত্রণের সাথে লড়াই করে এবং তার পরিবারের সকল পক্ষ থেকেই মদ্যপানের একটি খুব শক্তিশালী ইতিহাস রয়েছে। ফলস্বরূপ সে মদ্যপান করে না। তাছাড়া, সে কলেজ থেকে প্রতিদিন গাঁজা ব্যবহার করে আসছে এবং সম্প্রতি আমি তার ব্যক্তিত্বে বিশাল পরিবর্তন লক্ষ্য করেছি। সে খুব আক্রমণাত্মক, অভিযোগকারী এবং বেশিরভাগ সময়ই রাগান্বিত। তার থেকে একেবারেই আলাদা। আমাদের সম্পর্কের যে কোনও সময় আমি তার অতিরিক্ত গাঁজা ব্যবহারের কথা উল্লেখ করেছি, এটি একটি তর্ক-বিতর্কে পরিণত হয়। সে সারা দিন, প্রতিদিন, কর্মক্ষেত্র ছাড়া ব্যবহার করে। সপ্তাহান্তে, সে ঘুম থেকে ওঠার মুহূর্ত থেকে ঘুমাতে যাওয়ার আগ পর্যন্ত ভেপিং করে এবং সপ্তাহের দিনগুলিতে সে বাড়ি ফিরে ঘুমাতে যাওয়ার আগ পর্যন্ত ব্যবহার করে। সে নিজেকে সান্ত্বনা দেওয়ার জন্য, উদযাপন করার জন্য - কেবল সবকিছুর জন্য - আগাছা ব্যবহার করে। আমি একবার জিজ্ঞাসা করেছিলাম যে আমাদের কি একটি "শান্ত দিন" থাকতে পারে? এক সপ্তাহ এবং এটি একটি বিশাল তর্কের জন্ম দেয়। আমাকে সবসময় বলা হয় যে গাঁজা নেশাগ্রস্ত করে না, এবং এর অপব্যবহার করা যায় না, এবং আমি জানি এটি সত্য নয়। আমার মনে হচ্ছে এটি একটি খুব অন্ধকার মোড় ঘুরিয়ে দিচ্ছে এবং রাগ এবং অভিক্ষেপ তার ব্যক্তিত্বের ব্যতিক্রম ছিল, এখন এটি একটি দৈনন্দিন বাস্তবতা হয়ে উঠেছে। তাছাড়া, আমি জানি না কী করব। আমি কীভাবে এটি মোকাবেলা করব?</v>
      </c>
    </row>
    <row r="745" spans="1:3" ht="15" x14ac:dyDescent="0.25">
      <c r="A745" s="3" t="s">
        <v>741</v>
      </c>
      <c r="B745" s="3" t="s">
        <v>4</v>
      </c>
      <c r="C745" s="4" t="str">
        <f ca="1">IFERROR(__xludf.DUMMYFUNCTION("GOOGLETRANSLATE(A745, ""auto"", ""bn"")"),"শিরোনামটা মূলত। আমি টাকা খরচ করা বন্ধ করতে পারছি না। অনলাইনে ঠিক আছে, কিন্তু যখনই আমি বাইরে যাই তখনই আমি বিভিন্ন জিনিসপত্র কিনে খাই, আর এখন আমি একটি হোম ডেকোর/ফার্নিচারের দোকানে চাকরি করি। আমি সেখানে অনেক টাকা খরচ করেছি, আমার জমানো টাকা পুড়িয়ে ফেলেছি এব"&amp;"ং ক্রিসমাস এবং ব্ল্যাক ফ্রাইডে আসার সাথে সাথে আমি নিজেকে কীভাবে নিয়ন্ত্রণ করব তা বুঝতে পারছি না। আমি এতটাই উদ্বিগ্ন যে আমি এতটাই আসক্ত হয়ে পড়ি যে আমি যুক্তিসঙ্গতভাবে চিন্তা করা বন্ধ করে দিই এবং আমার জীবন নষ্ট করে দেই। এটি আমার বিষণ্ণতা এবং উদ্বেগ কমাতে"&amp;" সাহায্য করে, বরং তাদের (বেশিরভাগ ক্ষেত্রেই উদ্বেগ) কারণও হয়। পুনরুদ্ধারের সময় আমি যে কোনও অন্তর্দৃষ্টি, ব্যক্তিগত অভিজ্ঞতা, ফাঁদে পড়তে পারি ইত্যাদি স্বাগত।")</f>
        <v>শিরোনামটা মূলত। আমি টাকা খরচ করা বন্ধ করতে পারছি না। অনলাইনে ঠিক আছে, কিন্তু যখনই আমি বাইরে যাই তখনই আমি বিভিন্ন জিনিসপত্র কিনে খাই, আর এখন আমি একটি হোম ডেকোর/ফার্নিচারের দোকানে চাকরি করি। আমি সেখানে অনেক টাকা খরচ করেছি, আমার জমানো টাকা পুড়িয়ে ফেলেছি এবং ক্রিসমাস এবং ব্ল্যাক ফ্রাইডে আসার সাথে সাথে আমি নিজেকে কীভাবে নিয়ন্ত্রণ করব তা বুঝতে পারছি না। আমি এতটাই উদ্বিগ্ন যে আমি এতটাই আসক্ত হয়ে পড়ি যে আমি যুক্তিসঙ্গতভাবে চিন্তা করা বন্ধ করে দিই এবং আমার জীবন নষ্ট করে দেই। এটি আমার বিষণ্ণতা এবং উদ্বেগ কমাতে সাহায্য করে, বরং তাদের (বেশিরভাগ ক্ষেত্রেই উদ্বেগ) কারণও হয়। পুনরুদ্ধারের সময় আমি যে কোনও অন্তর্দৃষ্টি, ব্যক্তিগত অভিজ্ঞতা, ফাঁদে পড়তে পারি ইত্যাদি স্বাগত।</v>
      </c>
    </row>
    <row r="746" spans="1:3" ht="15" x14ac:dyDescent="0.25">
      <c r="A746" s="3" t="s">
        <v>742</v>
      </c>
      <c r="B746" s="3" t="s">
        <v>4</v>
      </c>
      <c r="C746" s="4" t="str">
        <f ca="1">IFERROR(__xludf.DUMMYFUNCTION("GOOGLETRANSLATE(A746, ""auto"", ""bn"")"),"আমার স্বামী একজন মাদকাসক্ত এবং তিনি আমাকে তার আসক্তি থেকে বিরত থাকতে বলেছেন, এমনকি যদি তা তার দৃষ্টির বাইরেও থাকে। (তিনি সুস্থ হয়ে উঠছেন কিন্তু আমাকেও তা ত্যাগ করতে বলছেন) আমার কাছ থেকে এটা চাওয়া কি ন্যায্য? যদি আমি এটা পরিমিতভাবে করতে পারি এবং আমাদের ব"&amp;"িবাহের জন্য কোনও সমস্যা না হয়, তাহলে কি আমাকে আসলেই এটা ত্যাগ করতে হবে কারণ তিনিই সমস্যায় ভুগছেন? এটা এমন নয় যে তিনি জানতেন এবং যদি তিনি জানতেন, তাহলে আমাকে থামতে বলা কি তার ভণ্ডামি হবে না? আমি সত্যিই জানতে চাই, আমি একজন মাদকাসক্তের মন বুঝতে পারি না, এ"&amp;"বং আমি আশা করছি আপনারা আমার জন্য এই বিষয়ে কিছু আলোকপাত করতে পারবেন। আমি সম্প্রতি গত দেড় মাসে আবিষ্কার করেছি যে তার একটি সমস্যা আছে, এবং আমি এখনও এটি কীভাবে মোকাবেলা করতে হবে তা বোঝার চেষ্টা করছি। তাছাড়া, আমি জানি যে আমি আসক্তি কী তা সম্পর্কে অস্পষ্ট এব"&amp;"ং এর কারণ হল অনেক লোক এটিকে একটি সমস্যা বলে মনে করে না, এবং আমি এই কারণে ভাগ করে নিতে কিছুটা দ্বিধা বোধ করি।")</f>
        <v>আমার স্বামী একজন মাদকাসক্ত এবং তিনি আমাকে তার আসক্তি থেকে বিরত থাকতে বলেছেন, এমনকি যদি তা তার দৃষ্টির বাইরেও থাকে। (তিনি সুস্থ হয়ে উঠছেন কিন্তু আমাকেও তা ত্যাগ করতে বলছেন) আমার কাছ থেকে এটা চাওয়া কি ন্যায্য? যদি আমি এটা পরিমিতভাবে করতে পারি এবং আমাদের বিবাহের জন্য কোনও সমস্যা না হয়, তাহলে কি আমাকে আসলেই এটা ত্যাগ করতে হবে কারণ তিনিই সমস্যায় ভুগছেন? এটা এমন নয় যে তিনি জানতেন এবং যদি তিনি জানতেন, তাহলে আমাকে থামতে বলা কি তার ভণ্ডামি হবে না? আমি সত্যিই জানতে চাই, আমি একজন মাদকাসক্তের মন বুঝতে পারি না, এবং আমি আশা করছি আপনারা আমার জন্য এই বিষয়ে কিছু আলোকপাত করতে পারবেন। আমি সম্প্রতি গত দেড় মাসে আবিষ্কার করেছি যে তার একটি সমস্যা আছে, এবং আমি এখনও এটি কীভাবে মোকাবেলা করতে হবে তা বোঝার চেষ্টা করছি। তাছাড়া, আমি জানি যে আমি আসক্তি কী তা সম্পর্কে অস্পষ্ট এবং এর কারণ হল অনেক লোক এটিকে একটি সমস্যা বলে মনে করে না, এবং আমি এই কারণে ভাগ করে নিতে কিছুটা দ্বিধা বোধ করি।</v>
      </c>
    </row>
    <row r="747" spans="1:3" ht="15" x14ac:dyDescent="0.25">
      <c r="A747" s="3" t="s">
        <v>743</v>
      </c>
      <c r="B747" s="3" t="s">
        <v>4</v>
      </c>
      <c r="C747" s="4" t="str">
        <f ca="1">IFERROR(__xludf.DUMMYFUNCTION("GOOGLETRANSLATE(A747, ""auto"", ""bn"")"),"আমি নিশ্চিত, আমি, ২৯ বছর বয়সী, এত স্বার্থপর শোনাবো যে একটু সাবধান হওয়ার জন্য। আমার স্বামী, ৩৩ বছর বয়সী, অনেক দিন ধরেই ব্যথানাশক ওষুধের প্রতি আসক্ত। সম্প্রতি আর্থিক এবং মানসিকভাবে (অন্তত আমার উপর) অবস্থা আরও খারাপ হয়ে গেছে। অবশেষে আমি তাকে বললাম যে আমি আ"&amp;"র এটা সহ্য করতে পারছি না এবং তাকে এখনই সিদ্ধান্ত নিতে হবে, আমার বা ওষুধের। সে বললো যে সে তখনই থামবে এবং ঘরে থাকা সমস্ত বড়ি আমাকে দিয়েছিল। ২ দিন হয়ে গেছে এবং প্রত্যাহার অসহনীয় হয়ে উঠেছে। আমি জানি সে সত্যিই চেষ্টা করছে কিন্তু সে যা বলে তা অত্যন্ত কষ্টক"&amp;"র। আমি তার সাথে এটা করছি, আমি তাকে এত ব্যথা দিচ্ছি, বড়িগুলো তাকে মেরে ফেলবে না, ডিটক্স। আমি বুঝতে পারছি সে অসহনীয় ব্যথায় ভুগছে এবং তার বড়িগুলো খেতে চাইছে। সে প্রতি ৪-৫ ঘন্টা অন্তর ৪-৫টি অক্সিকোডোন বড়ি খেয়েছে, কিন্তু সে কোনও ডিটক্স সাহায্যের জন্য কোন"&amp;"ও চিকিৎসা কেন্দ্র বা ডাক্তারের কাছে যেতে রাজি নয়। কিন্তু এই মুহূর্তে আমার মনে হচ্ছে আমি ভুল করছি। ওগুলো নিয়ে সে আমাকে কষ্ট দিচ্ছিল না এবং টাকা তো শুধু টাকা। যতক্ষণ পর্যন্ত আমাদের বেঁচে থাকার জন্য ন্যূনতম কিছু আছে, ততক্ষণ আমার এর চেয়ে বেশি কিছুর প্রয়োজ"&amp;"ন নেই। আমি কী করব বুঝতে পারছি না, আমার মনে হচ্ছে আমি তাকে এই যন্ত্রণার মধ্য দিয়ে যাচ্ছি এবং এটা আমাকে মেরে ফেলছে।")</f>
        <v>আমি নিশ্চিত, আমি, ২৯ বছর বয়সী, এত স্বার্থপর শোনাবো যে একটু সাবধান হওয়ার জন্য। আমার স্বামী, ৩৩ বছর বয়সী, অনেক দিন ধরেই ব্যথানাশক ওষুধের প্রতি আসক্ত। সম্প্রতি আর্থিক এবং মানসিকভাবে (অন্তত আমার উপর) অবস্থা আরও খারাপ হয়ে গেছে। অবশেষে আমি তাকে বললাম যে আমি আর এটা সহ্য করতে পারছি না এবং তাকে এখনই সিদ্ধান্ত নিতে হবে, আমার বা ওষুধের। সে বললো যে সে তখনই থামবে এবং ঘরে থাকা সমস্ত বড়ি আমাকে দিয়েছিল। ২ দিন হয়ে গেছে এবং প্রত্যাহার অসহনীয় হয়ে উঠেছে। আমি জানি সে সত্যিই চেষ্টা করছে কিন্তু সে যা বলে তা অত্যন্ত কষ্টকর। আমি তার সাথে এটা করছি, আমি তাকে এত ব্যথা দিচ্ছি, বড়িগুলো তাকে মেরে ফেলবে না, ডিটক্স। আমি বুঝতে পারছি সে অসহনীয় ব্যথায় ভুগছে এবং তার বড়িগুলো খেতে চাইছে। সে প্রতি ৪-৫ ঘন্টা অন্তর ৪-৫টি অক্সিকোডোন বড়ি খেয়েছে, কিন্তু সে কোনও ডিটক্স সাহায্যের জন্য কোনও চিকিৎসা কেন্দ্র বা ডাক্তারের কাছে যেতে রাজি নয়। কিন্তু এই মুহূর্তে আমার মনে হচ্ছে আমি ভুল করছি। ওগুলো নিয়ে সে আমাকে কষ্ট দিচ্ছিল না এবং টাকা তো শুধু টাকা। যতক্ষণ পর্যন্ত আমাদের বেঁচে থাকার জন্য ন্যূনতম কিছু আছে, ততক্ষণ আমার এর চেয়ে বেশি কিছুর প্রয়োজন নেই। আমি কী করব বুঝতে পারছি না, আমার মনে হচ্ছে আমি তাকে এই যন্ত্রণার মধ্য দিয়ে যাচ্ছি এবং এটা আমাকে মেরে ফেলছে।</v>
      </c>
    </row>
    <row r="748" spans="1:3" ht="15" x14ac:dyDescent="0.25">
      <c r="A748" s="3" t="s">
        <v>744</v>
      </c>
      <c r="B748" s="3" t="s">
        <v>4</v>
      </c>
      <c r="C748" s="4" t="str">
        <f ca="1">IFERROR(__xludf.DUMMYFUNCTION("GOOGLETRANSLATE(A748, ""auto"", ""bn"")"),"আমার বোন মারা গেছে আমার বোন গতকাল অতিরিক্ত মাদক সেবনের কারণে মারা গেছে। ময়নাতদন্তের আগে আমরা আর বেশি কিছু জানতে পারব না। পরিবারের সদস্যদের জন্য কাউন্সেলিং পরিষেবা চালু আছে। ভবিষ্যতে (অথবা এখন) তার বাচ্চাদের প্রশ্ন থাকবে। আমরা তার মানসিক স্বাস্থ্য সমস্যাগ"&amp;"ুলি কীভাবে ব্যাখ্যা করব এবং যখন তারা বুঝতে সক্ষম হবে তখন কী হয়েছিল?")</f>
        <v>আমার বোন মারা গেছে আমার বোন গতকাল অতিরিক্ত মাদক সেবনের কারণে মারা গেছে। ময়নাতদন্তের আগে আমরা আর বেশি কিছু জানতে পারব না। পরিবারের সদস্যদের জন্য কাউন্সেলিং পরিষেবা চালু আছে। ভবিষ্যতে (অথবা এখন) তার বাচ্চাদের প্রশ্ন থাকবে। আমরা তার মানসিক স্বাস্থ্য সমস্যাগুলি কীভাবে ব্যাখ্যা করব এবং যখন তারা বুঝতে সক্ষম হবে তখন কী হয়েছিল?</v>
      </c>
    </row>
    <row r="749" spans="1:3" ht="15" x14ac:dyDescent="0.25">
      <c r="A749" s="3" t="s">
        <v>745</v>
      </c>
      <c r="B749" s="3" t="s">
        <v>4</v>
      </c>
      <c r="C749" s="4" t="str">
        <f ca="1">IFERROR(__xludf.DUMMYFUNCTION("GOOGLETRANSLATE(A749, ""auto"", ""bn"")"),"আমি এখন খুব হতাশ। আমার এক বন্ধু আছে যাকে আমি খুব ভালোবাসি। মেথামফেটামিনের সাথে ২ বছরের আসক্তি থেকে তারা এখন ২৪০+ দিন মুক্ত। সুস্থ হওয়ার পর থেকে তারা ঘুমাতে পারেনি, এবং তারা সপ্তাহে দু'বার খায়। আমি তাদের ঘুমাতে সাহায্য করার চেষ্টা করছি এবং তারা যখনই আমার"&amp;" সাথে থাকে তখনই খায় তা নিশ্চিত করছি। তাকে ঘুমাতে সাহায্য করার জন্য আমার প্রচেষ্টা সফল হয়নি, এবং তাদের ঘুম না আসা দেখে আমার খুব কষ্ট হয় এবং আমি দেখতে পাচ্ছি যে তারা ব্যথা করছে, এবং আমার মনে হয় আমি সাহায্য করার জন্য যা চেষ্টা করি তা কাজ করে না। ঘুমের বি"&amp;"ষয়টি হল আমি আসলে যা সাহায্য করতে চাই। যদি কেউ তাদের ঘুমাতে সাহায্য করার জন্য কিছু পরামর্শ দিতে পারেন তবে তা আশ্চর্যজনক হবে, ধন্যবাদ।")</f>
        <v>আমি এখন খুব হতাশ। আমার এক বন্ধু আছে যাকে আমি খুব ভালোবাসি। মেথামফেটামিনের সাথে ২ বছরের আসক্তি থেকে তারা এখন ২৪০+ দিন মুক্ত। সুস্থ হওয়ার পর থেকে তারা ঘুমাতে পারেনি, এবং তারা সপ্তাহে দু'বার খায়। আমি তাদের ঘুমাতে সাহায্য করার চেষ্টা করছি এবং তারা যখনই আমার সাথে থাকে তখনই খায় তা নিশ্চিত করছি। তাকে ঘুমাতে সাহায্য করার জন্য আমার প্রচেষ্টা সফল হয়নি, এবং তাদের ঘুম না আসা দেখে আমার খুব কষ্ট হয় এবং আমি দেখতে পাচ্ছি যে তারা ব্যথা করছে, এবং আমার মনে হয় আমি সাহায্য করার জন্য যা চেষ্টা করি তা কাজ করে না। ঘুমের বিষয়টি হল আমি আসলে যা সাহায্য করতে চাই। যদি কেউ তাদের ঘুমাতে সাহায্য করার জন্য কিছু পরামর্শ দিতে পারেন তবে তা আশ্চর্যজনক হবে, ধন্যবাদ।</v>
      </c>
    </row>
    <row r="750" spans="1:3" ht="15" x14ac:dyDescent="0.25">
      <c r="A750" s="3" t="s">
        <v>746</v>
      </c>
      <c r="B750" s="3" t="s">
        <v>4</v>
      </c>
      <c r="C750" s="4" t="str">
        <f ca="1">IFERROR(__xludf.DUMMYFUNCTION("GOOGLETRANSLATE(A750, ""auto"", ""bn"")"),"তাই আমি বেশ কিছুদিন ধরে (৩ মাস) সুস্থ আছি এবং আমি সুস্থ হওয়ার আগে (৮ মাস) থেকে আমার বয়ফ্রেন্ডের সাথেই থাকি। এখন যেহেতু আমি সুস্থ, আমি লক্ষ্য করতে শুরু করেছি যে সে এখনও ওপিওয়েড এবং আপার ব্যবহার করছে যা আমার মানসিক সুস্থতার উপর প্রভাব ফেলছে। আমি আসলে কী "&amp;"করব তা নিশ্চিত নই। যখন আমি পুনর্বাসনে গিয়েছিলাম তখন আমি তাকে আসতে বলেছিলাম যাতে আমরা একসাথে এটি করতে পারি, সে বিশেষভাবে বলেছিল? না? সে শীঘ্রই সুস্থ হতে প্রস্তুত নয়। ??। আমি সেই সময়ে এটিকে সম্মান করেছিলাম কারণ আমি জানতাম যে পরিষ্কার হতে আমার কত সময় লেগ"&amp;"েছে। যাইহোক, সমস্যা হল আমার মনে হয় যে আমি তার একসাথে থাকা বছরের তুলনায় অনেক বেশি দায়িত্ব নিচ্ছি। আমি পুনর্বাসনে গিয়েছিলাম, পরিষ্কার হয়েছি, পরিষ্কার থাকছি, পূর্ণকালীন কাজ খুঁজতে শুরু করেছি, একই সাথে আমার সম্পর্ক এবং পার্শ্ব ব্যবসা ইত্যাদিতে মনোযোগ দিচ"&amp;"্ছি। সে একজন ঠিকাদার এবং সীমিত কাজ পায় এবং যখন সে বেশিরভাগ দিন ছুটি পায় তখন সে মাঝে মাঝে ৪৮ ঘন্টা কম্পিউটারে বসে থাকে এবং পডকাস্ট শোনে এবং গান বানায়। এটুকুই। আমি সঙ্গীত তৈরির প্রতি শ্রদ্ধা জানাই, কিন্তু সে নিয়মিত চাকরি পেতে বা ঘরের জিনিসপত্র দেখাশোনা "&amp;"করতে উৎসাহিত নয়। আমার মনে হয় আমি প্রেমে পড়ে যাচ্ছি এবং কিছু পরামর্শ চাই। ধন্যবাদ।")</f>
        <v>তাই আমি বেশ কিছুদিন ধরে (৩ মাস) সুস্থ আছি এবং আমি সুস্থ হওয়ার আগে (৮ মাস) থেকে আমার বয়ফ্রেন্ডের সাথেই থাকি। এখন যেহেতু আমি সুস্থ, আমি লক্ষ্য করতে শুরু করেছি যে সে এখনও ওপিওয়েড এবং আপার ব্যবহার করছে যা আমার মানসিক সুস্থতার উপর প্রভাব ফেলছে। আমি আসলে কী করব তা নিশ্চিত নই। যখন আমি পুনর্বাসনে গিয়েছিলাম তখন আমি তাকে আসতে বলেছিলাম যাতে আমরা একসাথে এটি করতে পারি, সে বিশেষভাবে বলেছিল? না? সে শীঘ্রই সুস্থ হতে প্রস্তুত নয়। ??। আমি সেই সময়ে এটিকে সম্মান করেছিলাম কারণ আমি জানতাম যে পরিষ্কার হতে আমার কত সময় লেগেছে। যাইহোক, সমস্যা হল আমার মনে হয় যে আমি তার একসাথে থাকা বছরের তুলনায় অনেক বেশি দায়িত্ব নিচ্ছি। আমি পুনর্বাসনে গিয়েছিলাম, পরিষ্কার হয়েছি, পরিষ্কার থাকছি, পূর্ণকালীন কাজ খুঁজতে শুরু করেছি, একই সাথে আমার সম্পর্ক এবং পার্শ্ব ব্যবসা ইত্যাদিতে মনোযোগ দিচ্ছি। সে একজন ঠিকাদার এবং সীমিত কাজ পায় এবং যখন সে বেশিরভাগ দিন ছুটি পায় তখন সে মাঝে মাঝে ৪৮ ঘন্টা কম্পিউটারে বসে থাকে এবং পডকাস্ট শোনে এবং গান বানায়। এটুকুই। আমি সঙ্গীত তৈরির প্রতি শ্রদ্ধা জানাই, কিন্তু সে নিয়মিত চাকরি পেতে বা ঘরের জিনিসপত্র দেখাশোনা করতে উৎসাহিত নয়। আমার মনে হয় আমি প্রেমে পড়ে যাচ্ছি এবং কিছু পরামর্শ চাই। ধন্যবাদ।</v>
      </c>
    </row>
    <row r="751" spans="1:3" ht="15" x14ac:dyDescent="0.25">
      <c r="A751" s="3" t="s">
        <v>747</v>
      </c>
      <c r="B751" s="3" t="s">
        <v>4</v>
      </c>
      <c r="C751" s="4" t="str">
        <f ca="1">IFERROR(__xludf.DUMMYFUNCTION("GOOGLETRANSLATE(A751, ""auto"", ""bn"")"),"ডিসকর্ডের নেশা কি সম্ভব? আমি দিনে ১৬-২০ ঘন্টা ধরে ডিসকর্ডে ভুগছি, লোকজনকে টেক্সট করছি এবং সার্ভারে কথা বলছি। এখন, আমি হাই স্কুলের ছাত্র হিসেবে ছয়টি ক্লাসে ফেল করছি। দ্বিতীয় বর্ষে আমি ৫৪২ জনের মধ্যে ৯ নম্বরে ছিলাম, অনার্স এবং এপি ক্লাসে কথা বলছিলাম, এবং "&amp;"এখন আমি সেই ক্লাসগুলির অনেকগুলি থেকে বাদ পড়েছি এবং সিনিয়র হিসাবে আমার র‍্যাঙ্ক প্রায় ২০০। সমস্যা হল, আমি স্কুলের কাজ, মজা, সাহায্য, পরামর্শ, ভিডিও ইত্যাদির জন্য অনেক লোকের সাথে যোগাযোগ করার জন্য ডিসকর্ড ব্যবহার করি। গতকাল বিকেল ৫টায়, আমি আমার ডিসকর্ড "&amp;"অ্যাকাউন্ট স্থায়ীভাবে মুছে ফেলার সাহস করেছিলাম। এটি আসলে ডিলিট করতে প্রায় দুই থেকে চার সপ্তাহ সময় লাগবে। যাইহোক, এখন আমি সত্যিই জানি না আমার সময় দিয়ে কী করব, বা কীভাবে পুনরুদ্ধার করব এবং নিজেকে উন্নত করব। উপরন্তু, সবাই কলেজে আবেদন করছে, এবং আমি চাই ন"&amp;"া কলেজগুলি আমাকে ব্যর্থ ভাবুক কারণ আমি আসলেই সক্ষম এবং আমার অনেক সম্ভাবনা আছে, কিন্তু আমার ডিসকর্ডের নেশা আছে যা একের পর এক খাওয়ার আসক্তির দিকে পরিচালিত করে। পুনরুদ্ধারের পদক্ষেপ সম্পর্কে কোন পরামর্শ?")</f>
        <v>ডিসকর্ডের নেশা কি সম্ভব? আমি দিনে ১৬-২০ ঘন্টা ধরে ডিসকর্ডে ভুগছি, লোকজনকে টেক্সট করছি এবং সার্ভারে কথা বলছি। এখন, আমি হাই স্কুলের ছাত্র হিসেবে ছয়টি ক্লাসে ফেল করছি। দ্বিতীয় বর্ষে আমি ৫৪২ জনের মধ্যে ৯ নম্বরে ছিলাম, অনার্স এবং এপি ক্লাসে কথা বলছিলাম, এবং এখন আমি সেই ক্লাসগুলির অনেকগুলি থেকে বাদ পড়েছি এবং সিনিয়র হিসাবে আমার র‍্যাঙ্ক প্রায় ২০০। সমস্যা হল, আমি স্কুলের কাজ, মজা, সাহায্য, পরামর্শ, ভিডিও ইত্যাদির জন্য অনেক লোকের সাথে যোগাযোগ করার জন্য ডিসকর্ড ব্যবহার করি। গতকাল বিকেল ৫টায়, আমি আমার ডিসকর্ড অ্যাকাউন্ট স্থায়ীভাবে মুছে ফেলার সাহস করেছিলাম। এটি আসলে ডিলিট করতে প্রায় দুই থেকে চার সপ্তাহ সময় লাগবে। যাইহোক, এখন আমি সত্যিই জানি না আমার সময় দিয়ে কী করব, বা কীভাবে পুনরুদ্ধার করব এবং নিজেকে উন্নত করব। উপরন্তু, সবাই কলেজে আবেদন করছে, এবং আমি চাই না কলেজগুলি আমাকে ব্যর্থ ভাবুক কারণ আমি আসলেই সক্ষম এবং আমার অনেক সম্ভাবনা আছে, কিন্তু আমার ডিসকর্ডের নেশা আছে যা একের পর এক খাওয়ার আসক্তির দিকে পরিচালিত করে। পুনরুদ্ধারের পদক্ষেপ সম্পর্কে কোন পরামর্শ?</v>
      </c>
    </row>
    <row r="752" spans="1:3" ht="15" x14ac:dyDescent="0.25">
      <c r="A752" s="3" t="s">
        <v>748</v>
      </c>
      <c r="B752" s="3" t="s">
        <v>4</v>
      </c>
      <c r="C752" s="4" t="str">
        <f ca="1">IFERROR(__xludf.DUMMYFUNCTION("GOOGLETRANSLATE(A752, ""auto"", ""bn"")"),"আমার ১৫ বছর বয়সী ছেলে মাদকাসক্ত। মাদকাসক্তের পাশাপাশি তার মানসিক স্বাস্থ্য সমস্যাও রয়েছে। আমি বিশ্বাস করি মানসিক স্বাস্থ্য সমস্যাগুলি মাদকাসক্তের সমস্যার সাথে সরাসরি সম্পর্কিত। সে যেকোনো অ্যালকোহল পান করবে, গাঁজা খাবে, বড়ি খাবে, হুইপেট খাবে। সে স্বাভাব"&amp;"িকভাবেই এটাকে সমস্যা বলে অস্বীকার করে এবং তার বন্ধুরা (যদি তুমি তাদের এটা বলতে পারো) সে কতটা খারাপ হতে পারে তা দেখে আমার ভালো লেগেছে। বেশ কয়েকদিন আগে আমি আমার শোবার ঘরে একটি গোপন ক্যামেরা লাগিয়েছিলাম এবং তাকে আমার ঘরে চুরি করার জন্য জিনিসপত্র খুঁজতে দেখ"&amp;"ে বিরক্ত হয়েছিলাম। আমার কাছে একটি পুরনো ট্রু রিলিজিয়ন জিন্স আছে এবং তাকে সেগুলো পরতে দিয়েছি। সেই রাতে আমি দেখতে পাই যে সে ট্রু রিলিজিয়ন জিন্স বিক্রির জন্য অফার করছে। আমার মনে হয় আমি ক্লান্ত হয়ে পড়েছি কারণ আমি আমার ক্যারিয়ারে মাদকাসক্তদের কী হয় তা"&amp;" প্রথম দেখি এবং আমি অত্যন্ত কম সুস্থতার হার বুঝতে পারি, এবং এটি এমন লোকদের মধ্যে যারা সুস্থ হতে চায়। আমি জানি না কী করতে হবে। আমার রাজ্যে, এমনকি ১৫ বছর বয়সেও তাকে পুনর্বাসন কেন্দ্রে রাখা যায় না এবং এমনকি যদি সে পারে, তবে সে বেরিয়ে আসার সাথে সাথেই ব্যব"&amp;"হার করবে। কোন পরামর্শ????")</f>
        <v>আমার ১৫ বছর বয়সী ছেলে মাদকাসক্ত। মাদকাসক্তের পাশাপাশি তার মানসিক স্বাস্থ্য সমস্যাও রয়েছে। আমি বিশ্বাস করি মানসিক স্বাস্থ্য সমস্যাগুলি মাদকাসক্তের সমস্যার সাথে সরাসরি সম্পর্কিত। সে যেকোনো অ্যালকোহল পান করবে, গাঁজা খাবে, বড়ি খাবে, হুইপেট খাবে। সে স্বাভাবিকভাবেই এটাকে সমস্যা বলে অস্বীকার করে এবং তার বন্ধুরা (যদি তুমি তাদের এটা বলতে পারো) সে কতটা খারাপ হতে পারে তা দেখে আমার ভালো লেগেছে। বেশ কয়েকদিন আগে আমি আমার শোবার ঘরে একটি গোপন ক্যামেরা লাগিয়েছিলাম এবং তাকে আমার ঘরে চুরি করার জন্য জিনিসপত্র খুঁজতে দেখে বিরক্ত হয়েছিলাম। আমার কাছে একটি পুরনো ট্রু রিলিজিয়ন জিন্স আছে এবং তাকে সেগুলো পরতে দিয়েছি। সেই রাতে আমি দেখতে পাই যে সে ট্রু রিলিজিয়ন জিন্স বিক্রির জন্য অফার করছে। আমার মনে হয় আমি ক্লান্ত হয়ে পড়েছি কারণ আমি আমার ক্যারিয়ারে মাদকাসক্তদের কী হয় তা প্রথম দেখি এবং আমি অত্যন্ত কম সুস্থতার হার বুঝতে পারি, এবং এটি এমন লোকদের মধ্যে যারা সুস্থ হতে চায়। আমি জানি না কী করতে হবে। আমার রাজ্যে, এমনকি ১৫ বছর বয়সেও তাকে পুনর্বাসন কেন্দ্রে রাখা যায় না এবং এমনকি যদি সে পারে, তবে সে বেরিয়ে আসার সাথে সাথেই ব্যবহার করবে। কোন পরামর্শ????</v>
      </c>
    </row>
    <row r="753" spans="1:3" ht="15" x14ac:dyDescent="0.25">
      <c r="A753" s="3" t="s">
        <v>749</v>
      </c>
      <c r="B753" s="3" t="s">
        <v>4</v>
      </c>
      <c r="C753" s="4" t="str">
        <f ca="1">IFERROR(__xludf.DUMMYFUNCTION("GOOGLETRANSLATE(A753, ""auto"", ""bn"")"),"আমি বর্তমানে আমার বাইপোলার ডিসঅর্ডারের জন্য কোনও মুড স্টেবিলাইজার গ্রহণ করি না এবং দীর্ঘদিন ধরে মাদকাসক্তির সাথে লড়াই করছি। কর্মক্ষেত্রে আমি সবসময়ই এই সমস্যাটি সম্পর্কে সচেতন ছিলাম এবং এখনও প্রায় ১০০% সময় উচ্চ মাত্রায় থাকি। মাদকাসক্তি অনিবার্যভাবে সর"&amp;"্বদা এমন পর্যায়ে পৌঁছে যে আমি এটি থেকে মুক্তি পাবো কিনা তা আর গুরুত্বপূর্ণ ছিল না, কেবল সেদিন কাজ করার জন্য এবং ""স্বাভাবিক"" বোধ করার জন্য আমার এটির প্রয়োজন ছিল। বছরের পর বছর ধরে আমি এটি নিয়ন্ত্রণে রেখেছি বলে ভেবে অবশেষে আমার শেষ চাকরিতে ফ্যানটি আঘাত "&amp;"করে। আমার জীবনে প্রথমবারের মতো আমাকে চাকরিচ্যুত করা হয়েছিল এবং আমার আসক্তিই এর কারণ ছিল। তারপর থেকে আমি প্রতিদিন নিজেকে এই কারণে ক্রমাগত মারধর করছি যে আমি বেকার ছিলাম। তাছাড়া, আমি নিজেকে আর অন্য চাকরি খুঁজতেও বাধ্য করতে পারছি না কারণ লজ্জা এতটাই গভীর যে"&amp;" এখন আমাকে একটি সাক্ষাৎকারে ব্যাখ্যা করতে হচ্ছে কেন আমাকে আমার শেষ চাকরি থেকে বরখাস্ত করা হয়েছিল এবং এটিই আমাকে আমার জীবনের সাথে এগিয়ে যেতে বাধা দেয়। তাছাড়া, আমি সত্যিই এই বিষয়ে সৎ থাকতে চাই যাতে তারা আমার শেষ কর্মস্থলে নিয়মিত ফোন করে বা অন্য কিছু জানত"&amp;"ে না পারে। যদিও এটা হওয়ার কথা ছিল, নইলে আমি কখনোই মাদক ব্যবহার বন্ধ করতাম না। আমি এখন ৪ মাস ধরে পরিষ্কার, তাই আমি এই বিষয়টির উপর অনেক বেশি জোর দেব এবং আশা করি যে সততা এবং খারাপ সিদ্ধান্ত নেওয়ার জন্য জবাবদিহিতা সাক্ষাৎকারগ্রহীতার কাছে কেবল আমাকে বিচার করা"&amp;"র চেয়ে এবং তাৎক্ষণিকভাবে মাদকাসক্তদের নেতিবাচক কলঙ্কের সাথে আমাকে যুক্ত করার চেয়েও বেশি স্পষ্ট হবে। আমার মনে হচ্ছে আমি এখন দ্বিতীয় সুযোগের যোগ্য নই কারণ আমি নিজেকে একজন মাদকাসক্ত হিসেবেও অকেজো এবং ত্রুটিপূর্ণ মনে করি, যদিও আমি পরিষ্কার এবং এতে আমার গর্"&amp;"বিত হওয়া উচিত। তাছাড়া, আমি নিজের প্রতি আমার দৃষ্টিভঙ্গি পরিবর্তন করতে চাই, কিন্তু মাদক সমস্ত ভালো গুণাবলী কেড়ে নিয়েছে এবং তার পরিবর্তে কেবল বিষাক্ত গুণাবলী দিয়ে প্রতিস্থাপন করেছে। তাই, আমি এখানে আছি, এত বছর ধরে আমার মন, শরীর এবং আত্মায় যে ধ্বংসাবশেষ এ"&amp;"বং দূষণ ছড়িয়ে দিয়েছিলাম তা পরিষ্কার করার চেষ্টা করছি এবং সেই সাথে সাধারণ সুস্থ ব্যক্তির জন্য জীবন কেমন হওয়া উচিত তা পুনরায় শিখছি।")</f>
        <v>আমি বর্তমানে আমার বাইপোলার ডিসঅর্ডারের জন্য কোনও মুড স্টেবিলাইজার গ্রহণ করি না এবং দীর্ঘদিন ধরে মাদকাসক্তির সাথে লড়াই করছি। কর্মক্ষেত্রে আমি সবসময়ই এই সমস্যাটি সম্পর্কে সচেতন ছিলাম এবং এখনও প্রায় ১০০% সময় উচ্চ মাত্রায় থাকি। মাদকাসক্তি অনিবার্যভাবে সর্বদা এমন পর্যায়ে পৌঁছে যে আমি এটি থেকে মুক্তি পাবো কিনা তা আর গুরুত্বপূর্ণ ছিল না, কেবল সেদিন কাজ করার জন্য এবং "স্বাভাবিক" বোধ করার জন্য আমার এটির প্রয়োজন ছিল। বছরের পর বছর ধরে আমি এটি নিয়ন্ত্রণে রেখেছি বলে ভেবে অবশেষে আমার শেষ চাকরিতে ফ্যানটি আঘাত করে। আমার জীবনে প্রথমবারের মতো আমাকে চাকরিচ্যুত করা হয়েছিল এবং আমার আসক্তিই এর কারণ ছিল। তারপর থেকে আমি প্রতিদিন নিজেকে এই কারণে ক্রমাগত মারধর করছি যে আমি বেকার ছিলাম। তাছাড়া, আমি নিজেকে আর অন্য চাকরি খুঁজতেও বাধ্য করতে পারছি না কারণ লজ্জা এতটাই গভীর যে এখন আমাকে একটি সাক্ষাৎকারে ব্যাখ্যা করতে হচ্ছে কেন আমাকে আমার শেষ চাকরি থেকে বরখাস্ত করা হয়েছিল এবং এটিই আমাকে আমার জীবনের সাথে এগিয়ে যেতে বাধা দেয়। তাছাড়া, আমি সত্যিই এই বিষয়ে সৎ থাকতে চাই যাতে তারা আমার শেষ কর্মস্থলে নিয়মিত ফোন করে বা অন্য কিছু জানতে না পারে। যদিও এটা হওয়ার কথা ছিল, নইলে আমি কখনোই মাদক ব্যবহার বন্ধ করতাম না। আমি এখন ৪ মাস ধরে পরিষ্কার, তাই আমি এই বিষয়টির উপর অনেক বেশি জোর দেব এবং আশা করি যে সততা এবং খারাপ সিদ্ধান্ত নেওয়ার জন্য জবাবদিহিতা সাক্ষাৎকারগ্রহীতার কাছে কেবল আমাকে বিচার করার চেয়ে এবং তাৎক্ষণিকভাবে মাদকাসক্তদের নেতিবাচক কলঙ্কের সাথে আমাকে যুক্ত করার চেয়েও বেশি স্পষ্ট হবে। আমার মনে হচ্ছে আমি এখন দ্বিতীয় সুযোগের যোগ্য নই কারণ আমি নিজেকে একজন মাদকাসক্ত হিসেবেও অকেজো এবং ত্রুটিপূর্ণ মনে করি, যদিও আমি পরিষ্কার এবং এতে আমার গর্বিত হওয়া উচিত। তাছাড়া, আমি নিজের প্রতি আমার দৃষ্টিভঙ্গি পরিবর্তন করতে চাই, কিন্তু মাদক সমস্ত ভালো গুণাবলী কেড়ে নিয়েছে এবং তার পরিবর্তে কেবল বিষাক্ত গুণাবলী দিয়ে প্রতিস্থাপন করেছে। তাই, আমি এখানে আছি, এত বছর ধরে আমার মন, শরীর এবং আত্মায় যে ধ্বংসাবশেষ এবং দূষণ ছড়িয়ে দিয়েছিলাম তা পরিষ্কার করার চেষ্টা করছি এবং সেই সাথে সাধারণ সুস্থ ব্যক্তির জন্য জীবন কেমন হওয়া উচিত তা পুনরায় শিখছি।</v>
      </c>
    </row>
    <row r="754" spans="1:3" ht="15" x14ac:dyDescent="0.25">
      <c r="A754" s="3" t="s">
        <v>750</v>
      </c>
      <c r="B754" s="3" t="s">
        <v>4</v>
      </c>
      <c r="C754" s="4" t="str">
        <f ca="1">IFERROR(__xludf.DUMMYFUNCTION("GOOGLETRANSLATE(A754, ""auto"", ""bn"")"),"আমার বয়স ১৫ (হ্যাঁ, আমি জানি আমি তরুণ) এবং আমি জীবনের কিছু ভুল সিদ্ধান্ত নিয়েছি এবং এখন আমি নিকোটিনের প্রতি আসক্ত। খারাপভাবে প্রত্যাহার না করে কীভাবে ধূমপান ত্যাগ করা যায় সে সম্পর্কে কারো কি কোন পরামর্শ আছে?")</f>
        <v>আমার বয়স ১৫ (হ্যাঁ, আমি জানি আমি তরুণ) এবং আমি জীবনের কিছু ভুল সিদ্ধান্ত নিয়েছি এবং এখন আমি নিকোটিনের প্রতি আসক্ত। খারাপভাবে প্রত্যাহার না করে কীভাবে ধূমপান ত্যাগ করা যায় সে সম্পর্কে কারো কি কোন পরামর্শ আছে?</v>
      </c>
    </row>
    <row r="755" spans="1:3" ht="15" x14ac:dyDescent="0.25">
      <c r="A755" s="3" t="s">
        <v>751</v>
      </c>
      <c r="B755" s="3" t="s">
        <v>4</v>
      </c>
      <c r="C755" s="4" t="str">
        <f ca="1">IFERROR(__xludf.DUMMYFUNCTION("GOOGLETRANSLATE(A755, ""auto"", ""bn"")"),"তো, আমি যখন ছোট ছিলাম, তখন থেকেই গাঁজা ধূমপান করে আসছি, বলতে পারি ১৩-১৪ বছর বয়স থেকেই। আমি একবার এক্স চেষ্টা করেছিলাম, ১৮ বছর বয়স থেকেই সাইকেডেলিক্সের সাথে আমার যথেষ্ট সম্পর্ক ছিল, এবং আমি কখনও খুব বেশি মদ্যপান করিনি, কেবল পরিচিতদের সাথে মাঝে মাঝে ওয়াই"&amp;"ন বা বিয়ার খাওয়া ছাড়া। আমার বয়স এখন ২০ বছর, এবং আমি চিকিৎসা ক্ষেত্রে কাজ করার লক্ষ্য নিয়ে এগিয়ে যাচ্ছি। তাছাড়া, আমি আসলে কয়েক বছরের মধ্যে মেডিকেল স্কুলে যেতে চাই কিন্তু এখন আমি একজন EMT/প্যারামেডিক হিসেবে শুরু করতে চাই এবং হাতেকলমে অভিজ্ঞতা অর্জন "&amp;"করতে চাই যা মেডিকেল স্কুলের আগে আমি অন্য কোথাও পেতে পারতাম না। তাছাড়া, আমি যতদিন ধরে একটি পেশা সম্পর্কে ভাবতে পেরেছি, ততদিন ধরে চিকিৎসা ক্ষেত্রে যেতে চেয়েছি কিন্তু আমার মানসিক স্বাস্থ্যের সাথে লড়াই করার সময়, আমি স্বীকার করতে চাই না তার চেয়েও বেশি আত্"&amp;"ম-ক্ষতি করেছি এবং সম্ভবত আমি নিজের চেয়েও বেশি। বলা হচ্ছে, জানুয়ারিতে ক্লাস শুরু হয় যার অর্থ এই লোকটির জন্য আর কোনও ওষুধ নেই। শুধু চাকরির জন্য নয়, নিজের জন্য এবং যাদের সুস্থতার দায়িত্ব আমার। আমি কয়েক মাস ধরে সাইকেডেলিক্স করিনি এবং তাদের স্পর্শ না করে ভ"&amp;"ালো কাজ করেছি। আসলে, আমি নিজের উপর গর্বিত। তবে, আমি জানি যে কিশোর বয়স থেকেই আমার সবচেয়ে ভালো বন্ধুকে লাথি মারা আমার জন্য একটু বেশি কৌশলী হবে। আমি ভাবছি চিরতরে বিদায় জানানোর আগে আমি আমার বন্ধুর সাথে শেষবারের মতো ধূমপান করব কিন্তু আজ রাত থেকে আমি আমার শে"&amp;"ষ বাটি ধূমপান করেছি যতদূর আমি নিজেই। আমার প্রশ্ন হল ধূমপান থেকে বিরত থাকার জন্য এবং পরবর্তী কয়েক মাস ধরে ক্লাস শুরু না হওয়া পর্যন্ত ধারাবাহিক থাকার জন্য প্রত্যেকের কী পরামর্শ আছে। আমার মনে হয় সেমিস্টার শুরু হয়ে গেলে সমস্ত ক্লাস এবং কাজ আমাকে আমার মনের"&amp;" উপর ভর করে রাখতে সহজ হবে (অথবা হয়তো সম্পূর্ণ বিপরীত।) কিন্তু পরবর্তী কয়েক মাস ভিন্ন, এবং আমি সত্যিই এখনই থামতে চাই এবং আমার মস্তিষ্ককে সম্পূর্ণরূপে পুনরায় সেট করা শুরু করার জন্য সময় দিতে চাই। আমি এমন লোক হতে চাই না যে ক্লাসের আগের শেষ সপ্তাহ পর্যন্ত "&amp;"তার অভ্যাস ত্যাগ করতে পারে না/করতে পারে না।")</f>
        <v>তো, আমি যখন ছোট ছিলাম, তখন থেকেই গাঁজা ধূমপান করে আসছি, বলতে পারি ১৩-১৪ বছর বয়স থেকেই। আমি একবার এক্স চেষ্টা করেছিলাম, ১৮ বছর বয়স থেকেই সাইকেডেলিক্সের সাথে আমার যথেষ্ট সম্পর্ক ছিল, এবং আমি কখনও খুব বেশি মদ্যপান করিনি, কেবল পরিচিতদের সাথে মাঝে মাঝে ওয়াইন বা বিয়ার খাওয়া ছাড়া। আমার বয়স এখন ২০ বছর, এবং আমি চিকিৎসা ক্ষেত্রে কাজ করার লক্ষ্য নিয়ে এগিয়ে যাচ্ছি। তাছাড়া, আমি আসলে কয়েক বছরের মধ্যে মেডিকেল স্কুলে যেতে চাই কিন্তু এখন আমি একজন EMT/প্যারামেডিক হিসেবে শুরু করতে চাই এবং হাতেকলমে অভিজ্ঞতা অর্জন করতে চাই যা মেডিকেল স্কুলের আগে আমি অন্য কোথাও পেতে পারতাম না। তাছাড়া, আমি যতদিন ধরে একটি পেশা সম্পর্কে ভাবতে পেরেছি, ততদিন ধরে চিকিৎসা ক্ষেত্রে যেতে চেয়েছি কিন্তু আমার মানসিক স্বাস্থ্যের সাথে লড়াই করার সময়, আমি স্বীকার করতে চাই না তার চেয়েও বেশি আত্ম-ক্ষতি করেছি এবং সম্ভবত আমি নিজের চেয়েও বেশি। বলা হচ্ছে, জানুয়ারিতে ক্লাস শুরু হয় যার অর্থ এই লোকটির জন্য আর কোনও ওষুধ নেই। শুধু চাকরির জন্য নয়, নিজের জন্য এবং যাদের সুস্থতার দায়িত্ব আমার। আমি কয়েক মাস ধরে সাইকেডেলিক্স করিনি এবং তাদের স্পর্শ না করে ভালো কাজ করেছি। আসলে, আমি নিজের উপর গর্বিত। তবে, আমি জানি যে কিশোর বয়স থেকেই আমার সবচেয়ে ভালো বন্ধুকে লাথি মারা আমার জন্য একটু বেশি কৌশলী হবে। আমি ভাবছি চিরতরে বিদায় জানানোর আগে আমি আমার বন্ধুর সাথে শেষবারের মতো ধূমপান করব কিন্তু আজ রাত থেকে আমি আমার শেষ বাটি ধূমপান করেছি যতদূর আমি নিজেই। আমার প্রশ্ন হল ধূমপান থেকে বিরত থাকার জন্য এবং পরবর্তী কয়েক মাস ধরে ক্লাস শুরু না হওয়া পর্যন্ত ধারাবাহিক থাকার জন্য প্রত্যেকের কী পরামর্শ আছে। আমার মনে হয় সেমিস্টার শুরু হয়ে গেলে সমস্ত ক্লাস এবং কাজ আমাকে আমার মনের উপর ভর করে রাখতে সহজ হবে (অথবা হয়তো সম্পূর্ণ বিপরীত।) কিন্তু পরবর্তী কয়েক মাস ভিন্ন, এবং আমি সত্যিই এখনই থামতে চাই এবং আমার মস্তিষ্ককে সম্পূর্ণরূপে পুনরায় সেট করা শুরু করার জন্য সময় দিতে চাই। আমি এমন লোক হতে চাই না যে ক্লাসের আগের শেষ সপ্তাহ পর্যন্ত তার অভ্যাস ত্যাগ করতে পারে না/করতে পারে না।</v>
      </c>
    </row>
    <row r="756" spans="1:3" ht="15" x14ac:dyDescent="0.25">
      <c r="A756" s="3" t="s">
        <v>752</v>
      </c>
      <c r="B756" s="3" t="s">
        <v>4</v>
      </c>
      <c r="C756" s="4" t="str">
        <f ca="1">IFERROR(__xludf.DUMMYFUNCTION("GOOGLETRANSLATE(A756, ""auto"", ""bn"")"),"অনলাইন অ্যাপ ব্যবহার করে জুয়া খেলা শুরু করেছি দেড় বছর ধরে এবং আমার বাবা-মায়ের কষ্টার্জিত কয়েক হাজার টাকা হারিয়েছি, এবং আমি আগেও ছেড়ে দেওয়ার চেষ্টা করেছি কিন্তু আমি মনে মনে ভাবছি হয়তো শেষবারের মতো, এবং আমি যা হারিয়েছি তা পুনরুদ্ধার করব এবং আরও টাক"&amp;"া হারাব। এখন হস্তমৈথুনের কথা বলতে গেলে, দিনে ২-৩ বার হস্তমৈথুন করা আমার জন্য স্বাভাবিক ছিল, তারপর আমি কলেজে যেতাম এবং গোপনীয়তা না থাকার ফলে ফ্রিকোয়েন্সি কমে যেত, কিন্তু এখন আমি আবার এটিতে ফিরে এসেছি এবং এটি বন্ধ করা আমার প্রয়োজন। আমার ভয়ানক চিন্তাভাবন"&amp;"া আসছিল এবং আমি যখন কোনও সাহায্যের প্রশংসা করি তখনই এটি বুঝতে পারি।")</f>
        <v>অনলাইন অ্যাপ ব্যবহার করে জুয়া খেলা শুরু করেছি দেড় বছর ধরে এবং আমার বাবা-মায়ের কষ্টার্জিত কয়েক হাজার টাকা হারিয়েছি, এবং আমি আগেও ছেড়ে দেওয়ার চেষ্টা করেছি কিন্তু আমি মনে মনে ভাবছি হয়তো শেষবারের মতো, এবং আমি যা হারিয়েছি তা পুনরুদ্ধার করব এবং আরও টাকা হারাব। এখন হস্তমৈথুনের কথা বলতে গেলে, দিনে ২-৩ বার হস্তমৈথুন করা আমার জন্য স্বাভাবিক ছিল, তারপর আমি কলেজে যেতাম এবং গোপনীয়তা না থাকার ফলে ফ্রিকোয়েন্সি কমে যেত, কিন্তু এখন আমি আবার এটিতে ফিরে এসেছি এবং এটি বন্ধ করা আমার প্রয়োজন। আমার ভয়ানক চিন্তাভাবনা আসছিল এবং আমি যখন কোনও সাহায্যের প্রশংসা করি তখনই এটি বুঝতে পারি।</v>
      </c>
    </row>
    <row r="757" spans="1:3" ht="15" x14ac:dyDescent="0.25">
      <c r="A757" s="3" t="s">
        <v>753</v>
      </c>
      <c r="B757" s="3" t="s">
        <v>4</v>
      </c>
      <c r="C757" s="4" t="str">
        <f ca="1">IFERROR(__xludf.DUMMYFUNCTION("GOOGLETRANSLATE(A757, ""auto"", ""bn"")"),"আমার বাগদত্তা এবং আমি দুজনেই আসক্ত। তার ডিওসি অবশ্যই মেথ ছিল। এই শহরটি এতে পরিপূর্ণ, এবং আমি আমার পরিচিত মানুষদের এবং আমার সম্প্রদায়ের উপর এটি যা করছে তাতে আমি খুব বিরক্ত। কিন্তু ব্যক্তিগতভাবে। সে আশ্চর্যজনকভাবে সেরে উঠেছে এবং আমি তার জন্য আরও গর্বিত হতে"&amp;" পারি না। আমরা একসাথে খুব খুশি এবং আমাদের জীবনে একটি নতুন অধ্যায় শুরু করার জন্য প্রস্তুত হচ্ছি। যাইহোক। আমি আবিষ্কার করেছি যে সে আবার ব্যবহার করছে। যখন আমি এটি নিয়ে আসি তখন সে বিষয় পরিবর্তন করে। অথবা সঠিক মিথ্যা বলে। যা আমার হৃদয় ভেঙে দেয়। আমাদের সম্"&amp;"পর্ক শক্তিশালী। এবং আমরা এখনও খুশি হতে পারি না। সে এটি খুব ভালোভাবে লুকিয়ে রাখে যে সে এখনও ব্যবহার করছে। কিন্তু তাদের সপ্তাহান্তে আমার সবচেয়ে খারাপ ভয় প্রকাশ পায়। আমি লুকিয়ে থাকা জিনিসটি খুঁজে পেয়েছি। সিরিঞ্জ.কটন.চামচ.ব্যাগ.একটিতে এখনও যথেষ্ট পরিমাণ"&amp;"ে রয়েছে। আমার কোন ধারণা নেই কী করব। অথবা কীভাবে এটি নিয়ে আলোচনা করব। আমি এই বাজে মাদকের কাছে তাকে হারাতে রাজি নই। আমি যা জানি তা কীভাবে তুলে আনব? আমাদের সম্পর্কের মধ্যে কোন তিক্ততা না এনে এটা বন্ধ করা উচিত, এটা আমি কীভাবে ওর কাছে আনতে পারি? কেউ আমাকে সা"&amp;"হায্য করো। দয়া করে।")</f>
        <v>আমার বাগদত্তা এবং আমি দুজনেই আসক্ত। তার ডিওসি অবশ্যই মেথ ছিল। এই শহরটি এতে পরিপূর্ণ, এবং আমি আমার পরিচিত মানুষদের এবং আমার সম্প্রদায়ের উপর এটি যা করছে তাতে আমি খুব বিরক্ত। কিন্তু ব্যক্তিগতভাবে। সে আশ্চর্যজনকভাবে সেরে উঠেছে এবং আমি তার জন্য আরও গর্বিত হতে পারি না। আমরা একসাথে খুব খুশি এবং আমাদের জীবনে একটি নতুন অধ্যায় শুরু করার জন্য প্রস্তুত হচ্ছি। যাইহোক। আমি আবিষ্কার করেছি যে সে আবার ব্যবহার করছে। যখন আমি এটি নিয়ে আসি তখন সে বিষয় পরিবর্তন করে। অথবা সঠিক মিথ্যা বলে। যা আমার হৃদয় ভেঙে দেয়। আমাদের সম্পর্ক শক্তিশালী। এবং আমরা এখনও খুশি হতে পারি না। সে এটি খুব ভালোভাবে লুকিয়ে রাখে যে সে এখনও ব্যবহার করছে। কিন্তু তাদের সপ্তাহান্তে আমার সবচেয়ে খারাপ ভয় প্রকাশ পায়। আমি লুকিয়ে থাকা জিনিসটি খুঁজে পেয়েছি। সিরিঞ্জ.কটন.চামচ.ব্যাগ.একটিতে এখনও যথেষ্ট পরিমাণে রয়েছে। আমার কোন ধারণা নেই কী করব। অথবা কীভাবে এটি নিয়ে আলোচনা করব। আমি এই বাজে মাদকের কাছে তাকে হারাতে রাজি নই। আমি যা জানি তা কীভাবে তুলে আনব? আমাদের সম্পর্কের মধ্যে কোন তিক্ততা না এনে এটা বন্ধ করা উচিত, এটা আমি কীভাবে ওর কাছে আনতে পারি? কেউ আমাকে সাহায্য করো। দয়া করে।</v>
      </c>
    </row>
    <row r="758" spans="1:3" ht="15" x14ac:dyDescent="0.25">
      <c r="A758" s="3" t="s">
        <v>754</v>
      </c>
      <c r="B758" s="3" t="s">
        <v>4</v>
      </c>
      <c r="C758" s="4" t="str">
        <f ca="1">IFERROR(__xludf.DUMMYFUNCTION("GOOGLETRANSLATE(A758, ""auto"", ""bn"")"),"যখন আমি 'শুদ্ধ হওয়া' বলি, তখন আমি কেবল মাদক সেবন থেকে বিরত থাকা বোঝাতে চাই না, আমি আমার মানসিকতা, অভ্যাস এবং মাদক লুকানোর জন্য মিথ্যা বলার খারাপ অভ্যাস সম্পূর্ণরূপে পরিবর্তন করার কথা বলছি। আমি (২১ বছর) ১৭ বছর বয়স থেকেই আগাছা এবং নিকোটিনের আসক্তির সাথে লড"&amp;"়াই করছি, এবং এটি আমার বন্ধুবান্ধব, পরিবার এবং আমার বর্তমান বান্ধবীর উপর বিরাট প্রভাব ফেলেছে। সম্প্রতি মোম (ঘন THC) এবং শরুম রাখার জন্য আমি প্রবেশন থেকে মুক্তি পেয়েছি। প্রবেশন শুরুতে বাস্তবতার অনুভূতি খুঁজে পাওয়া আমার জন্য অত্যন্ত কঠিন হয়ে পড়েছিল এবং "&amp;"কেবল অনুভব করেছিলাম যে আমি আর কিছুই জানি না। আমি জানতাম না কীভাবে নিজেকে বিশ্বাস করব, কীভাবে নিজের মধ্যে এটি খুঁজে বের করব যাতে আমি কোনও ধরণের মাদক সেবন করার আগে সেই ব্যক্তি হয়ে উঠি। এই প্রবেশন সময়কালে, আমি নিজেকে এমন পর্যায়ে পৌঁছেছিলাম যে আমি জানি না "&amp;"যে আমি কারাগারে যাব কিনা কেবল এই সত্যের জন্য যে আমি এটি থামাতে নিজের মধ্যে খুঁজে পাচ্ছি না।")</f>
        <v>যখন আমি 'শুদ্ধ হওয়া' বলি, তখন আমি কেবল মাদক সেবন থেকে বিরত থাকা বোঝাতে চাই না, আমি আমার মানসিকতা, অভ্যাস এবং মাদক লুকানোর জন্য মিথ্যা বলার খারাপ অভ্যাস সম্পূর্ণরূপে পরিবর্তন করার কথা বলছি। আমি (২১ বছর) ১৭ বছর বয়স থেকেই আগাছা এবং নিকোটিনের আসক্তির সাথে লড়াই করছি, এবং এটি আমার বন্ধুবান্ধব, পরিবার এবং আমার বর্তমান বান্ধবীর উপর বিরাট প্রভাব ফেলেছে। সম্প্রতি মোম (ঘন THC) এবং শরুম রাখার জন্য আমি প্রবেশন থেকে মুক্তি পেয়েছি। প্রবেশন শুরুতে বাস্তবতার অনুভূতি খুঁজে পাওয়া আমার জন্য অত্যন্ত কঠিন হয়ে পড়েছিল এবং কেবল অনুভব করেছিলাম যে আমি আর কিছুই জানি না। আমি জানতাম না কীভাবে নিজেকে বিশ্বাস করব, কীভাবে নিজের মধ্যে এটি খুঁজে বের করব যাতে আমি কোনও ধরণের মাদক সেবন করার আগে সেই ব্যক্তি হয়ে উঠি। এই প্রবেশন সময়কালে, আমি নিজেকে এমন পর্যায়ে পৌঁছেছিলাম যে আমি জানি না যে আমি কারাগারে যাব কিনা কেবল এই সত্যের জন্য যে আমি এটি থামাতে নিজের মধ্যে খুঁজে পাচ্ছি না।</v>
      </c>
    </row>
    <row r="759" spans="1:3" ht="15" x14ac:dyDescent="0.25">
      <c r="A759" s="3" t="s">
        <v>755</v>
      </c>
      <c r="B759" s="3" t="s">
        <v>4</v>
      </c>
      <c r="C759" s="4" t="str">
        <f ca="1">IFERROR(__xludf.DUMMYFUNCTION("GOOGLETRANSLATE(A759, ""auto"", ""bn"")"),"আমার মনে হয়েছিল আমার SO আড়াই মাস ধরে পরিষ্কার ছিল, কিন্তু গত কয়েকদিন ধরে আমার মনে হচ্ছে সে ব্যবহার করছে। আমি ওয়ালমার্ট থেকে একটি ড্রাগ টেস্ট কিনেছিলাম, সে বলেছিল যে সে এটি নেবে এবং তারপর ২ ঘন্টার জন্য বন্ধ রাখবে। অবশেষে সে তা করল, এবং এটি মেথ, অ্যাম্ফ"&amp;"িটামিন এবং THC এর জন্য ইতিবাচক দেখায় (আমি THC আশা করেছিলাম)। আমি তাকে ফলাফল দেখানোর আগে আমি তাকে জিজ্ঞাসা করেছিলাম যে তার আমাকে বলার মতো কিছু আছে কিনা। সে বলল না। তাই আমি তাকে ফলাফল দেখিয়েছিলাম, এবং সে বলেছিল ""অনুমান করুন তোমার আরও ভাল পরীক্ষা কিনতে হব"&amp;"ে""। এগুলো কি মিথ্যা ইতিবাচক হওয়ার সম্ভাবনা আছে?")</f>
        <v>আমার মনে হয়েছিল আমার SO আড়াই মাস ধরে পরিষ্কার ছিল, কিন্তু গত কয়েকদিন ধরে আমার মনে হচ্ছে সে ব্যবহার করছে। আমি ওয়ালমার্ট থেকে একটি ড্রাগ টেস্ট কিনেছিলাম, সে বলেছিল যে সে এটি নেবে এবং তারপর ২ ঘন্টার জন্য বন্ধ রাখবে। অবশেষে সে তা করল, এবং এটি মেথ, অ্যাম্ফিটামিন এবং THC এর জন্য ইতিবাচক দেখায় (আমি THC আশা করেছিলাম)। আমি তাকে ফলাফল দেখানোর আগে আমি তাকে জিজ্ঞাসা করেছিলাম যে তার আমাকে বলার মতো কিছু আছে কিনা। সে বলল না। তাই আমি তাকে ফলাফল দেখিয়েছিলাম, এবং সে বলেছিল "অনুমান করুন তোমার আরও ভাল পরীক্ষা কিনতে হবে"। এগুলো কি মিথ্যা ইতিবাচক হওয়ার সম্ভাবনা আছে?</v>
      </c>
    </row>
    <row r="760" spans="1:3" ht="15" x14ac:dyDescent="0.25">
      <c r="A760" s="3" t="s">
        <v>756</v>
      </c>
      <c r="B760" s="3" t="s">
        <v>4</v>
      </c>
      <c r="C760" s="4" t="str">
        <f ca="1">IFERROR(__xludf.DUMMYFUNCTION("GOOGLETRANSLATE(A760, ""auto"", ""bn"")"),"আমার সঙ্গীর দীর্ঘদিন ধরে মাদকাসক্তির ইতিহাস এবং পারিবারিকভাবে অ্যালকোহল আসক্তির ইতিহাস রয়েছে, তাই সে তার স্বাস্থ্য এবং জীবনযাত্রাকে খুব গুরুত্ব সহকারে নেয়। সম্প্রতি সে ঘন ঘন মাথাব্যথায় ভুগছে তাই সে কিছু আগাছা ধূমপান করেছে। সে প্রথমবার আমাকে এই কথা বলেছ"&amp;"িল এবং আমাকে যোগদানের জন্য আমন্ত্রণ জানিয়েছিল, যা আমার আপত্তি নেই। কিন্তু গতকাল, আমি তাকে বলেছিলাম যে আমাদের ধূমপান এবং মদ্যপানের অভ্যাস নিয়ন্ত্রণ করার চেষ্টা করতে হবে, এবং সে আমাকে প্রতারণা করে টয়লেটে যেতে বলেছে যাতে সে একটি বং পাফ করতে পারে। আমি খারা"&amp;"প প্রতিক্রিয়া দেখাইনি, আমি কেবল আমার বিভ্রান্তি এবং উদ্বেগগুলিকে আটকে রেখেছি। তারপর আজ সকালে সে স্কুলের আগে আরেকটি পাফ করেছিল এবং আমাকে বলেছিল যে সে তার মাথাব্যথা নিরাময়ের জন্য এটি করেছে। আমি চিন্তিত এবং কী করব বা কীভাবে প্রতিক্রিয়া জানাব তা নিশ্চিত নই"&amp;"...")</f>
        <v>আমার সঙ্গীর দীর্ঘদিন ধরে মাদকাসক্তির ইতিহাস এবং পারিবারিকভাবে অ্যালকোহল আসক্তির ইতিহাস রয়েছে, তাই সে তার স্বাস্থ্য এবং জীবনযাত্রাকে খুব গুরুত্ব সহকারে নেয়। সম্প্রতি সে ঘন ঘন মাথাব্যথায় ভুগছে তাই সে কিছু আগাছা ধূমপান করেছে। সে প্রথমবার আমাকে এই কথা বলেছিল এবং আমাকে যোগদানের জন্য আমন্ত্রণ জানিয়েছিল, যা আমার আপত্তি নেই। কিন্তু গতকাল, আমি তাকে বলেছিলাম যে আমাদের ধূমপান এবং মদ্যপানের অভ্যাস নিয়ন্ত্রণ করার চেষ্টা করতে হবে, এবং সে আমাকে প্রতারণা করে টয়লেটে যেতে বলেছে যাতে সে একটি বং পাফ করতে পারে। আমি খারাপ প্রতিক্রিয়া দেখাইনি, আমি কেবল আমার বিভ্রান্তি এবং উদ্বেগগুলিকে আটকে রেখেছি। তারপর আজ সকালে সে স্কুলের আগে আরেকটি পাফ করেছিল এবং আমাকে বলেছিল যে সে তার মাথাব্যথা নিরাময়ের জন্য এটি করেছে। আমি চিন্তিত এবং কী করব বা কীভাবে প্রতিক্রিয়া জানাব তা নিশ্চিত নই...</v>
      </c>
    </row>
    <row r="761" spans="1:3" ht="15" x14ac:dyDescent="0.25">
      <c r="A761" s="3" t="s">
        <v>757</v>
      </c>
      <c r="B761" s="3" t="s">
        <v>4</v>
      </c>
      <c r="C761" s="4" t="str">
        <f ca="1">IFERROR(__xludf.DUMMYFUNCTION("GOOGLETRANSLATE(A761, ""auto"", ""bn"")"),"কেউ কি এমন পুনর্বাসন সম্পর্কে জানেন যা বয়স্কদের কেন্দ্রিক শারীরিক পুনর্বাসনের পাশাপাশি আসক্তির মানসিক স্বাস্থ্য প্রোগ্রাম পরিচালনা করে? আমার মতামত মূলত তার তীব্র অবহেলা, হতাশা এবং মদ্যপানের জন্য অবসর গ্রহণের সম্প্রদায়ে স্থানান্তরিত হওয়ার ঝুঁকিতে রয়েছে"&amp;"। আমার মনে হয় সে পরিস্থিতি পরিবর্তন করতে পারে এবং আরও স্বাধীন বছর উপভোগ করতে পারে, তবে তার জন্য একটি নিবিড় ইনপেশেন্ট/আবাসিক থেরাপির প্রয়োজন হবে। সে দীর্ঘমেয়াদী যত্ন বীমার জন্য নিজেকে প্রস্তুত করেছে, কিন্তু আমি মনে করি না সে সেখানে উন্নতি করবে, কেবল তা"&amp;"র পতনকে ধীর করে দেবে।")</f>
        <v>কেউ কি এমন পুনর্বাসন সম্পর্কে জানেন যা বয়স্কদের কেন্দ্রিক শারীরিক পুনর্বাসনের পাশাপাশি আসক্তির মানসিক স্বাস্থ্য প্রোগ্রাম পরিচালনা করে? আমার মতামত মূলত তার তীব্র অবহেলা, হতাশা এবং মদ্যপানের জন্য অবসর গ্রহণের সম্প্রদায়ে স্থানান্তরিত হওয়ার ঝুঁকিতে রয়েছে। আমার মনে হয় সে পরিস্থিতি পরিবর্তন করতে পারে এবং আরও স্বাধীন বছর উপভোগ করতে পারে, তবে তার জন্য একটি নিবিড় ইনপেশেন্ট/আবাসিক থেরাপির প্রয়োজন হবে। সে দীর্ঘমেয়াদী যত্ন বীমার জন্য নিজেকে প্রস্তুত করেছে, কিন্তু আমি মনে করি না সে সেখানে উন্নতি করবে, কেবল তার পতনকে ধীর করে দেবে।</v>
      </c>
    </row>
    <row r="762" spans="1:3" ht="15" x14ac:dyDescent="0.25">
      <c r="A762" s="3" t="s">
        <v>758</v>
      </c>
      <c r="B762" s="3" t="s">
        <v>4</v>
      </c>
      <c r="C762" s="4" t="str">
        <f ca="1">IFERROR(__xludf.DUMMYFUNCTION("GOOGLETRANSLATE(A762, ""auto"", ""bn"")"),"আমার সৎ মূল্যায়নের মাধ্যমে বলতেই হবে যে আমি বিনোদন, আত্ম-উন্নতি তথ্য এবং ভিডিও গেমিং-এর একজন আসক্ত হয়ে পড়েছিলাম। আমি এটা এই সত্যটি বোঝানোর উদ্দেশ্যে বলছি যে এই জিনিসগুলি নিজের মধ্যে আসক্তি নাও হতে পারে, কিন্তু বর্তমানে, আমি এগুলি খুব বেশি করছি, এবং নিয"&amp;"়মিত জিনিসগুলি করার/অর্জনের আনন্দ অনুভব করি না বা কিছু অর্জন করার জন্য বা সেবা করার জন্য কঠিন জিনিসগুলির মধ্য দিয়ে যাওয়ার কোনও ইচ্ছা/উদ্দীপনা/প্রেরণা অনুভব করি না। যেমন... আমি অনেক কিছু জানি যা আমি আমার জীবনকে উন্নত করার জন্য করতে পারি এবং সম্ভবত অন্যদে"&amp;"রও, কিন্তু আমি কেবল নিজেকে এটি প্রায়শই করতে বাধ্য করতে পারি না। কয়েক মাস আগে আমার একটি ভিডিও গেম গ্রাইন্ড করার জন্য দুর্দান্ত আগ্রহ ছিল, আমি প্রায় কয়েক মাস ধরে এটি প্রায় অবিরাম করেছি। আমি দুর্দান্ত অনুভব করেছি, আমি উত্তেজিত ছিলাম, এটি করতে পেরে খুশি "&amp;"ছিলাম এবং এটি আমার লক্ষ্য ছিল। এখন, একই জিনিস করার জন্য আমার সেই উৎসাহ এবং প্রেরণার কয়েক শতাংশও নেই। এটি আক্ষরিক অর্থেই বিরক্তিকর হয়ে উঠেছে এবং... আমি জানি না, হয়তো নিস্তেজ? যদিও আমি মেজাজের দিক থেকে বিষণ্ণ নই (দুঃখিত বোধ করছি), কিন্তু আমার কোনও উৎসাহ,"&amp;" উচ্চাকাঙ্ক্ষা এবং অর্থপূর্ণ কিছু করার ইচ্ছার অভাব রয়েছে (যদিও আমি বুদ্ধিবৃত্তিকভাবে এই জিনিসগুলি বুঝতে এবং জানি)। এটা ঠিক যেন আমাকে নিজেকে ক্রমাগত যেকোনো কিছু করতে বাধ্য করতে হয় (নেটফ্লিক্স দেখা, পর্ন দেখা, খুব সুস্বাদু খাবার খাওয়া এবং ভিডিও গেম খেলা "&amp;"ছাড়া --- এই ক্রিয়াকলাপগুলি ক্রমাগত পরিবর্তন করা কারণ এর মধ্যে একটি খুব দ্রুত বিরক্তিকর হয়ে উঠতে পারে)। আমার পোস্টের মূল বিষয় হল: আমি কীভাবে রিসেট তৈরি করব? শিরোনামে আমি যে ডাক্তার এবং বিজ্ঞানীদের কথা উল্লেখ করেছি তারা তাদের সাক্ষাৎকারে উল্লেখ করেছেন য"&amp;"ে কার্যকলাপ থেকে বিরত থাকা ডোপামিন পুনরায় সেট করতে ব্যাপকভাবে সাহায্য করতে পারে (যা পালাক্রমে আরও স্বাভাবিক/কম উদ্দীপক জিনিস/কার্যকলাপের আনন্দের মাত্রা বাড়ায় এবং সম্ভবত কিছু করার ইচ্ছা/প্রেরণা বাড়ায়)। কোন আচরণগুলি উদ্দীপক কার্যকলাপের আওতায় পড়বে এবং"&amp;" কোনগুলি নয়? আমি বই পড়া, নতুন দক্ষতা শেখা, সামাজিকভাবে সক্রিয় থাকা (অন্যান্য লোকেদের সাথে আড্ডা দেওয়া এবং নতুন লোকেদের সাথে পরিচিত হওয়া) সম্পর্কে ভাবি। এর মধ্যে কোনটি আসলে সমস্যাটিকে আরও বাড়িয়ে তুলবে? আমি ভাবছি অন্তত এক মাসের জন্য অন্য শহরে আমার দি"&amp;"দিমার বাড়িতে যাবো, স্মার্টফোন বা কম্পিউটার না নিয়ে তার সাথে সময় কাটাবো (তাই, আমার আর সবসময় এগুলোর উপর বসে থেকে এই কাজগুলো করার কোন উপায় থাকবে না)। এছাড়াও, আমি একটু খাবারের নেশাগ্রস্ত, কিন্তু আমি জানি কিভাবে নিজেকে এই কাজগুলো করা থেকে বিরত রাখা যায় "&amp;"(সেখানে থাকাকালীন আমার মানিব্যাগ এবং টাকা দিদিমাকে দিয়ে দেওয়া)। সংক্ষেপে, আমি ধ্যান, বিভিন্ন উপায়ে শারীরিক ব্যায়াম, বই পড়া, দিদিমার সাথে সময় কাটানো এবং তার সাথে কথা বলা, নিয়মিত খাবার খাওয়া এবং জল/চা পান করা, সমুদ্রের ধারে এবং প্রকৃতিতে হাঁটতে যাওয"&amp;"়া, এমনকি সাইকেল চালানোর কথা ভাবি। এই কার্যকলাপের কোনটি কি ডোপামিন রিসেট পিরিয়ড কম কার্যকর করার জন্য যথেষ্ট উদ্দীপিত করে?")</f>
        <v>আমার সৎ মূল্যায়নের মাধ্যমে বলতেই হবে যে আমি বিনোদন, আত্ম-উন্নতি তথ্য এবং ভিডিও গেমিং-এর একজন আসক্ত হয়ে পড়েছিলাম। আমি এটা এই সত্যটি বোঝানোর উদ্দেশ্যে বলছি যে এই জিনিসগুলি নিজের মধ্যে আসক্তি নাও হতে পারে, কিন্তু বর্তমানে, আমি এগুলি খুব বেশি করছি, এবং নিয়মিত জিনিসগুলি করার/অর্জনের আনন্দ অনুভব করি না বা কিছু অর্জন করার জন্য বা সেবা করার জন্য কঠিন জিনিসগুলির মধ্য দিয়ে যাওয়ার কোনও ইচ্ছা/উদ্দীপনা/প্রেরণা অনুভব করি না। যেমন... আমি অনেক কিছু জানি যা আমি আমার জীবনকে উন্নত করার জন্য করতে পারি এবং সম্ভবত অন্যদেরও, কিন্তু আমি কেবল নিজেকে এটি প্রায়শই করতে বাধ্য করতে পারি না। কয়েক মাস আগে আমার একটি ভিডিও গেম গ্রাইন্ড করার জন্য দুর্দান্ত আগ্রহ ছিল, আমি প্রায় কয়েক মাস ধরে এটি প্রায় অবিরাম করেছি। আমি দুর্দান্ত অনুভব করেছি, আমি উত্তেজিত ছিলাম, এটি করতে পেরে খুশি ছিলাম এবং এটি আমার লক্ষ্য ছিল। এখন, একই জিনিস করার জন্য আমার সেই উৎসাহ এবং প্রেরণার কয়েক শতাংশও নেই। এটি আক্ষরিক অর্থেই বিরক্তিকর হয়ে উঠেছে এবং... আমি জানি না, হয়তো নিস্তেজ? যদিও আমি মেজাজের দিক থেকে বিষণ্ণ নই (দুঃখিত বোধ করছি), কিন্তু আমার কোনও উৎসাহ, উচ্চাকাঙ্ক্ষা এবং অর্থপূর্ণ কিছু করার ইচ্ছার অভাব রয়েছে (যদিও আমি বুদ্ধিবৃত্তিকভাবে এই জিনিসগুলি বুঝতে এবং জানি)। এটা ঠিক যেন আমাকে নিজেকে ক্রমাগত যেকোনো কিছু করতে বাধ্য করতে হয় (নেটফ্লিক্স দেখা, পর্ন দেখা, খুব সুস্বাদু খাবার খাওয়া এবং ভিডিও গেম খেলা ছাড়া --- এই ক্রিয়াকলাপগুলি ক্রমাগত পরিবর্তন করা কারণ এর মধ্যে একটি খুব দ্রুত বিরক্তিকর হয়ে উঠতে পারে)। আমার পোস্টের মূল বিষয় হল: আমি কীভাবে রিসেট তৈরি করব? শিরোনামে আমি যে ডাক্তার এবং বিজ্ঞানীদের কথা উল্লেখ করেছি তারা তাদের সাক্ষাৎকারে উল্লেখ করেছেন যে কার্যকলাপ থেকে বিরত থাকা ডোপামিন পুনরায় সেট করতে ব্যাপকভাবে সাহায্য করতে পারে (যা পালাক্রমে আরও স্বাভাবিক/কম উদ্দীপক জিনিস/কার্যকলাপের আনন্দের মাত্রা বাড়ায় এবং সম্ভবত কিছু করার ইচ্ছা/প্রেরণা বাড়ায়)। কোন আচরণগুলি উদ্দীপক কার্যকলাপের আওতায় পড়বে এবং কোনগুলি নয়? আমি বই পড়া, নতুন দক্ষতা শেখা, সামাজিকভাবে সক্রিয় থাকা (অন্যান্য লোকেদের সাথে আড্ডা দেওয়া এবং নতুন লোকেদের সাথে পরিচিত হওয়া) সম্পর্কে ভাবি। এর মধ্যে কোনটি আসলে সমস্যাটিকে আরও বাড়িয়ে তুলবে? আমি ভাবছি অন্তত এক মাসের জন্য অন্য শহরে আমার দিদিমার বাড়িতে যাবো, স্মার্টফোন বা কম্পিউটার না নিয়ে তার সাথে সময় কাটাবো (তাই, আমার আর সবসময় এগুলোর উপর বসে থেকে এই কাজগুলো করার কোন উপায় থাকবে না)। এছাড়াও, আমি একটু খাবারের নেশাগ্রস্ত, কিন্তু আমি জানি কিভাবে নিজেকে এই কাজগুলো করা থেকে বিরত রাখা যায় (সেখানে থাকাকালীন আমার মানিব্যাগ এবং টাকা দিদিমাকে দিয়ে দেওয়া)। সংক্ষেপে, আমি ধ্যান, বিভিন্ন উপায়ে শারীরিক ব্যায়াম, বই পড়া, দিদিমার সাথে সময় কাটানো এবং তার সাথে কথা বলা, নিয়মিত খাবার খাওয়া এবং জল/চা পান করা, সমুদ্রের ধারে এবং প্রকৃতিতে হাঁটতে যাওয়া, এমনকি সাইকেল চালানোর কথা ভাবি। এই কার্যকলাপের কোনটি কি ডোপামিন রিসেট পিরিয়ড কম কার্যকর করার জন্য যথেষ্ট উদ্দীপিত করে?</v>
      </c>
    </row>
    <row r="763" spans="1:3" ht="15" x14ac:dyDescent="0.25">
      <c r="A763" s="3" t="s">
        <v>759</v>
      </c>
      <c r="B763" s="3" t="s">
        <v>4</v>
      </c>
      <c r="C763" s="4" t="str">
        <f ca="1">IFERROR(__xludf.DUMMYFUNCTION("GOOGLETRANSLATE(A763, ""auto"", ""bn"")"),"আমার বয়ফ্রেন্ড ৫ মাসেরও বেশি সময় ধরে মেথ এবং নায়িকার সাথে সম্পর্ক থেকে মুক্ত, যা আমি ভেবেছিলাম। আমরা যখন ডেটিং করছিলাম, তখন এই মাসগুলিতে অনেক খারাপ ঘটনা ঘটেছে, সে আমার বাড়িতে চলে গেছে, যে শহরে সে ছিল এবং তার আশেপাশের মানুষদের থেকে দূরে। এটা একটা নতুন "&amp;"শুরু হতে যাচ্ছিল, এবং অন্য রাতে সে বুঝতে পারছিল না কেন আমি এমনটা করেছি কিন্তু আমি করেছি। আমার একটা অদ্ভুত অনুভূতি হয়েছিল এবং আমি তার ফোনটি ঘুমন্ত অবস্থায় খুঁজেছিলাম। আমি জানি এটা ভুল ছিল এবং আমার এটা করা উচিত ছিল না কিন্তু... আমি নাম ছাড়া #s-এর কাছে টে"&amp;"ক্সট মেসেজ পেয়েছি এবং সে অন্য একটি জানালা চাইছে। সে এখানে কাউকে চেনে না, এবং সে আমাদের প্রতিবেশীদের সাথে দেখা করে যা আমি নিশ্চিতভাবে ফাটল ধরেছে। তাই আমি এই বার্তাগুলি দেখেছি এবং, আমার MO ধারণা আছে কিভাবে এটিকে তুলে ধরার চেষ্টা করব এবং এটাকে এমনভাবে প্রকা"&amp;"শ করব যেন আমি তাকে আক্রমণ করছি, আমি কেবল তাকে সাহায্য করতে চাই। আমি এমন কারো সাথে কখনও এইরকম অভিজ্ঞতা পাইনি যার জন্য আমি এত যত্নশীল এবং আমি হতাশ।")</f>
        <v>আমার বয়ফ্রেন্ড ৫ মাসেরও বেশি সময় ধরে মেথ এবং নায়িকার সাথে সম্পর্ক থেকে মুক্ত, যা আমি ভেবেছিলাম। আমরা যখন ডেটিং করছিলাম, তখন এই মাসগুলিতে অনেক খারাপ ঘটনা ঘটেছে, সে আমার বাড়িতে চলে গেছে, যে শহরে সে ছিল এবং তার আশেপাশের মানুষদের থেকে দূরে। এটা একটা নতুন শুরু হতে যাচ্ছিল, এবং অন্য রাতে সে বুঝতে পারছিল না কেন আমি এমনটা করেছি কিন্তু আমি করেছি। আমার একটা অদ্ভুত অনুভূতি হয়েছিল এবং আমি তার ফোনটি ঘুমন্ত অবস্থায় খুঁজেছিলাম। আমি জানি এটা ভুল ছিল এবং আমার এটা করা উচিত ছিল না কিন্তু... আমি নাম ছাড়া #s-এর কাছে টেক্সট মেসেজ পেয়েছি এবং সে অন্য একটি জানালা চাইছে। সে এখানে কাউকে চেনে না, এবং সে আমাদের প্রতিবেশীদের সাথে দেখা করে যা আমি নিশ্চিতভাবে ফাটল ধরেছে। তাই আমি এই বার্তাগুলি দেখেছি এবং, আমার MO ধারণা আছে কিভাবে এটিকে তুলে ধরার চেষ্টা করব এবং এটাকে এমনভাবে প্রকাশ করব যেন আমি তাকে আক্রমণ করছি, আমি কেবল তাকে সাহায্য করতে চাই। আমি এমন কারো সাথে কখনও এইরকম অভিজ্ঞতা পাইনি যার জন্য আমি এত যত্নশীল এবং আমি হতাশ।</v>
      </c>
    </row>
    <row r="764" spans="1:3" ht="15" x14ac:dyDescent="0.25">
      <c r="A764" s="3" t="s">
        <v>760</v>
      </c>
      <c r="B764" s="3" t="s">
        <v>4</v>
      </c>
      <c r="C764" s="4" t="str">
        <f ca="1">IFERROR(__xludf.DUMMYFUNCTION("GOOGLETRANSLATE(A764, ""auto"", ""bn"")"),"আমার এক বন্ধু আছে, সে অনেক বছর ধরে নিকোটিন এবং গাঁজার নেশায় আসক্ত। সম্প্রতি আমার মনে হয় এটা আরও খারাপ হয়েছে এবং তার উপর আরও বেশি প্রভাব ফেলতে শুরু করেছে। সে মজা করে বলবে এটা তাকে কতটা কষ্ট দিচ্ছে, তারপর ২০ মিনিট পরে সে আবারও উত্তেজিত হয়ে যাবে। আমি সত্যিই "&amp;"তাকে সাহায্য করতে চাই, কিন্তু আমি জানি না কিভাবে, যদিও আমি জানি না কিভাবে ধারণাটি উপস্থাপন করব। এটা আমাদের মধ্যে এক ধরণের নীরব চুক্তি যে আমরা আগেও এটি নিয়ে তর্ক করেছি বলে এটি নিয়ে কথা না বলা।")</f>
        <v>আমার এক বন্ধু আছে, সে অনেক বছর ধরে নিকোটিন এবং গাঁজার নেশায় আসক্ত। সম্প্রতি আমার মনে হয় এটা আরও খারাপ হয়েছে এবং তার উপর আরও বেশি প্রভাব ফেলতে শুরু করেছে। সে মজা করে বলবে এটা তাকে কতটা কষ্ট দিচ্ছে, তারপর ২০ মিনিট পরে সে আবারও উত্তেজিত হয়ে যাবে। আমি সত্যিই তাকে সাহায্য করতে চাই, কিন্তু আমি জানি না কিভাবে, যদিও আমি জানি না কিভাবে ধারণাটি উপস্থাপন করব। এটা আমাদের মধ্যে এক ধরণের নীরব চুক্তি যে আমরা আগেও এটি নিয়ে তর্ক করেছি বলে এটি নিয়ে কথা না বলা।</v>
      </c>
    </row>
    <row r="765" spans="1:3" ht="15" x14ac:dyDescent="0.25">
      <c r="A765" s="3" t="s">
        <v>761</v>
      </c>
      <c r="B765" s="3" t="s">
        <v>4</v>
      </c>
      <c r="C765" s="4" t="str">
        <f ca="1">IFERROR(__xludf.DUMMYFUNCTION("GOOGLETRANSLATE(A765, ""auto"", ""bn"")"),"আমার বয়স ১৭ আর আমার কি পরামর্শের প্রয়োজন? আচ্ছা, আমি ১৪ বছর বয়স থেকেই ব্যথানাশক ওষুধ এবং আক্ষরিক অর্থেই যেকোনো ওষুধ ব্যবহার করে আসছি, এবং সম্প্রতি আমার অতিরিক্ত মাত্রায় নেওয়া হয়েছে, আর এটা সত্যিই বাজে কথা, আর আমি বিরতি নেওয়ার চেষ্টা করি কিন্তু পারি না। যখ"&amp;"নই কোনও কিছু আমাকে চাপ দেয়, তখনই আবার সেই ওষুধ খাওয়া শুরু করি। গত বছর আমি অসুস্থ হয়ে পড়ি এবং প্রায় প্রতিদিনই বেনাড্রিল খাচ্ছিলাম, আর এখন এটা ছাড়া আমার স্বাভাবিক বোধ হয় না, ঘুমাতেও পারছি না, আর আমি এতটাই ক্লান্ত যে আমি শারীরিকভাবেও ব্যবহার বন্ধ করতে পারছি "&amp;"না, কিন্তু সাহায্য চাইতে আমার ভয় লাগে, বিশেষ করে কারণ আমার পরিবার ধার্মিক।")</f>
        <v>আমার বয়স ১৭ আর আমার কি পরামর্শের প্রয়োজন? আচ্ছা, আমি ১৪ বছর বয়স থেকেই ব্যথানাশক ওষুধ এবং আক্ষরিক অর্থেই যেকোনো ওষুধ ব্যবহার করে আসছি, এবং সম্প্রতি আমার অতিরিক্ত মাত্রায় নেওয়া হয়েছে, আর এটা সত্যিই বাজে কথা, আর আমি বিরতি নেওয়ার চেষ্টা করি কিন্তু পারি না। যখনই কোনও কিছু আমাকে চাপ দেয়, তখনই আবার সেই ওষুধ খাওয়া শুরু করি। গত বছর আমি অসুস্থ হয়ে পড়ি এবং প্রায় প্রতিদিনই বেনাড্রিল খাচ্ছিলাম, আর এখন এটা ছাড়া আমার স্বাভাবিক বোধ হয় না, ঘুমাতেও পারছি না, আর আমি এতটাই ক্লান্ত যে আমি শারীরিকভাবেও ব্যবহার বন্ধ করতে পারছি না, কিন্তু সাহায্য চাইতে আমার ভয় লাগে, বিশেষ করে কারণ আমার পরিবার ধার্মিক।</v>
      </c>
    </row>
    <row r="766" spans="1:3" ht="15" x14ac:dyDescent="0.25">
      <c r="A766" s="3" t="s">
        <v>762</v>
      </c>
      <c r="B766" s="3" t="s">
        <v>4</v>
      </c>
      <c r="C766" s="4" t="str">
        <f ca="1">IFERROR(__xludf.DUMMYFUNCTION("GOOGLETRANSLATE(A766, ""auto"", ""bn"")"),"আমার নাম জনি, আমি একজন সুস্থ হয়ে ওঠা আসক্ত ব্যক্তি, যার ৩ বছরেরও বেশি সময় ধরে পরিষ্কার জীবন আছে। আমি অনেক পোস্ট দেখছি যেখানে লোকেরা জিজ্ঞাসা করছে কিভাবে ব্যবহার বন্ধ করবেন। এটি ঘটতে হলে আপনাকে অবশ্যই ব্যবহার বন্ধ করতে হবে, আপনার পুনরুদ্ধারের জন্য আপনাকে"&amp;" সত্যিই কঠোর পরিশ্রম করতে হবে। মিটিং, স্পনসরশিপ, আপনার আসক্তির তীব্রতার উপর নির্ভর করে আপনাকে সময় নিতে এবং চিকিৎসা নিতে হতে পারে। আমি আপনাকে প্রতিশ্রুতি দিচ্ছি যে যখন আপনি পরিষ্কার হওয়ার সিদ্ধান্ত নেবেন তখন আপনার জীবন আপনার স্বপ্নে পরিণত হবে। আমার আসক্ত"&amp;"ির কারণে আমি ৭ বছরেরও বেশি সময় জেলে ছিলাম, আমি পরিবার হারিয়েছি, বন্ধুদের হারিয়েছি, আসক্তি সবকিছু কেড়ে নিয়েছে। এমন একটি জিনিসের জন্য সবকিছু বিনিময় করার পরিবর্তে যা আপনাকে দুর্বিষহ করে তোলে, সেই একটি জিনিসের সাথে সবকিছু বিনিময় করুন যাতে আপনি আপনার স্"&amp;"বপ্নের জীবন পেতে পারেন। ঈশ্বর আপনাদের সকলকে আশীর্বাদ করুন এবং মনে রাখবেন সুস্থ হতে সময় লাগে। কিন্তু সময়ের সাথে সাথে এটি সহজ হয়ে ওঠে যে আমি প্রতিশ্রুতি দিচ্ছি!")</f>
        <v>আমার নাম জনি, আমি একজন সুস্থ হয়ে ওঠা আসক্ত ব্যক্তি, যার ৩ বছরেরও বেশি সময় ধরে পরিষ্কার জীবন আছে। আমি অনেক পোস্ট দেখছি যেখানে লোকেরা জিজ্ঞাসা করছে কিভাবে ব্যবহার বন্ধ করবেন। এটি ঘটতে হলে আপনাকে অবশ্যই ব্যবহার বন্ধ করতে হবে, আপনার পুনরুদ্ধারের জন্য আপনাকে সত্যিই কঠোর পরিশ্রম করতে হবে। মিটিং, স্পনসরশিপ, আপনার আসক্তির তীব্রতার উপর নির্ভর করে আপনাকে সময় নিতে এবং চিকিৎসা নিতে হতে পারে। আমি আপনাকে প্রতিশ্রুতি দিচ্ছি যে যখন আপনি পরিষ্কার হওয়ার সিদ্ধান্ত নেবেন তখন আপনার জীবন আপনার স্বপ্নে পরিণত হবে। আমার আসক্তির কারণে আমি ৭ বছরেরও বেশি সময় জেলে ছিলাম, আমি পরিবার হারিয়েছি, বন্ধুদের হারিয়েছি, আসক্তি সবকিছু কেড়ে নিয়েছে। এমন একটি জিনিসের জন্য সবকিছু বিনিময় করার পরিবর্তে যা আপনাকে দুর্বিষহ করে তোলে, সেই একটি জিনিসের সাথে সবকিছু বিনিময় করুন যাতে আপনি আপনার স্বপ্নের জীবন পেতে পারেন। ঈশ্বর আপনাদের সকলকে আশীর্বাদ করুন এবং মনে রাখবেন সুস্থ হতে সময় লাগে। কিন্তু সময়ের সাথে সাথে এটি সহজ হয়ে ওঠে যে আমি প্রতিশ্রুতি দিচ্ছি!</v>
      </c>
    </row>
    <row r="767" spans="1:3" ht="15" x14ac:dyDescent="0.25">
      <c r="A767" s="3" t="s">
        <v>763</v>
      </c>
      <c r="B767" s="3" t="s">
        <v>4</v>
      </c>
      <c r="C767" s="4" t="str">
        <f ca="1">IFERROR(__xludf.DUMMYFUNCTION("GOOGLETRANSLATE(A767, ""auto"", ""bn"")"),"আমি অনেক বছর ধরে মাদকাসক্তির সাথে লড়াই করছি। আর আমার ট্রিগারগুলি কী তা শেখা এবং সেগুলি এড়িয়ে চলা/নির্মূল করার স্বাভাবিক প্রোটোকলের মধ্য দিয়ে গেছি। আমি কেবল বুঝতে পেরেছি যে আমার জন্য একটি বড় ট্রিগার হল কিছু সঙ্গীত শিল্পী। যাদের ভালোবাসি তাদের সাথে সম্"&amp;"পর্ক ছিন্ন করতে হয়েছে এবং আবার ব্যবহার করা এড়িয়ে চলতে পারি। আনন্দকে আমার প্রিয় সঙ্গীতের একটি বিশাল অংশ কেটে ফেলতে হয়েছে, যা প্রকাশ করা খুব কঠিন বলে মনে হচ্ছে। আমার ধারণা এটাই। সবই বৃহত্তর ভালোর জন্য।")</f>
        <v>আমি অনেক বছর ধরে মাদকাসক্তির সাথে লড়াই করছি। আর আমার ট্রিগারগুলি কী তা শেখা এবং সেগুলি এড়িয়ে চলা/নির্মূল করার স্বাভাবিক প্রোটোকলের মধ্য দিয়ে গেছি। আমি কেবল বুঝতে পেরেছি যে আমার জন্য একটি বড় ট্রিগার হল কিছু সঙ্গীত শিল্পী। যাদের ভালোবাসি তাদের সাথে সম্পর্ক ছিন্ন করতে হয়েছে এবং আবার ব্যবহার করা এড়িয়ে চলতে পারি। আনন্দকে আমার প্রিয় সঙ্গীতের একটি বিশাল অংশ কেটে ফেলতে হয়েছে, যা প্রকাশ করা খুব কঠিন বলে মনে হচ্ছে। আমার ধারণা এটাই। সবই বৃহত্তর ভালোর জন্য।</v>
      </c>
    </row>
    <row r="768" spans="1:3" ht="15" x14ac:dyDescent="0.25">
      <c r="A768" s="3" t="s">
        <v>764</v>
      </c>
      <c r="B768" s="3" t="s">
        <v>4</v>
      </c>
      <c r="C768" s="4" t="str">
        <f ca="1">IFERROR(__xludf.DUMMYFUNCTION("GOOGLETRANSLATE(A768, ""auto"", ""bn"")"),"আমি এক বছরেরও বেশি সময় ধরে প্রতিদিন এই ওষুধ ব্যবহার করছি! সারাদিন বিছানায় ঘুমিয়ে থাকলেই আমি কিছু স্পর্শ করতে পারতাম না! এখন আমি আমার স্ত্রীর কাছে মুখ খুলেছি, যে এতদিন ধরে কিছুই বুঝতে পারেনি কারণ আমার এখন যথেষ্ট হয়ে গেছে এবং আমি এখন এই সমস্যা থেকে মুক্তি "&amp;"পেতে চাই!! ভাগ্যক্রমে সে অসাধারণ এবং আমার পাশে থেকেছে এবং আমাকে সাহায্য করার চেষ্টা করছে! যাই হোক, আমি কিছু টিপস আশা করছি? আমি এখন কমানোর চেষ্টা শুরু করেছি এবং দিনে মাত্র ১ অর্ধেক সময় আছে! (সাধারণত দিনে কমপক্ষে ২ গ্রাম!) এটা কি শুরু করা ঠিক? কারণ ঠান্ডা "&amp;"টার্কি খেতে পারব বলে মনে হয় না!")</f>
        <v>আমি এক বছরেরও বেশি সময় ধরে প্রতিদিন এই ওষুধ ব্যবহার করছি! সারাদিন বিছানায় ঘুমিয়ে থাকলেই আমি কিছু স্পর্শ করতে পারতাম না! এখন আমি আমার স্ত্রীর কাছে মুখ খুলেছি, যে এতদিন ধরে কিছুই বুঝতে পারেনি কারণ আমার এখন যথেষ্ট হয়ে গেছে এবং আমি এখন এই সমস্যা থেকে মুক্তি পেতে চাই!! ভাগ্যক্রমে সে অসাধারণ এবং আমার পাশে থেকেছে এবং আমাকে সাহায্য করার চেষ্টা করছে! যাই হোক, আমি কিছু টিপস আশা করছি? আমি এখন কমানোর চেষ্টা শুরু করেছি এবং দিনে মাত্র ১ অর্ধেক সময় আছে! (সাধারণত দিনে কমপক্ষে ২ গ্রাম!) এটা কি শুরু করা ঠিক? কারণ ঠান্ডা টার্কি খেতে পারব বলে মনে হয় না!</v>
      </c>
    </row>
    <row r="769" spans="1:3" ht="15" x14ac:dyDescent="0.25">
      <c r="A769" s="3" t="s">
        <v>765</v>
      </c>
      <c r="B769" s="3" t="s">
        <v>4</v>
      </c>
      <c r="C769" s="4" t="str">
        <f ca="1">IFERROR(__xludf.DUMMYFUNCTION("GOOGLETRANSLATE(A769, ""auto"", ""bn"")"),"তাই মূলত আমি নিশ্চিত নই যে এটি এখানেই প্রযোজ্য কিনা, তবে আমি একজন প্রাপ্তবয়স্ক যে আমার বিষণ্ণতা নিয়ন্ত্রণের জন্য ডেলিভারি এবং টেকওয়ে-এর উপর নির্ভরশীল হয়ে পড়েছিলাম কারণ আমি নিজের খাবারের জন্য প্রচেষ্টা করতে পারিনি, তাই আমি আমার নিজের অনেক টাকা ব্যয় ক"&amp;"রেছি যদিও আমি জানি এটি খারাপ। আমার একটি অ্যাকাউন্টও ছিল যা মূলত আমার পরিবারের কারও সাথে সংযুক্ত ছিল, এবং এটি তাদের অজান্তেই ডিফল্ট হয়ে যেত, তাই আমি তাদের অনেক টাকা ব্যয় করেছি কারণ আমি ট্র্যাক রাখছিলাম না কারণ আমার মস্তিষ্ক বিশেষ করে লকডাউনে কুয়াশায় ছি"&amp;"ল। যাই হোক, আমার মনে হয় তারা শীঘ্রই জানতে পারবে এবং আমি তা সহ্য করতে পারছি না। আমি খুব অসুস্থ এবং খুব দুঃখিত বোধ করছি, এবং আমি একই বাড়িতে আগামী কয়েক দিন বাড়িতে আটকে আছি কিন্তু আজ আমার জন্মদিন, এবং আমি স্পষ্টতই চাই না যে তারা আমার উপর আরও বেশি টাকা ব্য"&amp;"য় করুক কিন্তু জানি না আমি যাওয়ার আগে তাদের বলা উচিত কিনা কারণ আমার মনে হয় আমি সেখানে থাকাকালীন বলা আরও খারাপ হবে? কিন্তু আমি এটাও চাই না যে আমি তাদের বলার আগে তারা জানতে পারুক এবং কোনও উপহার গ্রহণ করতে চাই না। আমার সত্যিই সাহায্যের প্রয়োজন কারণ আমি ঘুম"&amp;"াতে বা খেতে পারি না এবং এত অসুস্থ বোধ করছি যে আমি নিজের সাথে থাকতে পারছি না। আমি জানি না কী করা ভালো হবে, দয়া করে আমাকে সাহায্য করুন। অবশ্যই আমি তাদের টাকা ফেরত দেব, তবে এতে কিছুটা সময় লাগবে।")</f>
        <v>তাই মূলত আমি নিশ্চিত নই যে এটি এখানেই প্রযোজ্য কিনা, তবে আমি একজন প্রাপ্তবয়স্ক যে আমার বিষণ্ণতা নিয়ন্ত্রণের জন্য ডেলিভারি এবং টেকওয়ে-এর উপর নির্ভরশীল হয়ে পড়েছিলাম কারণ আমি নিজের খাবারের জন্য প্রচেষ্টা করতে পারিনি, তাই আমি আমার নিজের অনেক টাকা ব্যয় করেছি যদিও আমি জানি এটি খারাপ। আমার একটি অ্যাকাউন্টও ছিল যা মূলত আমার পরিবারের কারও সাথে সংযুক্ত ছিল, এবং এটি তাদের অজান্তেই ডিফল্ট হয়ে যেত, তাই আমি তাদের অনেক টাকা ব্যয় করেছি কারণ আমি ট্র্যাক রাখছিলাম না কারণ আমার মস্তিষ্ক বিশেষ করে লকডাউনে কুয়াশায় ছিল। যাই হোক, আমার মনে হয় তারা শীঘ্রই জানতে পারবে এবং আমি তা সহ্য করতে পারছি না। আমি খুব অসুস্থ এবং খুব দুঃখিত বোধ করছি, এবং আমি একই বাড়িতে আগামী কয়েক দিন বাড়িতে আটকে আছি কিন্তু আজ আমার জন্মদিন, এবং আমি স্পষ্টতই চাই না যে তারা আমার উপর আরও বেশি টাকা ব্যয় করুক কিন্তু জানি না আমি যাওয়ার আগে তাদের বলা উচিত কিনা কারণ আমার মনে হয় আমি সেখানে থাকাকালীন বলা আরও খারাপ হবে? কিন্তু আমি এটাও চাই না যে আমি তাদের বলার আগে তারা জানতে পারুক এবং কোনও উপহার গ্রহণ করতে চাই না। আমার সত্যিই সাহায্যের প্রয়োজন কারণ আমি ঘুমাতে বা খেতে পারি না এবং এত অসুস্থ বোধ করছি যে আমি নিজের সাথে থাকতে পারছি না। আমি জানি না কী করা ভালো হবে, দয়া করে আমাকে সাহায্য করুন। অবশ্যই আমি তাদের টাকা ফেরত দেব, তবে এতে কিছুটা সময় লাগবে।</v>
      </c>
    </row>
    <row r="770" spans="1:3" ht="15" x14ac:dyDescent="0.25">
      <c r="A770" s="3" t="s">
        <v>766</v>
      </c>
      <c r="B770" s="3" t="s">
        <v>4</v>
      </c>
      <c r="C770" s="4" t="str">
        <f ca="1">IFERROR(__xludf.DUMMYFUNCTION("GOOGLETRANSLATE(A770, ""auto"", ""bn"")"),"তাই আমি এই মাসের শুরুতেই পুনর্বাসন থেকে ফিরে এসেছি, আমার ধারণা, এখন আমার অবস্থা ভালো। আমার পছন্দের ওষুধ হল হেরোইন এবং মেথ। সম্প্রতি আমি আবার সেবন শুরু করেছি এবং আমি প্রতিদিন ১০০ ডলার করে ক্র্যাক কোকেন এবং জ্যানাক্সের মতো হেরোইনের দাম কমাচ্ছি, যা আমি সত্যি"&amp;"ই আমার হাতের কাছে পেতে পারি, আর আমি থামাতে পারছি না। আমার কী করা উচিত, আমি এখন প্রোবেশনে আছি এবং আমি সত্যিই জেলে যাওয়ার চেষ্টা করছি না, কিন্তু আমার আর আত্মনিয়ন্ত্রণ নেই, আমি আমার জীবনের জন্য থামাতে পারছি না।")</f>
        <v>তাই আমি এই মাসের শুরুতেই পুনর্বাসন থেকে ফিরে এসেছি, আমার ধারণা, এখন আমার অবস্থা ভালো। আমার পছন্দের ওষুধ হল হেরোইন এবং মেথ। সম্প্রতি আমি আবার সেবন শুরু করেছি এবং আমি প্রতিদিন ১০০ ডলার করে ক্র্যাক কোকেন এবং জ্যানাক্সের মতো হেরোইনের দাম কমাচ্ছি, যা আমি সত্যিই আমার হাতের কাছে পেতে পারি, আর আমি থামাতে পারছি না। আমার কী করা উচিত, আমি এখন প্রোবেশনে আছি এবং আমি সত্যিই জেলে যাওয়ার চেষ্টা করছি না, কিন্তু আমার আর আত্মনিয়ন্ত্রণ নেই, আমি আমার জীবনের জন্য থামাতে পারছি না।</v>
      </c>
    </row>
    <row r="771" spans="1:3" ht="15" x14ac:dyDescent="0.25">
      <c r="A771" s="3" t="s">
        <v>767</v>
      </c>
      <c r="B771" s="3" t="s">
        <v>4</v>
      </c>
      <c r="C771" s="4" t="str">
        <f ca="1">IFERROR(__xludf.DUMMYFUNCTION("GOOGLETRANSLATE(A771, ""auto"", ""bn"")"),"আমার সঙ্গী (২৪ বছর বয়সী) মাদকাসক্তির অতীত এবং জীবনের কিছু অংশের উপর নিয়ন্ত্রণ হারিয়ে ফেলেছিল। যদিও সে কোনওভাবে সবকিছু বদলে দিয়েছিল, কেবল গাঁজাই তার জীবনে থেকে গিয়েছিল। দেড় বছর আগে যখন আমরা দেখা করি তখন সে গাঁজা ছাড়া অন্য কিছু থেকে যায় এবং আমাদের প"&amp;"্রথম ডেটের সপ্তাহে সে শেষবারের মতো কোকেন গ্রহণ করে। সেই সময়ে সে আর নিয়মিতভাবে এটি করছিল না, তবে এটি ছিল একটি জন্মদিনের পার্টিতে যেখানে সে গিয়েছিল। এখন পর্যন্ত আমরা একসাথে থাকি এবং যতদূর আমি গাঁজা-ধূমপান বুঝতে পারি না, এবং যতদূর মনে হয় তার বন্ধ করা উচি"&amp;"ত কারণ কোনও সংযোজন স্বাস্থ্যকর নয়, এটি আপনাকে যে কোনও জিনিস মোকাবেলা করতে সাহায্য করে তা নির্বিশেষে, তবে ঠিক আছে। আমি নিজেকে বলার চেষ্টা করি যে এটি অবশ্যই মদ্যপানের চেয়ে খারাপ নয়। এবং সে তার জিনিসগুলি করে, আপনি জানেন? সে কাজ করে, সে সবকিছুর যত্ন নেয় এ"&amp;"বং নিজের এবং আমার। গত সপ্তাহগুলিতে সে আবার আরও কঠিন ওষুধ খাওয়ার তাগিদ সম্পর্কে কথা বলেছিল এবং আমি কী বলব তা জানতাম না। আমি কখনও মাদকের সংস্পর্শে আসিনি এবং আমি এটি বুঝতে পারি না। আমি আসক্তি বুঝতে পারি এবং এটাও বুঝতে পারি যে এটা ""ভালো উপায়"" বলে মনে হতে "&amp;"পারে? জীবনের অন্যান্য জিনিস যখন একটু খারাপ লাগে। আমি তাকে বলেছিলাম যে আমি তাকে বলব না কী করতে হবে আর কী করতে হবে না। সে একজন প্রাপ্তবয়স্ক এবং তার জীবন এবং কর্মকাণ্ড নিয়ন্ত্রণ করার আমার কোন প্রয়োজন নেই। আমি সপ্তাহান্তে বাইরে ছিলাম, এবং সে আমাকে বলল যে ত"&amp;"ার এক বন্ধু শেষ হয়ে গেছে, এবং তারা গত রাতে কিছু কোকেন খেয়েছে। এবং আমি ভয় পেয়ে গেলাম। তার উপর নয়, ভেতরে ভেতরে। আমি এখনও বাড়িতে নেই, আরও কয়েক ঘন্টার জন্য যাচ্ছি, এবং আমার আবেগ নিয়ে আমাকে কোথাও যেতে হবে। আমি ভাবিনি যে আমি এত অবাক/চিন্তিত/রাগ করব। এবং"&amp;" আমি জানি না কিভাবে তার মুখোমুখি হব এবং বাড়িতে ফিরে কী বলব কারণ আমি এখনই জানি না যে আমি কী অনুভব করছি। সে বারবার বলে যে এটি একবারের জিনিস, সে কেবল এই ধরণের উত্তেজনা আবার অনুভব করতে চেয়েছিল, এবং তার দীর্ঘ বছর কেটেছে এবং সে পরিষ্কার ছিল। সে আর এটি করবে না"&amp;", তার কেবল একটি রাতের জন্য উত্তেজিত হওয়ার প্রয়োজন ছিল। আমি তাকে বিশ্বাস করতে চাই কিন্তু আমি চিন্তিত অসুস্থ?")</f>
        <v>আমার সঙ্গী (২৪ বছর বয়সী) মাদকাসক্তির অতীত এবং জীবনের কিছু অংশের উপর নিয়ন্ত্রণ হারিয়ে ফেলেছিল। যদিও সে কোনওভাবে সবকিছু বদলে দিয়েছিল, কেবল গাঁজাই তার জীবনে থেকে গিয়েছিল। দেড় বছর আগে যখন আমরা দেখা করি তখন সে গাঁজা ছাড়া অন্য কিছু থেকে যায় এবং আমাদের প্রথম ডেটের সপ্তাহে সে শেষবারের মতো কোকেন গ্রহণ করে। সেই সময়ে সে আর নিয়মিতভাবে এটি করছিল না, তবে এটি ছিল একটি জন্মদিনের পার্টিতে যেখানে সে গিয়েছিল। এখন পর্যন্ত আমরা একসাথে থাকি এবং যতদূর আমি গাঁজা-ধূমপান বুঝতে পারি না, এবং যতদূর মনে হয় তার বন্ধ করা উচিত কারণ কোনও সংযোজন স্বাস্থ্যকর নয়, এটি আপনাকে যে কোনও জিনিস মোকাবেলা করতে সাহায্য করে তা নির্বিশেষে, তবে ঠিক আছে। আমি নিজেকে বলার চেষ্টা করি যে এটি অবশ্যই মদ্যপানের চেয়ে খারাপ নয়। এবং সে তার জিনিসগুলি করে, আপনি জানেন? সে কাজ করে, সে সবকিছুর যত্ন নেয় এবং নিজের এবং আমার। গত সপ্তাহগুলিতে সে আবার আরও কঠিন ওষুধ খাওয়ার তাগিদ সম্পর্কে কথা বলেছিল এবং আমি কী বলব তা জানতাম না। আমি কখনও মাদকের সংস্পর্শে আসিনি এবং আমি এটি বুঝতে পারি না। আমি আসক্তি বুঝতে পারি এবং এটাও বুঝতে পারি যে এটা "ভালো উপায়" বলে মনে হতে পারে? জীবনের অন্যান্য জিনিস যখন একটু খারাপ লাগে। আমি তাকে বলেছিলাম যে আমি তাকে বলব না কী করতে হবে আর কী করতে হবে না। সে একজন প্রাপ্তবয়স্ক এবং তার জীবন এবং কর্মকাণ্ড নিয়ন্ত্রণ করার আমার কোন প্রয়োজন নেই। আমি সপ্তাহান্তে বাইরে ছিলাম, এবং সে আমাকে বলল যে তার এক বন্ধু শেষ হয়ে গেছে, এবং তারা গত রাতে কিছু কোকেন খেয়েছে। এবং আমি ভয় পেয়ে গেলাম। তার উপর নয়, ভেতরে ভেতরে। আমি এখনও বাড়িতে নেই, আরও কয়েক ঘন্টার জন্য যাচ্ছি, এবং আমার আবেগ নিয়ে আমাকে কোথাও যেতে হবে। আমি ভাবিনি যে আমি এত অবাক/চিন্তিত/রাগ করব। এবং আমি জানি না কিভাবে তার মুখোমুখি হব এবং বাড়িতে ফিরে কী বলব কারণ আমি এখনই জানি না যে আমি কী অনুভব করছি। সে বারবার বলে যে এটি একবারের জিনিস, সে কেবল এই ধরণের উত্তেজনা আবার অনুভব করতে চেয়েছিল, এবং তার দীর্ঘ বছর কেটেছে এবং সে পরিষ্কার ছিল। সে আর এটি করবে না, তার কেবল একটি রাতের জন্য উত্তেজিত হওয়ার প্রয়োজন ছিল। আমি তাকে বিশ্বাস করতে চাই কিন্তু আমি চিন্তিত অসুস্থ?</v>
      </c>
    </row>
    <row r="772" spans="1:3" ht="15" x14ac:dyDescent="0.25">
      <c r="A772" s="3" t="s">
        <v>768</v>
      </c>
      <c r="B772" s="3" t="s">
        <v>4</v>
      </c>
      <c r="C772" s="4" t="str">
        <f ca="1">IFERROR(__xludf.DUMMYFUNCTION("GOOGLETRANSLATE(A772, ""auto"", ""bn"")"),"আমার খুব কাছের কেউ তাদের প্রেসক্রিপশনের ওষুধের প্রতি আসক্ত। তারা খুব বেশি মাত্রায় ওষুধ খাচ্ছে, এবং আমরা সবাই জানি না তারা এখনও কীভাবে বেঁচে আছে। এক বছরেরও বেশি সময় (নাকি দুই বছর?) হয়ে গেছে এবং তারা আগের চেয়েও খারাপ অবস্থায় রয়েছে। তারা তাদের সর্বনিম্"&amp;"ন পর্যায়ে পৌঁছেছে এবং অবশেষে সাহায্য পেতে রাজি হয়েছে, তবে আমরা কীভাবে এটি খুঁজে পাব তা বুঝতে পারছি না। মনে হচ্ছে সবাই চিকিৎসার জন্য হাজার হাজার ডলার চাইছে এবং আমাদের কাছে কোনও টাকা নেই। তারা দাবি করছে যে তাদের ডাক্তার তাদের আসক্তি সম্পর্কে জানেন (আমি নি"&amp;"শ্চিত নই যে আমি এটি বিশ্বাস করি কিনা)। আমি আশা করছিলাম যে এখানে কেউ এমন কিছু জানতে পারবে যা সাহায্য করতে পারে। আমরা কানাডায় থাকি। *আমি ওষুধের প্রকৃতি সম্পর্কে নিশ্চিত নই, কেবল তাদের বেশিরভাগই সর্বোচ্চ ব্যথা উপশমকারী ওষুধ *আমি এই পৃষ্ঠায় যোগদান করেছি, যদ"&amp;"ি এই পোস্টটি অনুমোদিত না হয় তবে দুঃখিত।")</f>
        <v>আমার খুব কাছের কেউ তাদের প্রেসক্রিপশনের ওষুধের প্রতি আসক্ত। তারা খুব বেশি মাত্রায় ওষুধ খাচ্ছে, এবং আমরা সবাই জানি না তারা এখনও কীভাবে বেঁচে আছে। এক বছরেরও বেশি সময় (নাকি দুই বছর?) হয়ে গেছে এবং তারা আগের চেয়েও খারাপ অবস্থায় রয়েছে। তারা তাদের সর্বনিম্ন পর্যায়ে পৌঁছেছে এবং অবশেষে সাহায্য পেতে রাজি হয়েছে, তবে আমরা কীভাবে এটি খুঁজে পাব তা বুঝতে পারছি না। মনে হচ্ছে সবাই চিকিৎসার জন্য হাজার হাজার ডলার চাইছে এবং আমাদের কাছে কোনও টাকা নেই। তারা দাবি করছে যে তাদের ডাক্তার তাদের আসক্তি সম্পর্কে জানেন (আমি নিশ্চিত নই যে আমি এটি বিশ্বাস করি কিনা)। আমি আশা করছিলাম যে এখানে কেউ এমন কিছু জানতে পারবে যা সাহায্য করতে পারে। আমরা কানাডায় থাকি। *আমি ওষুধের প্রকৃতি সম্পর্কে নিশ্চিত নই, কেবল তাদের বেশিরভাগই সর্বোচ্চ ব্যথা উপশমকারী ওষুধ *আমি এই পৃষ্ঠায় যোগদান করেছি, যদি এই পোস্টটি অনুমোদিত না হয় তবে দুঃখিত।</v>
      </c>
    </row>
    <row r="773" spans="1:3" ht="15" x14ac:dyDescent="0.25">
      <c r="A773" s="3" t="s">
        <v>769</v>
      </c>
      <c r="B773" s="3" t="s">
        <v>4</v>
      </c>
      <c r="C773" s="4" t="str">
        <f ca="1">IFERROR(__xludf.DUMMYFUNCTION("GOOGLETRANSLATE(A773, ""auto"", ""bn"")"),"আমরা একসাথে থাকার আগে তার (২৪ বছর) অতীতে অ্যালকোহল এবং কোকের তীব্র সমস্যা ছিল (তিনি মারাত্মকভাবে বিষণ্ণ, কখনও কখনও আত্মহত্যার চিন্তাভাবনার সাথে জড়িত ছিলেন)। আমি তার আচরণ পরিবর্তন করার জন্য সক্রিয়ভাবে কিছু করিনি, তবে স্পষ্টতই, আমরা একসাথে থাকার ফলে, সে স"&amp;"ম্পূর্ণরূপে নেশা ছেড়ে দিয়েছে। এক বছর ধরে দ্রুত এগিয়ে যান: সে/আমরা অনেক কিছুর মধ্য দিয়ে গেছি, যার মধ্যে রয়েছে তার জন্য দেশজুড়ে দুটি বড় পদক্ষেপ, যার মধ্যে একটি মাদকের ট্রিগার এড়াতে। এখন, সে একা ট্রেড স্কুল শেষ করার চেষ্টা করছে (আমি অন্তত প্রথমে তার "&amp;"সাথে যেতে পারিনি) এবং সে একটি বড় স্লাইড শুরু করেছে - যা তাকে ভয় পেয়েছে যে সে সম্পূর্ণরূপে তার পুরানো আচরণে ফিরে যাবে। আমি যতদূর বলতে পারি, এটি একাকীত্ব/একঘেয়েমি (এটি একটি খুব পাঙ্ক শহর) এবং খুব খারাপ প্রভাবের (তার সহপাঠীদের) সংমিশ্রণের ফলাফল। তাৎক্ষণি"&amp;"কভাবে দণ্ডিত হিসাবে, আমি তাকে সেখান থেকে বের করে তার বাবা-মায়ের বাড়িতে 2 সপ্তাহের জন্য নিয়ে যাচ্ছি যতক্ষণ না আমরা জিনিসগুলি খুঁজে বের করি। যদি সে স্কুল ছেড়ে দেয়, তাহলে তার অনেক সময় এবং অর্থ নষ্ট হতে পারে এবং আমার মনে হয় না এতে তার মানসিক অবস্থা ভাল"&amp;"ো হবে। একা স্কুলে থাকা এবং পুনর্বাসন বা থেরাপিতে যাওয়া কোনও বিকল্প নয়, কারণ আমি প্রতিশ্রুতি দিতে পারি যে সে যেখানে আছে সেখানে কোনও ভাল বিকল্প নেই (যদি না আমরা অনলাইনে কথা বলছি, তবুও।) এর একমাত্র সমাধান যা আমি ভাবতে পারি তা হল সম্পূর্ণরূপে অসুস্থ না হয়ে"&amp;"ই তার স্কুল শেষ করা এবং তারপরে তাকে আবার বাড়িতে ফিরিয়ে আনা এবং সাহায্য পাওয়া। আমি কি সম্পূর্ণরূপে বিভ্রান্ত হয়ে ভাবছি যে আমি তাকে একা সাহায্য করতে পারব, এমনকি স্বল্পমেয়াদী জন্যও? আমি আগেও এটি করেছি, এমনকি ইচ্ছা না করেই, তাই হয়তো আমি জেনেশুনে আরও ভাল"&amp;" কাজ করতে পারি? নাকি আমি তাকে আরও কঠিন পতনের জন্য প্রস্তুত করছি? আমি কেবল তাকে স্বল্পমেয়াদী এবং দীর্ঘমেয়াদী যা সবচেয়ে ভালো সাহায্য হবে তা দিতে চাই।")</f>
        <v>আমরা একসাথে থাকার আগে তার (২৪ বছর) অতীতে অ্যালকোহল এবং কোকের তীব্র সমস্যা ছিল (তিনি মারাত্মকভাবে বিষণ্ণ, কখনও কখনও আত্মহত্যার চিন্তাভাবনার সাথে জড়িত ছিলেন)। আমি তার আচরণ পরিবর্তন করার জন্য সক্রিয়ভাবে কিছু করিনি, তবে স্পষ্টতই, আমরা একসাথে থাকার ফলে, সে সম্পূর্ণরূপে নেশা ছেড়ে দিয়েছে। এক বছর ধরে দ্রুত এগিয়ে যান: সে/আমরা অনেক কিছুর মধ্য দিয়ে গেছি, যার মধ্যে রয়েছে তার জন্য দেশজুড়ে দুটি বড় পদক্ষেপ, যার মধ্যে একটি মাদকের ট্রিগার এড়াতে। এখন, সে একা ট্রেড স্কুল শেষ করার চেষ্টা করছে (আমি অন্তত প্রথমে তার সাথে যেতে পারিনি) এবং সে একটি বড় স্লাইড শুরু করেছে - যা তাকে ভয় পেয়েছে যে সে সম্পূর্ণরূপে তার পুরানো আচরণে ফিরে যাবে। আমি যতদূর বলতে পারি, এটি একাকীত্ব/একঘেয়েমি (এটি একটি খুব পাঙ্ক শহর) এবং খুব খারাপ প্রভাবের (তার সহপাঠীদের) সংমিশ্রণের ফলাফল। তাৎক্ষণিকভাবে দণ্ডিত হিসাবে, আমি তাকে সেখান থেকে বের করে তার বাবা-মায়ের বাড়িতে 2 সপ্তাহের জন্য নিয়ে যাচ্ছি যতক্ষণ না আমরা জিনিসগুলি খুঁজে বের করি। যদি সে স্কুল ছেড়ে দেয়, তাহলে তার অনেক সময় এবং অর্থ নষ্ট হতে পারে এবং আমার মনে হয় না এতে তার মানসিক অবস্থা ভালো হবে। একা স্কুলে থাকা এবং পুনর্বাসন বা থেরাপিতে যাওয়া কোনও বিকল্প নয়, কারণ আমি প্রতিশ্রুতি দিতে পারি যে সে যেখানে আছে সেখানে কোনও ভাল বিকল্প নেই (যদি না আমরা অনলাইনে কথা বলছি, তবুও।) এর একমাত্র সমাধান যা আমি ভাবতে পারি তা হল সম্পূর্ণরূপে অসুস্থ না হয়েই তার স্কুল শেষ করা এবং তারপরে তাকে আবার বাড়িতে ফিরিয়ে আনা এবং সাহায্য পাওয়া। আমি কি সম্পূর্ণরূপে বিভ্রান্ত হয়ে ভাবছি যে আমি তাকে একা সাহায্য করতে পারব, এমনকি স্বল্পমেয়াদী জন্যও? আমি আগেও এটি করেছি, এমনকি ইচ্ছা না করেই, তাই হয়তো আমি জেনেশুনে আরও ভাল কাজ করতে পারি? নাকি আমি তাকে আরও কঠিন পতনের জন্য প্রস্তুত করছি? আমি কেবল তাকে স্বল্পমেয়াদী এবং দীর্ঘমেয়াদী যা সবচেয়ে ভালো সাহায্য হবে তা দিতে চাই।</v>
      </c>
    </row>
    <row r="774" spans="1:3" ht="15" x14ac:dyDescent="0.25">
      <c r="A774" s="3" t="s">
        <v>770</v>
      </c>
      <c r="B774" s="3" t="s">
        <v>4</v>
      </c>
      <c r="C774" s="4" t="str">
        <f ca="1">IFERROR(__xludf.DUMMYFUNCTION("GOOGLETRANSLATE(A774, ""auto"", ""bn"")"),"আমি এমন একজন ব্যক্তির সাথে কীভাবে আচরণ করব সে সম্পর্কে কিছু টিপস জানতে চাই যার আসক্তি আছে, আমার বান্ধবী এটি মোকাবেলা করে এবং আমি জানি না কিভাবে সাহায্য করব, এবং এটি আমাকে এবং তাকে আরও বেশি কষ্ট দেয়, তাই যদি কেউ আমাকে সাহায্য করতে পারে, তাহলে দারুন হবে..."&amp;" আমার হৃদয়ের গভীর থেকে ধন্যবাদ।")</f>
        <v>আমি এমন একজন ব্যক্তির সাথে কীভাবে আচরণ করব সে সম্পর্কে কিছু টিপস জানতে চাই যার আসক্তি আছে, আমার বান্ধবী এটি মোকাবেলা করে এবং আমি জানি না কিভাবে সাহায্য করব, এবং এটি আমাকে এবং তাকে আরও বেশি কষ্ট দেয়, তাই যদি কেউ আমাকে সাহায্য করতে পারে, তাহলে দারুন হবে... আমার হৃদয়ের গভীর থেকে ধন্যবাদ।</v>
      </c>
    </row>
    <row r="775" spans="1:3" ht="15" x14ac:dyDescent="0.25">
      <c r="A775" s="3" t="s">
        <v>771</v>
      </c>
      <c r="B775" s="3" t="s">
        <v>4</v>
      </c>
      <c r="C775" s="4" t="str">
        <f ca="1">IFERROR(__xludf.DUMMYFUNCTION("GOOGLETRANSLATE(A775, ""auto"", ""bn"")"),"আমি জানি না এটা জিজ্ঞাসা করার সঠিক জায়গা কিনা, কিন্তু প্রায় ৫ বছর ধরে আমি ৬ কাপ কফি খেয়েছি এবং আমার জিসিএসই করার সময় ২ ঘন্টা ঘুমিয়েছি। এখন আমি কলেজে পড়ি এবং আমি জেগে থাকতে পারি না। মাঝে মাঝে কফি খাই, কিন্তু প্রায় এক সপ্তাহ ধরে একটাও খাইনি, আর এখন একটা খাই"&amp;"। আমার মনে হচ্ছে আমার হার্ট অ্যাটাক হচ্ছে এবং আমি আমার ত্বক ছিঁড়ে ফেলতে চাই কিন্তু নিজের ক্ষতি করার জন্য নয় (যদি তা যুক্তিসঙ্গত হয়) তাহলে যেকোনো সাহায্য সত্যিই সহায়ক হবে। আমি ১৭ বছর বয়সী।")</f>
        <v>আমি জানি না এটা জিজ্ঞাসা করার সঠিক জায়গা কিনা, কিন্তু প্রায় ৫ বছর ধরে আমি ৬ কাপ কফি খেয়েছি এবং আমার জিসিএসই করার সময় ২ ঘন্টা ঘুমিয়েছি। এখন আমি কলেজে পড়ি এবং আমি জেগে থাকতে পারি না। মাঝে মাঝে কফি খাই, কিন্তু প্রায় এক সপ্তাহ ধরে একটাও খাইনি, আর এখন একটা খাই। আমার মনে হচ্ছে আমার হার্ট অ্যাটাক হচ্ছে এবং আমি আমার ত্বক ছিঁড়ে ফেলতে চাই কিন্তু নিজের ক্ষতি করার জন্য নয় (যদি তা যুক্তিসঙ্গত হয়) তাহলে যেকোনো সাহায্য সত্যিই সহায়ক হবে। আমি ১৭ বছর বয়সী।</v>
      </c>
    </row>
    <row r="776" spans="1:3" ht="15" x14ac:dyDescent="0.25">
      <c r="A776" s="3" t="s">
        <v>772</v>
      </c>
      <c r="B776" s="3" t="s">
        <v>4</v>
      </c>
      <c r="C776" s="4" t="str">
        <f ca="1">IFERROR(__xludf.DUMMYFUNCTION("GOOGLETRANSLATE(A776, ""auto"", ""bn"")"),"আমার সঙ্গীর অতীতে বেশ গুরুতর আফিম আসক্তির সমস্যা ছিল। সে এখন ঠিক আছে কিন্তু আমরা একসাথে থাকার সময় এবং মেথাডোন গ্রহণ করার সময় কয়েকবার পুনরায় সেবন করেছিল। সে এখন পর্যন্ত অবিশ্বাস্যভাবে ভালো করেছে, এবং সাবক্সোন গ্রহণের সময় মাইক্রোডোজ নিতে সক্ষম হয়েছে। "&amp;"তাছাড়া, সে বিষণ্ণতার সাথেও লড়াই করে। এই বিষণ্ণতার পরিস্থিতিতে, আমি আশঙ্কা করি যে সে আবার ব্যবহার শুরু করতে পারে। আমার মনে হয় স্বয়ংক্রিয়ভাবে ধরে নেওয়া ভুল যে যদি তার কিছু ভুল হয়, তবে এটি খুব সম্ভবত মাদক। আমি চাই না যে সে নিজেকে এতটা হতাশ করুক এবং আমি"&amp;" কীভাবে সাহায্য করব তা জানি না। তাছাড়া, আমি তাকে সন্দেহের সুবিধাও দিতে চাই, কারণ আমি জানি যে আমি তাকে বিশ্বাস করছি না এই ভেবে সে কষ্ট পাচ্ছে। অতীতে যখন আমি তার আসক্তির দ্বারা আহত হয়েছি তখন বিশ্বাস রাখা কঠিন। আমি জানি না তার অগ্রগতিকে সম্মান করার পাশাপাশি"&amp;" সতর্ক থাকার মধ্যে কীভাবে সূক্ষ্ম রেখাটি অনুসরণ করতে হয়। কোন পরামর্শ? ধন্যবাদ!")</f>
        <v>আমার সঙ্গীর অতীতে বেশ গুরুতর আফিম আসক্তির সমস্যা ছিল। সে এখন ঠিক আছে কিন্তু আমরা একসাথে থাকার সময় এবং মেথাডোন গ্রহণ করার সময় কয়েকবার পুনরায় সেবন করেছিল। সে এখন পর্যন্ত অবিশ্বাস্যভাবে ভালো করেছে, এবং সাবক্সোন গ্রহণের সময় মাইক্রোডোজ নিতে সক্ষম হয়েছে। তাছাড়া, সে বিষণ্ণতার সাথেও লড়াই করে। এই বিষণ্ণতার পরিস্থিতিতে, আমি আশঙ্কা করি যে সে আবার ব্যবহার শুরু করতে পারে। আমার মনে হয় স্বয়ংক্রিয়ভাবে ধরে নেওয়া ভুল যে যদি তার কিছু ভুল হয়, তবে এটি খুব সম্ভবত মাদক। আমি চাই না যে সে নিজেকে এতটা হতাশ করুক এবং আমি কীভাবে সাহায্য করব তা জানি না। তাছাড়া, আমি তাকে সন্দেহের সুবিধাও দিতে চাই, কারণ আমি জানি যে আমি তাকে বিশ্বাস করছি না এই ভেবে সে কষ্ট পাচ্ছে। অতীতে যখন আমি তার আসক্তির দ্বারা আহত হয়েছি তখন বিশ্বাস রাখা কঠিন। আমি জানি না তার অগ্রগতিকে সম্মান করার পাশাপাশি সতর্ক থাকার মধ্যে কীভাবে সূক্ষ্ম রেখাটি অনুসরণ করতে হয়। কোন পরামর্শ? ধন্যবাদ!</v>
      </c>
    </row>
    <row r="777" spans="1:3" ht="15" x14ac:dyDescent="0.25">
      <c r="A777" s="3" t="s">
        <v>773</v>
      </c>
      <c r="B777" s="3" t="s">
        <v>4</v>
      </c>
      <c r="C777" s="4" t="str">
        <f ca="1">IFERROR(__xludf.DUMMYFUNCTION("GOOGLETRANSLATE(A777, ""auto"", ""bn"")"),"আমি স্বীকার করছি যে আমি কোকেনের প্রতি আসক্ত, এবং সম্প্রতি মলিও নেশা করতে শুরু করেছি। আমার বান্ধবী এবং আমি সপ্তাহান্তে পার্টি করতে উপভোগ করেছি, কিন্তু সে যদিও অনেক আত্ম-নিয়ন্ত্রণ অনুশীলন করেছে এবং আবেগের কাছে নতি স্বীকার করেনি, তবুও আমার আছে। আসলে আমার অন"&amp;"েক সময় আমি আসলে চিন্তা না করেই এটি করি, এবং এবার আমি সত্যিই ভুল করেছি। আমি কর্মক্ষেত্রে এটি করেছি, আমার বান্ধবীর টাকা খরচ করে এটি পাওয়ার পরে, দুটি জিনিস আমি তাকে প্রতিশ্রুতি দিয়েছিলাম যে আমি আর কখনও করব না। তাছাড়া, আমি ভীত কারণ আমি বৈধভাবে তাকে ছাড়া ব"&amp;"াঁচতে পারব না, এবং যদি আমি মরতে না চাই তবে আমাকে এটি ঠিক করতে হবে। তাছাড়া, আমি যেকোনো সাহায্যের জন্য উন্মুক্ত, যতক্ষণ না এতে আমার বান্ধবী ছাড়া জীবন গ্রহণ করার মতো বোকামি জড়িত না হয়, কারণ আক্ষরিক অর্থেই আমি এটি এড়াতে চাই।")</f>
        <v>আমি স্বীকার করছি যে আমি কোকেনের প্রতি আসক্ত, এবং সম্প্রতি মলিও নেশা করতে শুরু করেছি। আমার বান্ধবী এবং আমি সপ্তাহান্তে পার্টি করতে উপভোগ করেছি, কিন্তু সে যদিও অনেক আত্ম-নিয়ন্ত্রণ অনুশীলন করেছে এবং আবেগের কাছে নতি স্বীকার করেনি, তবুও আমার আছে। আসলে আমার অনেক সময় আমি আসলে চিন্তা না করেই এটি করি, এবং এবার আমি সত্যিই ভুল করেছি। আমি কর্মক্ষেত্রে এটি করেছি, আমার বান্ধবীর টাকা খরচ করে এটি পাওয়ার পরে, দুটি জিনিস আমি তাকে প্রতিশ্রুতি দিয়েছিলাম যে আমি আর কখনও করব না। তাছাড়া, আমি ভীত কারণ আমি বৈধভাবে তাকে ছাড়া বাঁচতে পারব না, এবং যদি আমি মরতে না চাই তবে আমাকে এটি ঠিক করতে হবে। তাছাড়া, আমি যেকোনো সাহায্যের জন্য উন্মুক্ত, যতক্ষণ না এতে আমার বান্ধবী ছাড়া জীবন গ্রহণ করার মতো বোকামি জড়িত না হয়, কারণ আক্ষরিক অর্থেই আমি এটি এড়াতে চাই।</v>
      </c>
    </row>
    <row r="778" spans="1:3" ht="15" x14ac:dyDescent="0.25">
      <c r="A778" s="3" t="s">
        <v>774</v>
      </c>
      <c r="B778" s="3" t="s">
        <v>4</v>
      </c>
      <c r="C778" s="4" t="str">
        <f ca="1">IFERROR(__xludf.DUMMYFUNCTION("GOOGLETRANSLATE(A778, ""auto"", ""bn"")"),"আমার কাজের আসক্তি, খাওয়ার আসক্তি, ক্ষতিপূরণমূলক ব্যায়াম, এবং মাঝে মাঝে স্ব-ঔষধ গ্রহণের পর্নোগ্রাফি মিশে যেতে পারে। একের পর এক পদ্ধতি এবং/অথবা সম্পূর্ণ পদ্ধতি সম্পর্কে কীভাবে নির্ধারণ করব? শরীর সম্পর্কেও চিন্তাভাবনা আছে - নিশ্চিত নই যে এটি একটি আসক্তি কিন"&amp;"া,")</f>
        <v>আমার কাজের আসক্তি, খাওয়ার আসক্তি, ক্ষতিপূরণমূলক ব্যায়াম, এবং মাঝে মাঝে স্ব-ঔষধ গ্রহণের পর্নোগ্রাফি মিশে যেতে পারে। একের পর এক পদ্ধতি এবং/অথবা সম্পূর্ণ পদ্ধতি সম্পর্কে কীভাবে নির্ধারণ করব? শরীর সম্পর্কেও চিন্তাভাবনা আছে - নিশ্চিত নই যে এটি একটি আসক্তি কিনা,</v>
      </c>
    </row>
    <row r="779" spans="1:3" ht="15" x14ac:dyDescent="0.25">
      <c r="A779" s="3" t="s">
        <v>775</v>
      </c>
      <c r="B779" s="3" t="s">
        <v>4</v>
      </c>
      <c r="C779" s="4" t="str">
        <f ca="1">IFERROR(__xludf.DUMMYFUNCTION("GOOGLETRANSLATE(A779, ""auto"", ""bn"")"),"তো, আমার স্বামী গত এক বছর ধরে সাবক্সোন না নেওয়ার পর থেকে কড়া মাদক সেবন করে আসছে। সে ফেন্টানাইল, হেরোইন, রক্সি ব্যবহার করছে, আর এখন আমি দেখতে পেলাম সে আবার ফেন্টানাইল এবং ""মেয়ে"" ব্যবহার করছে যা আমার মনে হয় হেরোইন হতে পারে। আইডিকে। কিন্তু আমি একেবারেই ব"&amp;"্যবহার করি না। আমাদের বিবাহিত জীবন প্রায় ৪ বছর ধরে। সে মাঝে মাঝেই নেশাগ্রস্ত থাকে (সবচেয়ে বেশি সময় ধরে নেশাগ্রস্ত ছিল সম্ভবত দেড় বছর)। কিন্তু এই শেষবারের মতো নেশাগ্রস্ত হওয়াটা খুবই খারাপ। আমি আর তার আশেপাশে থাকতে পছন্দ করি না। সে খারাপ, সে সারাদিন ঘুমা"&amp;"য়, মাথা নাড়ে, আমার কোনও কাজে সাহায্য করে না (আমাদের দুজন প্রাণবন্ত হাস্কি আছে)। এটা ঠিক যে মাঝে মাঝে সে আমাকে কুকুরগুলোকে বের করে আনতে সাহায্য করবে, কিন্তু যদি সে আগে একবার নেশায় আক্রান্ত হয়। আমার গাড়িটি বিশ্রামে চলে গেছে, আমার কার্ডের সর্বোচ্চ সীমা শেষ "&amp;"হয়ে গেছে এবং এখন আমার ক্রেডিট কার্ডের মাধ্যমে আমার বিরুদ্ধে মামলা করা হচ্ছে। আমরা দুজনেই UE ব্যবহার করি, এবং সে বেশিরভাগ মাদকের জন্যই ব্যবহার করে। আমরা খুব একটা ব্যবহার করি না। আর আমাদের অর্ধেক জিনিসপত্র সে বন্ধকী দোকানে নিয়ে গেছে। এটা আমাকে অবিশ্বাস্যভাব"&amp;"ে বিরক্ত করে এবং আমি তার একমাত্র ভরসা... কিন্তু যখন প্রতিদিন তোমাকে কারসাজি করা হয় তখন কেউ কত টাকা নিতে পারে? যখন তুমি তোমার পা রাখতে পারো না কারণ তোমাকে বের করে দেওয়ার হুমকি দেওয়া হয় (যদিও আমরা তার বাবা-মায়ের সাথে থাকি) এবং আমার কাছে চলে যাওয়ার জন্য কোন"&amp;" গাড়ি নেই, অর্ধেক সময় যাওয়ার জন্য কোন টাকা নেই, আর সে বলে যদি আমি কুকুরগুলোকে নিয়ে যাই তাহলে চুরি করবো। আর আমি আমার ফোনও নিতে পারবো না কারণ সে এর খরচ বহন করে (সে প্রায় ৩ মাস ধরে এর দাম পরিশোধ করেনি)। সে প্রতিদিন ১০০ ডলারেরও বেশি খরচ করে। এটা আমার হৃদয় ভে"&amp;"ঙে দেয়, এবং এখন আমাদের একটি গাড়ি দুর্ঘটনার সমাধানের কথা আসছে, এবং আমি ভয় পাচ্ছি যদি আমি তাকে এমন জায়গায় না নিয়ে যাই যে সে মারা যাবে, অথবা আমাকে তাকে ছেড়ে যেতে হবে। সে পুনর্বাসনে যেতে রাজি হয়েছিল, আমি এই উদ্দেশ্যে স্বাস্থ্য বীমা নিয়েছি, এবং এখন আমাদের ১"&amp;"লা সেপ্টেম্বর পর্যন্ত অপেক্ষা করতে হবে... আমি যদি এতক্ষণ অপেক্ষা করতে পারি তবে আমি কি জানি না। আমার ব্যাংক অ্যাকাউন্টটি অস্তিত্বহীন। আমি আটকে আছি। সে আমার কাছে কাঁদে এবং বলে যে সে এটা ঘৃণা করে কিন্তু তারপর যখন আমি তার সাথে কথা বলার চেষ্টা করি তখন সে ঘুরে "&amp;"দাঁড়ায় এবং আমার উপর রেগে যায়। আমার কী করা উচিত?! এই মুহুর্তে আমি তার পরিণতি ঘৃণা করি... মাঝে মাঝে আমি ঘর থেকে বেরিয়ে জঙ্গলে বসে থাকি পালানোর জন্য। আমার ঘৃণা হয় যে সে আমার জিনিসপত্র পেতে পারে এবং আমাকে খারাপ মনে করে কারণ সে যদি তার ""ঔষধ"" না পায় তবে"&amp;" সে অসুস্থ হয়ে পড়বে। আমি এই পুনরুত্থানের জন্য সাবক্সোনকে দোষারোপ করি। আমি তাকে ভালোবাসি এবং উত্থান-পতনের সময় তার সাথে ছিলাম, কিন্তু এটি প্রায় ভেঙে পড়ার পর্যায়ে। আপডেট: স্বাস্থ্য বীমা আমরা সময়মতো দিতে পারিনি। এবং তারপর সে কাঁদে এবং আমাকে বলে যে সে ব"&amp;"িনামূল্যে একটি পুনর্বাসনে যাচ্ছে... কিন্তু আমি কীভাবে জানব যে সে আসলে এই সময় যাচ্ছে এবং বিষয়টিকে গুরুত্ব সহকারে নিবে।")</f>
        <v>তো, আমার স্বামী গত এক বছর ধরে সাবক্সোন না নেওয়ার পর থেকে কড়া মাদক সেবন করে আসছে। সে ফেন্টানাইল, হেরোইন, রক্সি ব্যবহার করছে, আর এখন আমি দেখতে পেলাম সে আবার ফেন্টানাইল এবং "মেয়ে" ব্যবহার করছে যা আমার মনে হয় হেরোইন হতে পারে। আইডিকে। কিন্তু আমি একেবারেই ব্যবহার করি না। আমাদের বিবাহিত জীবন প্রায় ৪ বছর ধরে। সে মাঝে মাঝেই নেশাগ্রস্ত থাকে (সবচেয়ে বেশি সময় ধরে নেশাগ্রস্ত ছিল সম্ভবত দেড় বছর)। কিন্তু এই শেষবারের মতো নেশাগ্রস্ত হওয়াটা খুবই খারাপ। আমি আর তার আশেপাশে থাকতে পছন্দ করি না। সে খারাপ, সে সারাদিন ঘুমায়, মাথা নাড়ে, আমার কোনও কাজে সাহায্য করে না (আমাদের দুজন প্রাণবন্ত হাস্কি আছে)। এটা ঠিক যে মাঝে মাঝে সে আমাকে কুকুরগুলোকে বের করে আনতে সাহায্য করবে, কিন্তু যদি সে আগে একবার নেশায় আক্রান্ত হয়। আমার গাড়িটি বিশ্রামে চলে গেছে, আমার কার্ডের সর্বোচ্চ সীমা শেষ হয়ে গেছে এবং এখন আমার ক্রেডিট কার্ডের মাধ্যমে আমার বিরুদ্ধে মামলা করা হচ্ছে। আমরা দুজনেই UE ব্যবহার করি, এবং সে বেশিরভাগ মাদকের জন্যই ব্যবহার করে। আমরা খুব একটা ব্যবহার করি না। আর আমাদের অর্ধেক জিনিসপত্র সে বন্ধকী দোকানে নিয়ে গেছে। এটা আমাকে অবিশ্বাস্যভাবে বিরক্ত করে এবং আমি তার একমাত্র ভরসা... কিন্তু যখন প্রতিদিন তোমাকে কারসাজি করা হয় তখন কেউ কত টাকা নিতে পারে? যখন তুমি তোমার পা রাখতে পারো না কারণ তোমাকে বের করে দেওয়ার হুমকি দেওয়া হয় (যদিও আমরা তার বাবা-মায়ের সাথে থাকি) এবং আমার কাছে চলে যাওয়ার জন্য কোন গাড়ি নেই, অর্ধেক সময় যাওয়ার জন্য কোন টাকা নেই, আর সে বলে যদি আমি কুকুরগুলোকে নিয়ে যাই তাহলে চুরি করবো। আর আমি আমার ফোনও নিতে পারবো না কারণ সে এর খরচ বহন করে (সে প্রায় ৩ মাস ধরে এর দাম পরিশোধ করেনি)। সে প্রতিদিন ১০০ ডলারেরও বেশি খরচ করে। এটা আমার হৃদয় ভেঙে দেয়, এবং এখন আমাদের একটি গাড়ি দুর্ঘটনার সমাধানের কথা আসছে, এবং আমি ভয় পাচ্ছি যদি আমি তাকে এমন জায়গায় না নিয়ে যাই যে সে মারা যাবে, অথবা আমাকে তাকে ছেড়ে যেতে হবে। সে পুনর্বাসনে যেতে রাজি হয়েছিল, আমি এই উদ্দেশ্যে স্বাস্থ্য বীমা নিয়েছি, এবং এখন আমাদের ১লা সেপ্টেম্বর পর্যন্ত অপেক্ষা করতে হবে... আমি যদি এতক্ষণ অপেক্ষা করতে পারি তবে আমি কি জানি না। আমার ব্যাংক অ্যাকাউন্টটি অস্তিত্বহীন। আমি আটকে আছি। সে আমার কাছে কাঁদে এবং বলে যে সে এটা ঘৃণা করে কিন্তু তারপর যখন আমি তার সাথে কথা বলার চেষ্টা করি তখন সে ঘুরে দাঁড়ায় এবং আমার উপর রেগে যায়। আমার কী করা উচিত?! এই মুহুর্তে আমি তার পরিণতি ঘৃণা করি... মাঝে মাঝে আমি ঘর থেকে বেরিয়ে জঙ্গলে বসে থাকি পালানোর জন্য। আমার ঘৃণা হয় যে সে আমার জিনিসপত্র পেতে পারে এবং আমাকে খারাপ মনে করে কারণ সে যদি তার "ঔষধ" না পায় তবে সে অসুস্থ হয়ে পড়বে। আমি এই পুনরুত্থানের জন্য সাবক্সোনকে দোষারোপ করি। আমি তাকে ভালোবাসি এবং উত্থান-পতনের সময় তার সাথে ছিলাম, কিন্তু এটি প্রায় ভেঙে পড়ার পর্যায়ে। আপডেট: স্বাস্থ্য বীমা আমরা সময়মতো দিতে পারিনি। এবং তারপর সে কাঁদে এবং আমাকে বলে যে সে বিনামূল্যে একটি পুনর্বাসনে যাচ্ছে... কিন্তু আমি কীভাবে জানব যে সে আসলে এই সময় যাচ্ছে এবং বিষয়টিকে গুরুত্ব সহকারে নিবে।</v>
      </c>
    </row>
    <row r="780" spans="1:3" ht="15" x14ac:dyDescent="0.25">
      <c r="A780" s="3" t="s">
        <v>776</v>
      </c>
      <c r="B780" s="3" t="s">
        <v>4</v>
      </c>
      <c r="C780" s="4" t="str">
        <f ca="1">IFERROR(__xludf.DUMMYFUNCTION("GOOGLETRANSLATE(A780, ""auto"", ""bn"")"),"তাই আমি এই ধারণার সাথে লড়াই করেছি যে আমি ঘুমের জন্য যে ওষুধটি খাচ্ছি তা আমি অপব্যবহার করছি। আমার ডাক্তার আমাকে যে ডোজটি দিয়েছিলেন তা নিয়ে একটু খেলা করতে বলেছিলেন যাতে আমি বুঝতে পারি কোনটি আমাকে সবচেয়ে আরামদায়ক বোধ করে এবং আমি এটি নিয়ে অনেক খেলেছি এব"&amp;"ং দেখেছি যে এটি আমাকে নিখুঁত বোধ করতে পারে কিন্তু আমার কোনও স্মৃতিশক্তি নেই এবং আমার ক্রিয়াকলাপের উপর কোনও নিয়ন্ত্রণ নেই। তাই দ্রুত এগিয়ে গিয়ে আমি সিদ্ধান্ত নিই যে এই ওষুধটি আমার সম্পর্কের জন্য ক্ষতিকারক বলে মনে হচ্ছে কারণ আমি অনেক লোককে এলোমেলোভাবে ট"&amp;"েক্সট করেছি, এবং তারা আমার জন্য ভয় পেয়েছিল, এবং আমি এটি আরও বেশি করে গ্রহণ করছিলাম। তাই আমি থামিয়ে দিয়েছিলাম এবং প্রায় 6 মাস ধরে এটি বন্ধ করে দিয়েছিলাম। ডাক্তারের কাছে ফিরে গিয়েছিলাম, এবং তিনি আমার পুরানো স্ক্রিপ্টগুলি ফিরিয়ে দিয়েছিলেন যার মধ্যে "&amp;"আমি অপব্যবহার করছি (আমি জানতাম না কিভাবে তাকে বলব যে এই ওষুধটি খাওয়া আমার পক্ষে কঠিন) এবং তাই যখন আমি আমার প্রেসক্রিপশন নিতে যাই তখন অবশ্যই এটি সেখানে থাকে। আমার বাড়িতে যদি এটা এক বা দুই সপ্তাহের মতো থাকতো, তাহলে হয়তো আমি এটা নিতাম না কিন্তু তারপর একদি"&amp;"ন যখন আমি একা ছিলাম, তখন আমি এটা অনেক খেয়ে ফেলতাম এবং আবার ৩ দিনের ম্যানিয়া নেশার মতো করে ফেলতাম। আমি জানি এটা যদি আফিম হতো তাহলে আমি মারা যেতাম। আমার সঙ্গী বাড়িতে আসার আগে আমি অনেক ওষুধ খেয়েছিলাম এবং আমাকে ধীর করার চেষ্টা করেছিলাম। আমার কিছু বিব্রতকর"&amp;" দিন লেগেছিল, আমি শান্ত হতে এবং পুনরায় সেট করতে চাই। এখন আমি সত্যিই ভয় পাচ্ছি যে এটি বারবার ঘটতে থাকবে এবং আমার অনেক সম্পর্ক নষ্ট হবে। আমি এগিয়ে যেতে পারি, আমি জানি আমি এটা করতে পারি এবং ঠান্ডা টার্কি কেটে ফেলতে পারি কিন্তু যখন এটি আমাকে দেওয়া হয়, তখ"&amp;"ন আমি জানি না যে আমি সেই সময়ে না বলতে পারব কিনা। এবং কখনও কখনও দুঃস্বপ্ন এবং অনিদ্রার মতো এবং আমি এই ওষুধটি পাচ্ছি যে আমি সেই রাতগুলিতে সত্যিই সাহায্য করে যখন আমি ঘুমাতে পারি না। এবং বর্তমানে আমার সত্যিই কিছু খাওয়ার প্রয়োজন কারণ PTSD ফ্ল্যাশব্যাক এবং দ"&amp;"ুঃস্বপ্নের কারণে আমি দেড় থেকে দুইবারের বেশি ঘুমাতে পারি না। আমি জানি আমি এই স্পষ্ট ধরণটি উপেক্ষা করে আর এগিয়ে যেতে পারব না.... কিন্তু আমি জানি না আমার পরবর্তী পদক্ষেপ কী.... আর আমি খুবই লজ্জিত, দুঃখিত এবং ভীত এবং আমার অনেক বন্ধু শুধু টেক্সট করছে, ""তুমি "&amp;"ঠিক আছো?"" কারণ তারা আমাকে কখনও এভাবে দেখেনি...")</f>
        <v>তাই আমি এই ধারণার সাথে লড়াই করেছি যে আমি ঘুমের জন্য যে ওষুধটি খাচ্ছি তা আমি অপব্যবহার করছি। আমার ডাক্তার আমাকে যে ডোজটি দিয়েছিলেন তা নিয়ে একটু খেলা করতে বলেছিলেন যাতে আমি বুঝতে পারি কোনটি আমাকে সবচেয়ে আরামদায়ক বোধ করে এবং আমি এটি নিয়ে অনেক খেলেছি এবং দেখেছি যে এটি আমাকে নিখুঁত বোধ করতে পারে কিন্তু আমার কোনও স্মৃতিশক্তি নেই এবং আমার ক্রিয়াকলাপের উপর কোনও নিয়ন্ত্রণ নেই। তাই দ্রুত এগিয়ে গিয়ে আমি সিদ্ধান্ত নিই যে এই ওষুধটি আমার সম্পর্কের জন্য ক্ষতিকারক বলে মনে হচ্ছে কারণ আমি অনেক লোককে এলোমেলোভাবে টেক্সট করেছি, এবং তারা আমার জন্য ভয় পেয়েছিল, এবং আমি এটি আরও বেশি করে গ্রহণ করছিলাম। তাই আমি থামিয়ে দিয়েছিলাম এবং প্রায় 6 মাস ধরে এটি বন্ধ করে দিয়েছিলাম। ডাক্তারের কাছে ফিরে গিয়েছিলাম, এবং তিনি আমার পুরানো স্ক্রিপ্টগুলি ফিরিয়ে দিয়েছিলেন যার মধ্যে আমি অপব্যবহার করছি (আমি জানতাম না কিভাবে তাকে বলব যে এই ওষুধটি খাওয়া আমার পক্ষে কঠিন) এবং তাই যখন আমি আমার প্রেসক্রিপশন নিতে যাই তখন অবশ্যই এটি সেখানে থাকে। আমার বাড়িতে যদি এটা এক বা দুই সপ্তাহের মতো থাকতো, তাহলে হয়তো আমি এটা নিতাম না কিন্তু তারপর একদিন যখন আমি একা ছিলাম, তখন আমি এটা অনেক খেয়ে ফেলতাম এবং আবার ৩ দিনের ম্যানিয়া নেশার মতো করে ফেলতাম। আমি জানি এটা যদি আফিম হতো তাহলে আমি মারা যেতাম। আমার সঙ্গী বাড়িতে আসার আগে আমি অনেক ওষুধ খেয়েছিলাম এবং আমাকে ধীর করার চেষ্টা করেছিলাম। আমার কিছু বিব্রতকর দিন লেগেছিল, আমি শান্ত হতে এবং পুনরায় সেট করতে চাই। এখন আমি সত্যিই ভয় পাচ্ছি যে এটি বারবার ঘটতে থাকবে এবং আমার অনেক সম্পর্ক নষ্ট হবে। আমি এগিয়ে যেতে পারি, আমি জানি আমি এটা করতে পারি এবং ঠান্ডা টার্কি কেটে ফেলতে পারি কিন্তু যখন এটি আমাকে দেওয়া হয়, তখন আমি জানি না যে আমি সেই সময়ে না বলতে পারব কিনা। এবং কখনও কখনও দুঃস্বপ্ন এবং অনিদ্রার মতো এবং আমি এই ওষুধটি পাচ্ছি যে আমি সেই রাতগুলিতে সত্যিই সাহায্য করে যখন আমি ঘুমাতে পারি না। এবং বর্তমানে আমার সত্যিই কিছু খাওয়ার প্রয়োজন কারণ PTSD ফ্ল্যাশব্যাক এবং দুঃস্বপ্নের কারণে আমি দেড় থেকে দুইবারের বেশি ঘুমাতে পারি না। আমি জানি আমি এই স্পষ্ট ধরণটি উপেক্ষা করে আর এগিয়ে যেতে পারব না.... কিন্তু আমি জানি না আমার পরবর্তী পদক্ষেপ কী.... আর আমি খুবই লজ্জিত, দুঃখিত এবং ভীত এবং আমার অনেক বন্ধু শুধু টেক্সট করছে, "তুমি ঠিক আছো?" কারণ তারা আমাকে কখনও এভাবে দেখেনি...</v>
      </c>
    </row>
    <row r="781" spans="1:3" ht="15" x14ac:dyDescent="0.25">
      <c r="A781" s="3" t="s">
        <v>777</v>
      </c>
      <c r="B781" s="3" t="s">
        <v>4</v>
      </c>
      <c r="C781" s="4" t="str">
        <f ca="1">IFERROR(__xludf.DUMMYFUNCTION("GOOGLETRANSLATE(A781, ""auto"", ""bn"")"),"আমি বুঝতে পেরেছি যে আমার দৈনন্দিন জীবনে অন্তত একটি আসক্তি থাকা উচিত। প্রথমত, কলেজে পড়ার সময় ধূমপান ছিল। তারপর আমি ছেড়ে দিয়েছিলাম, কিন্তু পরিবর্তে মদ্যপান শুরু করেছিলাম। তারপর আমি মদ্যপান ছেড়ে দেওয়ার জন্য একজন মনোরোগ বিশেষজ্ঞের কাছে গিয়েছিলাম এবং উদ"&amp;"্বেগের জন্য Lexa Pro খাওয়া শুরু করেছিলাম। এখন আমি Lexa Pro খাওয়াও বন্ধ করে দিয়েছি, কিন্তু আবার ধূমপান শুরু করেছি। আমি বুঝতে পেরেছি যে আমি ""দিন শেষ করার"" একটি উপায় চাই? এমন কিছু দিয়ে যা শিথিল এবং চাপমুক্ত করার কথা, যেমন অ্যালকোহল, সিগারেট বা অ্যান্ট"&amp;"ি-ডিপ্রেসেন্ট। আমি সাধারণত সারাদিন কেবল প্রতিটি ছোট জিনিস নিয়ে উদ্বিগ্ন হয়ে কাটাই, তারপর রাতে আমি সেই চাপমুক্ত পদার্থের জন্য আকুল হয়ে পড়ি, যাই হোক না কেন। আমি ধ্যান করার, মননশীলতা অনুশীলন করার, শ্বাস-প্রশ্বাসের ব্যায়াম করার চেষ্টা করেছি; আমার অনেক শখ"&amp;" আছে যেমন পেইন্টিং এবং ইন্টেরিয়র ডিজাইন। এর কোনটিই আমার আকাঙ্ক্ষা পূরণ করতে সাহায্য করে না, কারণ এগুলি যথেষ্ট শক্তিশালী সেরোটোনিন বুস্টার নয়। আমি এই ধ্বংসাত্মক অভ্যাসের দাস হতে চাই না, এবং আমি আমার সারা জীবন ধরে একের পর এক আসক্তির বিরুদ্ধে লড়াই চালিয়ে"&amp;" যেতে চাই না। আমি আবার Lexa pro নেওয়ার জন্য অ্যাপয়েন্টমেন্ট নিয়েছি। অ্যান্টি-ডিপ্রেসেন্টস হয়তো সবচেয়ে ভালো সমাধান নাও হতে পারে, কিন্তু আমি ভেবেছি এটি অ্যালকোহল বা নিকোটিনের চেয়ে ভালো। আমি যেখানে থাকি সেখানে থেরাপি অনেক ব্যয়বহুল; এক ঘন্টার সেশন এক মাসের অ্"&amp;"যালকোহল এবং নিকোটিনের চেয়ে বেশি ব্যয়বহুল। হয়তো ভবিষ্যতে যখন আমি আর্থিকভাবে আরও সক্ষম হব তখন একজন থেরাপিস্টের সাথে দেখা করব, কিন্তু আপাতত, চাপ কমানোর জন্য খারাপ অভ্যাসের আকাঙ্ক্ষা বন্ধ করার উপায় সম্পর্কে কারো কি কোন পরামর্শ আছে?")</f>
        <v>আমি বুঝতে পেরেছি যে আমার দৈনন্দিন জীবনে অন্তত একটি আসক্তি থাকা উচিত। প্রথমত, কলেজে পড়ার সময় ধূমপান ছিল। তারপর আমি ছেড়ে দিয়েছিলাম, কিন্তু পরিবর্তে মদ্যপান শুরু করেছিলাম। তারপর আমি মদ্যপান ছেড়ে দেওয়ার জন্য একজন মনোরোগ বিশেষজ্ঞের কাছে গিয়েছিলাম এবং উদ্বেগের জন্য Lexa Pro খাওয়া শুরু করেছিলাম। এখন আমি Lexa Pro খাওয়াও বন্ধ করে দিয়েছি, কিন্তু আবার ধূমপান শুরু করেছি। আমি বুঝতে পেরেছি যে আমি "দিন শেষ করার" একটি উপায় চাই? এমন কিছু দিয়ে যা শিথিল এবং চাপমুক্ত করার কথা, যেমন অ্যালকোহল, সিগারেট বা অ্যান্টি-ডিপ্রেসেন্ট। আমি সাধারণত সারাদিন কেবল প্রতিটি ছোট জিনিস নিয়ে উদ্বিগ্ন হয়ে কাটাই, তারপর রাতে আমি সেই চাপমুক্ত পদার্থের জন্য আকুল হয়ে পড়ি, যাই হোক না কেন। আমি ধ্যান করার, মননশীলতা অনুশীলন করার, শ্বাস-প্রশ্বাসের ব্যায়াম করার চেষ্টা করেছি; আমার অনেক শখ আছে যেমন পেইন্টিং এবং ইন্টেরিয়র ডিজাইন। এর কোনটিই আমার আকাঙ্ক্ষা পূরণ করতে সাহায্য করে না, কারণ এগুলি যথেষ্ট শক্তিশালী সেরোটোনিন বুস্টার নয়। আমি এই ধ্বংসাত্মক অভ্যাসের দাস হতে চাই না, এবং আমি আমার সারা জীবন ধরে একের পর এক আসক্তির বিরুদ্ধে লড়াই চালিয়ে যেতে চাই না। আমি আবার Lexa pro নেওয়ার জন্য অ্যাপয়েন্টমেন্ট নিয়েছি। অ্যান্টি-ডিপ্রেসেন্টস হয়তো সবচেয়ে ভালো সমাধান নাও হতে পারে, কিন্তু আমি ভেবেছি এটি অ্যালকোহল বা নিকোটিনের চেয়ে ভালো। আমি যেখানে থাকি সেখানে থেরাপি অনেক ব্যয়বহুল; এক ঘন্টার সেশন এক মাসের অ্যালকোহল এবং নিকোটিনের চেয়ে বেশি ব্যয়বহুল। হয়তো ভবিষ্যতে যখন আমি আর্থিকভাবে আরও সক্ষম হব তখন একজন থেরাপিস্টের সাথে দেখা করব, কিন্তু আপাতত, চাপ কমানোর জন্য খারাপ অভ্যাসের আকাঙ্ক্ষা বন্ধ করার উপায় সম্পর্কে কারো কি কোন পরামর্শ আছে?</v>
      </c>
    </row>
    <row r="782" spans="1:3" ht="15" x14ac:dyDescent="0.25">
      <c r="A782" s="3" t="s">
        <v>778</v>
      </c>
      <c r="B782" s="3" t="s">
        <v>4</v>
      </c>
      <c r="C782" s="4" t="str">
        <f ca="1">IFERROR(__xludf.DUMMYFUNCTION("GOOGLETRANSLATE(A782, ""auto"", ""bn"")"),"আমার শ্বশুর এক মাস আগে তার স্ত্রীকে হারিয়েছেন। তিনি একজন নিষ্ঠুর আত্মকেন্দ্রিক ব্যক্তি যিনি বছরের পর বছর ধরে মাঝে মাঝে মদ্যপান করতেন - কিন্তু এখন তিনি সত্যিই এই জিনিসগুলিতে আসক্ত। স্ত্রী ছাড়া তিনি সম্পূর্ণ অসহায় কিন্তু থেরাপির ধারণাটিকেও ঘৃণা করেন এবং "&amp;"অস্বীকার করেন যে মদ্যপান এবং তার কাজের জন্য তার সাহায্যের প্রয়োজন। তদুপরি, তিনি ""পুরুষদের মতো"" ধরণের মানুষ। তিনি মৃত্যুর পরে জীবনের অর্থ খুঁজে বের করার চেষ্টা করেন এবং এটি একটি ভাল জিনিস, কিন্তু তিনি ব্যর্থ হন কারণ তার আত্মকেন্দ্রিক প্রতিরক্ষা তাকে অন্"&amp;"যদের জন্য অসহনীয় করে তোলে। তার রক্তের ক্যান্সার ছিল, ক্ষমার মধ্যে। যেহেতু তিনি একজন বয়স্ক ব্যক্তি এবং তার স্বাস্থ্য ভালো নয়, তাই আমরা, পরিবার, ভাবছি কী তাকে সাহায্য করতে পারে। বিকল্পগুলির মধ্যে, পুনর্বাসন থেরাপি আশাব্যঞ্জক দেখাচ্ছে। কিন্তু এতে আমাদের অ"&amp;"নেক টাকা খরচ হবে। বয়স্কদের জন্য পুনর্বাসন কি ভালো? কারণ আমাদের কখনও এর অভিজ্ঞতা ছিল না। 8+ মাসের মতো দীর্ঘমেয়াদী পুনর্বাসন কি সহায়ক হবে নাকি এটি একটি হারানো মামলা? পুনর্বাসন কেন্দ্রের কি বিভিন্ন প্রোগ্রাম আছে? আমরা কেবল 12টি ধাপ নিয়ে গবেষণা করেছি, এটি"&amp;" কি একমাত্র পুনর্বাসন প্রোগ্রাম ব্যবহৃত হয়? ভাবছেন, কারো অভিজ্ঞতা আছে?")</f>
        <v>আমার শ্বশুর এক মাস আগে তার স্ত্রীকে হারিয়েছেন। তিনি একজন নিষ্ঠুর আত্মকেন্দ্রিক ব্যক্তি যিনি বছরের পর বছর ধরে মাঝে মাঝে মদ্যপান করতেন - কিন্তু এখন তিনি সত্যিই এই জিনিসগুলিতে আসক্ত। স্ত্রী ছাড়া তিনি সম্পূর্ণ অসহায় কিন্তু থেরাপির ধারণাটিকেও ঘৃণা করেন এবং অস্বীকার করেন যে মদ্যপান এবং তার কাজের জন্য তার সাহায্যের প্রয়োজন। তদুপরি, তিনি "পুরুষদের মতো" ধরণের মানুষ। তিনি মৃত্যুর পরে জীবনের অর্থ খুঁজে বের করার চেষ্টা করেন এবং এটি একটি ভাল জিনিস, কিন্তু তিনি ব্যর্থ হন কারণ তার আত্মকেন্দ্রিক প্রতিরক্ষা তাকে অন্যদের জন্য অসহনীয় করে তোলে। তার রক্তের ক্যান্সার ছিল, ক্ষমার মধ্যে। যেহেতু তিনি একজন বয়স্ক ব্যক্তি এবং তার স্বাস্থ্য ভালো নয়, তাই আমরা, পরিবার, ভাবছি কী তাকে সাহায্য করতে পারে। বিকল্পগুলির মধ্যে, পুনর্বাসন থেরাপি আশাব্যঞ্জক দেখাচ্ছে। কিন্তু এতে আমাদের অনেক টাকা খরচ হবে। বয়স্কদের জন্য পুনর্বাসন কি ভালো? কারণ আমাদের কখনও এর অভিজ্ঞতা ছিল না। 8+ মাসের মতো দীর্ঘমেয়াদী পুনর্বাসন কি সহায়ক হবে নাকি এটি একটি হারানো মামলা? পুনর্বাসন কেন্দ্রের কি বিভিন্ন প্রোগ্রাম আছে? আমরা কেবল 12টি ধাপ নিয়ে গবেষণা করেছি, এটি কি একমাত্র পুনর্বাসন প্রোগ্রাম ব্যবহৃত হয়? ভাবছেন, কারো অভিজ্ঞতা আছে?</v>
      </c>
    </row>
    <row r="783" spans="1:3" ht="15" x14ac:dyDescent="0.25">
      <c r="A783" s="3" t="s">
        <v>779</v>
      </c>
      <c r="B783" s="3" t="s">
        <v>4</v>
      </c>
      <c r="C783" s="4" t="str">
        <f ca="1">IFERROR(__xludf.DUMMYFUNCTION("GOOGLETRANSLATE(A783, ""auto"", ""bn"")"),"কখনো ভাবিনি যে এই পরিস্থিতিতে পড়ব, কিন্তু যারা পরামর্শ দিতে পারেন তাদের সবাইকে আগাম ধন্যবাদ। প্রথমত, এটি কানাডায় ঘটে। আমি এই সপ্তাহান্তে বিয়ে করছি এবং এক মাস আগে আমি নিজেই আবিষ্কার করেছি যে আমার হবু স্ত্রীর বাবা মেথ ইনজেকশন/ধূমপান করছেন। আমার স্ত্রীর প"&amp;"রিবার বেশ সচ্ছল, আমি কখনই আশা করিনি যে এটি ঘটবে, তবে আমি বুঝতে পারি যে আর্থ-সামাজিক অবস্থা সবসময় একজন আসক্ত ব্যক্তির জীবনে ভূমিকা পালন করে না। এই আবিষ্কার করার পর থেকে আমি ভাইবোন এবং খালা এবং কাকাকে একত্রিত করেছি যাতে আমরা এই বিষয়ে একটি দল হিসাবে এগিয়ে"&amp;" যেতে পারি। আমাদের পরিকল্পনার সাথে সবকিছু ঠিকঠাক চলছিল, গত রাতে যখন আমি তাদের পূর্ববর্তী শাওয়ার লিক পরীক্ষা করার সময় তালাবদ্ধ মাস্টার বেডরুমে প্রচুর জিনিসপত্র দেখতে পাই। তারা রাতের জন্য বাইরে ছিল, তাই আমি এবং আমার স্ত্রী বিড়ালদের খাওয়ানোর জন্য থামলাম "&amp;"এবং আমি ভেবেছিলাম আমি যখন সেখানে থাকব তখন আমি মূল্যায়ন করব। নিম্নলিখিত জিনিসপত্র উপস্থিত ছিল। প্রতিটিতে ক্র্যাক/মেথ বাটি সহ ২টি ওয়াটার বং ৪টি জেট লাইটার ২টি ব্যাগ মেথ পরিষ্কার এবং হলুদ ৩টি পাইপ ২ জোড়া টুইজার এবং এলোমেলোভাবে খালি ব্যাগের সমাহার আমি খুব "&amp;"চিন্তিত যে মা আসলে জড়িত থাকতে পারেন, কিন্তু অদ্ভুত বিষয় হল গত ৩ বছরে বাবা-মায়ের বৈবাহিক সম্পর্কের উল্লেখযোগ্য অবনতি ঘটেছে, বাবা মাঝে মাঝে দিনের পর দিন অদৃশ্য হয়ে যান। তাদের বয়স ৬০ বছর। এই বিষয়ে যেকোনো মতামত বা পরামর্শ অত্যন্ত প্রশংসিত হবে সম্পাদনা* "&amp;"আমার আরও মনে রাখা উচিত যে এটি সর্বদা একটি অবিশ্বাস্যভাবে ঘনিষ্ঠ পরিবার ছিল যার চারপাশে আমি আমার জীবনের বেশিরভাগ সময় বড় হয়েছি।")</f>
        <v>কখনো ভাবিনি যে এই পরিস্থিতিতে পড়ব, কিন্তু যারা পরামর্শ দিতে পারেন তাদের সবাইকে আগাম ধন্যবাদ। প্রথমত, এটি কানাডায় ঘটে। আমি এই সপ্তাহান্তে বিয়ে করছি এবং এক মাস আগে আমি নিজেই আবিষ্কার করেছি যে আমার হবু স্ত্রীর বাবা মেথ ইনজেকশন/ধূমপান করছেন। আমার স্ত্রীর পরিবার বেশ সচ্ছল, আমি কখনই আশা করিনি যে এটি ঘটবে, তবে আমি বুঝতে পারি যে আর্থ-সামাজিক অবস্থা সবসময় একজন আসক্ত ব্যক্তির জীবনে ভূমিকা পালন করে না। এই আবিষ্কার করার পর থেকে আমি ভাইবোন এবং খালা এবং কাকাকে একত্রিত করেছি যাতে আমরা এই বিষয়ে একটি দল হিসাবে এগিয়ে যেতে পারি। আমাদের পরিকল্পনার সাথে সবকিছু ঠিকঠাক চলছিল, গত রাতে যখন আমি তাদের পূর্ববর্তী শাওয়ার লিক পরীক্ষা করার সময় তালাবদ্ধ মাস্টার বেডরুমে প্রচুর জিনিসপত্র দেখতে পাই। তারা রাতের জন্য বাইরে ছিল, তাই আমি এবং আমার স্ত্রী বিড়ালদের খাওয়ানোর জন্য থামলাম এবং আমি ভেবেছিলাম আমি যখন সেখানে থাকব তখন আমি মূল্যায়ন করব। নিম্নলিখিত জিনিসপত্র উপস্থিত ছিল। প্রতিটিতে ক্র্যাক/মেথ বাটি সহ ২টি ওয়াটার বং ৪টি জেট লাইটার ২টি ব্যাগ মেথ পরিষ্কার এবং হলুদ ৩টি পাইপ ২ জোড়া টুইজার এবং এলোমেলোভাবে খালি ব্যাগের সমাহার আমি খুব চিন্তিত যে মা আসলে জড়িত থাকতে পারেন, কিন্তু অদ্ভুত বিষয় হল গত ৩ বছরে বাবা-মায়ের বৈবাহিক সম্পর্কের উল্লেখযোগ্য অবনতি ঘটেছে, বাবা মাঝে মাঝে দিনের পর দিন অদৃশ্য হয়ে যান। তাদের বয়স ৬০ বছর। এই বিষয়ে যেকোনো মতামত বা পরামর্শ অত্যন্ত প্রশংসিত হবে সম্পাদনা* আমার আরও মনে রাখা উচিত যে এটি সর্বদা একটি অবিশ্বাস্যভাবে ঘনিষ্ঠ পরিবার ছিল যার চারপাশে আমি আমার জীবনের বেশিরভাগ সময় বড় হয়েছি।</v>
      </c>
    </row>
    <row r="784" spans="1:3" ht="15" x14ac:dyDescent="0.25">
      <c r="A784" s="3" t="s">
        <v>780</v>
      </c>
      <c r="B784" s="3" t="s">
        <v>4</v>
      </c>
      <c r="C784" s="4" t="str">
        <f ca="1">IFERROR(__xludf.DUMMYFUNCTION("GOOGLETRANSLATE(A784, ""auto"", ""bn"")"),"মে ২০২১ সাল থেকে ২২ (চ) সুস্থ? বিশেষ করে যদি আপনি আসক্তি কাটিয়ে উঠছেন, তাহলে এটি দেখা যে কারো জন্যই অত্যন্ত অভিভূতকর হতে পারে। তবে, আমি মনে করি এই অনুষ্ঠানটি আসক্তি, ভালোবাসা, ক্ষমাহীন পৃথিবীতে একজন তরুণ প্রাপ্তবয়স্ক হওয়া সম্পর্কে বুদ্ধিবৃত্তিক এবং প্র"&amp;"য়োজনীয় সংলাপকে অনুপ্রাণিত করে। আসক্তির সাথে লড়াই করা যে কাউকে এই অনুষ্ঠানটি দেখার জন্য উৎসাহিত করছি, যদি আপনি এটি অ্যাক্সেস করতে না পারেন তবে আমাকে PM করুন এবং আমি কীভাবে অ্যাক্সেস করবেন তা শেয়ার করতে পারি - সত্যিই কারণ আমি মনে করি এটি একটি গুরুত্বপূর"&amp;"্ণ ঘড়ি? এটি আসলে আমাকে বুঝতে সাহায্য করেছিল যে আমি অতিরিক্ত মাত্রায় মাদক সেবন করেছি (পর্বটি না দেখা পর্যন্ত আমি এটি জানতাম না) [ঘুমিয়ে পড়েছিলাম এবং আমার প্রেমিক ঘরে এসে নাক ডাকতে লাগল (মৃত্যুর নাক ডাকতে) এবং শক্ত হয়ে গেল, আমাকে জাগাতে পারল না - সে আম"&amp;"াকে সবকিছু থাপ্পড় মারার চেষ্টা করেছিল যতক্ষণ না আমি অবশেষে জেগে উঠি, কী ঘটেছিল তা মনে করতে পারিনি। - এর পরে আমি উচ্ছ্বাস দেখেছি, এবং অনুষ্ঠানটি শেষ করার পরে আমি পুনরুদ্ধারের জন্য আমার যাত্রা শুরু করার সিদ্ধান্ত নিয়েছি। আমি এটাকে উৎসাহিত করি কারণ যদিও এট"&amp;"ি স্পর্শকাতর, এটি এমন কয়েকটি অনুষ্ঠান/সিনেমার মধ্যে একটি যেখানে আসলে আসক্তি, প্রেম, LGBTQ+, মৃত্যু, নিজেকে খুঁজে বের করা সম্পর্কে কথা বলা হয়? শুধু বলতে চাই যে আলোচনা করা ভারী বিষয়গুলির কারণে দর্শকদের বিবেচনার পরামর্শ দেওয়া উচিত। আমি এখানে তাদের জন্য আ"&amp;"ছি যাদের বন্ধু বা মনের ভাব প্রকাশ করার জায়গা প্রয়োজন, আপনি একা নন এবং আপনাকে কল্পনার চেয়েও বেশি ভালোবাসা দেওয়া হয়।")</f>
        <v>মে ২০২১ সাল থেকে ২২ (চ) সুস্থ? বিশেষ করে যদি আপনি আসক্তি কাটিয়ে উঠছেন, তাহলে এটি দেখা যে কারো জন্যই অত্যন্ত অভিভূতকর হতে পারে। তবে, আমি মনে করি এই অনুষ্ঠানটি আসক্তি, ভালোবাসা, ক্ষমাহীন পৃথিবীতে একজন তরুণ প্রাপ্তবয়স্ক হওয়া সম্পর্কে বুদ্ধিবৃত্তিক এবং প্রয়োজনীয় সংলাপকে অনুপ্রাণিত করে। আসক্তির সাথে লড়াই করা যে কাউকে এই অনুষ্ঠানটি দেখার জন্য উৎসাহিত করছি, যদি আপনি এটি অ্যাক্সেস করতে না পারেন তবে আমাকে PM করুন এবং আমি কীভাবে অ্যাক্সেস করবেন তা শেয়ার করতে পারি - সত্যিই কারণ আমি মনে করি এটি একটি গুরুত্বপূর্ণ ঘড়ি? এটি আসলে আমাকে বুঝতে সাহায্য করেছিল যে আমি অতিরিক্ত মাত্রায় মাদক সেবন করেছি (পর্বটি না দেখা পর্যন্ত আমি এটি জানতাম না) [ঘুমিয়ে পড়েছিলাম এবং আমার প্রেমিক ঘরে এসে নাক ডাকতে লাগল (মৃত্যুর নাক ডাকতে) এবং শক্ত হয়ে গেল, আমাকে জাগাতে পারল না - সে আমাকে সবকিছু থাপ্পড় মারার চেষ্টা করেছিল যতক্ষণ না আমি অবশেষে জেগে উঠি, কী ঘটেছিল তা মনে করতে পারিনি। - এর পরে আমি উচ্ছ্বাস দেখেছি, এবং অনুষ্ঠানটি শেষ করার পরে আমি পুনরুদ্ধারের জন্য আমার যাত্রা শুরু করার সিদ্ধান্ত নিয়েছি। আমি এটাকে উৎসাহিত করি কারণ যদিও এটি স্পর্শকাতর, এটি এমন কয়েকটি অনুষ্ঠান/সিনেমার মধ্যে একটি যেখানে আসলে আসক্তি, প্রেম, LGBTQ+, মৃত্যু, নিজেকে খুঁজে বের করা সম্পর্কে কথা বলা হয়? শুধু বলতে চাই যে আলোচনা করা ভারী বিষয়গুলির কারণে দর্শকদের বিবেচনার পরামর্শ দেওয়া উচিত। আমি এখানে তাদের জন্য আছি যাদের বন্ধু বা মনের ভাব প্রকাশ করার জায়গা প্রয়োজন, আপনি একা নন এবং আপনাকে কল্পনার চেয়েও বেশি ভালোবাসা দেওয়া হয়।</v>
      </c>
    </row>
    <row r="785" spans="1:3" ht="15" x14ac:dyDescent="0.25">
      <c r="A785" s="3" t="s">
        <v>781</v>
      </c>
      <c r="B785" s="3" t="s">
        <v>4</v>
      </c>
      <c r="C785" s="4" t="str">
        <f ca="1">IFERROR(__xludf.DUMMYFUNCTION("GOOGLETRANSLATE(A785, ""auto"", ""bn"")"),"আমি এই Subreddit-এ নতুন এবং আমি শুধু জানতে চাই যে এটি কি সঠিক Subreddit নাকি আপনি আমার জন্য অন্য কোনও সুপারিশ করেন? আমি আমার বর্তমান প্রেমিকের (২৮ বছর বয়সী) সাথে প্রায় ৩ বছর ধরে সম্পর্কে আছি। গত ২ বছর আমার উপর অত্যন্ত কঠিন ছিল, COVID-19-এর মধ্যে, বিদেশে"&amp;" থাকা এবং আমি ভেবেছিলাম যে আমিই সেই সমস্যা যার কারণে আমার প্রেমিক আমাকে উপেক্ষা করছে। এমন এক পর্যায়ে আমি একজন মনোরোগ বিশেষজ্ঞের কাছে যাচ্ছিলাম, এবং আমি আনুষ্ঠানিকভাবে তীব্র হতাশাগ্রস্ত এবং ওষুধ খাওয়া শুরু করতে যাচ্ছি। সে কখনও সামাজিক ব্যক্তি ছিল না বা এ"&amp;"ত বাইরে যেতে চায় না কিন্তু পরিস্থিতি আরও খারাপ হচ্ছে, সবসময় আমাকে স্বার্থপর বলে ডাকে অথবা মনে করে যে আমি স্বার্থপর কারণ তাকে আমার বন্ধুদের সাথে বারে যেতে আমন্ত্রণ জানানো হয়েছে বা জিজ্ঞাসা করা হয়েছে যে আমরা সিনেমা দেখতে যেতে পারি কিনা! গত সপ্তাহে সে আম"&amp;"াদের একটি ভ্রমণের কথা শুনে ভীত হয়ে পড়েছিল যে সে যেতে চায়নি, কিন্তু শেষ পর্যন্ত ""আমাকে খুশি করতে"" গিয়েছিল? এবং আমার এবং তার পরিবারের ভ্রমণ নষ্ট করে দিয়ে একদিন আগে চলে যেতে বলেছিল। সে বারবার বলতে থাকে যে আমি কতটা স্বার্থপর। সে কোনও কিছুর প্রতি প্রতিশ"&amp;"্রুতিবদ্ধ হতে চায় না। তাছাড়া, সে কেবল নিজের কাজ করতে চায় যা হল বিছানায় শুয়ে থাকা, খাওয়া, ঘুমানো, পুনরাবৃত্তি করা। আমি যখন তার সাথে দেখা করেছি তখন থেকে সে গাঁজা ধূমপান করে এবং শুরুতে আমার এতে সমস্যা ছিল কারণ এটি আমার সংস্কৃতিতে সাধারণ নয় বা আমি যেখা"&amp;"ন থেকে এসেছি সেখান থেকে খুব জনপ্রিয়। কিন্তু অবশেষে আমি এটি কাটিয়ে উঠলাম। ভ্রমণের পরে, আমি কেবল ভয় পেয়েছিলাম এবং সবার প্রতি তার মনোভাব এবং প্রতিক্রিয়া দেখে কিছুটা বিরক্ত হয়েছিলাম, তাই আমি তার সাথে কথা বলেছিলাম এবং তাকে বলেছিলাম যে আমি অন্যত্র চলে যাচ"&amp;"্ছি। তারপর যখন সে স্বীকার করতে শুরু করে যে তার সাহায্যের প্রয়োজন তখন সে গাঁজার প্রতি আসক্ত এবং সে বুঝতে পারে না যে এটি আমার মানসিক স্বাস্থ্য এবং আত্মসম্মানকে কতটা প্রভাবিত করে। আমি গাঁজার প্রতি আসক্ত ব্যক্তিদের সম্পর্কে পড়ছি এবং মনে হচ্ছে আমি এমন একজনের"&amp;" সাথে বাস করছি (যা আমার কোনও ধারণা ছিল না) আমার প্রশ্ন হল, কারণ সে উন্নতি করতে এবং ছেড়ে দিতে চায়। আমি সাহায্য করার জন্য কী করতে পারি, এবং এটি কি আরও ভাল হবে? নাকি আমি কেবল চলে যাব এবং তাকে নিজেই এটি মোকাবেলা করতে বাধ্য করব? আমি ভয় পাই যে যখনই সে গাঁজার "&amp;"প্রতি আকৃষ্ট হবে তখনই আমিই দোষী হব। স্পষ্ট করে বলতে চাই: সে-ই আমাকে বলেছিল যে তার একটা সমস্যা আছে যা সম্পর্কে আমি একেবারেই অজ্ঞ ছিলাম। আমি কখনও তাকে পদত্যাগ করতে বলিনি বা শর্ত দেইনি যে সে যদি পদত্যাগ না করে তবে আমি যেন পদত্যাগ না করি। সে এই বিষয়টি তুলে ধ"&amp;"রেছে।")</f>
        <v>আমি এই Subreddit-এ নতুন এবং আমি শুধু জানতে চাই যে এটি কি সঠিক Subreddit নাকি আপনি আমার জন্য অন্য কোনও সুপারিশ করেন? আমি আমার বর্তমান প্রেমিকের (২৮ বছর বয়সী) সাথে প্রায় ৩ বছর ধরে সম্পর্কে আছি। গত ২ বছর আমার উপর অত্যন্ত কঠিন ছিল, COVID-19-এর মধ্যে, বিদেশে থাকা এবং আমি ভেবেছিলাম যে আমিই সেই সমস্যা যার কারণে আমার প্রেমিক আমাকে উপেক্ষা করছে। এমন এক পর্যায়ে আমি একজন মনোরোগ বিশেষজ্ঞের কাছে যাচ্ছিলাম, এবং আমি আনুষ্ঠানিকভাবে তীব্র হতাশাগ্রস্ত এবং ওষুধ খাওয়া শুরু করতে যাচ্ছি। সে কখনও সামাজিক ব্যক্তি ছিল না বা এত বাইরে যেতে চায় না কিন্তু পরিস্থিতি আরও খারাপ হচ্ছে, সবসময় আমাকে স্বার্থপর বলে ডাকে অথবা মনে করে যে আমি স্বার্থপর কারণ তাকে আমার বন্ধুদের সাথে বারে যেতে আমন্ত্রণ জানানো হয়েছে বা জিজ্ঞাসা করা হয়েছে যে আমরা সিনেমা দেখতে যেতে পারি কিনা! গত সপ্তাহে সে আমাদের একটি ভ্রমণের কথা শুনে ভীত হয়ে পড়েছিল যে সে যেতে চায়নি, কিন্তু শেষ পর্যন্ত "আমাকে খুশি করতে" গিয়েছিল? এবং আমার এবং তার পরিবারের ভ্রমণ নষ্ট করে দিয়ে একদিন আগে চলে যেতে বলেছিল। সে বারবার বলতে থাকে যে আমি কতটা স্বার্থপর। সে কোনও কিছুর প্রতি প্রতিশ্রুতিবদ্ধ হতে চায় না। তাছাড়া, সে কেবল নিজের কাজ করতে চায় যা হল বিছানায় শুয়ে থাকা, খাওয়া, ঘুমানো, পুনরাবৃত্তি করা। আমি যখন তার সাথে দেখা করেছি তখন থেকে সে গাঁজা ধূমপান করে এবং শুরুতে আমার এতে সমস্যা ছিল কারণ এটি আমার সংস্কৃতিতে সাধারণ নয় বা আমি যেখান থেকে এসেছি সেখান থেকে খুব জনপ্রিয়। কিন্তু অবশেষে আমি এটি কাটিয়ে উঠলাম। ভ্রমণের পরে, আমি কেবল ভয় পেয়েছিলাম এবং সবার প্রতি তার মনোভাব এবং প্রতিক্রিয়া দেখে কিছুটা বিরক্ত হয়েছিলাম, তাই আমি তার সাথে কথা বলেছিলাম এবং তাকে বলেছিলাম যে আমি অন্যত্র চলে যাচ্ছি। তারপর যখন সে স্বীকার করতে শুরু করে যে তার সাহায্যের প্রয়োজন তখন সে গাঁজার প্রতি আসক্ত এবং সে বুঝতে পারে না যে এটি আমার মানসিক স্বাস্থ্য এবং আত্মসম্মানকে কতটা প্রভাবিত করে। আমি গাঁজার প্রতি আসক্ত ব্যক্তিদের সম্পর্কে পড়ছি এবং মনে হচ্ছে আমি এমন একজনের সাথে বাস করছি (যা আমার কোনও ধারণা ছিল না) আমার প্রশ্ন হল, কারণ সে উন্নতি করতে এবং ছেড়ে দিতে চায়। আমি সাহায্য করার জন্য কী করতে পারি, এবং এটি কি আরও ভাল হবে? নাকি আমি কেবল চলে যাব এবং তাকে নিজেই এটি মোকাবেলা করতে বাধ্য করব? আমি ভয় পাই যে যখনই সে গাঁজার প্রতি আকৃষ্ট হবে তখনই আমিই দোষী হব। স্পষ্ট করে বলতে চাই: সে-ই আমাকে বলেছিল যে তার একটা সমস্যা আছে যা সম্পর্কে আমি একেবারেই অজ্ঞ ছিলাম। আমি কখনও তাকে পদত্যাগ করতে বলিনি বা শর্ত দেইনি যে সে যদি পদত্যাগ না করে তবে আমি যেন পদত্যাগ না করি। সে এই বিষয়টি তুলে ধরেছে।</v>
      </c>
    </row>
    <row r="786" spans="1:3" ht="15" x14ac:dyDescent="0.25">
      <c r="A786" s="3" t="s">
        <v>782</v>
      </c>
      <c r="B786" s="3" t="s">
        <v>4</v>
      </c>
      <c r="C786" s="4" t="str">
        <f ca="1">IFERROR(__xludf.DUMMYFUNCTION("GOOGLETRANSLATE(A786, ""auto"", ""bn"")"),"আজ সন্ধ্যায় আমার পডকাস্টে এমন একজন অতিথির খোঁজ করছি যিনি আসক্তির কারণে বাবা-মা বা প্রিয়জনকে হারিয়েছেন। দুর্ভাগ্যবশত, আমি বর্তমানে এই অভিজ্ঞতার সম্মুখীন হচ্ছি। তাছাড়া, আমি জানি এটি নিয়ে কথা বলা কঠিন, কিন্তু যে কেউ আমার সাথে খোলাখুলি কথা বলতে চাইলে আমি কৃতজ"&amp;"্ঞ থাকব।")</f>
        <v>আজ সন্ধ্যায় আমার পডকাস্টে এমন একজন অতিথির খোঁজ করছি যিনি আসক্তির কারণে বাবা-মা বা প্রিয়জনকে হারিয়েছেন। দুর্ভাগ্যবশত, আমি বর্তমানে এই অভিজ্ঞতার সম্মুখীন হচ্ছি। তাছাড়া, আমি জানি এটি নিয়ে কথা বলা কঠিন, কিন্তু যে কেউ আমার সাথে খোলাখুলি কথা বলতে চাইলে আমি কৃতজ্ঞ থাকব।</v>
      </c>
    </row>
    <row r="787" spans="1:3" ht="15" x14ac:dyDescent="0.25">
      <c r="A787" s="3" t="s">
        <v>783</v>
      </c>
      <c r="B787" s="3" t="s">
        <v>4</v>
      </c>
      <c r="C787" s="4" t="str">
        <f ca="1">IFERROR(__xludf.DUMMYFUNCTION("GOOGLETRANSLATE(A787, ""auto"", ""bn"")"),"আচ্ছা, চলো, এবার একটু তাড়া করা যাক। যখন আমি খুব ছোট ছিলাম (৩-৬ বছর) তখন আমার স্পষ্ট মনে আছে, আমাকে সারাদিন, প্রতিদিন, এমনকি ঘুমানোর সময়ও একটা ছোটো চুলকানি খেতে হতো। আর যখন আমার এটা ছিল না, তখন আমার একটা অনিয়ন্ত্রিত চুলকানি হতো, যা থেকে নিজেকে দূরে সরিয"&amp;"়ে রাখার চেষ্টা করতাম, কিন্তু এটা এতটাই ভয়াবহ ছিল যে এটা না থাকলে আমি এক মিনিটেরও বেশি সময় ধরে থামাতে পারতাম না, এটা ছিল পৃথিবীর সবচেয়ে ভয়াবহ অনুভূতি। ধীরে ধীরে তিন থেকে চার বছর ধরে আমি অবশেষে ছেড়ে দিয়েছিলাম যার ফলে আমার অতিরিক্ত কামড় হয় এবং অর্থো"&amp;"ডন্টিস্টের কাছে প্রচুর টাকা খরচ হয়। আমার মনে আছে, এক রাতে আমি ঘুমাতে গিয়ে ভাবিনি, ""বাহ, অন্য সবাই কি এটা অনুভব করে... তাহলে এটা কেন স্বাভাবিক মনে হয় না?"" যাই হোক, এখন পিছনে ফিরে তাকালে, আমি আমার বাবা-মায়ের কাছে বিষয়টি তুলে ধরি, এবং তারা বলে যে এটা "&amp;"আসলে কোনও আসক্তি ছিল না, এবং আমি এটাকে উড়িয়ে দিচ্ছি। আর আমি ভাবছি, আমার পরিস্থিতি কি বৈধ ছিল, নাকি আমি ভুল ধারণা পাচ্ছি?")</f>
        <v>আচ্ছা, চলো, এবার একটু তাড়া করা যাক। যখন আমি খুব ছোট ছিলাম (৩-৬ বছর) তখন আমার স্পষ্ট মনে আছে, আমাকে সারাদিন, প্রতিদিন, এমনকি ঘুমানোর সময়ও একটা ছোটো চুলকানি খেতে হতো। আর যখন আমার এটা ছিল না, তখন আমার একটা অনিয়ন্ত্রিত চুলকানি হতো, যা থেকে নিজেকে দূরে সরিয়ে রাখার চেষ্টা করতাম, কিন্তু এটা এতটাই ভয়াবহ ছিল যে এটা না থাকলে আমি এক মিনিটেরও বেশি সময় ধরে থামাতে পারতাম না, এটা ছিল পৃথিবীর সবচেয়ে ভয়াবহ অনুভূতি। ধীরে ধীরে তিন থেকে চার বছর ধরে আমি অবশেষে ছেড়ে দিয়েছিলাম যার ফলে আমার অতিরিক্ত কামড় হয় এবং অর্থোডন্টিস্টের কাছে প্রচুর টাকা খরচ হয়। আমার মনে আছে, এক রাতে আমি ঘুমাতে গিয়ে ভাবিনি, "বাহ, অন্য সবাই কি এটা অনুভব করে... তাহলে এটা কেন স্বাভাবিক মনে হয় না?" যাই হোক, এখন পিছনে ফিরে তাকালে, আমি আমার বাবা-মায়ের কাছে বিষয়টি তুলে ধরি, এবং তারা বলে যে এটা আসলে কোনও আসক্তি ছিল না, এবং আমি এটাকে উড়িয়ে দিচ্ছি। আর আমি ভাবছি, আমার পরিস্থিতি কি বৈধ ছিল, নাকি আমি ভুল ধারণা পাচ্ছি?</v>
      </c>
    </row>
    <row r="788" spans="1:3" ht="15" x14ac:dyDescent="0.25">
      <c r="A788" s="3" t="s">
        <v>784</v>
      </c>
      <c r="B788" s="3" t="s">
        <v>4</v>
      </c>
      <c r="C788" s="4" t="str">
        <f ca="1">IFERROR(__xludf.DUMMYFUNCTION("GOOGLETRANSLATE(A788, ""auto"", ""bn"")"),"আমি জানি না এটা লেখা উচিত কিনা কিন্তু আমি ১২ বছর বয়সী একটি ছেলে যে হস্তমৈথুন করা বন্ধ করতে পারছি না এবং এটি ক্রমশ খারাপ হচ্ছে। আমি থামাতে চাই, কিন্তু পারছি না এবং এর পরিণতির কথা আমার পরিবারকে বলতেও ভয় পাচ্ছি। কেউ কি আমার সাথে সম্পর্ক স্থাপন করতে পারেন এ"&amp;"বং কীভাবে থামাতে হবে সে সম্পর্কে কিছু টিপস দিতে পারেন?")</f>
        <v>আমি জানি না এটা লেখা উচিত কিনা কিন্তু আমি ১২ বছর বয়সী একটি ছেলে যে হস্তমৈথুন করা বন্ধ করতে পারছি না এবং এটি ক্রমশ খারাপ হচ্ছে। আমি থামাতে চাই, কিন্তু পারছি না এবং এর পরিণতির কথা আমার পরিবারকে বলতেও ভয় পাচ্ছি। কেউ কি আমার সাথে সম্পর্ক স্থাপন করতে পারেন এবং কীভাবে থামাতে হবে সে সম্পর্কে কিছু টিপস দিতে পারেন?</v>
      </c>
    </row>
    <row r="789" spans="1:3" ht="15" x14ac:dyDescent="0.25">
      <c r="A789" s="3" t="s">
        <v>785</v>
      </c>
      <c r="B789" s="3" t="s">
        <v>4</v>
      </c>
      <c r="C789" s="4" t="str">
        <f ca="1">IFERROR(__xludf.DUMMYFUNCTION("GOOGLETRANSLATE(A789, ""auto"", ""bn"")"),"১০ বছর আগে যখন আমার বয়স ১৭ ছিল, তখন আমি হেরোইন ব্যবহার করতাম। আমি খুব বেশি মাদকাসক্ত ছিলাম না এবং নিজে নিজেই তা ছেড়ে দিতাম। তাছাড়া, আমি তখন প্রচুর মাদকাসক্ত ছিলাম এবং অনেক ভয়াবহ ঘটনার কারণে মাদকাসক্তদের সাথে আমার সম্পর্ক বদলে যায়। তাই মূলত কয়েক বছর পরে "&amp;"আমি নিজেকে একজন অ-মাদক ব্যক্তিতে পরিণত করেছিলাম। আর এখন আমার জীবনের মানুষরাও বুঝতে পারে না যে আমার অতীতে এই ধরণের কিছু ছিল। তাই গত কয়েক মাস ধরে, আমি খারাপ কিছু করেছি। আমি আসলে মাদকাসক্ত ছিলাম না, বরং আমি নিজেকে ""কল্পনা"" করতে দিয়েছি। প্রথমে যখন আমি বিরক্"&amp;"ত বা চাপে ছিলাম তখন একটু একটু করে। তারপর ঠিক মাদকাসক্তের মতোই আমি এটি আরও বেশি করে করতাম এবং নিজেকে পাগলাটে আসক্ত মানসিক অবস্থার দিকে ঠেলে দিতাম। আমি আর কিছু ভাবতেই পারি না। আমার মস্তিষ্ক কীভাবে মাদকাসক্ত হতে পারি সে সম্পর্কে পরিকল্পনা করছে। আমি চাই তারা "&amp;"যেন কোনওভাবে আমার কোলে চলে আসে। সারাদিন ফোনের দিকে তাকিয়ে থেকে একজন মাদক ব্যবসায়ীর মেসেজের অপেক্ষায় থাকা কেমন ছিল তা আমার মনে আছে। মনে হচ্ছে আমি নিজেকে নিশ্চিত করেছিলাম যে ভান করায় কোনও দোষ নেই, এবং এখন আমি বুঝতে পারছি যে এটি করাও একটি পিচ্ছিল ঢাল। এব"&amp;"ং আমার মনে হচ্ছে আমার এটা এমন লোকদের কাছে স্বীকার করা উচিত যারা এটি আমার বুক থেকে বের করে দিতে এবং আমার শরীর থেকে বের করে দিতে চায়।")</f>
        <v>১০ বছর আগে যখন আমার বয়স ১৭ ছিল, তখন আমি হেরোইন ব্যবহার করতাম। আমি খুব বেশি মাদকাসক্ত ছিলাম না এবং নিজে নিজেই তা ছেড়ে দিতাম। তাছাড়া, আমি তখন প্রচুর মাদকাসক্ত ছিলাম এবং অনেক ভয়াবহ ঘটনার কারণে মাদকাসক্তদের সাথে আমার সম্পর্ক বদলে যায়। তাই মূলত কয়েক বছর পরে আমি নিজেকে একজন অ-মাদক ব্যক্তিতে পরিণত করেছিলাম। আর এখন আমার জীবনের মানুষরাও বুঝতে পারে না যে আমার অতীতে এই ধরণের কিছু ছিল। তাই গত কয়েক মাস ধরে, আমি খারাপ কিছু করেছি। আমি আসলে মাদকাসক্ত ছিলাম না, বরং আমি নিজেকে "কল্পনা" করতে দিয়েছি। প্রথমে যখন আমি বিরক্ত বা চাপে ছিলাম তখন একটু একটু করে। তারপর ঠিক মাদকাসক্তের মতোই আমি এটি আরও বেশি করে করতাম এবং নিজেকে পাগলাটে আসক্ত মানসিক অবস্থার দিকে ঠেলে দিতাম। আমি আর কিছু ভাবতেই পারি না। আমার মস্তিষ্ক কীভাবে মাদকাসক্ত হতে পারি সে সম্পর্কে পরিকল্পনা করছে। আমি চাই তারা যেন কোনওভাবে আমার কোলে চলে আসে। সারাদিন ফোনের দিকে তাকিয়ে থেকে একজন মাদক ব্যবসায়ীর মেসেজের অপেক্ষায় থাকা কেমন ছিল তা আমার মনে আছে। মনে হচ্ছে আমি নিজেকে নিশ্চিত করেছিলাম যে ভান করায় কোনও দোষ নেই, এবং এখন আমি বুঝতে পারছি যে এটি করাও একটি পিচ্ছিল ঢাল। এবং আমার মনে হচ্ছে আমার এটা এমন লোকদের কাছে স্বীকার করা উচিত যারা এটি আমার বুক থেকে বের করে দিতে এবং আমার শরীর থেকে বের করে দিতে চায়।</v>
      </c>
    </row>
    <row r="790" spans="1:3" ht="15" x14ac:dyDescent="0.25">
      <c r="A790" s="3" t="s">
        <v>786</v>
      </c>
      <c r="B790" s="3" t="s">
        <v>4</v>
      </c>
      <c r="C790" s="4" t="str">
        <f ca="1">IFERROR(__xludf.DUMMYFUNCTION("GOOGLETRANSLATE(A790, ""auto"", ""bn"")"),"প্রায় এক বছর ধরে, আমি প্রতিদিন এই ওয়েবসাইটটি ব্রাউজ করছি, কোনও দ্বিধা ছাড়াই। আমার শরীর এবং মানসিক স্বাস্থ্যের উপর এর কী প্রভাব পড়তে পারে তা আমি জানি, কিন্তু আমি নিজেকে থামাতে পারছি না। যখনই আমার এই তাড়না অনুভব করি, তখনই আমি নিজেকে তা থেকে বের করে আনতে"&amp;" পারি না। আমি নিজেকে স্ব-শাসনে রাখার চেষ্টা করছি, কিন্তু আমার অন্যান্য পদ্ধতি বা পরামর্শের প্রয়োজন।")</f>
        <v>প্রায় এক বছর ধরে, আমি প্রতিদিন এই ওয়েবসাইটটি ব্রাউজ করছি, কোনও দ্বিধা ছাড়াই। আমার শরীর এবং মানসিক স্বাস্থ্যের উপর এর কী প্রভাব পড়তে পারে তা আমি জানি, কিন্তু আমি নিজেকে থামাতে পারছি না। যখনই আমার এই তাড়না অনুভব করি, তখনই আমি নিজেকে তা থেকে বের করে আনতে পারি না। আমি নিজেকে স্ব-শাসনে রাখার চেষ্টা করছি, কিন্তু আমার অন্যান্য পদ্ধতি বা পরামর্শের প্রয়োজন।</v>
      </c>
    </row>
    <row r="791" spans="1:3" ht="15" x14ac:dyDescent="0.25">
      <c r="A791" s="3" t="s">
        <v>787</v>
      </c>
      <c r="B791" s="3" t="s">
        <v>4</v>
      </c>
      <c r="C791" s="4" t="str">
        <f ca="1">IFERROR(__xludf.DUMMYFUNCTION("GOOGLETRANSLATE(A791, ""auto"", ""bn"")"),"কয়েকদিন আগে আমি দুটি সবুজ রঙের Xanax নিয়েছিলাম। কেন জানি না, কিন্তু এটা আমার অভ্যাসে পরিণত হয়ে গেছে। আমি যখন বিরক্ত হয়ে যাই এবং মিষ্টির মতো মনে করি, তখনই এগুলো খাই। আগের দিন এবং আগের দিনগুলোর কথা ভাবি। দিনের শুরুতে ঝগড়ায় জড়িয়ে পড়ি, প্রায় কয়েকবার গ্রেপ্তার"&amp;" হয়েছিলাম, তারপর, আমার গাড়ি দুর্ঘটনায় পড়ে। আমার সিট বেল্ট বা অন্য কিছু ছিল না এবং আমার গাড়িটি পুরোটাই ভেঙে যায়। কোনওভাবে আমি কিছু আঘাত এবং মচকে যাওয়া বা ভাঙা গোড়ালি নিয়ে পালাতে সক্ষম হই। আসলে নিশ্চিত নই কারণ অ্যাম্বুলেন্স আমাকে আনার পর আমি ER থেকে বেরিয়ে "&amp;"এসে ধূমপান করতে চাইছিলাম। আক্ষরিক অর্থেই। দ্বিতীয় এবং তৃতীয়বার যাওয়ার সময়ও একই অবস্থা। গত রাতে, আমি আমার একটি ভাড়া করা জিনিস নষ্ট করে ফেলেছিলাম। এবার আসলে এটা সম্পূর্ণ আমার দোষ ছিল না। যাই হোক, লোকেরা আমাকে থামতে বলছিল কারণ এটি তোমার উপর কী প্রভাব ফেলে। "&amp;"আর আমার মনে হয়নি যে তারা কী বলছে তা কেউ জানবে, কারণ আমি নিজের চেয়ে ভালো আর কে জানে? আমি শুক্রবার একটি NA মিটিংয়ে গিয়েছিলাম এবং আমার মনে হয়নি যে আমি আসক্ত। মানে, আমার মনে হচ্ছে আমি ঠিকঠাক কাজ করছি। মাঝে মাঝে টুইকিং আউটের অংশ বাদ দিলেও। তাহলে কি আমি একজ"&amp;"ন আসক্ত? নাকি? এটা কি আমার বিষণ্ণতার একটি ছোট পর্যায় যেখানে আমাকে এটিকে সেই হিসেবে চিহ্নিত করতে হবে না?")</f>
        <v>কয়েকদিন আগে আমি দুটি সবুজ রঙের Xanax নিয়েছিলাম। কেন জানি না, কিন্তু এটা আমার অভ্যাসে পরিণত হয়ে গেছে। আমি যখন বিরক্ত হয়ে যাই এবং মিষ্টির মতো মনে করি, তখনই এগুলো খাই। আগের দিন এবং আগের দিনগুলোর কথা ভাবি। দিনের শুরুতে ঝগড়ায় জড়িয়ে পড়ি, প্রায় কয়েকবার গ্রেপ্তার হয়েছিলাম, তারপর, আমার গাড়ি দুর্ঘটনায় পড়ে। আমার সিট বেল্ট বা অন্য কিছু ছিল না এবং আমার গাড়িটি পুরোটাই ভেঙে যায়। কোনওভাবে আমি কিছু আঘাত এবং মচকে যাওয়া বা ভাঙা গোড়ালি নিয়ে পালাতে সক্ষম হই। আসলে নিশ্চিত নই কারণ অ্যাম্বুলেন্স আমাকে আনার পর আমি ER থেকে বেরিয়ে এসে ধূমপান করতে চাইছিলাম। আক্ষরিক অর্থেই। দ্বিতীয় এবং তৃতীয়বার যাওয়ার সময়ও একই অবস্থা। গত রাতে, আমি আমার একটি ভাড়া করা জিনিস নষ্ট করে ফেলেছিলাম। এবার আসলে এটা সম্পূর্ণ আমার দোষ ছিল না। যাই হোক, লোকেরা আমাকে থামতে বলছিল কারণ এটি তোমার উপর কী প্রভাব ফেলে। আর আমার মনে হয়নি যে তারা কী বলছে তা কেউ জানবে, কারণ আমি নিজের চেয়ে ভালো আর কে জানে? আমি শুক্রবার একটি NA মিটিংয়ে গিয়েছিলাম এবং আমার মনে হয়নি যে আমি আসক্ত। মানে, আমার মনে হচ্ছে আমি ঠিকঠাক কাজ করছি। মাঝে মাঝে টুইকিং আউটের অংশ বাদ দিলেও। তাহলে কি আমি একজন আসক্ত? নাকি? এটা কি আমার বিষণ্ণতার একটি ছোট পর্যায় যেখানে আমাকে এটিকে সেই হিসেবে চিহ্নিত করতে হবে না?</v>
      </c>
    </row>
    <row r="792" spans="1:3" ht="15" x14ac:dyDescent="0.25">
      <c r="A792" s="3" t="s">
        <v>788</v>
      </c>
      <c r="B792" s="3" t="s">
        <v>4</v>
      </c>
      <c r="C792" s="4" t="str">
        <f ca="1">IFERROR(__xludf.DUMMYFUNCTION("GOOGLETRANSLATE(A792, ""auto"", ""bn"")"),"বেশিরভাগ মানুষই যখন ওজন বেশি বাড়ে, তখন বিরক্ত হয়। ওজনের মাত্রা বেশি দেখলে আমার শরীরে ডোপামিনের তীব্র উত্তেজিত ভাব তৈরি হয়। যুক্তিসঙ্গতভাবে আমি জানি এটা ভুল, কিন্তু আমি আবেগগতভাবে এটা ভালোবাসি। অতিরিক্ত খাবার খেলে পেট ফুলে যাওয়ার অনুভূতিটা আমার ভালো লাগে। "&amp;"খাবারের আসক্তি কাটিয়ে ওঠার ব্যাপারে আমি একটু পড়েছি, এবং সেখানে বলা হয়েছে যে আমার যেসব খাবারের প্রতি আসক্ত, সেগুলো খাওয়া বন্ধ করতে হবে। তাছাড়া, আমি আর কখনও আমার পছন্দের খাবার খেতে চাই না। তাছাড়া, আমি এগুলো ছেড়ে দিতে প্রস্তুত নই, কিন্তু আমি এখনও জানি"&amp;" আমার স্বাস্থ্যকর খাবার খাওয়া উচিত। এই মুহূর্তে আমার উচ্চতা ৬'১ এবং ওজন প্রায় ২৯০ পাউন্ড। আমি ৩০০-এ পৌঁছাতে পেরে উত্তেজিত, কিন্তু ডায়াবেটিসের ভয়ও পাচ্ছি। আমি কী করতে পারি সে সম্পর্কে কারো কি পরামর্শ আছে?")</f>
        <v>বেশিরভাগ মানুষই যখন ওজন বেশি বাড়ে, তখন বিরক্ত হয়। ওজনের মাত্রা বেশি দেখলে আমার শরীরে ডোপামিনের তীব্র উত্তেজিত ভাব তৈরি হয়। যুক্তিসঙ্গতভাবে আমি জানি এটা ভুল, কিন্তু আমি আবেগগতভাবে এটা ভালোবাসি। অতিরিক্ত খাবার খেলে পেট ফুলে যাওয়ার অনুভূতিটা আমার ভালো লাগে। খাবারের আসক্তি কাটিয়ে ওঠার ব্যাপারে আমি একটু পড়েছি, এবং সেখানে বলা হয়েছে যে আমার যেসব খাবারের প্রতি আসক্ত, সেগুলো খাওয়া বন্ধ করতে হবে। তাছাড়া, আমি আর কখনও আমার পছন্দের খাবার খেতে চাই না। তাছাড়া, আমি এগুলো ছেড়ে দিতে প্রস্তুত নই, কিন্তু আমি এখনও জানি আমার স্বাস্থ্যকর খাবার খাওয়া উচিত। এই মুহূর্তে আমার উচ্চতা ৬'১ এবং ওজন প্রায় ২৯০ পাউন্ড। আমি ৩০০-এ পৌঁছাতে পেরে উত্তেজিত, কিন্তু ডায়াবেটিসের ভয়ও পাচ্ছি। আমি কী করতে পারি সে সম্পর্কে কারো কি পরামর্শ আছে?</v>
      </c>
    </row>
    <row r="793" spans="1:3" ht="15" x14ac:dyDescent="0.25">
      <c r="A793" s="3" t="s">
        <v>789</v>
      </c>
      <c r="B793" s="3" t="s">
        <v>4</v>
      </c>
      <c r="C793" s="4" t="str">
        <f ca="1">IFERROR(__xludf.DUMMYFUNCTION("GOOGLETRANSLATE(A793, ""auto"", ""bn"")"),"সংক্ষেপে বলতে গেলে, আমার এক অত্যন্ত ঘনিষ্ঠ বন্ধু মানসিক চাপ কমানোর জন্য ধূমপানকে প্রায়শই বেছে নিয়েছে। সে বলেছে যে সে সপ্তাহান্তে ধূমপান করে, আর ভ্যাপিং তার গলায় ব্যথা করে, তাই সে সিগারেট খায়। তার উপর খুব বেশি নেতিবাচক চাপ না দিয়ে আমি কীভাবে তাকে এই অভ্যাস"&amp;" থেকে মুক্তি দিতে পারি? এখন পর্যন্ত আমি তাকে ধূমপানের প্রয়োজন কমানোর উপায় নিয়ে কথা বলার জন্য সময় বের করতে বলেছি, কিন্তু জীবনের পরিস্থিতির কারণে এখনও তা হয়নি।")</f>
        <v>সংক্ষেপে বলতে গেলে, আমার এক অত্যন্ত ঘনিষ্ঠ বন্ধু মানসিক চাপ কমানোর জন্য ধূমপানকে প্রায়শই বেছে নিয়েছে। সে বলেছে যে সে সপ্তাহান্তে ধূমপান করে, আর ভ্যাপিং তার গলায় ব্যথা করে, তাই সে সিগারেট খায়। তার উপর খুব বেশি নেতিবাচক চাপ না দিয়ে আমি কীভাবে তাকে এই অভ্যাস থেকে মুক্তি দিতে পারি? এখন পর্যন্ত আমি তাকে ধূমপানের প্রয়োজন কমানোর উপায় নিয়ে কথা বলার জন্য সময় বের করতে বলেছি, কিন্তু জীবনের পরিস্থিতির কারণে এখনও তা হয়নি।</v>
      </c>
    </row>
    <row r="794" spans="1:3" ht="15" x14ac:dyDescent="0.25">
      <c r="A794" s="3" t="s">
        <v>790</v>
      </c>
      <c r="B794" s="3" t="s">
        <v>4</v>
      </c>
      <c r="C794" s="4" t="str">
        <f ca="1">IFERROR(__xludf.DUMMYFUNCTION("GOOGLETRANSLATE(A794, ""auto"", ""bn"")"),"আমি ১৭ মাস ধরে সুস্থ আছি এবং একটি উদ্যোক্তা প্রোগ্রামে আছি এবং আমার সম্ভাব্য ব্যবসায়িক ধারণা হবে চিকিৎসা কেন্দ্র এবং/অথবা সুস্থ থাকার ঘর এবং ভাবছি যে আমার অ্যাসাইনমেন্টের জন্য এই শিল্প সম্পর্কে জিজ্ঞাসা করার জন্য কোন পেশাদার আছে কিনা?")</f>
        <v>আমি ১৭ মাস ধরে সুস্থ আছি এবং একটি উদ্যোক্তা প্রোগ্রামে আছি এবং আমার সম্ভাব্য ব্যবসায়িক ধারণা হবে চিকিৎসা কেন্দ্র এবং/অথবা সুস্থ থাকার ঘর এবং ভাবছি যে আমার অ্যাসাইনমেন্টের জন্য এই শিল্প সম্পর্কে জিজ্ঞাসা করার জন্য কোন পেশাদার আছে কিনা?</v>
      </c>
    </row>
    <row r="795" spans="1:3" ht="15" x14ac:dyDescent="0.25">
      <c r="A795" s="3" t="s">
        <v>791</v>
      </c>
      <c r="B795" s="3" t="s">
        <v>4</v>
      </c>
      <c r="C795" s="4" t="str">
        <f ca="1">IFERROR(__xludf.DUMMYFUNCTION("GOOGLETRANSLATE(A795, ""auto"", ""bn"")"),"আমি এমন কিছু পরামর্শ খুঁজছি যা আমাকে আমার মায়ের নিরাপত্তা নিয়ে চিন্তিত করে তোলে। তাই, আমার বড় ভাইয়ের মাদকাসক্তি (আমরা ধরে নিচ্ছি মেথ) বছরের পর বছর ধরে আরও খারাপ হচ্ছে। তার বয়স ৪৪ বছর এবং বর্তমানে সে আমার মায়ের সাথে থাকে। সম্প্রতি এবং আরও বেশি করে, সে অদ্ভ"&amp;"ুত কাজ করছে এবং কোনও অর্থহীন কাজ করছে। উদাহরণস্বরূপ, সে তার শোবার ঘর থেকে তার টিভি চুরি করে বিক্রি করেছে। সে তার ঘরের দরজার নকও বদলে দিয়েছে যার ফলে সে তালাবদ্ধ ছিল। সে গত বছর বাড়িটি সংস্কার করেছিল এবং গত সপ্তাহে সে দেয়ালে একটি গর্ত করার সিদ্ধান্ত নিয়েছ"&amp;"ে এবং বলেছে যে সে কিছু সংস্কার করছে। আমার মনে হয় সে তাকে কিছুটা ভয় পায় এবং সত্যি বলতে, আমি তার জন্য ভয় পায়। সে দরজার নক সম্পর্কে পুলিশের সাথে কথা বলেছিল, কিন্তু তারা বলেছিল যে তারা কিছুই করতে পারবে না কারণ সেও সেখানে থাকত?? সে তার কিছু জিনিসপত্র নিতে ফিরে"&amp;" যেতে চায় কিন্তু পুলিশ এসকর্ট চাইতে চায় (যা সে নিশ্চিত নয় যে তারা করবে)। সে তার সাহায্য পেতে চায়, কিন্তু সে জানে না সে তা গ্রহণ করবে কিনা এবং তাকে প্রতিশ্রুতিবদ্ধ করতে চায় না কারণ সে ভয় পায় যে তারা তাকে আরও মাদকদ্রব্যে ভরে দেবে। এছাড়াও, তাকে বের ক"&amp;"রে দেওয়া তার কাছে খুব একটা বিকল্প বলে মনে হয় না কারণ সে মনে করে যে সে যদি তার বাড়িতে প্রবেশ করতে চায় তবে সে একটি উপায় খুঁজে পাবে। (সে একটি রিজার্ভ এলাকায় থাকে তাই তাকে দূরে থাকতে সাহায্য করার জন্য খুব বেশি নিরাপত্তা ব্যবস্থা নেই। এছাড়াও, তাকে রিজার"&amp;"্ভ থেকে ব্যান্ডেজ করাও সাহায্য করে না কারণ সে যদি কোনও শহরে যায়, তাহলে সে কেবল রাস্তায় থাকবে এবং গৃহহীন থাকবে)। আমি বুঝতে পারছি যে এটি ভারী এবং অনেক, কিন্তু সে একাই এই পরিস্থিতির মধ্য দিয়ে যেতে পারে না। আমি তাকে যে কোনও সহায়ক পরামর্শ দিতে পারি তা আশ্চ"&amp;"র্যজনক হবে!")</f>
        <v>আমি এমন কিছু পরামর্শ খুঁজছি যা আমাকে আমার মায়ের নিরাপত্তা নিয়ে চিন্তিত করে তোলে। তাই, আমার বড় ভাইয়ের মাদকাসক্তি (আমরা ধরে নিচ্ছি মেথ) বছরের পর বছর ধরে আরও খারাপ হচ্ছে। তার বয়স ৪৪ বছর এবং বর্তমানে সে আমার মায়ের সাথে থাকে। সম্প্রতি এবং আরও বেশি করে, সে অদ্ভুত কাজ করছে এবং কোনও অর্থহীন কাজ করছে। উদাহরণস্বরূপ, সে তার শোবার ঘর থেকে তার টিভি চুরি করে বিক্রি করেছে। সে তার ঘরের দরজার নকও বদলে দিয়েছে যার ফলে সে তালাবদ্ধ ছিল। সে গত বছর বাড়িটি সংস্কার করেছিল এবং গত সপ্তাহে সে দেয়ালে একটি গর্ত করার সিদ্ধান্ত নিয়েছে এবং বলেছে যে সে কিছু সংস্কার করছে। আমার মনে হয় সে তাকে কিছুটা ভয় পায় এবং সত্যি বলতে, আমি তার জন্য ভয় পায়। সে দরজার নক সম্পর্কে পুলিশের সাথে কথা বলেছিল, কিন্তু তারা বলেছিল যে তারা কিছুই করতে পারবে না কারণ সেও সেখানে থাকত?? সে তার কিছু জিনিসপত্র নিতে ফিরে যেতে চায় কিন্তু পুলিশ এসকর্ট চাইতে চায় (যা সে নিশ্চিত নয় যে তারা করবে)। সে তার সাহায্য পেতে চায়, কিন্তু সে জানে না সে তা গ্রহণ করবে কিনা এবং তাকে প্রতিশ্রুতিবদ্ধ করতে চায় না কারণ সে ভয় পায় যে তারা তাকে আরও মাদকদ্রব্যে ভরে দেবে। এছাড়াও, তাকে বের করে দেওয়া তার কাছে খুব একটা বিকল্প বলে মনে হয় না কারণ সে মনে করে যে সে যদি তার বাড়িতে প্রবেশ করতে চায় তবে সে একটি উপায় খুঁজে পাবে। (সে একটি রিজার্ভ এলাকায় থাকে তাই তাকে দূরে থাকতে সাহায্য করার জন্য খুব বেশি নিরাপত্তা ব্যবস্থা নেই। এছাড়াও, তাকে রিজার্ভ থেকে ব্যান্ডেজ করাও সাহায্য করে না কারণ সে যদি কোনও শহরে যায়, তাহলে সে কেবল রাস্তায় থাকবে এবং গৃহহীন থাকবে)। আমি বুঝতে পারছি যে এটি ভারী এবং অনেক, কিন্তু সে একাই এই পরিস্থিতির মধ্য দিয়ে যেতে পারে না। আমি তাকে যে কোনও সহায়ক পরামর্শ দিতে পারি তা আশ্চর্যজনক হবে!</v>
      </c>
    </row>
    <row r="796" spans="1:3" ht="15" x14ac:dyDescent="0.25">
      <c r="A796" s="3" t="s">
        <v>792</v>
      </c>
      <c r="B796" s="3" t="s">
        <v>4</v>
      </c>
      <c r="C796" s="4" t="str">
        <f ca="1">IFERROR(__xludf.DUMMYFUNCTION("GOOGLETRANSLATE(A796, ""auto"", ""bn"")"),"সত্যি বলতে, কোথা থেকে শুরু করবো তা আমি নিশ্চিত নই। এটা করার সাহস পেতে আমার বেশ কিছুটা সময় লেগেছে। আমি সারা জীবন অজ্ঞাত ADD-এর সাথে লড়াই করেছি। হাই স্কুলে আমি যথেষ্ট ভালোভাবে উত্তীর্ণ হয়েছি, কিন্তু ক্লাসিক ""যদি তুমি শুধু নিজেকে প্রয়োগ করতে, তাহলে তুমি"&amp;" সোজা As?"" লাইনটি আমার মনে রাখার চেয়ে বেশি সময় ধরে আমার মস্তিষ্কে চাপা পড়ে ছিল। আমার ""প্রয়োজন"" রিটালিনের কারণগুলির উপর আমি খুব বেশি মনোযোগ দিতে চাই না, কিন্তু সংক্ষেপে আমার ADHD ধরা পড়েছে, মূলত অমনোযোগী ব্যাধি এবং একটি সাধারণ ও সামাজিক উদ্বেগ ব্যা"&amp;"ধি। আমি ""প্রয়োজন"" উদ্ধৃতি দিয়েছি কারণ আমি জানি রাসায়নিক সাহায্য ছাড়াই সাহায্য করার অনেক উপায় আছে, কিন্তু আমি থেরাপি চেষ্টা করেছি এবং এর থেকে আমি যা পেয়েছি তা হল কয়েক দিনের বিষণ্ণতা, যা দাগ খুলে আবার বারবার করে। এর আগে, আমি অনেক স্ব-ঔষধ সেবন করেছি"&amp;" এবং ভয়াবহভাবে মোকাবেলা করার পদ্ধতি ব্যবহার করেছি। হাই স্কুলের আমার সিনিয়র বর্ষের মধ্যে, আমি কোকেনের প্রতি আসক্ত হয়ে পড়েছিলাম এবং বিভিন্ন অন্যান্য পদার্থের সাথে খারাপ অভ্যাস ছিল। যাই হোক, এখন যেহেতু আমার রোগ নির্ণয় করা হয়েছে এবং আমার কাছে ৩০টি ২০ মিল"&amp;"িগ্রাম এবং ৩০টি ১০ মিলিগ্রামের গুঁড়ো করা যায়, পিষে ফেলা যায় এমন বড়ি পাওয়ার সুযোগ আছে। দুটো জোড়া লাইন ভেঙে ফেলার আনন্দ আমাকে সত্যিই ভয় পাই, আর আমার স্ক্রিপ্টে লেগে থাকতে সমস্যা হয়। মানে বড় ঝামেলা। যেদিন আমার সবচেয়ে বেশি রিফিল হয়েছে সেদিন আমি প্রতিটি ডোজে"&amp;"র ১০টি করে দিয়েছি। এটি আমার তৃতীয় রিফিল এবং আমি তিনটির সাথেই লড়াই করেছি, কিন্তু আমি এটাকে ন্যায্যতা দিয়েছি কারণ আমি আমার স্ক্রিপ্টটি খুব তাড়াতাড়ি শেষ করে ফেলেছিলাম, কিন্তু অপেক্ষা করা ছাড়া আর কিছু করার নেই জেনেও কোনও প্রত্যাহার বা লালসা অনুভব করিনি। আম"&amp;"ি আমার মনোরোগ বিশেষজ্ঞের কাছে ক্যাপসুল চাইতে চাই কিন্তু কেন তিনি জানেন এই ধারণা আমাকে ভয় পাই। এটি আমার ব্রেকআউট সেমিস্টার হওয়ার কথা ছিল এবং আমি এতে যোগদানের জন্য খুবই উত্তেজিত, কিন্তু আমাকে দ্রুত এটি নিয়ন্ত্রণ করতে হবে। আমি কাউকে বলতেও ভয় পাচ্ছি এবং আম"&amp;"ি ভয় পাচ্ছি যে আমি যদি পেশাদার সাহায্য চাই তাহলে আমি ""কালো তালিকাভুক্ত"" হয়ে যাব? যেকোনো প্রেসক্রিপশন থেকে এবং আমি আমার প্রেসক্রিপশন হারাতে পারি না। আমি ইতিমধ্যেই আমার এক রুমমেটকে দুটো স্ক্রিপ্ট লুকিয়ে রাখতে বলেছি যাতে স্কুল শুরু না হওয়া পর্যন্ত আমি ডি"&amp;"টক্স করতে পারি। কিন্তু আমি চিন্তিত যে যখন এটি সত্যিই গুরুত্বপূর্ণ তখন আমি আবার আমার পথে ফিরে যাব। আমি আর ব্যর্থ হতে পারছি না। তাই হ্যাঁ, যেকোনো পরামর্শই দারুন হবে। আমি আসলে পেশাদার সাহায্য পছন্দ করি না, তবে আমি জানি যে আমাকে সেই গুলিটি খেতে হতে পারে। আমি "&amp;"আমার কলেজের দেওয়া বিনামূল্যের কাউন্সেলিং ব্যবহার করার পরিকল্পনা করছি কিন্তু মনে হচ্ছে আমি লিখছি কারণ আমি আর এই লড়াইয়ে একা বোধ করতে চাই না এবং এটি আমার সবচেয়ে বেশি যত্নশীল লোকেদের হতাশ করার চেয়ে অনেক কম উদ্বেগ সৃষ্টি করে। তাছাড়া, আমার মনে হয় এটা অনে"&amp;"ক দুঃখজনক ছিল কিন্তু সবকিছু বলে ভালো লাগলো।")</f>
        <v>সত্যি বলতে, কোথা থেকে শুরু করবো তা আমি নিশ্চিত নই। এটা করার সাহস পেতে আমার বেশ কিছুটা সময় লেগেছে। আমি সারা জীবন অজ্ঞাত ADD-এর সাথে লড়াই করেছি। হাই স্কুলে আমি যথেষ্ট ভালোভাবে উত্তীর্ণ হয়েছি, কিন্তু ক্লাসিক "যদি তুমি শুধু নিজেকে প্রয়োগ করতে, তাহলে তুমি সোজা As?" লাইনটি আমার মনে রাখার চেয়ে বেশি সময় ধরে আমার মস্তিষ্কে চাপা পড়ে ছিল। আমার "প্রয়োজন" রিটালিনের কারণগুলির উপর আমি খুব বেশি মনোযোগ দিতে চাই না, কিন্তু সংক্ষেপে আমার ADHD ধরা পড়েছে, মূলত অমনোযোগী ব্যাধি এবং একটি সাধারণ ও সামাজিক উদ্বেগ ব্যাধি। আমি "প্রয়োজন" উদ্ধৃতি দিয়েছি কারণ আমি জানি রাসায়নিক সাহায্য ছাড়াই সাহায্য করার অনেক উপায় আছে, কিন্তু আমি থেরাপি চেষ্টা করেছি এবং এর থেকে আমি যা পেয়েছি তা হল কয়েক দিনের বিষণ্ণতা, যা দাগ খুলে আবার বারবার করে। এর আগে, আমি অনেক স্ব-ঔষধ সেবন করেছি এবং ভয়াবহভাবে মোকাবেলা করার পদ্ধতি ব্যবহার করেছি। হাই স্কুলের আমার সিনিয়র বর্ষের মধ্যে, আমি কোকেনের প্রতি আসক্ত হয়ে পড়েছিলাম এবং বিভিন্ন অন্যান্য পদার্থের সাথে খারাপ অভ্যাস ছিল। যাই হোক, এখন যেহেতু আমার রোগ নির্ণয় করা হয়েছে এবং আমার কাছে ৩০টি ২০ মিলিগ্রাম এবং ৩০টি ১০ মিলিগ্রামের গুঁড়ো করা যায়, পিষে ফেলা যায় এমন বড়ি পাওয়ার সুযোগ আছে। দুটো জোড়া লাইন ভেঙে ফেলার আনন্দ আমাকে সত্যিই ভয় পাই, আর আমার স্ক্রিপ্টে লেগে থাকতে সমস্যা হয়। মানে বড় ঝামেলা। যেদিন আমার সবচেয়ে বেশি রিফিল হয়েছে সেদিন আমি প্রতিটি ডোজের ১০টি করে দিয়েছি। এটি আমার তৃতীয় রিফিল এবং আমি তিনটির সাথেই লড়াই করেছি, কিন্তু আমি এটাকে ন্যায্যতা দিয়েছি কারণ আমি আমার স্ক্রিপ্টটি খুব তাড়াতাড়ি শেষ করে ফেলেছিলাম, কিন্তু অপেক্ষা করা ছাড়া আর কিছু করার নেই জেনেও কোনও প্রত্যাহার বা লালসা অনুভব করিনি। আমি আমার মনোরোগ বিশেষজ্ঞের কাছে ক্যাপসুল চাইতে চাই কিন্তু কেন তিনি জানেন এই ধারণা আমাকে ভয় পাই। এটি আমার ব্রেকআউট সেমিস্টার হওয়ার কথা ছিল এবং আমি এতে যোগদানের জন্য খুবই উত্তেজিত, কিন্তু আমাকে দ্রুত এটি নিয়ন্ত্রণ করতে হবে। আমি কাউকে বলতেও ভয় পাচ্ছি এবং আমি ভয় পাচ্ছি যে আমি যদি পেশাদার সাহায্য চাই তাহলে আমি "কালো তালিকাভুক্ত" হয়ে যাব? যেকোনো প্রেসক্রিপশন থেকে এবং আমি আমার প্রেসক্রিপশন হারাতে পারি না। আমি ইতিমধ্যেই আমার এক রুমমেটকে দুটো স্ক্রিপ্ট লুকিয়ে রাখতে বলেছি যাতে স্কুল শুরু না হওয়া পর্যন্ত আমি ডিটক্স করতে পারি। কিন্তু আমি চিন্তিত যে যখন এটি সত্যিই গুরুত্বপূর্ণ তখন আমি আবার আমার পথে ফিরে যাব। আমি আর ব্যর্থ হতে পারছি না। তাই হ্যাঁ, যেকোনো পরামর্শই দারুন হবে। আমি আসলে পেশাদার সাহায্য পছন্দ করি না, তবে আমি জানি যে আমাকে সেই গুলিটি খেতে হতে পারে। আমি আমার কলেজের দেওয়া বিনামূল্যের কাউন্সেলিং ব্যবহার করার পরিকল্পনা করছি কিন্তু মনে হচ্ছে আমি লিখছি কারণ আমি আর এই লড়াইয়ে একা বোধ করতে চাই না এবং এটি আমার সবচেয়ে বেশি যত্নশীল লোকেদের হতাশ করার চেয়ে অনেক কম উদ্বেগ সৃষ্টি করে। তাছাড়া, আমার মনে হয় এটা অনেক দুঃখজনক ছিল কিন্তু সবকিছু বলে ভালো লাগলো।</v>
      </c>
    </row>
    <row r="797" spans="1:3" ht="15" x14ac:dyDescent="0.25">
      <c r="A797" s="3" t="s">
        <v>793</v>
      </c>
      <c r="B797" s="3" t="s">
        <v>4</v>
      </c>
      <c r="C797" s="4" t="str">
        <f ca="1">IFERROR(__xludf.DUMMYFUNCTION("GOOGLETRANSLATE(A797, ""auto"", ""bn"")"),"আমার ছোট বোন বলেছে যে সে হেরোইন ব্যবহার বন্ধ করতে প্রস্তুত, সে সবসময় অসুস্থ থাকতে থাকতে ক্লান্ত, এবং সে পরিষ্কার হওয়ার জন্য প্রত্যাহারের পরেও সে তা করতে পারছে না। আমি তাকে এক মাসের জন্য অ্যাটম (লাল শিরা) পাঠিয়েছিলাম, এবং সে H এর পরিমাণ কমিয়ে দিয়েছে ("&amp;"যা প্রতিদিন প্রায় এক গ্রাম ছিল), কিন্তু এখনও ধূমপান করে। আমি তাকে আরও অ্যাটম পাঠিয়েছি, এবং আমি যে পরামর্শ দিচ্ছি তা কোনও লাভজনক নয় কারণ আমি কখনও তার জায়গায় ছিলাম না। তাছাড়া, আমি পরামর্শ, টিপস, কৌশল, অসুস্থতা কাটিয়ে উঠতে তাকে সাহায্য করার জন্য কিছু "&amp;"খুঁজছি এবং এর সাথে সম্পর্কিত সবকিছু। তাছাড়া, আমি কখনও H করিনি, তাই সে কী করছে তা আমি বলতে পারছি না, এবং কীভাবে সাহায্য করব তাও জানি না। তাছাড়া, আমি তাকে বলেছিলাম যে সে যদি কোনও মেথাডোন ক্লিনিক থেকে দূরে থাকে এবং সাবক্সোন রুট না নেওয়ার চেষ্টা করে তবে আম"&amp;"ি সত্যিই কৃতজ্ঞ থাকব।")</f>
        <v>আমার ছোট বোন বলেছে যে সে হেরোইন ব্যবহার বন্ধ করতে প্রস্তুত, সে সবসময় অসুস্থ থাকতে থাকতে ক্লান্ত, এবং সে পরিষ্কার হওয়ার জন্য প্রত্যাহারের পরেও সে তা করতে পারছে না। আমি তাকে এক মাসের জন্য অ্যাটম (লাল শিরা) পাঠিয়েছিলাম, এবং সে H এর পরিমাণ কমিয়ে দিয়েছে (যা প্রতিদিন প্রায় এক গ্রাম ছিল), কিন্তু এখনও ধূমপান করে। আমি তাকে আরও অ্যাটম পাঠিয়েছি, এবং আমি যে পরামর্শ দিচ্ছি তা কোনও লাভজনক নয় কারণ আমি কখনও তার জায়গায় ছিলাম না। তাছাড়া, আমি পরামর্শ, টিপস, কৌশল, অসুস্থতা কাটিয়ে উঠতে তাকে সাহায্য করার জন্য কিছু খুঁজছি এবং এর সাথে সম্পর্কিত সবকিছু। তাছাড়া, আমি কখনও H করিনি, তাই সে কী করছে তা আমি বলতে পারছি না, এবং কীভাবে সাহায্য করব তাও জানি না। তাছাড়া, আমি তাকে বলেছিলাম যে সে যদি কোনও মেথাডোন ক্লিনিক থেকে দূরে থাকে এবং সাবক্সোন রুট না নেওয়ার চেষ্টা করে তবে আমি সত্যিই কৃতজ্ঞ থাকব।</v>
      </c>
    </row>
    <row r="798" spans="1:3" ht="15" x14ac:dyDescent="0.25">
      <c r="A798" s="3" t="s">
        <v>794</v>
      </c>
      <c r="B798" s="3" t="s">
        <v>4</v>
      </c>
      <c r="C798" s="4" t="str">
        <f ca="1">IFERROR(__xludf.DUMMYFUNCTION("GOOGLETRANSLATE(A798, ""auto"", ""bn"")"),"তাই এই মুহূর্তে আমি ডিটক্স চিকিৎসার জন্য পুনর্বাসনে আছি এবং এই সপ্তাহান্তে আমাকে আবার মুক্ত করা হচ্ছে। আমি জানি রিলেতে যাওয়ার সম্ভাবনা আমার বিরুদ্ধে। আমি আবার এই রোগে আক্রান্ত হতে চাই না। আমি আবার এই রোগে আক্রান্ত হতে চাই না। তাছাড়া, আমি আগেও একই মানসিক"&amp;"তা এবং একই দৌড় শুরু নিয়ে এখানে এসেছি। তাছাড়া, আমি ভয় পাচ্ছি, খুব ভয় পাচ্ছি।")</f>
        <v>তাই এই মুহূর্তে আমি ডিটক্স চিকিৎসার জন্য পুনর্বাসনে আছি এবং এই সপ্তাহান্তে আমাকে আবার মুক্ত করা হচ্ছে। আমি জানি রিলেতে যাওয়ার সম্ভাবনা আমার বিরুদ্ধে। আমি আবার এই রোগে আক্রান্ত হতে চাই না। আমি আবার এই রোগে আক্রান্ত হতে চাই না। তাছাড়া, আমি আগেও একই মানসিকতা এবং একই দৌড় শুরু নিয়ে এখানে এসেছি। তাছাড়া, আমি ভয় পাচ্ছি, খুব ভয় পাচ্ছি।</v>
      </c>
    </row>
    <row r="799" spans="1:3" ht="15" x14ac:dyDescent="0.25">
      <c r="A799" s="3" t="s">
        <v>795</v>
      </c>
      <c r="B799" s="3" t="s">
        <v>4</v>
      </c>
      <c r="C799" s="4" t="str">
        <f ca="1">IFERROR(__xludf.DUMMYFUNCTION("GOOGLETRANSLATE(A799, ""auto"", ""bn"")"),"আমি পুরো এক বছর ধরে ওষুধ খাইনি। তবুও যদি আমি ভুল করে ভোর ৪টা ৫ মিনিটে ঘুম থেকে উঠে যাই - তাহলে আমার শরীর সূর্যোদয়ের সাথে সাথেই এমন প্রতিক্রিয়া দেখাবে যেন আবার ২০১৬ সাল এবং আমি পুরো ৮ বল খেলে ফেলেছি। আমার শরীর এমন অনুভব করবে যেন আমি নিচে নেমে আসছি। এবং ঘ"&amp;"ন্টার পর ঘন্টাও এটি চলে যাবে না। মাঝে মাঝে আমি স্বাভাবিক দৈনন্দিন কাজ করার সময় ""নীচে নেমে আসার"" অনুভূতি পাই। কেন আমার শরীর আমাকে এমন অনুভূতি দেয়?")</f>
        <v>আমি পুরো এক বছর ধরে ওষুধ খাইনি। তবুও যদি আমি ভুল করে ভোর ৪টা ৫ মিনিটে ঘুম থেকে উঠে যাই - তাহলে আমার শরীর সূর্যোদয়ের সাথে সাথেই এমন প্রতিক্রিয়া দেখাবে যেন আবার ২০১৬ সাল এবং আমি পুরো ৮ বল খেলে ফেলেছি। আমার শরীর এমন অনুভব করবে যেন আমি নিচে নেমে আসছি। এবং ঘন্টার পর ঘন্টাও এটি চলে যাবে না। মাঝে মাঝে আমি স্বাভাবিক দৈনন্দিন কাজ করার সময় "নীচে নেমে আসার" অনুভূতি পাই। কেন আমার শরীর আমাকে এমন অনুভূতি দেয়?</v>
      </c>
    </row>
    <row r="800" spans="1:3" ht="15" x14ac:dyDescent="0.25">
      <c r="A800" s="3" t="s">
        <v>796</v>
      </c>
      <c r="B800" s="3" t="s">
        <v>4</v>
      </c>
      <c r="C800" s="4" t="str">
        <f ca="1">IFERROR(__xludf.DUMMYFUNCTION("GOOGLETRANSLATE(A800, ""auto"", ""bn"")"),"আমি রেডিটে একেবারেই নতুন, কিন্তু ভেবেছিলাম এই প্ল্যাটফর্মে ভালো প্রতিক্রিয়া পাবো। আমার সবচেয়ে কাছের বন্ধু এবং আমি নিকোটিনের প্রতি প্রচণ্ড আসক্ত। আমরা ভ্যাপিং শুরু করার পর থেকে প্রায় ৪-৫ বছর হয়ে গেছে, এবং পরে ধূমপানও শুরু করেছি। অতিরিক্ত ব্যবহারের কারণ"&amp;"ে তার গলা এবং ফুসফুসের গুরুতর সমস্যা দেখা দিয়েছে। এমন এক পর্যায়ে এসে পৌঁছেছে যে তার শরীর তীব্রভাবে মাদক প্রত্যাখ্যান করার কারণে সে আর কিছু খেতে বা পান করতে পারে না। সে ধূমপান, ভ্যাপিং ইত্যাদি চালিয়ে যাচ্ছে। এর ফলে আমি আমার জীবনযাত্রার ধরণ পরিবর্তন করার"&amp;" কথা সত্যিই ভাবছি এবং বর্তমানে মাদকের প্রতি ঝুঁকছি। সে তা করেনি। যদিও জীবন সম্পর্কে তার দৃষ্টিভঙ্গি আমার থেকে অনেক আলাদা, আমি তাকে সাহায্য করতে চাই। আজ সকালে সে আমাকে তার সিগারেট এবং ভ্যাপিং নিতে বলেছিল এবং চলে যেতে বলেছিল। তাই আমি তা করেছিলাম, এবং আমি জা"&amp;"নতাম সে এগুলো ফিরে চাইবে। যদিও আমি তাকে বলেছিলাম যে আমি তাকে গুরুত্ব সহকারে নেব, আমি আশা করিনি যে তাকে এত যন্ত্রণার মধ্য দিয়ে যেতে দেখা এত কঠিন হবে। আমি জানি না কিভাবে তাকে এখনই সাহায্য করব, তবে আমি তাকে যতটা সম্ভব সাহায্য করছি। সে আমাকে বারবার কাঁদতে কা"&amp;"ঁদতে এবং চিৎকার করতে ডেকেছে, আর আমি বুঝতে পারছি এটা একটা গুরুতর আসক্তি ছাড়ার অংশ। আমি চিন্তিত যে সে হয়তো আমাকে কখনো ক্ষমা করবে না, পরে হয়তো সবকিছু বদলে যাবে, কিন্তু আমি নিশ্চিত নই। আমি তাকে অনেক ভালোবাসি, এবং আমি তাকে আরও ভালো করতে দেখতে চাই, আমি তার ভ"&amp;"বিষ্যৎ দেখতে চাই। যদি আপনি আমাকে কোন টিপস, পরামর্শ বা সহায়তা দিতে পারেন, তাহলে দয়া করে তা করুন।")</f>
        <v>আমি রেডিটে একেবারেই নতুন, কিন্তু ভেবেছিলাম এই প্ল্যাটফর্মে ভালো প্রতিক্রিয়া পাবো। আমার সবচেয়ে কাছের বন্ধু এবং আমি নিকোটিনের প্রতি প্রচণ্ড আসক্ত। আমরা ভ্যাপিং শুরু করার পর থেকে প্রায় ৪-৫ বছর হয়ে গেছে, এবং পরে ধূমপানও শুরু করেছি। অতিরিক্ত ব্যবহারের কারণে তার গলা এবং ফুসফুসের গুরুতর সমস্যা দেখা দিয়েছে। এমন এক পর্যায়ে এসে পৌঁছেছে যে তার শরীর তীব্রভাবে মাদক প্রত্যাখ্যান করার কারণে সে আর কিছু খেতে বা পান করতে পারে না। সে ধূমপান, ভ্যাপিং ইত্যাদি চালিয়ে যাচ্ছে। এর ফলে আমি আমার জীবনযাত্রার ধরণ পরিবর্তন করার কথা সত্যিই ভাবছি এবং বর্তমানে মাদকের প্রতি ঝুঁকছি। সে তা করেনি। যদিও জীবন সম্পর্কে তার দৃষ্টিভঙ্গি আমার থেকে অনেক আলাদা, আমি তাকে সাহায্য করতে চাই। আজ সকালে সে আমাকে তার সিগারেট এবং ভ্যাপিং নিতে বলেছিল এবং চলে যেতে বলেছিল। তাই আমি তা করেছিলাম, এবং আমি জানতাম সে এগুলো ফিরে চাইবে। যদিও আমি তাকে বলেছিলাম যে আমি তাকে গুরুত্ব সহকারে নেব, আমি আশা করিনি যে তাকে এত যন্ত্রণার মধ্য দিয়ে যেতে দেখা এত কঠিন হবে। আমি জানি না কিভাবে তাকে এখনই সাহায্য করব, তবে আমি তাকে যতটা সম্ভব সাহায্য করছি। সে আমাকে বারবার কাঁদতে কাঁদতে এবং চিৎকার করতে ডেকেছে, আর আমি বুঝতে পারছি এটা একটা গুরুতর আসক্তি ছাড়ার অংশ। আমি চিন্তিত যে সে হয়তো আমাকে কখনো ক্ষমা করবে না, পরে হয়তো সবকিছু বদলে যাবে, কিন্তু আমি নিশ্চিত নই। আমি তাকে অনেক ভালোবাসি, এবং আমি তাকে আরও ভালো করতে দেখতে চাই, আমি তার ভবিষ্যৎ দেখতে চাই। যদি আপনি আমাকে কোন টিপস, পরামর্শ বা সহায়তা দিতে পারেন, তাহলে দয়া করে তা করুন।</v>
      </c>
    </row>
    <row r="801" spans="1:3" ht="15" x14ac:dyDescent="0.25">
      <c r="A801" s="3" t="s">
        <v>797</v>
      </c>
      <c r="B801" s="3" t="s">
        <v>4</v>
      </c>
      <c r="C801" s="4" t="str">
        <f ca="1">IFERROR(__xludf.DUMMYFUNCTION("GOOGLETRANSLATE(A801, ""auto"", ""bn"")"),"আমি ৩ মাস আগে পর্যন্ত হস্তমৈথুন করতাম। এখন যখনই আমি কোনও বিরক্তিকর পোস্ট দেখি তখনই আমি তা অনুভব না করার চেষ্টা করি। ঘুমানোর পর আমার চোখে এমন কিছু ভিডিওর ঝলক পড়ে যা আমি আগে কখনও দেখিনি এবং আমি বাজি ভিজিয়ে ফেলি। এটা কি সাধারণ? নাকি আমি কোনও সমস্যায় পড়েছ"&amp;"ি?")</f>
        <v>আমি ৩ মাস আগে পর্যন্ত হস্তমৈথুন করতাম। এখন যখনই আমি কোনও বিরক্তিকর পোস্ট দেখি তখনই আমি তা অনুভব না করার চেষ্টা করি। ঘুমানোর পর আমার চোখে এমন কিছু ভিডিওর ঝলক পড়ে যা আমি আগে কখনও দেখিনি এবং আমি বাজি ভিজিয়ে ফেলি। এটা কি সাধারণ? নাকি আমি কোনও সমস্যায় পড়েছি?</v>
      </c>
    </row>
    <row r="802" spans="1:3" ht="15" x14ac:dyDescent="0.25">
      <c r="A802" s="3" t="s">
        <v>798</v>
      </c>
      <c r="B802" s="3" t="s">
        <v>4</v>
      </c>
      <c r="C802" s="4" t="str">
        <f ca="1">IFERROR(__xludf.DUMMYFUNCTION("GOOGLETRANSLATE(A802, ""auto"", ""bn"")"),"আমার ভাইকে আসক্তি থেকে মুক্তি দিতে আমার জরুরি পরামর্শ প্রয়োজন। কলেজে যাওয়ার পর থেকে সে আগের মতো নেই এবং তার স্কিজোফ্রেনিয়ার লক্ষণ দেখা যাচ্ছে। আমি আগে ভাবতাম এটা কেবল একটা মানসিক সমস্যা, কিন্তু আমি জানি এটা তার মাদক ব্যবহারের কারণে। সে বিভ্রান্তিতে ভুগ"&amp;"ছে এবং মনে করে আমরা তার উপর গুপ্তচরবৃত্তি করছি এবং আমি তাকে এমন কিছু নিয়ে কথা বলতেও দেখি যা সে যখন অতিরিক্ত মাত্রায় থাকে তখন সেখানে নেই। সে খুবই ভীত, এবং সে আমার এবং আমার মায়ের চেয়েও শক্তিশালী, তাই যখন তার কোনও ঘটনা ঘটে বা সে ভয় পায় কারণ সে মনে করে "&amp;"আমরা তার কাছ থেকে লক্ষ লক্ষ ডলার চুরি করেছি তখন ভয় লাগে। সম্প্রতি আমি যখন তাকে মার্কান ডিভাইস দিয়ে দেখেছিলাম তখন আমি তার মাদক ব্যবহারের বিষয়টি নিশ্চিত করেছি কিন্তু আমি তাকে কখনও কোনও কঠোর ওষুধ খেতে দেখিনি। আমাদের তাকে বের করে দিতে হয়েছে কারণ সে আমাদের"&amp;" পরিবারকে একাধিকবার হুমকি দিয়েছিল এবং আমরা জানি না কী করব। আমরা কখনও তার মাদক ব্যবহারের বিষয়ে তার মুখোমুখি হইনি এই ভয়ে যে সে হয়তো আমাদের কাউকে আঘাত করবে এবং ক্ষতি করার চেষ্টা করবে। দয়া করে কোন পরামর্শ দিলে সাহায্য হবে। আমি প্রতিদিন বিপদে থাকি এই ভেবে"&amp;" যে সে বাড়িতে এসে আমাদের মেরে ফেলবে। সে কোন ওষুধ ব্যবহার করতে পারে সে সম্পর্কে কোন ধারণা আছে?")</f>
        <v>আমার ভাইকে আসক্তি থেকে মুক্তি দিতে আমার জরুরি পরামর্শ প্রয়োজন। কলেজে যাওয়ার পর থেকে সে আগের মতো নেই এবং তার স্কিজোফ্রেনিয়ার লক্ষণ দেখা যাচ্ছে। আমি আগে ভাবতাম এটা কেবল একটা মানসিক সমস্যা, কিন্তু আমি জানি এটা তার মাদক ব্যবহারের কারণে। সে বিভ্রান্তিতে ভুগছে এবং মনে করে আমরা তার উপর গুপ্তচরবৃত্তি করছি এবং আমি তাকে এমন কিছু নিয়ে কথা বলতেও দেখি যা সে যখন অতিরিক্ত মাত্রায় থাকে তখন সেখানে নেই। সে খুবই ভীত, এবং সে আমার এবং আমার মায়ের চেয়েও শক্তিশালী, তাই যখন তার কোনও ঘটনা ঘটে বা সে ভয় পায় কারণ সে মনে করে আমরা তার কাছ থেকে লক্ষ লক্ষ ডলার চুরি করেছি তখন ভয় লাগে। সম্প্রতি আমি যখন তাকে মার্কান ডিভাইস দিয়ে দেখেছিলাম তখন আমি তার মাদক ব্যবহারের বিষয়টি নিশ্চিত করেছি কিন্তু আমি তাকে কখনও কোনও কঠোর ওষুধ খেতে দেখিনি। আমাদের তাকে বের করে দিতে হয়েছে কারণ সে আমাদের পরিবারকে একাধিকবার হুমকি দিয়েছিল এবং আমরা জানি না কী করব। আমরা কখনও তার মাদক ব্যবহারের বিষয়ে তার মুখোমুখি হইনি এই ভয়ে যে সে হয়তো আমাদের কাউকে আঘাত করবে এবং ক্ষতি করার চেষ্টা করবে। দয়া করে কোন পরামর্শ দিলে সাহায্য হবে। আমি প্রতিদিন বিপদে থাকি এই ভেবে যে সে বাড়িতে এসে আমাদের মেরে ফেলবে। সে কোন ওষুধ ব্যবহার করতে পারে সে সম্পর্কে কোন ধারণা আছে?</v>
      </c>
    </row>
    <row r="803" spans="1:3" ht="15" x14ac:dyDescent="0.25">
      <c r="A803" s="3" t="s">
        <v>799</v>
      </c>
      <c r="B803" s="3" t="s">
        <v>4</v>
      </c>
      <c r="C803" s="4" t="str">
        <f ca="1">IFERROR(__xludf.DUMMYFUNCTION("GOOGLETRANSLATE(A803, ""auto"", ""bn"")"),"আমি চিন্তিত যে আমি গাঁজার উপর নির্ভরশীল হয়ে পড়ছি। এটি আমাকে অলস এবং অনুপ্রাণিত করে তুলেছে এবং পৃথিবীর সাথে খুব বিচ্ছিন্ন করে তুলেছে, এর ফলে আমি হতাশাগ্রস্ত এবং আমার আবেগে সম্পূর্ণ অসাড় হয়ে পড়েছি। অন্য কারো কি এই অভিজ্ঞতা হয়েছে? আমি কীভাবে নিজেকে ফির"&amp;"ে পাব?")</f>
        <v>আমি চিন্তিত যে আমি গাঁজার উপর নির্ভরশীল হয়ে পড়ছি। এটি আমাকে অলস এবং অনুপ্রাণিত করে তুলেছে এবং পৃথিবীর সাথে খুব বিচ্ছিন্ন করে তুলেছে, এর ফলে আমি হতাশাগ্রস্ত এবং আমার আবেগে সম্পূর্ণ অসাড় হয়ে পড়েছি। অন্য কারো কি এই অভিজ্ঞতা হয়েছে? আমি কীভাবে নিজেকে ফিরে পাব?</v>
      </c>
    </row>
    <row r="804" spans="1:3" ht="15" x14ac:dyDescent="0.25">
      <c r="A804" s="3" t="s">
        <v>800</v>
      </c>
      <c r="B804" s="3" t="s">
        <v>4</v>
      </c>
      <c r="C804" s="4" t="str">
        <f ca="1">IFERROR(__xludf.DUMMYFUNCTION("GOOGLETRANSLATE(A804, ""auto"", ""bn"")"),"আমার একটা সমস্যা আছে। আমি সাহায্য চাই। আমি ছোট ছোট মাদক সেবনের প্রশিক্ষণ নিচ্ছি কারণ আমি পুরোপুরি ছেড়ে দিতে পারছি না কারণ এটি করার জন্য আমার সাহায্যের প্রয়োজন। আমার ছেলে মাথার আঘাত সহ অনেক কিছুর মধ্য দিয়ে যাচ্ছে এবং 2 বার জেল এবং আদালতের পাশাপাশি কোড ক"&amp;"রা হয়েছে। আমি তার পাশে থাকতে চাই। আমিও কেবল অদৃশ্য হতে চাই না কারণ এটি আমার দুই ছেলেকে ধ্বংস করে দেবে। আমার স্বামী চলে যাওয়ার সাথে সাথে সত্যিই জোর করে এবং আক্রমণাত্মক হয়ে ওঠে। সে আমাকে মাদকাসক্ত ইত্যাদি বলে উল্লেখ করে। অনেক অভিযোগ করে এবং বলে যে আমি যখ"&amp;"ন আমাদের মধ্যে কোনও সমস্যা নিয়ে আসি তখন আমি বিভ্রান্ত হয়ে পড়ি, আমার মনে হয় আমি তাকে যেভাবেই বলি না কেন আমার কথা কেউ শুনছে না। সে এমনও দাবি করে যে আমি যার কাছ থেকে জিনিস পাই তার নাম ছেড়ে দেই। সে তাদের আঘাত করতে চায়। আমি বুঝতে পারি কিন্তু তাতে আমার কো"&amp;"নও লাভ হয় না। তারপর আমি তাকে বিশ্বাস করতে শুরু করি না। সে রেগে যায় এবং মনে করে যে আমি অন্য একজনকে বেছে নিচ্ছি যা আমি মোটেও নই। আমি চাই এটি কাজ করুক এবং আমি সাহায্য চাই। যখন তার এত ভালো আচরণের মনোভাব তখন সে আমাকে দূরে ঠেলে দেয়। তাই সে আবার ক্লান্ত হয়ে "&amp;"পড়ে আমাকে তাকে বলতে বাধ্য করে। সে বললো আমি তাকে বেছে নিয়েছি। আমি পছন্দ করিনি। একটা জিনিস ছাড়া আর কোনও সম্পর্ক নেই। সে এখন ডিভোর্স চায়। আমি যখন ভালোভাবে যোগাযোগ করতে চাই, তখন সে তা করবে না। আমি যখন প্রশ্ন করি, তখন সে প্রশ্নের উত্তর দেয় না এবং আমার প্রশ্ন"&amp;"ের উত্তর দেয় না। আমি যা বলি এবং সে যেভাবে ব্যাখ্যা করে, তা-ই আমি বলেছি। আমি কীভাবে বা কতটা ব্যাখ্যা করছি তা বিবেচ্য নয়, আমি কীভাবে কিছু বোঝাতে চাইছি তা বিবেচ্য নয়। তাই রেগে যাই। তারপর আমি জোরে চিৎকার করি এবং চিৎকার করি। তারপর সে আমাকে বলে যে আমি মাদকাসক্"&amp;"ত বলেই এমনটা হচ্ছে।")</f>
        <v>আমার একটা সমস্যা আছে। আমি সাহায্য চাই। আমি ছোট ছোট মাদক সেবনের প্রশিক্ষণ নিচ্ছি কারণ আমি পুরোপুরি ছেড়ে দিতে পারছি না কারণ এটি করার জন্য আমার সাহায্যের প্রয়োজন। আমার ছেলে মাথার আঘাত সহ অনেক কিছুর মধ্য দিয়ে যাচ্ছে এবং 2 বার জেল এবং আদালতের পাশাপাশি কোড করা হয়েছে। আমি তার পাশে থাকতে চাই। আমিও কেবল অদৃশ্য হতে চাই না কারণ এটি আমার দুই ছেলেকে ধ্বংস করে দেবে। আমার স্বামী চলে যাওয়ার সাথে সাথে সত্যিই জোর করে এবং আক্রমণাত্মক হয়ে ওঠে। সে আমাকে মাদকাসক্ত ইত্যাদি বলে উল্লেখ করে। অনেক অভিযোগ করে এবং বলে যে আমি যখন আমাদের মধ্যে কোনও সমস্যা নিয়ে আসি তখন আমি বিভ্রান্ত হয়ে পড়ি, আমার মনে হয় আমি তাকে যেভাবেই বলি না কেন আমার কথা কেউ শুনছে না। সে এমনও দাবি করে যে আমি যার কাছ থেকে জিনিস পাই তার নাম ছেড়ে দেই। সে তাদের আঘাত করতে চায়। আমি বুঝতে পারি কিন্তু তাতে আমার কোনও লাভ হয় না। তারপর আমি তাকে বিশ্বাস করতে শুরু করি না। সে রেগে যায় এবং মনে করে যে আমি অন্য একজনকে বেছে নিচ্ছি যা আমি মোটেও নই। আমি চাই এটি কাজ করুক এবং আমি সাহায্য চাই। যখন তার এত ভালো আচরণের মনোভাব তখন সে আমাকে দূরে ঠেলে দেয়। তাই সে আবার ক্লান্ত হয়ে পড়ে আমাকে তাকে বলতে বাধ্য করে। সে বললো আমি তাকে বেছে নিয়েছি। আমি পছন্দ করিনি। একটা জিনিস ছাড়া আর কোনও সম্পর্ক নেই। সে এখন ডিভোর্স চায়। আমি যখন ভালোভাবে যোগাযোগ করতে চাই, তখন সে তা করবে না। আমি যখন প্রশ্ন করি, তখন সে প্রশ্নের উত্তর দেয় না এবং আমার প্রশ্নের উত্তর দেয় না। আমি যা বলি এবং সে যেভাবে ব্যাখ্যা করে, তা-ই আমি বলেছি। আমি কীভাবে বা কতটা ব্যাখ্যা করছি তা বিবেচ্য নয়, আমি কীভাবে কিছু বোঝাতে চাইছি তা বিবেচ্য নয়। তাই রেগে যাই। তারপর আমি জোরে চিৎকার করি এবং চিৎকার করি। তারপর সে আমাকে বলে যে আমি মাদকাসক্ত বলেই এমনটা হচ্ছে।</v>
      </c>
    </row>
    <row r="805" spans="1:3" ht="15" x14ac:dyDescent="0.25">
      <c r="A805" s="3" t="s">
        <v>801</v>
      </c>
      <c r="B805" s="3" t="s">
        <v>4</v>
      </c>
      <c r="C805" s="4" t="str">
        <f ca="1">IFERROR(__xludf.DUMMYFUNCTION("GOOGLETRANSLATE(A805, ""auto"", ""bn"")"),"এটা আমার কাছে গুরুতর মনে হচ্ছে। আমার বাবা মদ্যপানে আসক্ত। আমি তাকে থামানোর চেষ্টা করেছি, এবং এখন পর্যন্ত আমি ব্যর্থ হয়েছি। এছাড়াও, সে নিজেকে সামলাতে পারছে না, সে মদ্যপান বন্ধ করতে চায় না কারণ সে মনে করে যে সামান্য মদ্যপান তার হৃদয়ের জন্য ভালো হবে বা অ"&amp;"ন্য কিছু। এটা কি সত্যি? যাই হোক, সে কমপক্ষে ৫-৮ বোতল বিয়ার, একগুচ্ছ ওয়াইন ইত্যাদি পান করে। তাছাড়া, আমার বয়স ১৩ বছর এবং আমার কাছে খুব বেশি বিকল্প নেই। তাই যদি তোমরা আমাকে কোনোভাবে সাহায্য করতে পারো, তাহলে তা অসাধারণ হবে।")</f>
        <v>এটা আমার কাছে গুরুতর মনে হচ্ছে। আমার বাবা মদ্যপানে আসক্ত। আমি তাকে থামানোর চেষ্টা করেছি, এবং এখন পর্যন্ত আমি ব্যর্থ হয়েছি। এছাড়াও, সে নিজেকে সামলাতে পারছে না, সে মদ্যপান বন্ধ করতে চায় না কারণ সে মনে করে যে সামান্য মদ্যপান তার হৃদয়ের জন্য ভালো হবে বা অন্য কিছু। এটা কি সত্যি? যাই হোক, সে কমপক্ষে ৫-৮ বোতল বিয়ার, একগুচ্ছ ওয়াইন ইত্যাদি পান করে। তাছাড়া, আমার বয়স ১৩ বছর এবং আমার কাছে খুব বেশি বিকল্প নেই। তাই যদি তোমরা আমাকে কোনোভাবে সাহায্য করতে পারো, তাহলে তা অসাধারণ হবে।</v>
      </c>
    </row>
    <row r="806" spans="1:3" ht="15" x14ac:dyDescent="0.25">
      <c r="A806" s="3" t="s">
        <v>802</v>
      </c>
      <c r="B806" s="3" t="s">
        <v>4</v>
      </c>
      <c r="C806" s="4" t="str">
        <f ca="1">IFERROR(__xludf.DUMMYFUNCTION("GOOGLETRANSLATE(A806, ""auto"", ""bn"")"),"আমার প্রাক্তন সম্প্রতি আমাদের সন্তানকে বিছানায় অতিরিক্ত মাত্রায় নেশাগ্রস্ত করে ফেলেছে। আমার কোনও ধারণাই ছিল না যে সে এটা ব্যবহার করছে। সে একের পর এক মিথ্যা বলে চলেছে। আমি সত্যিই তাকে সাহায্য করতে চেয়েছিলাম, বিশেষ করে আমাদের সন্তানের জন্য। সে কীভাবে এত অব"&amp;"হেলা করতে পারে এবং তারপর আমাকে উত্তেজিত করে তুলতে পারে, পুনর্বাসন রোমান্সই সেরা... আমি ঠিক বুঝতে পারছি না কী করব, বিশেষ করে যখন আমি এত যত্নবান। কর্তৃপক্ষকে ডাকা হয়েছিল, তাই পরিণতি হবে, আমি কেবল ভয় পাচ্ছি। আমার শক্তির প্রয়োজন, কারণ আমি আমার সন্তানের সাথে"&amp;" রাশিয়ান রুলেট খেলব না।")</f>
        <v>আমার প্রাক্তন সম্প্রতি আমাদের সন্তানকে বিছানায় অতিরিক্ত মাত্রায় নেশাগ্রস্ত করে ফেলেছে। আমার কোনও ধারণাই ছিল না যে সে এটা ব্যবহার করছে। সে একের পর এক মিথ্যা বলে চলেছে। আমি সত্যিই তাকে সাহায্য করতে চেয়েছিলাম, বিশেষ করে আমাদের সন্তানের জন্য। সে কীভাবে এত অবহেলা করতে পারে এবং তারপর আমাকে উত্তেজিত করে তুলতে পারে, পুনর্বাসন রোমান্সই সেরা... আমি ঠিক বুঝতে পারছি না কী করব, বিশেষ করে যখন আমি এত যত্নবান। কর্তৃপক্ষকে ডাকা হয়েছিল, তাই পরিণতি হবে, আমি কেবল ভয় পাচ্ছি। আমার শক্তির প্রয়োজন, কারণ আমি আমার সন্তানের সাথে রাশিয়ান রুলেট খেলব না।</v>
      </c>
    </row>
    <row r="807" spans="1:3" ht="15" x14ac:dyDescent="0.25">
      <c r="A807" s="3" t="s">
        <v>803</v>
      </c>
      <c r="B807" s="3" t="s">
        <v>4</v>
      </c>
      <c r="C807" s="4" t="str">
        <f ca="1">IFERROR(__xludf.DUMMYFUNCTION("GOOGLETRANSLATE(A807, ""auto"", ""bn"")"),"আচ্ছা, আমি প্রায় ৩৫৯ দিন ধরে ভালো করছিলাম এবং তারপর আবার অসুস্থ হয়ে পড়লাম। আমি এমন একটা জায়গায় গিয়েছিলাম যেখানে আমি আগে মাদক ব্যবহার করতাম, আর এক রাতের নেশা দুই দিনের জন্য মদ্যপানে পরিণত হয়েছিল। এটা ক্ষতি এবং প্রতারণার এক ভয়াবহ অনুভূতি। একটা বিষয় যা আমাকে"&amp;" চিন্তিত করে তা হলো আমরা একটা মোটেলে গিয়েছিলাম, আর আমি ভয় পাচ্ছি যে তারা রুমে মাদক ব্যবহারের জন্য কোনও ধরণের অভিযোগ চাপিয়ে দিতে পারে। আমি এখানে পাগল হয়ে যাচ্ছি। কোন পরামর্শ দিলে দারুন হত। আমি ঝামেলা এড়িয়ে পরিষ্কার-পরিচ্ছন্ন থাকার জন্য যথাসাধ্য চেষ্টা করছি"&amp;"। যদি আমি এটা করে থাকি, তাহলে আমি আবারও এটা করতে পারব।")</f>
        <v>আচ্ছা, আমি প্রায় ৩৫৯ দিন ধরে ভালো করছিলাম এবং তারপর আবার অসুস্থ হয়ে পড়লাম। আমি এমন একটা জায়গায় গিয়েছিলাম যেখানে আমি আগে মাদক ব্যবহার করতাম, আর এক রাতের নেশা দুই দিনের জন্য মদ্যপানে পরিণত হয়েছিল। এটা ক্ষতি এবং প্রতারণার এক ভয়াবহ অনুভূতি। একটা বিষয় যা আমাকে চিন্তিত করে তা হলো আমরা একটা মোটেলে গিয়েছিলাম, আর আমি ভয় পাচ্ছি যে তারা রুমে মাদক ব্যবহারের জন্য কোনও ধরণের অভিযোগ চাপিয়ে দিতে পারে। আমি এখানে পাগল হয়ে যাচ্ছি। কোন পরামর্শ দিলে দারুন হত। আমি ঝামেলা এড়িয়ে পরিষ্কার-পরিচ্ছন্ন থাকার জন্য যথাসাধ্য চেষ্টা করছি। যদি আমি এটা করে থাকি, তাহলে আমি আবারও এটা করতে পারব।</v>
      </c>
    </row>
    <row r="808" spans="1:3" ht="15" x14ac:dyDescent="0.25">
      <c r="A808" s="3" t="s">
        <v>804</v>
      </c>
      <c r="B808" s="3" t="s">
        <v>4</v>
      </c>
      <c r="C808" s="4" t="str">
        <f ca="1">IFERROR(__xludf.DUMMYFUNCTION("GOOGLETRANSLATE(A808, ""auto"", ""bn"")"),"প্রথমবার। ২২ দিন!! কখনো ভাবিনি (১৭ মিনিট) আমি এতদূর আসতে পারব, এবং আমি নিজেকে নিয়ে বেশ গর্বিত। তবে, সম্প্রতি আমার এই সবকিছু নিয়ে সন্দেহ হতে শুরু করেছে। আমি ভাবতে শুরু করেছি যে এত অল্প বয়সে এই সব করা কি মূল্যবান কারণ আমি সত্যিই অন্যান্য বাচ্চাদের মতো 'স"&amp;"্বাভাবিক' জীবনযাপন করতে চাই। আমি নিশ্চিত আমার বয়সী বেশিরভাগ বাচ্চারা সবসময় এটি করে এবং এতে তাদের কোনও সমস্যা হয় না। তাছাড়া, এত দীর্ঘ সময় ধরে বিরত থাকার পর আমি কীভাবে প্রতিক্রিয়া জানাব তা নিয়ে আমার কিছুটা কৌতূহল ছিল। তাছাড়া, আমি ভেবেছিলাম বিরত থাকা"&amp;"র ফলে হস্তমৈথুনের প্রতি আমার প্রতিক্রিয়া বদলে যেতে পারে। তাছাড়া, আমি এই চিন্তাভাবনাগুলি অনুসরণ করিনি, তবে আমি সেগুলি সম্পর্কে কিছু পরামর্শ চাই। এছাড়াও, সম্প্রতি বিরত থাকার কাজটি আমার শুরুর মতো হয়নি। এটি আরও বেশি বাধ্যবাধকতা হয়ে উঠেছে, এবং আমি কেবল নি"&amp;"র্বোধভাবে এটি এড়িয়ে চলেছি। আমি যখন এটি করছিলাম তখন আমার প্রায় একই রকম অনুভূতি হয় যেখানে আমার আবেগ খুব একটা প্রকাশ পায় না। একমাত্র পার্থক্য হল আমি সবসময় হতাশ বোধ করি না।")</f>
        <v>প্রথমবার। ২২ দিন!! কখনো ভাবিনি (১৭ মিনিট) আমি এতদূর আসতে পারব, এবং আমি নিজেকে নিয়ে বেশ গর্বিত। তবে, সম্প্রতি আমার এই সবকিছু নিয়ে সন্দেহ হতে শুরু করেছে। আমি ভাবতে শুরু করেছি যে এত অল্প বয়সে এই সব করা কি মূল্যবান কারণ আমি সত্যিই অন্যান্য বাচ্চাদের মতো 'স্বাভাবিক' জীবনযাপন করতে চাই। আমি নিশ্চিত আমার বয়সী বেশিরভাগ বাচ্চারা সবসময় এটি করে এবং এতে তাদের কোনও সমস্যা হয় না। তাছাড়া, এত দীর্ঘ সময় ধরে বিরত থাকার পর আমি কীভাবে প্রতিক্রিয়া জানাব তা নিয়ে আমার কিছুটা কৌতূহল ছিল। তাছাড়া, আমি ভেবেছিলাম বিরত থাকার ফলে হস্তমৈথুনের প্রতি আমার প্রতিক্রিয়া বদলে যেতে পারে। তাছাড়া, আমি এই চিন্তাভাবনাগুলি অনুসরণ করিনি, তবে আমি সেগুলি সম্পর্কে কিছু পরামর্শ চাই। এছাড়াও, সম্প্রতি বিরত থাকার কাজটি আমার শুরুর মতো হয়নি। এটি আরও বেশি বাধ্যবাধকতা হয়ে উঠেছে, এবং আমি কেবল নির্বোধভাবে এটি এড়িয়ে চলেছি। আমি যখন এটি করছিলাম তখন আমার প্রায় একই রকম অনুভূতি হয় যেখানে আমার আবেগ খুব একটা প্রকাশ পায় না। একমাত্র পার্থক্য হল আমি সবসময় হতাশ বোধ করি না।</v>
      </c>
    </row>
    <row r="809" spans="1:3" ht="15" x14ac:dyDescent="0.25">
      <c r="A809" s="3" t="s">
        <v>805</v>
      </c>
      <c r="B809" s="3" t="s">
        <v>4</v>
      </c>
      <c r="C809" s="4" t="str">
        <f ca="1">IFERROR(__xludf.DUMMYFUNCTION("GOOGLETRANSLATE(A809, ""auto"", ""bn"")"),"আমার কোনও আসক্তি নেই, তাই আমি বুঝতে পারছি না। কিন্তু গল্পটা এখানে। তাহলে আমার বয়ফ্রেন্ডের যৌন/পর্ন আসক্তি আছে এবং আমি ব্যক্তিগতভাবে পর্ন একেবারেই ঘৃণা করি। আমি তাকে পুরোপুরি বন্ধ করতে বলছি না, কারণ আমি বুঝতে পারি এটি একটি স্বাভাবিক জিনিস এবং সম্ভবত আমার "&amp;"নিজস্ব সমস্যা আছে, আমি কেবল চাই সে ধীর হয়ে যাক। আমরা যখন বিছানায় শুয়ে থাকি, সোফায় থাকি এবং তার পাশ দিয়ে হেঁটে যাই, তখন আমি তাকে ক্রমাগত তাকাতে দেখি। সে এতে খুব একটা আগ্রহী হয় না, সে কেবল এটির দিকে তাকায়। আমরা দিনে কমপক্ষে একবার সেক্স করি এবং আমি সব"&amp;"সময় তাকে বলি যে আমি যেকোনো সময় অন্য উপায়ে তাকে খুশি করব, যদি আমার সেক্স করতে ইচ্ছা না হয়। সে জানে এটি আমার কতটা ক্ষতি করে। এটি নিয়ে আমাদের একাধিক কথোপকথন হয়েছে। সে বলে যে সে এটি নিয়ন্ত্রণ করার চেষ্টা করছে। সে বলে যে সে কেবল ""অন্ধকার"" হয়ে যায় এব"&amp;"ং যখন সে দেখে তার পরিণতি সম্পর্কে ভাবে না। এটি আমার কাছে একেবারেই অর্থহীন। আমি কল্পনাও করতে পারি না যে আমি কিছু করব এবং বারবার বলা কিছু ভুলে যাব যা সম্পর্কে বারবার কথা বলা হয়েছে। এটা আমার কাছে অনেক বড় ব্যাপার, আর যদি সে কখনোই এটা বুঝতে না পারে তাহলে এটা"&amp;" আমার জন্য একটা বড় বিপদ হতে পারে। এটা সত্যিই আমার খুব কষ্ট দেয়। আমি বুঝতে পারছি না কেন সে আমার দিকে তাকাতে চায় না, আমাকে অনুভব করতে চায় না, যখন আমি তার পাশে থাকি। আমি শুধু বুঝতে চাই যে, প্রযুক্তিগতভাবে আসক্তিকর নয় এমন কিছুর প্রতি আসক্তি কতটা গুরুত্বপ"&amp;"ূর্ণ। তাছাড়া, আমি বই বা ওয়েবসাইটের সুপারিশও নেব যাতে আমাকে সাহায্য করা যায়।")</f>
        <v>আমার কোনও আসক্তি নেই, তাই আমি বুঝতে পারছি না। কিন্তু গল্পটা এখানে। তাহলে আমার বয়ফ্রেন্ডের যৌন/পর্ন আসক্তি আছে এবং আমি ব্যক্তিগতভাবে পর্ন একেবারেই ঘৃণা করি। আমি তাকে পুরোপুরি বন্ধ করতে বলছি না, কারণ আমি বুঝতে পারি এটি একটি স্বাভাবিক জিনিস এবং সম্ভবত আমার নিজস্ব সমস্যা আছে, আমি কেবল চাই সে ধীর হয়ে যাক। আমরা যখন বিছানায় শুয়ে থাকি, সোফায় থাকি এবং তার পাশ দিয়ে হেঁটে যাই, তখন আমি তাকে ক্রমাগত তাকাতে দেখি। সে এতে খুব একটা আগ্রহী হয় না, সে কেবল এটির দিকে তাকায়। আমরা দিনে কমপক্ষে একবার সেক্স করি এবং আমি সবসময় তাকে বলি যে আমি যেকোনো সময় অন্য উপায়ে তাকে খুশি করব, যদি আমার সেক্স করতে ইচ্ছা না হয়। সে জানে এটি আমার কতটা ক্ষতি করে। এটি নিয়ে আমাদের একাধিক কথোপকথন হয়েছে। সে বলে যে সে এটি নিয়ন্ত্রণ করার চেষ্টা করছে। সে বলে যে সে কেবল "অন্ধকার" হয়ে যায় এবং যখন সে দেখে তার পরিণতি সম্পর্কে ভাবে না। এটি আমার কাছে একেবারেই অর্থহীন। আমি কল্পনাও করতে পারি না যে আমি কিছু করব এবং বারবার বলা কিছু ভুলে যাব যা সম্পর্কে বারবার কথা বলা হয়েছে। এটা আমার কাছে অনেক বড় ব্যাপার, আর যদি সে কখনোই এটা বুঝতে না পারে তাহলে এটা আমার জন্য একটা বড় বিপদ হতে পারে। এটা সত্যিই আমার খুব কষ্ট দেয়। আমি বুঝতে পারছি না কেন সে আমার দিকে তাকাতে চায় না, আমাকে অনুভব করতে চায় না, যখন আমি তার পাশে থাকি। আমি শুধু বুঝতে চাই যে, প্রযুক্তিগতভাবে আসক্তিকর নয় এমন কিছুর প্রতি আসক্তি কতটা গুরুত্বপূর্ণ। তাছাড়া, আমি বই বা ওয়েবসাইটের সুপারিশও নেব যাতে আমাকে সাহায্য করা যায়।</v>
      </c>
    </row>
    <row r="810" spans="1:3" ht="15" x14ac:dyDescent="0.25">
      <c r="A810" s="3" t="s">
        <v>806</v>
      </c>
      <c r="B810" s="3" t="s">
        <v>4</v>
      </c>
      <c r="C810" s="4" t="str">
        <f ca="1">IFERROR(__xludf.DUMMYFUNCTION("GOOGLETRANSLATE(A810, ""auto"", ""bn"")"),"আমার একটা প্রশ্ন আছে যে, আসক্তির সীমারেখা ঝাপসা করে এমন একটা পরিস্থিতি সম্পর্কে। আমার সঙ্গী (মহিলা) প্রতিদিন কমপক্ষে ৩-৪টি (এবং তারও বেশি) পান করে এবং গত কয়েক বছর ধরে করছে। সিডিসি এবং বিভিন্ন চিকিৎসা সূত্রে এটিকে অতিরিক্ত মদ্যপান হিসেবে বিবেচনা করা হয় এ"&amp;"বং এটি বিভিন্ন নেতিবাচক স্বাস্থ্যগত ফলাফলের সাথে যুক্ত। সে মাঝে মাঝে বমি বমি ভাবের মতো যথেষ্ট পরিমাণে পান করে। আমাদের বয়স ৩০-এর মাঝামাঝি, সেই বয়স নয় যেখানে আপনি আপনার সহনশীলতা জানেন না, তবে সে এই বমি বমি ভাবের রাতে অলসভাবে মাতাল নয় যেখানে স্পষ্টতই এটি"&amp;" ভুল ছিল। সে এটিকে অ্যাড্রেনালিনের সাথে সম্পর্কিত উদ্বেগের প্রতিক্রিয়া হিসাবে যুক্তিযুক্ত করে যা অ্যালকোহলের সাথে সম্পর্কিত বমি বমি ভাব সৃষ্টি করে (যেমন ""অ্যালকোহল আমার প্যানিক অ্যাটাকের সূত্রপাত করেছিল"")। আমি সাহায্য চাইছি তার কারণ হল আমার কিছু বলা উচ"&amp;"িত কিনা তা খুঁজে বের করা। বেশিরভাগ অ্যালকোহল আসক্তি/অপব্যবহারের সূত্র উল্লেখ করে যে অ্যালকোহল যখন কাজ বা সম্পর্কের ক্ষেত্রে হস্তক্ষেপ শুরু করে তখন তাকে আসক্তি হিসেবে বিবেচনা করা হয়। আমার সঙ্গীর ""দ্বিতীয় ক্রম"" প্রভাব দেখা দিতে শুরু করেছে, যেমন বিষণ্ণতা"&amp;", ঘুমের সমস্যা, মানসিক স্বচ্ছতার সমস্যা এবং শারীরিক পরিবর্তন (যদিও প্রথম ক্রম প্রভাবগুলি হল স্পষ্ট নেশা, কাজ না করা ইত্যাদি। অন্যান্য সূত্রে কাজ বা সম্পর্কের ক্ষেত্রে হস্তক্ষেপ হিসাবে উল্লেখ করা হয়েছে)। তবে, দ্বিতীয় ক্রম প্রভাব এবং অ্যালকোহলের মধ্যে যোগ"&amp;"সূত্র স্পষ্ট নয় -- অর্থাৎ সে হতাশা এবং অনিদ্রা সৃষ্টিকারী অন্য কোনও সমস্যার সাথে মোকাবিলা করার জন্য মদ্যপান করতে পারে (একটি লা স্ব-ঔষধ)। আমার সঙ্গী সম্প্রতি গত ৫ বছরে অন্যান্য আসক্তির প্রবণতাও দেখিয়েছে (স্থূলতা এবং অনলাইন কেনাকাটা)। তার পারিবারিক ইতিহাস"&amp;"ে তার অ্যালকোহল অপব্যবহার এবং ক্যান্সার হয়েছে, যা তাকে অতিরিক্ত মদ্যপানকারী হিসাবে শ্রেণীবদ্ধ করার বিষয়ে আমি উদ্বিগ্ন, যা একটি নতুন স্বাভাবিক বলে মনে হয় এবং স্বল্পমেয়াদী চাপ মোকাবেলা করার পর্যায়ে নয়। তাই, সাব-এর কাছে আমার প্রশ্ন হল: দীর্ঘমেয়াদী প্র"&amp;"ভাব সম্পর্কে আমার কি চিন্তা করা ঠিক, এবং আমার কি আলতো করে হস্তক্ষেপ করা উচিত? নাকি এটি আমার কাজ নয় যতক্ষণ না সে জীবনে হস্তক্ষেপকারী অ্যালকোহলের ক্লাসিক ""প্রথম ক্রম"" প্রভাবগুলি দেখায়? একজন অলস-মাতাল-স্পষ্টতই-মদ্যপ ব্যক্তির সাথে কীভাবে হস্তক্ষেপ করতে হয"&amp;"় তার সাধারণ পরামর্শের পরিবর্তে, পূর্ব-স্বাস্থ্যকর উপায়ে কীভাবে হস্তক্ষেপ করা যায় তার জন্য কি কোনও ভাল উৎস আছে?")</f>
        <v>আমার একটা প্রশ্ন আছে যে, আসক্তির সীমারেখা ঝাপসা করে এমন একটা পরিস্থিতি সম্পর্কে। আমার সঙ্গী (মহিলা) প্রতিদিন কমপক্ষে ৩-৪টি (এবং তারও বেশি) পান করে এবং গত কয়েক বছর ধরে করছে। সিডিসি এবং বিভিন্ন চিকিৎসা সূত্রে এটিকে অতিরিক্ত মদ্যপান হিসেবে বিবেচনা করা হয় এবং এটি বিভিন্ন নেতিবাচক স্বাস্থ্যগত ফলাফলের সাথে যুক্ত। সে মাঝে মাঝে বমি বমি ভাবের মতো যথেষ্ট পরিমাণে পান করে। আমাদের বয়স ৩০-এর মাঝামাঝি, সেই বয়স নয় যেখানে আপনি আপনার সহনশীলতা জানেন না, তবে সে এই বমি বমি ভাবের রাতে অলসভাবে মাতাল নয় যেখানে স্পষ্টতই এটি ভুল ছিল। সে এটিকে অ্যাড্রেনালিনের সাথে সম্পর্কিত উদ্বেগের প্রতিক্রিয়া হিসাবে যুক্তিযুক্ত করে যা অ্যালকোহলের সাথে সম্পর্কিত বমি বমি ভাব সৃষ্টি করে (যেমন "অ্যালকোহল আমার প্যানিক অ্যাটাকের সূত্রপাত করেছিল")। আমি সাহায্য চাইছি তার কারণ হল আমার কিছু বলা উচিত কিনা তা খুঁজে বের করা। বেশিরভাগ অ্যালকোহল আসক্তি/অপব্যবহারের সূত্র উল্লেখ করে যে অ্যালকোহল যখন কাজ বা সম্পর্কের ক্ষেত্রে হস্তক্ষেপ শুরু করে তখন তাকে আসক্তি হিসেবে বিবেচনা করা হয়। আমার সঙ্গীর "দ্বিতীয় ক্রম" প্রভাব দেখা দিতে শুরু করেছে, যেমন বিষণ্ণতা, ঘুমের সমস্যা, মানসিক স্বচ্ছতার সমস্যা এবং শারীরিক পরিবর্তন (যদিও প্রথম ক্রম প্রভাবগুলি হল স্পষ্ট নেশা, কাজ না করা ইত্যাদি। অন্যান্য সূত্রে কাজ বা সম্পর্কের ক্ষেত্রে হস্তক্ষেপ হিসাবে উল্লেখ করা হয়েছে)। তবে, দ্বিতীয় ক্রম প্রভাব এবং অ্যালকোহলের মধ্যে যোগসূত্র স্পষ্ট নয় -- অর্থাৎ সে হতাশা এবং অনিদ্রা সৃষ্টিকারী অন্য কোনও সমস্যার সাথে মোকাবিলা করার জন্য মদ্যপান করতে পারে (একটি লা স্ব-ঔষধ)। আমার সঙ্গী সম্প্রতি গত ৫ বছরে অন্যান্য আসক্তির প্রবণতাও দেখিয়েছে (স্থূলতা এবং অনলাইন কেনাকাটা)। তার পারিবারিক ইতিহাসে তার অ্যালকোহল অপব্যবহার এবং ক্যান্সার হয়েছে, যা তাকে অতিরিক্ত মদ্যপানকারী হিসাবে শ্রেণীবদ্ধ করার বিষয়ে আমি উদ্বিগ্ন, যা একটি নতুন স্বাভাবিক বলে মনে হয় এবং স্বল্পমেয়াদী চাপ মোকাবেলা করার পর্যায়ে নয়। তাই, সাব-এর কাছে আমার প্রশ্ন হল: দীর্ঘমেয়াদী প্রভাব সম্পর্কে আমার কি চিন্তা করা ঠিক, এবং আমার কি আলতো করে হস্তক্ষেপ করা উচিত? নাকি এটি আমার কাজ নয় যতক্ষণ না সে জীবনে হস্তক্ষেপকারী অ্যালকোহলের ক্লাসিক "প্রথম ক্রম" প্রভাবগুলি দেখায়? একজন অলস-মাতাল-স্পষ্টতই-মদ্যপ ব্যক্তির সাথে কীভাবে হস্তক্ষেপ করতে হয় তার সাধারণ পরামর্শের পরিবর্তে, পূর্ব-স্বাস্থ্যকর উপায়ে কীভাবে হস্তক্ষেপ করা যায় তার জন্য কি কোনও ভাল উৎস আছে?</v>
      </c>
    </row>
    <row r="811" spans="1:3" ht="15" x14ac:dyDescent="0.25">
      <c r="A811" s="3" t="s">
        <v>807</v>
      </c>
      <c r="B811" s="3" t="s">
        <v>4</v>
      </c>
      <c r="C811" s="4" t="str">
        <f ca="1">IFERROR(__xludf.DUMMYFUNCTION("GOOGLETRANSLATE(A811, ""auto"", ""bn"")"),"আমি টাইপিং বা নিজেকে এত খোলামেলাভাবে প্রকাশ করতে ভালো নই। আমি এটা সহজভাবে বলব। আমার ২১ তম জন্মদিনের এক সপ্তাহ আগে আমরা আমার শৈশবের বাড়িতে হসপিসে আমার বাবাকে হারিয়েছিলাম। আমি আমার বোন এবং মায়ের জন্য আমার জিনিসপত্র একসাথে রেখেছিলাম কিন্তু ওপিওয়েড ব্যবহা"&amp;"র শুরু করেছিলাম"" তখন তারা জার্সিতে সর্বত্র ছিল"" এবং তারপর সেখান থেকে আরও খারাপ হতে থাকে। আমি ঠিক করতে পারিনি তাই ড্রাগ কোর্টে যেতে হয়েছিল, এবং তারা আমাকে আটকে রেখেছিল এবং এমনকি আমাকে BO তে পাঠিয়েছিল। তদুপরি, আমি খুব খারাপ ছিলাম এবং চৌদ্দ মাস জেল খাটার"&amp;" পর মাঝে মাঝে প্রোগ্রামটি ভেঙে দেয়। তদুপরি, বিচারক আমার চাকরিচ্যুতির অনুরোধ প্রত্যাখ্যান করার পর আমি ওয়েস্টে পালিয়ে যাই। তদুপরি, আমি এখন সাড়ে তিন বছর ধরে পরিষ্কার এবং আমার মানসিক অবস্থা কিছুটা পুনরুদ্ধার করেছি। তদুপরি, আমাকে নিজেকে আত্মসমর্পণ করতে হবে"&amp;", কিন্তু আমি তখনকার এবং সেই পুরো পৃথিবী থেকে অনেক দূরে বোধ করছি এবং গত কয়েক বছর ধরে সত্যিই খুশি। তাছাড়া, জার্সিতে নিজেকে সামলে না নিয়ে জীবনে এগিয়ে যেতে পারব না, কিন্তু যেমনটা বলেছি, অনেকদিন হয়ে গেছে, সেই মানসিকতায়ও আমি কিছু করতে পারিনি, আর এখন আমি চাপ আর"&amp;" উদ্বেগের সাথে নিজেকে জড়িয়ে ধরেছি এবং আমি যা লিখছি তাও বুঝতে পারছি না, যদি তুমি এটা পড়ো, তাহলে ধন্যবাদ, তোমার প্রতি কৃতজ্ঞ।")</f>
        <v>আমি টাইপিং বা নিজেকে এত খোলামেলাভাবে প্রকাশ করতে ভালো নই। আমি এটা সহজভাবে বলব। আমার ২১ তম জন্মদিনের এক সপ্তাহ আগে আমরা আমার শৈশবের বাড়িতে হসপিসে আমার বাবাকে হারিয়েছিলাম। আমি আমার বোন এবং মায়ের জন্য আমার জিনিসপত্র একসাথে রেখেছিলাম কিন্তু ওপিওয়েড ব্যবহার শুরু করেছিলাম" তখন তারা জার্সিতে সর্বত্র ছিল" এবং তারপর সেখান থেকে আরও খারাপ হতে থাকে। আমি ঠিক করতে পারিনি তাই ড্রাগ কোর্টে যেতে হয়েছিল, এবং তারা আমাকে আটকে রেখেছিল এবং এমনকি আমাকে BO তে পাঠিয়েছিল। তদুপরি, আমি খুব খারাপ ছিলাম এবং চৌদ্দ মাস জেল খাটার পর মাঝে মাঝে প্রোগ্রামটি ভেঙে দেয়। তদুপরি, বিচারক আমার চাকরিচ্যুতির অনুরোধ প্রত্যাখ্যান করার পর আমি ওয়েস্টে পালিয়ে যাই। তদুপরি, আমি এখন সাড়ে তিন বছর ধরে পরিষ্কার এবং আমার মানসিক অবস্থা কিছুটা পুনরুদ্ধার করেছি। তদুপরি, আমাকে নিজেকে আত্মসমর্পণ করতে হবে, কিন্তু আমি তখনকার এবং সেই পুরো পৃথিবী থেকে অনেক দূরে বোধ করছি এবং গত কয়েক বছর ধরে সত্যিই খুশি। তাছাড়া, জার্সিতে নিজেকে সামলে না নিয়ে জীবনে এগিয়ে যেতে পারব না, কিন্তু যেমনটা বলেছি, অনেকদিন হয়ে গেছে, সেই মানসিকতায়ও আমি কিছু করতে পারিনি, আর এখন আমি চাপ আর উদ্বেগের সাথে নিজেকে জড়িয়ে ধরেছি এবং আমি যা লিখছি তাও বুঝতে পারছি না, যদি তুমি এটা পড়ো, তাহলে ধন্যবাদ, তোমার প্রতি কৃতজ্ঞ।</v>
      </c>
    </row>
    <row r="812" spans="1:3" ht="15" x14ac:dyDescent="0.25">
      <c r="A812" s="3" t="s">
        <v>808</v>
      </c>
      <c r="B812" s="3" t="s">
        <v>4</v>
      </c>
      <c r="C812" s="4" t="str">
        <f ca="1">IFERROR(__xludf.DUMMYFUNCTION("GOOGLETRANSLATE(A812, ""auto"", ""bn"")"),"সম্প্রতি আমি এমন একটি জিনিস খুঁজে পেয়েছি যার প্রতি আমার আগ্রহ ছিল এবং প্রতিদিন অনেক ঘন্টা এটিতে কাজ করেছি। অবশ্যই এটি একটি দুর্দান্ত জিনিস এবং এটি করতে আমার খুব ভালো লেগেছে। এটি ছিল সেরোটোনিন ম্যানিয়ার মতো। হা হা। তবে, সমস্যাটি তখনই দেখা দেয়। আমি যা কর"&amp;"ার পরিকল্পনা করেছিলাম তা সম্পন্ন করার সাথে সাথেই আমি ""উচ্চতা"" বজায় রাখার জন্য আরও বেশি কিছু করার জন্য অনুসন্ধান করি। এটিতে আমাকে আকৃষ্ট করতে মাত্র কয়েক দিনের সময় লেগেছিল। এর পরে আমি পর্নের জন্য ""ক্যাজুয়াল লোভ"" অনুভব করতে শুরু করি। আমি বলি ক্যাজুয়"&amp;"াল কারণ আমি হর্ননেস অনুভব করি না, তবে আমি এখনও এটি করতে চাই? (যদি তা যুক্তিসঙ্গত হয়)। অদ্ভুতভাবে, এই লোভগুলি দেখা দেওয়ার সাথে সাথে আমার কাজের প্রতি আগ্রহ একই রকম হয়ে ওঠে; আরও কিছু যা আমাকে ""প্রয়োজন"" থেকে সরে যেতে হবে।")</f>
        <v>সম্প্রতি আমি এমন একটি জিনিস খুঁজে পেয়েছি যার প্রতি আমার আগ্রহ ছিল এবং প্রতিদিন অনেক ঘন্টা এটিতে কাজ করেছি। অবশ্যই এটি একটি দুর্দান্ত জিনিস এবং এটি করতে আমার খুব ভালো লেগেছে। এটি ছিল সেরোটোনিন ম্যানিয়ার মতো। হা হা। তবে, সমস্যাটি তখনই দেখা দেয়। আমি যা করার পরিকল্পনা করেছিলাম তা সম্পন্ন করার সাথে সাথেই আমি "উচ্চতা" বজায় রাখার জন্য আরও বেশি কিছু করার জন্য অনুসন্ধান করি। এটিতে আমাকে আকৃষ্ট করতে মাত্র কয়েক দিনের সময় লেগেছিল। এর পরে আমি পর্নের জন্য "ক্যাজুয়াল লোভ" অনুভব করতে শুরু করি। আমি বলি ক্যাজুয়াল কারণ আমি হর্ননেস অনুভব করি না, তবে আমি এখনও এটি করতে চাই? (যদি তা যুক্তিসঙ্গত হয়)। অদ্ভুতভাবে, এই লোভগুলি দেখা দেওয়ার সাথে সাথে আমার কাজের প্রতি আগ্রহ একই রকম হয়ে ওঠে; আরও কিছু যা আমাকে "প্রয়োজন" থেকে সরে যেতে হবে।</v>
      </c>
    </row>
    <row r="813" spans="1:3" ht="15" x14ac:dyDescent="0.25">
      <c r="A813" s="3" t="s">
        <v>809</v>
      </c>
      <c r="B813" s="3" t="s">
        <v>4</v>
      </c>
      <c r="C813" s="4" t="str">
        <f ca="1">IFERROR(__xludf.DUMMYFUNCTION("GOOGLETRANSLATE(A813, ""auto"", ""bn"")"),"আমি এইমাত্র জানতে পারলাম যে আমার স্বামী (প্রায় ৭ বছর বয়সী) গত এক বছর ধরে মেথ ব্যবহার করছে। সে ঘরেই মেথ সেবন করছে এবং আমাদের ৩টি সন্তান রয়েছে। আমি রেগে আছি, বিভ্রান্ত এবং কষ্ট পাচ্ছি। আমি কী পদক্ষেপ নেব? আমি কি তাকে সাহায্য করার জন্য থাকব? যত তাড়াতাড়ি"&amp;" সম্ভব আমার বাচ্চাদের বের করে দাও? নাকি? আমি বিশ্বাস করতে পারছি না যে বুঝতে আমার এত সময় লেগেছে কিন্তু পিছনে ফিরে তাকালে, সমস্ত লক্ষণই সেখানে ছিল।")</f>
        <v>আমি এইমাত্র জানতে পারলাম যে আমার স্বামী (প্রায় ৭ বছর বয়সী) গত এক বছর ধরে মেথ ব্যবহার করছে। সে ঘরেই মেথ সেবন করছে এবং আমাদের ৩টি সন্তান রয়েছে। আমি রেগে আছি, বিভ্রান্ত এবং কষ্ট পাচ্ছি। আমি কী পদক্ষেপ নেব? আমি কি তাকে সাহায্য করার জন্য থাকব? যত তাড়াতাড়ি সম্ভব আমার বাচ্চাদের বের করে দাও? নাকি? আমি বিশ্বাস করতে পারছি না যে বুঝতে আমার এত সময় লেগেছে কিন্তু পিছনে ফিরে তাকালে, সমস্ত লক্ষণই সেখানে ছিল।</v>
      </c>
    </row>
    <row r="814" spans="1:3" ht="15" x14ac:dyDescent="0.25">
      <c r="A814" s="3" t="s">
        <v>810</v>
      </c>
      <c r="B814" s="3" t="s">
        <v>4</v>
      </c>
      <c r="C814" s="4" t="str">
        <f ca="1">IFERROR(__xludf.DUMMYFUNCTION("GOOGLETRANSLATE(A814, ""auto"", ""bn"")"),"সৌভাগ্যক্রমে পরিস্থিতি অনেক ভালো হয়ে গেছে! আমার শেষ পোস্ট করার পরের দিন, আমার প্যানিক অ্যাটাক হঠাৎ করেই চলে গেল এবং আর কখনও ফিরে এলো না। আমি রাতে খুব শান্তিতে ঘুমাই এবং খুব সতেজ হয়ে জেগে উঠি যা আগের থেকে অনেক বড় পরিবর্তন। আমার আবেগগুলি আরও বেশি করে প্র"&amp;"বাহিত হচ্ছে, তবুও এটি খুব বেশি ঘন ঘন মনে হচ্ছে না। এই মুহুর্তে আমি পর্নো সম্পর্কে খুব কমই ভাবি যা অসাধারণ লাগে। আমি প্রতিদিন নিজেকে ব্যস্ত করে তুলেছি এবং কয়েকদিন আগে একটি ছোট এপিফ্যানির পরে অনেক মজার জিনিস করার পরিকল্পনা করেছি। এটি আমাকে অত্যন্ত আশাবাদী "&amp;"এবং অনুপ্রাণিত করে তুলেছে (প্রায় আমার আগের অনুপ্রেরণার স্তরে পৌঁছেছে)। যাইহোক, আমি লক্ষ্য করতে শুরু করেছি যে আমি অনেক কিছু করার চেষ্টা করছি এবং কেবল ক্রিয়াকলাপের মধ্যে ঝাঁপিয়ে পড়ছি। এর ফলে দিনগুলি এক ধরণের ঝাপসা হয়ে যাচ্ছে। আমি ধীরে ধীরে পারস্পরিক সম"&amp;"্পর্কের প্রেরণাও হারিয়ে ফেলছি। এটি আমার অস্বাভাবিক ঘুমের অভ্যাসের কারণে হতে পারে (যা আমি আগামীকালের মধ্যে ঠিক করব) তবে আমি কোথায় উন্নতি করতে পারি সে সম্পর্কে অন্য কোনও ধারণা খুঁজছি। অনেক ভালোবাসি!")</f>
        <v>সৌভাগ্যক্রমে পরিস্থিতি অনেক ভালো হয়ে গেছে! আমার শেষ পোস্ট করার পরের দিন, আমার প্যানিক অ্যাটাক হঠাৎ করেই চলে গেল এবং আর কখনও ফিরে এলো না। আমি রাতে খুব শান্তিতে ঘুমাই এবং খুব সতেজ হয়ে জেগে উঠি যা আগের থেকে অনেক বড় পরিবর্তন। আমার আবেগগুলি আরও বেশি করে প্রবাহিত হচ্ছে, তবুও এটি খুব বেশি ঘন ঘন মনে হচ্ছে না। এই মুহুর্তে আমি পর্নো সম্পর্কে খুব কমই ভাবি যা অসাধারণ লাগে। আমি প্রতিদিন নিজেকে ব্যস্ত করে তুলেছি এবং কয়েকদিন আগে একটি ছোট এপিফ্যানির পরে অনেক মজার জিনিস করার পরিকল্পনা করেছি। এটি আমাকে অত্যন্ত আশাবাদী এবং অনুপ্রাণিত করে তুলেছে (প্রায় আমার আগের অনুপ্রেরণার স্তরে পৌঁছেছে)। যাইহোক, আমি লক্ষ্য করতে শুরু করেছি যে আমি অনেক কিছু করার চেষ্টা করছি এবং কেবল ক্রিয়াকলাপের মধ্যে ঝাঁপিয়ে পড়ছি। এর ফলে দিনগুলি এক ধরণের ঝাপসা হয়ে যাচ্ছে। আমি ধীরে ধীরে পারস্পরিক সম্পর্কের প্রেরণাও হারিয়ে ফেলছি। এটি আমার অস্বাভাবিক ঘুমের অভ্যাসের কারণে হতে পারে (যা আমি আগামীকালের মধ্যে ঠিক করব) তবে আমি কোথায় উন্নতি করতে পারি সে সম্পর্কে অন্য কোনও ধারণা খুঁজছি। অনেক ভালোবাসি!</v>
      </c>
    </row>
    <row r="815" spans="1:3" ht="15" x14ac:dyDescent="0.25">
      <c r="A815" s="3" t="s">
        <v>811</v>
      </c>
      <c r="B815" s="3" t="s">
        <v>4</v>
      </c>
      <c r="C815" s="4" t="str">
        <f ca="1">IFERROR(__xludf.DUMMYFUNCTION("GOOGLETRANSLATE(A815, ""auto"", ""bn"")"),"আমার প্রিয়জন কোকেনের আসক্তির সাথে লড়াই করছে এবং দুর্ভাগ্যবশত গত রাতে আবারও সে ফিরে এসেছে। তারা স্বীকার করেছে এবং স্বীকার করেছে যে তাদের একটি সমস্যা আছে এবং এটি তাদের আশেপাশের যাদের তারা যত্ন করে তাদের উপর প্রভাব ফেলে। তারা সম্পূর্ণরূপে ধূমপান ত্যাগ করতে চ"&amp;"াইছে এবং আমি তাদের সমর্থন করার জন্য যথাসাধ্য চেষ্টা করতে চাই। আমি কোকেনের আসক্তি এবং মস্তিষ্ক ও শরীরের উপর এর প্রভাব এবং কোকেনের আসক্তির সাথে লড়াই করা কাউকে কীভাবে সহায়তা করতে হয় সে সম্পর্কে গবেষণা করেছি, কিন্তু আমি যে সমস্ত তথ্য পেয়েছি তা অগভীর জ্ঞান"&amp;" বলে মনে হচ্ছে। কেউ কি আমাকে আমার প্রিয়জনকে কীভাবে আরও ভালভাবে সহায়তা করতে হবে সে সম্পর্কে পরামর্শ দিতে পারেন, সেইসাথে সম্ভাব্য পুনরাবৃত্তির জন্য সতর্কতামূলক লক্ষণগুলি পর্যবেক্ষণ করতে পারেন এবং কীভাবে আমি তাদের এই সমস্যা থেকে মুক্তি পেতে সাহায্য করতে পা"&amp;"রি যাতে তারা আবার সেবন করতে না পারে?")</f>
        <v>আমার প্রিয়জন কোকেনের আসক্তির সাথে লড়াই করছে এবং দুর্ভাগ্যবশত গত রাতে আবারও সে ফিরে এসেছে। তারা স্বীকার করেছে এবং স্বীকার করেছে যে তাদের একটি সমস্যা আছে এবং এটি তাদের আশেপাশের যাদের তারা যত্ন করে তাদের উপর প্রভাব ফেলে। তারা সম্পূর্ণরূপে ধূমপান ত্যাগ করতে চাইছে এবং আমি তাদের সমর্থন করার জন্য যথাসাধ্য চেষ্টা করতে চাই। আমি কোকেনের আসক্তি এবং মস্তিষ্ক ও শরীরের উপর এর প্রভাব এবং কোকেনের আসক্তির সাথে লড়াই করা কাউকে কীভাবে সহায়তা করতে হয় সে সম্পর্কে গবেষণা করেছি, কিন্তু আমি যে সমস্ত তথ্য পেয়েছি তা অগভীর জ্ঞান বলে মনে হচ্ছে। কেউ কি আমাকে আমার প্রিয়জনকে কীভাবে আরও ভালভাবে সহায়তা করতে হবে সে সম্পর্কে পরামর্শ দিতে পারেন, সেইসাথে সম্ভাব্য পুনরাবৃত্তির জন্য সতর্কতামূলক লক্ষণগুলি পর্যবেক্ষণ করতে পারেন এবং কীভাবে আমি তাদের এই সমস্যা থেকে মুক্তি পেতে সাহায্য করতে পারি যাতে তারা আবার সেবন করতে না পারে?</v>
      </c>
    </row>
    <row r="816" spans="1:3" ht="15" x14ac:dyDescent="0.25">
      <c r="A816" s="3" t="s">
        <v>812</v>
      </c>
      <c r="B816" s="3" t="s">
        <v>4</v>
      </c>
      <c r="C816" s="4" t="str">
        <f ca="1">IFERROR(__xludf.DUMMYFUNCTION("GOOGLETRANSLATE(A816, ""auto"", ""bn"")"),"গত কয়েকদিন ধরে আমার অনেক কষ্ট হচ্ছে। আমার মনে হচ্ছে আমি আবারও নিজেকে এবং আমার আবেগকে হারিয়ে ফেলছি। প্রতি রাতে নিজেকে বোঝার চেষ্টায় কেমন যেন একটা ঝামেলা হচ্ছে, আর আমি সবসময় নিজেকে হারিয়ে ফেলা এবং একাকী বোধ করি বলে আমার প্যানিক অ্যাটাক হচ্ছে। এখানেও আমার"&amp;" অনুভূতি কীভাবে প্রকাশ করব বুঝতে পারছি না, কারণ প্যানিক অ্যাটাক আবারও আমার মস্তিষ্ককে অস্থির করে তুলছে। আমার দেশ এখন সম্পূর্ণ লকডাউনের মধ্যে রয়েছে যেখানে আমি কোনও কিছুর জন্যই ঘর থেকে বের হতে পারছি না। এই মুহূর্তে আমার আবেগ কীভাবে সামলাবো তা নিশ্চিত নই। আ"&amp;"মার আসক্তির দিক থেকে এখনও বেশ শক্তিশালী, কিন্তু আমার মানসিক অগ্রগতি থেমে গেছে বলে মনে হচ্ছে।")</f>
        <v>গত কয়েকদিন ধরে আমার অনেক কষ্ট হচ্ছে। আমার মনে হচ্ছে আমি আবারও নিজেকে এবং আমার আবেগকে হারিয়ে ফেলছি। প্রতি রাতে নিজেকে বোঝার চেষ্টায় কেমন যেন একটা ঝামেলা হচ্ছে, আর আমি সবসময় নিজেকে হারিয়ে ফেলা এবং একাকী বোধ করি বলে আমার প্যানিক অ্যাটাক হচ্ছে। এখানেও আমার অনুভূতি কীভাবে প্রকাশ করব বুঝতে পারছি না, কারণ প্যানিক অ্যাটাক আবারও আমার মস্তিষ্ককে অস্থির করে তুলছে। আমার দেশ এখন সম্পূর্ণ লকডাউনের মধ্যে রয়েছে যেখানে আমি কোনও কিছুর জন্যই ঘর থেকে বের হতে পারছি না। এই মুহূর্তে আমার আবেগ কীভাবে সামলাবো তা নিশ্চিত নই। আমার আসক্তির দিক থেকে এখনও বেশ শক্তিশালী, কিন্তু আমার মানসিক অগ্রগতি থেমে গেছে বলে মনে হচ্ছে।</v>
      </c>
    </row>
    <row r="817" spans="1:3" ht="15" x14ac:dyDescent="0.25">
      <c r="A817" s="3" t="s">
        <v>813</v>
      </c>
      <c r="B817" s="3" t="s">
        <v>4</v>
      </c>
      <c r="C817" s="4" t="str">
        <f ca="1">IFERROR(__xludf.DUMMYFUNCTION("GOOGLETRANSLATE(A817, ""auto"", ""bn"")"),"""নিরাপত্তা আচরণ"" শব্দটি হল কঠিন আবেগ পরিচালনার বিভিন্ন উপায়ের একটি সর্বব্যাপী স্বীকৃতি। ইতিবাচক হোক বা খারাপ, মোকাবেলা বিভিন্ন রূপ নিতে পারে। আমাদের কর্মকাণ্ডের পিছনের প্রেরণাগুলি লক্ষ্য করা গুরুত্বপূর্ণ, অন্যথায় আমরা উদ্বিগ্ন প্রতিক্রিয়াগুলিকে স্থায"&amp;"়ী করে তুলতে পারি। 2 ধরণের প্রধান নিরাপত্তা আচরণ (মোকাবিলা), একটি সহায়ক এবং অন্যটিতে মনোযোগের অভাব রয়েছে। আচরণ মোকাবেলা সম্পর্কে আপনার জ্ঞান আরও গভীর করতে আগ্রহী হলে, দ্য ডিটেইলের সাথে আজকের সংক্ষিপ্ত আলোচনাটি একবার দেখুন।")</f>
        <v>"নিরাপত্তা আচরণ" শব্দটি হল কঠিন আবেগ পরিচালনার বিভিন্ন উপায়ের একটি সর্বব্যাপী স্বীকৃতি। ইতিবাচক হোক বা খারাপ, মোকাবেলা বিভিন্ন রূপ নিতে পারে। আমাদের কর্মকাণ্ডের পিছনের প্রেরণাগুলি লক্ষ্য করা গুরুত্বপূর্ণ, অন্যথায় আমরা উদ্বিগ্ন প্রতিক্রিয়াগুলিকে স্থায়ী করে তুলতে পারি। 2 ধরণের প্রধান নিরাপত্তা আচরণ (মোকাবিলা), একটি সহায়ক এবং অন্যটিতে মনোযোগের অভাব রয়েছে। আচরণ মোকাবেলা সম্পর্কে আপনার জ্ঞান আরও গভীর করতে আগ্রহী হলে, দ্য ডিটেইলের সাথে আজকের সংক্ষিপ্ত আলোচনাটি একবার দেখুন।</v>
      </c>
    </row>
    <row r="818" spans="1:3" ht="15" x14ac:dyDescent="0.25">
      <c r="A818" s="3" t="s">
        <v>814</v>
      </c>
      <c r="B818" s="3" t="s">
        <v>4</v>
      </c>
      <c r="C818" s="4" t="str">
        <f ca="1">IFERROR(__xludf.DUMMYFUNCTION("GOOGLETRANSLATE(A818, ""auto"", ""bn"")"),"আমি একজন ফ্রিল্যান্স লেখক, এবং আমি একটি গেমিং ওয়েবসাইটের জন্য নিবন্ধ লিখি। বেতন আমার স্বপ্নের চেয়েও বেশি, কিন্তু আমার মনে হয় আমি এটি করি কারণ আমি কোনও অ্যাসাইনমেন্ট সম্পন্ন করার সময় এবং আমার অর্থ জমা করার সময় যে রোমাঞ্চ অনুভব করি। প্রেক্ষাপটে, আমি দু"&amp;"ই দশকেরও বেশি সময় ধরে ভিডিও গেমের সাথে জড়িত, এবং আমি ভিডিও গেমের মধ্যে একাধিক প্ল্যাটফর্ম, ধরণ এবং সম্প্রদায়ের একজন অত্যন্ত উৎসাহী এবং সক্রিয় সদস্য এবং ভোক্তা। সম্প্রতি, আমি আমার সম্পাদকের কাছ থেকে আমার পরবর্তী বিষয় না পেলে উদ্বিগ্ন, হতাশাগ্রস্ত এবং "&amp;"এমনকি বমি বমি ভাব অনুভব করছি। আমি গবেষণা, লেখা, গঠন এবং আমার অর্থ জমা করার এই বাধ্যতামূলক প্রয়োজন অনুভব করি। মহামারী এবং ডিসকর্ড ফোরামের বাইরে আমি খুব বেশি সামাজিক না থাকার কারণে এই প্রক্রিয়াটি আমার জীবন হয়ে উঠেছে। আমি ওয়ার্কাহোলিক হয়ে উঠতে শুরু করা "&amp;"ছাড়া এর কোনও যুক্তিসঙ্গত ব্যাখ্যা আছে কি? নাকি আমার সাহায্য নেওয়া উচিত?")</f>
        <v>আমি একজন ফ্রিল্যান্স লেখক, এবং আমি একটি গেমিং ওয়েবসাইটের জন্য নিবন্ধ লিখি। বেতন আমার স্বপ্নের চেয়েও বেশি, কিন্তু আমার মনে হয় আমি এটি করি কারণ আমি কোনও অ্যাসাইনমেন্ট সম্পন্ন করার সময় এবং আমার অর্থ জমা করার সময় যে রোমাঞ্চ অনুভব করি। প্রেক্ষাপটে, আমি দুই দশকেরও বেশি সময় ধরে ভিডিও গেমের সাথে জড়িত, এবং আমি ভিডিও গেমের মধ্যে একাধিক প্ল্যাটফর্ম, ধরণ এবং সম্প্রদায়ের একজন অত্যন্ত উৎসাহী এবং সক্রিয় সদস্য এবং ভোক্তা। সম্প্রতি, আমি আমার সম্পাদকের কাছ থেকে আমার পরবর্তী বিষয় না পেলে উদ্বিগ্ন, হতাশাগ্রস্ত এবং এমনকি বমি বমি ভাব অনুভব করছি। আমি গবেষণা, লেখা, গঠন এবং আমার অর্থ জমা করার এই বাধ্যতামূলক প্রয়োজন অনুভব করি। মহামারী এবং ডিসকর্ড ফোরামের বাইরে আমি খুব বেশি সামাজিক না থাকার কারণে এই প্রক্রিয়াটি আমার জীবন হয়ে উঠেছে। আমি ওয়ার্কাহোলিক হয়ে উঠতে শুরু করা ছাড়া এর কোনও যুক্তিসঙ্গত ব্যাখ্যা আছে কি? নাকি আমার সাহায্য নেওয়া উচিত?</v>
      </c>
    </row>
    <row r="819" spans="1:3" ht="15" x14ac:dyDescent="0.25">
      <c r="A819" s="3" t="s">
        <v>815</v>
      </c>
      <c r="B819" s="3" t="s">
        <v>4</v>
      </c>
      <c r="C819" s="4" t="str">
        <f ca="1">IFERROR(__xludf.DUMMYFUNCTION("GOOGLETRANSLATE(A819, ""auto"", ""bn"")"),"হস্তমৈথুনের আসক্তির প্রথম দিন আবারও আমি ব্যর্থ হলাম, এবং সত্যি বলতে, আমার মনে হচ্ছিল আমি ভালোর চেয়ে খারাপের দিকে যাচ্ছি। তবে আমি এটিকে আরও বেশি সুযোগ হিসেবে দেখছিলাম, আমার মনে হয়েছিল আমি হয়তো এটিকে যথেষ্ট গুরুত্ব সহকারে নিচ্ছি না তাই আমি আক্রমণের পরিকল"&amp;"্পনা করার সিদ্ধান্ত নিলাম। আমি একটি নোটবুক নিয়ে কিছু জিনিস লিখেছিলাম। পরামর্শ, ব্যক্তিগত চিন্তাভাবনা, আমার মনে রাখা উচিত এবং আমার করা উচিত। আমার মনে হয় এটি করার ফলে আমি যা শিখেছি তা আরও শক্তিশালী হবে এবং আমাকে সাহায্য করতে পারে। ব্যর্থ হলেও আমাকে কেবল চ"&amp;"েষ্টা চালিয়ে যেতে হবে, আমাকে কেবল এমন কিছু উপায় খুঁজে বের করতে হবে যা কাজ করে।")</f>
        <v>হস্তমৈথুনের আসক্তির প্রথম দিন আবারও আমি ব্যর্থ হলাম, এবং সত্যি বলতে, আমার মনে হচ্ছিল আমি ভালোর চেয়ে খারাপের দিকে যাচ্ছি। তবে আমি এটিকে আরও বেশি সুযোগ হিসেবে দেখছিলাম, আমার মনে হয়েছিল আমি হয়তো এটিকে যথেষ্ট গুরুত্ব সহকারে নিচ্ছি না তাই আমি আক্রমণের পরিকল্পনা করার সিদ্ধান্ত নিলাম। আমি একটি নোটবুক নিয়ে কিছু জিনিস লিখেছিলাম। পরামর্শ, ব্যক্তিগত চিন্তাভাবনা, আমার মনে রাখা উচিত এবং আমার করা উচিত। আমার মনে হয় এটি করার ফলে আমি যা শিখেছি তা আরও শক্তিশালী হবে এবং আমাকে সাহায্য করতে পারে। ব্যর্থ হলেও আমাকে কেবল চেষ্টা চালিয়ে যেতে হবে, আমাকে কেবল এমন কিছু উপায় খুঁজে বের করতে হবে যা কাজ করে।</v>
      </c>
    </row>
    <row r="820" spans="1:3" ht="15" x14ac:dyDescent="0.25">
      <c r="A820" s="3" t="s">
        <v>816</v>
      </c>
      <c r="B820" s="3" t="s">
        <v>4</v>
      </c>
      <c r="C820" s="4" t="str">
        <f ca="1">IFERROR(__xludf.DUMMYFUNCTION("GOOGLETRANSLATE(A820, ""auto"", ""bn"")"),"আমার এক বন্ধুর সম্প্রতি ব্রেকআপ হয়েছে এবং বর্তমানে সে খুবই অস্থির। গত কয়েক সপ্তাহ ধরে সে কোকেন ব্যবহার করছে, বিশেষ করে গত ৪ দিন ধরে জেগে থাকার কারণে। অবশেষে তার ঘুম ভেঙেছে, এবং এখন সে জেগে আছে, সে হেরোইন পান করে রাগ কমাতে চায়। তার সাথে কথা বলা কোনও লাভ"&amp;"ের কারণ নয় এবং স্পেনে কাউকে জোর করে পুনর্বাসনে পাঠানো অবৈধ। তাছাড়া, সে একজন বুদ্ধিমান আসক্ত যে তার কথায় ভালো এবং যে কাউকে বোকা বানাতে পারে যে সে ঠিক আছে। তার ব্রেকআপ তার উপর কঠিন ছিল (কারণ সে যখন তার প্রেমিকের সাথে ছিল তখন সে বেশ ভালোই ছিল) কিন্তু এখন আ"&amp;"বার অন্ধকারে চলে গেছে। পরিস্থিতির উত্তেজনা কমানোর জন্য বা তাকে যুক্তিসঙ্গতভাবে চিন্তা করতে শেখাতে কোন পরামর্শ? আমি স্পষ্টতই চিন্তিত যে সে বোকামি করবে।")</f>
        <v>আমার এক বন্ধুর সম্প্রতি ব্রেকআপ হয়েছে এবং বর্তমানে সে খুবই অস্থির। গত কয়েক সপ্তাহ ধরে সে কোকেন ব্যবহার করছে, বিশেষ করে গত ৪ দিন ধরে জেগে থাকার কারণে। অবশেষে তার ঘুম ভেঙেছে, এবং এখন সে জেগে আছে, সে হেরোইন পান করে রাগ কমাতে চায়। তার সাথে কথা বলা কোনও লাভের কারণ নয় এবং স্পেনে কাউকে জোর করে পুনর্বাসনে পাঠানো অবৈধ। তাছাড়া, সে একজন বুদ্ধিমান আসক্ত যে তার কথায় ভালো এবং যে কাউকে বোকা বানাতে পারে যে সে ঠিক আছে। তার ব্রেকআপ তার উপর কঠিন ছিল (কারণ সে যখন তার প্রেমিকের সাথে ছিল তখন সে বেশ ভালোই ছিল) কিন্তু এখন আবার অন্ধকারে চলে গেছে। পরিস্থিতির উত্তেজনা কমানোর জন্য বা তাকে যুক্তিসঙ্গতভাবে চিন্তা করতে শেখাতে কোন পরামর্শ? আমি স্পষ্টতই চিন্তিত যে সে বোকামি করবে।</v>
      </c>
    </row>
    <row r="821" spans="1:3" ht="15" x14ac:dyDescent="0.25">
      <c r="A821" s="3" t="s">
        <v>817</v>
      </c>
      <c r="B821" s="3" t="s">
        <v>4</v>
      </c>
      <c r="C821" s="4" t="str">
        <f ca="1">IFERROR(__xludf.DUMMYFUNCTION("GOOGLETRANSLATE(A821, ""auto"", ""bn"")"),"এই বছর আমি ওজন কমানোর একটা যাত্রার মধ্য দিয়ে যাচ্ছি, এখন পর্যন্ত আমার ওজন ২০ পাউন্ড কমেছে। আমার ওজন ২০৫ পাউন্ডে নেমে এসেছে, এবং আমি সত্যিই নিজেকে নিয়ে গর্বিত। আমি ঠিকমতো খাই, আমি মাঝেমধ্যে উপবাস করি এবং দিনে মাত্র ১টা, হয়তো ২টা খাবার খাই। আমি প্রতিদিন "&amp;"ওজন কমাচ্ছি এবং আমার ভালো লাগছে। আমি সবসময় খাবারের সাথে লড়াই করেছি এবং আমার ওজন বেশি হলে আমার ওজন সম্ভবত ২৬০ পাউন্ড (যা ভয়ঙ্কর নয় তবে এটি দুর্দান্ত নয়)। আমি কী খাই তা লক্ষ্য করি এবং আমি আমার ক্যালোরি কম রাখার চেষ্টা করি, কিন্তু আমি আইসক্রিম খেতে পছন্"&amp;"দ করি। তাছাড়া, আমি আমার সঙ্গীকে বলেছিলাম যে, যদি তারা আমাকে ভালোবাসে তবে তারা আইসক্রিম কিনে ঘরে আনবে না। তাছাড়া, আমি প্রতিদিন আইসক্রিম খাই না, তবে আমি সপ্তাহে কমপক্ষে ৩-৪ দিন এটি খাই। আমি লক্ষ্য করেছি যে, যদি আমার ক্যালরির পরিমাণ মাত্র ১০০০ ক্যালরি বা ত"&amp;"ার কম থাকে, তাহলে আমি আইসক্রিম খাওয়াকে যুক্তিসঙ্গত মনে করি, কারণ আমি যদি রাতের খাবারে একটি আইসক্রিম খাই, তাহলে আমি আর কিছু খেতে পারব না কারণ আমার ক্যালরির সীমা অতিক্রম করে গেছে। তাছাড়া, আমি এটাও লক্ষ্য করেছি যে, যখন আমি আইসক্রিম খাই, তখন আমার ওজনও বেড়ে"&amp;" যায়। তাই একসাথে না হলেও, এটি খাওয়া ছেড়ে দেওয়ার জন্য আমার সত্যিই সাহায্যের প্রয়োজন।")</f>
        <v>এই বছর আমি ওজন কমানোর একটা যাত্রার মধ্য দিয়ে যাচ্ছি, এখন পর্যন্ত আমার ওজন ২০ পাউন্ড কমেছে। আমার ওজন ২০৫ পাউন্ডে নেমে এসেছে, এবং আমি সত্যিই নিজেকে নিয়ে গর্বিত। আমি ঠিকমতো খাই, আমি মাঝেমধ্যে উপবাস করি এবং দিনে মাত্র ১টা, হয়তো ২টা খাবার খাই। আমি প্রতিদিন ওজন কমাচ্ছি এবং আমার ভালো লাগছে। আমি সবসময় খাবারের সাথে লড়াই করেছি এবং আমার ওজন বেশি হলে আমার ওজন সম্ভবত ২৬০ পাউন্ড (যা ভয়ঙ্কর নয় তবে এটি দুর্দান্ত নয়)। আমি কী খাই তা লক্ষ্য করি এবং আমি আমার ক্যালোরি কম রাখার চেষ্টা করি, কিন্তু আমি আইসক্রিম খেতে পছন্দ করি। তাছাড়া, আমি আমার সঙ্গীকে বলেছিলাম যে, যদি তারা আমাকে ভালোবাসে তবে তারা আইসক্রিম কিনে ঘরে আনবে না। তাছাড়া, আমি প্রতিদিন আইসক্রিম খাই না, তবে আমি সপ্তাহে কমপক্ষে ৩-৪ দিন এটি খাই। আমি লক্ষ্য করেছি যে, যদি আমার ক্যালরির পরিমাণ মাত্র ১০০০ ক্যালরি বা তার কম থাকে, তাহলে আমি আইসক্রিম খাওয়াকে যুক্তিসঙ্গত মনে করি, কারণ আমি যদি রাতের খাবারে একটি আইসক্রিম খাই, তাহলে আমি আর কিছু খেতে পারব না কারণ আমার ক্যালরির সীমা অতিক্রম করে গেছে। তাছাড়া, আমি এটাও লক্ষ্য করেছি যে, যখন আমি আইসক্রিম খাই, তখন আমার ওজনও বেড়ে যায়। তাই একসাথে না হলেও, এটি খাওয়া ছেড়ে দেওয়ার জন্য আমার সত্যিই সাহায্যের প্রয়োজন।</v>
      </c>
    </row>
    <row r="822" spans="1:3" ht="15" x14ac:dyDescent="0.25">
      <c r="A822" s="3" t="s">
        <v>818</v>
      </c>
      <c r="B822" s="3" t="s">
        <v>4</v>
      </c>
      <c r="C822" s="4" t="str">
        <f ca="1">IFERROR(__xludf.DUMMYFUNCTION("GOOGLETRANSLATE(A822, ""auto"", ""bn"")"),"গতকাল দিনটা খারাপ কেটেছে এবং প্রায় হাল ছেড়ে দিয়েছি। আমি সিদ্ধান্ত নিয়েছি নিজেকে ধুলোবালি ঝেড়ে এগিয়ে যাব। আমি নিজেকে ক্রমাগত ব্যস্ত রাখার চেষ্টা করব যাতে আমি নিজেকে বারবার অসুস্থ না করি। তাছাড়া, আমাকে কেবল বুঝতে হবে যে ডোপামিনের সেই তাড়না এবং রোমাঞ্চ আমার"&amp;" প্রায় যা ছিল এবং যা ছেড়ে দিয়েছি তার কোনও মূল্য নেই।")</f>
        <v>গতকাল দিনটা খারাপ কেটেছে এবং প্রায় হাল ছেড়ে দিয়েছি। আমি সিদ্ধান্ত নিয়েছি নিজেকে ধুলোবালি ঝেড়ে এগিয়ে যাব। আমি নিজেকে ক্রমাগত ব্যস্ত রাখার চেষ্টা করব যাতে আমি নিজেকে বারবার অসুস্থ না করি। তাছাড়া, আমাকে কেবল বুঝতে হবে যে ডোপামিনের সেই তাড়না এবং রোমাঞ্চ আমার প্রায় যা ছিল এবং যা ছেড়ে দিয়েছি তার কোনও মূল্য নেই।</v>
      </c>
    </row>
    <row r="823" spans="1:3" ht="15" x14ac:dyDescent="0.25">
      <c r="A823" s="3" t="s">
        <v>819</v>
      </c>
      <c r="B823" s="3" t="s">
        <v>4</v>
      </c>
      <c r="C823" s="4" t="str">
        <f ca="1">IFERROR(__xludf.DUMMYFUNCTION("GOOGLETRANSLATE(A823, ""auto"", ""bn"")"),"আমি একেবারে তলানিতে পৌঁছে গেছি। আমার এত খারাপ লাগছে যে আমি হাল ছেড়ে দিতে চাই, প্রতিবার চেষ্টা করার সময়ই এটা খুবই হতাশাজনক, এবং আমি সবসময় ব্যর্থ হই। তাছাড়া, আমি থামাতে পারছি না। আমার সবসময় হস্তমৈথুন করার ইচ্ছা জাগে, এবং তারপর আমি অটোপাইলট শুরু করি, এব"&amp;"ং তারপর আমি ইতিমধ্যেই আমার ধারাবাহিকতা ভেঙে ফেলেছি। এটি কেবল আমার জীবনকে ধ্বংস করছে এবং আমার সমস্ত বন্ধুদের জীবনকে ধ্বংস করছে যাদের আমি মনে করি আমি এই অভ্যাসটি ত্যাগ করতে পারছি না বলে কষ্ট পাচ্ছি। আমি আর কী করব বুঝতে পারছি না, আমি কেবল এটিকে ত্যাগ করার চে"&amp;"ষ্টা চালিয়ে যাব এবং হস্তমৈথুন না করেই এতদূর যাওয়ার চেষ্টা করব। আশা করি অবশেষে আমি সম্পূর্ণরূপে পুড়ে যাওয়ার আগে এটিকে ত্যাগ করার শক্তি খুঁজে পাব।")</f>
        <v>আমি একেবারে তলানিতে পৌঁছে গেছি। আমার এত খারাপ লাগছে যে আমি হাল ছেড়ে দিতে চাই, প্রতিবার চেষ্টা করার সময়ই এটা খুবই হতাশাজনক, এবং আমি সবসময় ব্যর্থ হই। তাছাড়া, আমি থামাতে পারছি না। আমার সবসময় হস্তমৈথুন করার ইচ্ছা জাগে, এবং তারপর আমি অটোপাইলট শুরু করি, এবং তারপর আমি ইতিমধ্যেই আমার ধারাবাহিকতা ভেঙে ফেলেছি। এটি কেবল আমার জীবনকে ধ্বংস করছে এবং আমার সমস্ত বন্ধুদের জীবনকে ধ্বংস করছে যাদের আমি মনে করি আমি এই অভ্যাসটি ত্যাগ করতে পারছি না বলে কষ্ট পাচ্ছি। আমি আর কী করব বুঝতে পারছি না, আমি কেবল এটিকে ত্যাগ করার চেষ্টা চালিয়ে যাব এবং হস্তমৈথুন না করেই এতদূর যাওয়ার চেষ্টা করব। আশা করি অবশেষে আমি সম্পূর্ণরূপে পুড়ে যাওয়ার আগে এটিকে ত্যাগ করার শক্তি খুঁজে পাব।</v>
      </c>
    </row>
    <row r="824" spans="1:3" ht="15" x14ac:dyDescent="0.25">
      <c r="A824" s="3" t="s">
        <v>820</v>
      </c>
      <c r="B824" s="3" t="s">
        <v>4</v>
      </c>
      <c r="C824" s="4" t="str">
        <f ca="1">IFERROR(__xludf.DUMMYFUNCTION("GOOGLETRANSLATE(A824, ""auto"", ""bn"")"),"আমার ভাই সাত মাসেরও বেশি সময় ধরে মেথ ব্যবহার করছে, কিন্তু ঠিক কতদিন ধরে আমি জানি না। গত কয়েক মাস ধরে, সে মানসিক রোগে ভুগছে: প্যারানোয়া, বিভ্রম, হ্যালুসিনেশন। সে সম্প্রতি তার চাকরি হারিয়েছে এবং সবাইকে অবিশ্বাস করে। সে সাহায্য চাইতে অস্বীকৃতি জানিয়েছে "&amp;"এবং মাদকের সাথে এর কোনও সম্পর্ক নেই বলেও দাবি করে। সে ২৯ বছর বয়সী একজন কৃষ্ণাঙ্গ ব্যক্তি যার কাছে বন্দুক আছে, তাই আমি ৯১১ নম্বরে ফোন করতে দ্বিধা বোধ করছি। কিন্তু সে আত্মহত্যার চিন্তাভাবনা এবং ""নিজেকে রক্ষা করার"" কথা বলেছে? তাই আমি সবার নিরাপত্তা নিয়ে "&amp;"চিন্তিত। আমি কীভাবে তার সাথে কথা বলব? আমি বর্তমানে স্নায়ুবিজ্ঞানে আমার মাস্টার্সে কাজ করছি কিন্তু আমি ব্যথা নিয়ে পড়াশোনা করছি। আমি এই বিভিন্ন মানসিক লক্ষণগুলির সাথে মোকাবিলা করা লোকদের সাথে কীভাবে যোগাযোগ করতে হয় তা শিখেছি, কিন্তু আমি জানি না কীভাবে ম"&amp;"াদকাসক্তদের সাহায্য পেতে রাজি করাতে হয়।")</f>
        <v>আমার ভাই সাত মাসেরও বেশি সময় ধরে মেথ ব্যবহার করছে, কিন্তু ঠিক কতদিন ধরে আমি জানি না। গত কয়েক মাস ধরে, সে মানসিক রোগে ভুগছে: প্যারানোয়া, বিভ্রম, হ্যালুসিনেশন। সে সম্প্রতি তার চাকরি হারিয়েছে এবং সবাইকে অবিশ্বাস করে। সে সাহায্য চাইতে অস্বীকৃতি জানিয়েছে এবং মাদকের সাথে এর কোনও সম্পর্ক নেই বলেও দাবি করে। সে ২৯ বছর বয়সী একজন কৃষ্ণাঙ্গ ব্যক্তি যার কাছে বন্দুক আছে, তাই আমি ৯১১ নম্বরে ফোন করতে দ্বিধা বোধ করছি। কিন্তু সে আত্মহত্যার চিন্তাভাবনা এবং "নিজেকে রক্ষা করার" কথা বলেছে? তাই আমি সবার নিরাপত্তা নিয়ে চিন্তিত। আমি কীভাবে তার সাথে কথা বলব? আমি বর্তমানে স্নায়ুবিজ্ঞানে আমার মাস্টার্সে কাজ করছি কিন্তু আমি ব্যথা নিয়ে পড়াশোনা করছি। আমি এই বিভিন্ন মানসিক লক্ষণগুলির সাথে মোকাবিলা করা লোকদের সাথে কীভাবে যোগাযোগ করতে হয় তা শিখেছি, কিন্তু আমি জানি না কীভাবে মাদকাসক্তদের সাহায্য পেতে রাজি করাতে হয়।</v>
      </c>
    </row>
    <row r="825" spans="1:3" ht="15" x14ac:dyDescent="0.25">
      <c r="A825" s="3" t="s">
        <v>821</v>
      </c>
      <c r="B825" s="3" t="s">
        <v>4</v>
      </c>
      <c r="C825" s="4" t="str">
        <f ca="1">IFERROR(__xludf.DUMMYFUNCTION("GOOGLETRANSLATE(A825, ""auto"", ""bn"")"),"প্রথম দিনটা ভালোই গেল। কিন্তু দ্বিতীয় দিনটা শুরু হলো, আমি ঝিমঝিম করে গোসল থেকে বেরিয়ে এলাম, আমার ইচ্ছাটা প্রায় শেষ হয়ে গেল, কিন্তু আমি নিজেকে থামিয়ে দিলাম। আমি আমার বন্ধুদের কথা এবং আমাকে যে সমস্ত পরামর্শ দেওয়া হয়েছিল সেগুলি নিয়ে ভাবতে শুরু করলাম।"&amp;" আর এটা আমাকে থামাতে সাহায্য করল, আমি বুঝতে পারলাম যে হস্তমৈথুন বন্ধ করার পর আমার খুব হালকা পর্ন আসক্তি আছে, আমি পর্ন দেখাও বন্ধ করে দিয়েছি। যা বন্ধ করার পর থেকে আমার একবার রিল্যাপস হয়েছে। যাইহোক, এটি এখনও আমার জন্য একটি বড় ব্যাপার কারণ এটি আমার মনকে ম"&amp;"েঘলা করে দিয়েছে এবং আমাকে মহিলাদের সম্পর্কে খুব অপ্রীতিকরভাবে ভাবতে বাধ্য করে। এটি আমাকে অসুস্থ করে তোলে এমনকি মহিলাদের সম্পর্কেও সেভাবে ভাবতে বাধ্য করে। ভাগ্যক্রমে আমার পর্ন দেখার কোনও ইচ্ছা নেই। আমার আসলে হস্তমৈথুন করার ইচ্ছা আছে, কিন্তু আমার মনে হয় আ"&amp;"মার পর্ন এবং হস্তমৈথুনের আসক্তি দুটোই আছে, কেবল একটির সাথে অন্যটির মোকাবিলা করা সহজ।")</f>
        <v>প্রথম দিনটা ভালোই গেল। কিন্তু দ্বিতীয় দিনটা শুরু হলো, আমি ঝিমঝিম করে গোসল থেকে বেরিয়ে এলাম, আমার ইচ্ছাটা প্রায় শেষ হয়ে গেল, কিন্তু আমি নিজেকে থামিয়ে দিলাম। আমি আমার বন্ধুদের কথা এবং আমাকে যে সমস্ত পরামর্শ দেওয়া হয়েছিল সেগুলি নিয়ে ভাবতে শুরু করলাম। আর এটা আমাকে থামাতে সাহায্য করল, আমি বুঝতে পারলাম যে হস্তমৈথুন বন্ধ করার পর আমার খুব হালকা পর্ন আসক্তি আছে, আমি পর্ন দেখাও বন্ধ করে দিয়েছি। যা বন্ধ করার পর থেকে আমার একবার রিল্যাপস হয়েছে। যাইহোক, এটি এখনও আমার জন্য একটি বড় ব্যাপার কারণ এটি আমার মনকে মেঘলা করে দিয়েছে এবং আমাকে মহিলাদের সম্পর্কে খুব অপ্রীতিকরভাবে ভাবতে বাধ্য করে। এটি আমাকে অসুস্থ করে তোলে এমনকি মহিলাদের সম্পর্কেও সেভাবে ভাবতে বাধ্য করে। ভাগ্যক্রমে আমার পর্ন দেখার কোনও ইচ্ছা নেই। আমার আসলে হস্তমৈথুন করার ইচ্ছা আছে, কিন্তু আমার মনে হয় আমার পর্ন এবং হস্তমৈথুনের আসক্তি দুটোই আছে, কেবল একটির সাথে অন্যটির মোকাবিলা করা সহজ।</v>
      </c>
    </row>
    <row r="826" spans="1:3" ht="15" x14ac:dyDescent="0.25">
      <c r="A826" s="3" t="s">
        <v>822</v>
      </c>
      <c r="B826" s="3" t="s">
        <v>4</v>
      </c>
      <c r="C826" s="4" t="str">
        <f ca="1">IFERROR(__xludf.DUMMYFUNCTION("GOOGLETRANSLATE(A826, ""auto"", ""bn"")"),"আমার সবচেয়ে ভালো বন্ধু প্রায় এক বছর ধরে মাদকাসক্ত। তারা যখন সত্যিই এক ভয়াবহ অভিজ্ঞতার সম্মুখীন হয়েছিল, যা তাদের প্রায় মারাই ফেলেছিল, তখন পরিস্থিতি বেশ তীব্র হয়ে ওঠে। সেই আঘাত ""সামাল দেওয়ার"" জন্য আমরা বিভিন্ন ধরণের কঠিন ওষুধ খেয়েছিলাম, এবং এটি এতট"&amp;"াই নিয়ন্ত্রণের বাইরে চলে গিয়েছিল যে। আমি আমার ছিলাম তা ঘৃণা করতাম, এটি আমাকে ক্রমাগত একটি বিপজ্জনক মানসিক অবস্থার মধ্যে ফেলেছিল এবং Xanax গ্রহণের ফলে আমি অর্ধেকেরও বেশি ঘটনা ভুলে যেতাম। যখন তারা পেশাদার সাহায্য নেওয়ার জন্য প্রথমবার চেষ্টা করেছিল, তখন আ"&amp;"মি নিজেকে এবং তাদের প্রতিশ্রুতি দিয়েছিলাম যে আমি আর কখনও কঠোর ওষুধ সেবন করব না, বিশেষ করে যখন আমি তাদের সাথে থাকি (এবং আমি করিনি) কারণ আমি আর কখনও এমন পরিস্থিতিতে পড়তে চাইনি এবং যদিও আমি জানতাম যে তারা তা করবে, আমি তাদের আসক্তিতে অবদান রাখতে চাইনি। তখন "&amp;"থেকেই তারা এর সাথে লড়াই করে আসছে। আসক্তি অবশ্যই এবং দুঃখজনকভাবে এমন একটি জিনিস যা আমি সবসময় বড় হয়েছি এবং দেখেছি। আমার বাবা-মা অতিরিক্ত মাত্রায় সেবন করেছেন। আমার অন্য নির্যাতনকারী বাবা-মা কঠোর ওষুধের প্রতি আসক্ত ছিলেন এবং এখনও আমার পরিবারের বেশিরভাগ স"&amp;"দস্যের মতো একজন মদ্যপ। আর গত সপ্তাহেই, আমি আমার এক ঘনিষ্ঠ বন্ধুকে অতিরিক্ত মাত্রায় হারিয়েছি, আর আমি এখনও মৃত্যুতে শোকাহত। আসক্তি কোনও বিকল্প নয়, আমি তা বুঝতে পারি। আমি নিজের আসক্তির সাথে লড়াই করি, কিন্তু আমি কখনই বুঝতে পারব না যে এমন আসক্তি ত্যাগ করার বি"&amp;"কল্প নেই যা অসহ্য যন্ত্রণার কারণ হয় এবং কিছু ক্ষেত্রে মৃত্যুও হয় অথবা সারা জীবন আসক্তির সাথে লড়াই করতে হয়। এইরকম অনুভূতি অনুভব করার জন্য আমি সত্যিই স্বার্থপর বোধ করি, কিন্তু আমার অনুভূতি নিজের মধ্যে রাখা এবং আমার বন্ধুর পাশে থাকা সত্যিই কঠিন। তাছাড়া, "&amp;"আমি প্রতিদিন ভয় পাই যে আমি তাদের হারাতে যাচ্ছি, আমি এমন কিছু বলব যা পরিস্থিতি আরও খারাপ করবে, অথবা আমি যা বলি তাতে তারা সত্যিই আহত হবে। হাসপাতাল থেকে বের হওয়ার আগে তাদের কাছে ওষুধ চুরি করে নিয়ে যাওয়া, আমার বন্ধু মারা যাওয়ার পর তাদের শেষকৃত্যে যেতে দেখ"&amp;"া এবং মাদকের অতিরিক্ত মাত্রা নিয়ে রসিকতা করা, বন্ধুরা মারা গেলে সোফায় অচেতন অবস্থায় থাকা, এবং বিপজ্জনক এবং অস্বস্তিকর পরিস্থিতিতে থাকা বা তাদের সান্ত্বনার জন্য আমার অনুভূতির সাথে আপোস করা খুবই খারাপ ছিল। আমি তাদের আগে আমার অনুভূতি সম্পর্কে বলেছি, কিন্তু"&amp;" আমার মনে হয় এটি পরিস্থিতি আরও খারাপ করেছে। আমি জানি তারা এটা সহ্য করতে পারবে না, আর তারা কোনও সাহায্য ছাড়াই পরিষ্কার হওয়ার চেষ্টা করার এত বোঝা নিচ্ছে এবং PTSD-তে ভুগছে। আমি তাদের পাশে থাকতে চাই, শেষ জিনিসটি আমি করতে চাই না তাদের খারাপ ব্যক্তির মতো অনু"&amp;"ভব করানো, কিন্তু যদি আমাকে এই ধরণের পরিস্থিতিতে ফেলা হয় তবে আমি তা করতে পারি না। তাছাড়া, আমি জানি না কী করব বা কেমন অনুভব করব।")</f>
        <v>আমার সবচেয়ে ভালো বন্ধু প্রায় এক বছর ধরে মাদকাসক্ত। তারা যখন সত্যিই এক ভয়াবহ অভিজ্ঞতার সম্মুখীন হয়েছিল, যা তাদের প্রায় মারাই ফেলেছিল, তখন পরিস্থিতি বেশ তীব্র হয়ে ওঠে। সেই আঘাত "সামাল দেওয়ার" জন্য আমরা বিভিন্ন ধরণের কঠিন ওষুধ খেয়েছিলাম, এবং এটি এতটাই নিয়ন্ত্রণের বাইরে চলে গিয়েছিল যে। আমি আমার ছিলাম তা ঘৃণা করতাম, এটি আমাকে ক্রমাগত একটি বিপজ্জনক মানসিক অবস্থার মধ্যে ফেলেছিল এবং Xanax গ্রহণের ফলে আমি অর্ধেকেরও বেশি ঘটনা ভুলে যেতাম। যখন তারা পেশাদার সাহায্য নেওয়ার জন্য প্রথমবার চেষ্টা করেছিল, তখন আমি নিজেকে এবং তাদের প্রতিশ্রুতি দিয়েছিলাম যে আমি আর কখনও কঠোর ওষুধ সেবন করব না, বিশেষ করে যখন আমি তাদের সাথে থাকি (এবং আমি করিনি) কারণ আমি আর কখনও এমন পরিস্থিতিতে পড়তে চাইনি এবং যদিও আমি জানতাম যে তারা তা করবে, আমি তাদের আসক্তিতে অবদান রাখতে চাইনি। তখন থেকেই তারা এর সাথে লড়াই করে আসছে। আসক্তি অবশ্যই এবং দুঃখজনকভাবে এমন একটি জিনিস যা আমি সবসময় বড় হয়েছি এবং দেখেছি। আমার বাবা-মা অতিরিক্ত মাত্রায় সেবন করেছেন। আমার অন্য নির্যাতনকারী বাবা-মা কঠোর ওষুধের প্রতি আসক্ত ছিলেন এবং এখনও আমার পরিবারের বেশিরভাগ সদস্যের মতো একজন মদ্যপ। আর গত সপ্তাহেই, আমি আমার এক ঘনিষ্ঠ বন্ধুকে অতিরিক্ত মাত্রায় হারিয়েছি, আর আমি এখনও মৃত্যুতে শোকাহত। আসক্তি কোনও বিকল্প নয়, আমি তা বুঝতে পারি। আমি নিজের আসক্তির সাথে লড়াই করি, কিন্তু আমি কখনই বুঝতে পারব না যে এমন আসক্তি ত্যাগ করার বিকল্প নেই যা অসহ্য যন্ত্রণার কারণ হয় এবং কিছু ক্ষেত্রে মৃত্যুও হয় অথবা সারা জীবন আসক্তির সাথে লড়াই করতে হয়। এইরকম অনুভূতি অনুভব করার জন্য আমি সত্যিই স্বার্থপর বোধ করি, কিন্তু আমার অনুভূতি নিজের মধ্যে রাখা এবং আমার বন্ধুর পাশে থাকা সত্যিই কঠিন। তাছাড়া, আমি প্রতিদিন ভয় পাই যে আমি তাদের হারাতে যাচ্ছি, আমি এমন কিছু বলব যা পরিস্থিতি আরও খারাপ করবে, অথবা আমি যা বলি তাতে তারা সত্যিই আহত হবে। হাসপাতাল থেকে বের হওয়ার আগে তাদের কাছে ওষুধ চুরি করে নিয়ে যাওয়া, আমার বন্ধু মারা যাওয়ার পর তাদের শেষকৃত্যে যেতে দেখা এবং মাদকের অতিরিক্ত মাত্রা নিয়ে রসিকতা করা, বন্ধুরা মারা গেলে সোফায় অচেতন অবস্থায় থাকা, এবং বিপজ্জনক এবং অস্বস্তিকর পরিস্থিতিতে থাকা বা তাদের সান্ত্বনার জন্য আমার অনুভূতির সাথে আপোস করা খুবই খারাপ ছিল। আমি তাদের আগে আমার অনুভূতি সম্পর্কে বলেছি, কিন্তু আমার মনে হয় এটি পরিস্থিতি আরও খারাপ করেছে। আমি জানি তারা এটা সহ্য করতে পারবে না, আর তারা কোনও সাহায্য ছাড়াই পরিষ্কার হওয়ার চেষ্টা করার এত বোঝা নিচ্ছে এবং PTSD-তে ভুগছে। আমি তাদের পাশে থাকতে চাই, শেষ জিনিসটি আমি করতে চাই না তাদের খারাপ ব্যক্তির মতো অনুভব করানো, কিন্তু যদি আমাকে এই ধরণের পরিস্থিতিতে ফেলা হয় তবে আমি তা করতে পারি না। তাছাড়া, আমি জানি না কী করব বা কেমন অনুভব করব।</v>
      </c>
    </row>
    <row r="827" spans="1:3" ht="15" x14ac:dyDescent="0.25">
      <c r="A827" s="3" t="s">
        <v>823</v>
      </c>
      <c r="B827" s="3" t="s">
        <v>4</v>
      </c>
      <c r="C827" s="4" t="str">
        <f ca="1">IFERROR(__xludf.DUMMYFUNCTION("GOOGLETRANSLATE(A827, ""auto"", ""bn"")"),"আজ থেকে পর্নমুক্ত থাকার ১৩তম দিনের সূচনা হবে। তবে, আমার কর্মকাণ্ডের ফলে এটি ০তম দিনে রিসেট করা হয়েছে। আমি নিজের জন্য তৈরি একটি নিয়ম ভেঙেছি এবং এটি এতে পরিণত হয়েছে। যদিও এটি আমাকে কষ্ট দেয়, তবুও আমার কর্মকাণ্ডের জন্য জবাবদিহিতা নিতে হবে এবং এই আচরণ রোধ"&amp;" করার জন্য প্রয়োজনীয় পদক্ষেপ নিতে হবে এবং এর পরিণতি ভোগ করতে হবে। আমি আগেই বলেছি যে আমার ফোন ব্যবহার সীমিত করা কাজ করার সর্বোত্তম উপায় ছিল না, তবে, এই ক্ষেত্রে এটি প্রয়োজনীয়। আমি কোনও গ্যাজেট ছাড়াই ৪৮ ঘন্টা নিজেকে সমর্পণ করব এবং এটি যাতে আর কখনও না "&amp;"ঘটে তা নিশ্চিত করার জন্য আমার নিয়মগুলি আপডেট করেছি। তাছাড়া, আমি দ্বিতীয় দিনে এটি কীভাবে যায় তার একটি আপডেট পোস্ট করব।")</f>
        <v>আজ থেকে পর্নমুক্ত থাকার ১৩তম দিনের সূচনা হবে। তবে, আমার কর্মকাণ্ডের ফলে এটি ০তম দিনে রিসেট করা হয়েছে। আমি নিজের জন্য তৈরি একটি নিয়ম ভেঙেছি এবং এটি এতে পরিণত হয়েছে। যদিও এটি আমাকে কষ্ট দেয়, তবুও আমার কর্মকাণ্ডের জন্য জবাবদিহিতা নিতে হবে এবং এই আচরণ রোধ করার জন্য প্রয়োজনীয় পদক্ষেপ নিতে হবে এবং এর পরিণতি ভোগ করতে হবে। আমি আগেই বলেছি যে আমার ফোন ব্যবহার সীমিত করা কাজ করার সর্বোত্তম উপায় ছিল না, তবে, এই ক্ষেত্রে এটি প্রয়োজনীয়। আমি কোনও গ্যাজেট ছাড়াই ৪৮ ঘন্টা নিজেকে সমর্পণ করব এবং এটি যাতে আর কখনও না ঘটে তা নিশ্চিত করার জন্য আমার নিয়মগুলি আপডেট করেছি। তাছাড়া, আমি দ্বিতীয় দিনে এটি কীভাবে যায় তার একটি আপডেট পোস্ট করব।</v>
      </c>
    </row>
    <row r="828" spans="1:3" ht="15" x14ac:dyDescent="0.25">
      <c r="A828" s="3" t="s">
        <v>824</v>
      </c>
      <c r="B828" s="3" t="s">
        <v>4</v>
      </c>
      <c r="C828" s="4" t="str">
        <f ca="1">IFERROR(__xludf.DUMMYFUNCTION("GOOGLETRANSLATE(A828, ""auto"", ""bn"")"),"আচ্ছা, আমার এই সমস্যাটা অনেক দিন ধরেই, সম্ভবত ১৩ বছর বয়স থেকেই। আমি বুঝতে পেরেছিলাম যে ডোপামিনের অনুভূতির জন্য যখন এটা করা উচিত তখন আমাকে থামাতে হবে। মাঝে মাঝে এই অনুভূতির জন্য আমি দিনে ৩-৪ বার এটা করতাম। এটা এমন একটা জিনিস যার জন্য আমি লজ্জিত এবং সত্যিই"&amp;" ছেড়ে দিতে চাই। পর্নোগ্রাফির পাশাপাশি এটি আমার কিছু বন্ধুত্ব নষ্ট করে দিয়েছে কারণ আমি আমার মহিলা বন্ধুদের প্রতি যেভাবে তাকাতাম। আমি তাদের বন্ধু হিসেবে নয় বরং যৌন বস্তু হিসেবে দেখতাম। এক ধাপ পিছিয়ে আসার পর আমি বুঝতে পারলাম যে আমি কী করছি, আমি সত্যিই নি"&amp;"জেকে ঘৃণা করতাম এবং ভাবতাম এটা অসুস্থ এবং বিরক্তিকর। আমি আর পর্নো দেখি না, কিন্তু হস্তমৈথুন আমার জন্য একটি বিশাল সমস্যা কারণ এটিই আমাকে আমার ডোপামিন ঠিক করে দেয় এবং আমি এটি থামাতে পারছি না।")</f>
        <v>আচ্ছা, আমার এই সমস্যাটা অনেক দিন ধরেই, সম্ভবত ১৩ বছর বয়স থেকেই। আমি বুঝতে পেরেছিলাম যে ডোপামিনের অনুভূতির জন্য যখন এটা করা উচিত তখন আমাকে থামাতে হবে। মাঝে মাঝে এই অনুভূতির জন্য আমি দিনে ৩-৪ বার এটা করতাম। এটা এমন একটা জিনিস যার জন্য আমি লজ্জিত এবং সত্যিই ছেড়ে দিতে চাই। পর্নোগ্রাফির পাশাপাশি এটি আমার কিছু বন্ধুত্ব নষ্ট করে দিয়েছে কারণ আমি আমার মহিলা বন্ধুদের প্রতি যেভাবে তাকাতাম। আমি তাদের বন্ধু হিসেবে নয় বরং যৌন বস্তু হিসেবে দেখতাম। এক ধাপ পিছিয়ে আসার পর আমি বুঝতে পারলাম যে আমি কী করছি, আমি সত্যিই নিজেকে ঘৃণা করতাম এবং ভাবতাম এটা অসুস্থ এবং বিরক্তিকর। আমি আর পর্নো দেখি না, কিন্তু হস্তমৈথুন আমার জন্য একটি বিশাল সমস্যা কারণ এটিই আমাকে আমার ডোপামিন ঠিক করে দেয় এবং আমি এটি থামাতে পারছি না।</v>
      </c>
    </row>
    <row r="829" spans="1:3" ht="15" x14ac:dyDescent="0.25">
      <c r="A829" s="3" t="s">
        <v>825</v>
      </c>
      <c r="B829" s="3" t="s">
        <v>4</v>
      </c>
      <c r="C829" s="4" t="str">
        <f ca="1">IFERROR(__xludf.DUMMYFUNCTION("GOOGLETRANSLATE(A829, ""auto"", ""bn"")"),"আমি সম্প্রতি ডিসোসিয়েটিভ ডিসঅর্ডার নিয়ে গবেষণা শুরু করেছি এবং দুর্ভাগ্যবশত এর সাথে বেশ কিছু লক্ষণের সম্পর্ক রয়েছে। আমি প্রায়শই একজন বিরক্তিকর ব্যক্তি এবং নিজের চারপাশে দেয়াল তৈরি করার বিষয়ে চিন্তিত ছিলাম, এবং আজ আমার মনে হয় আমি সমস্যাটি খুঁজে পেয়ে"&amp;"ছি। যখনই আমার খারাপ উদ্বেগের আক্রমণ হয়েছে, আমি সর্বদা নিজেকে এ থেকে দূরে রাখার চেষ্টা করেছি এবং সর্বদা আমার আবেগগুলি আমার গভীরে 'অনুভূত' করতে পারতাম। মনে হচ্ছিল যেন আমি তাদের একটি কারাগারে ঠেলে দিয়েছি এবং তাদের আটকে রেখেছি। আমি জানি যে এটি কতটা বিঘ্নিত "&amp;"ছিল বিশেষ করে যখন আমি ক্রমবর্ধমান এবং পরিণত শিশু ছিলাম। আমার মনে হয় আমি কিছু অনুভব করার জন্য পর্নোগ্রাফিকে একটি মাধ্যম হিসাবে ব্যবহার করেছি কারণ আমি ভ্রান্তভাবে ভেবেছিলাম এটি আমার আবেগকে পুনরুজ্জীবিত করতে পারে। এটি দেখার 'তাড়াহুড়ো' সম্ভবত বাস্তব আবেগের"&amp;" জন্য ভুল ছিল এবং এটিই আমাকে প্রায়শই এটি করতে আকৃষ্ট করেছিল। আমি যত তাড়াতাড়ি সম্ভব এটি নিয়ে কাজ করব। এর বিরুদ্ধে লড়াই করার জন্য যেকোনো গল্প এবং যেকোনো সংস্থানের জন্য অত্যন্ত কৃতজ্ঞ।")</f>
        <v>আমি সম্প্রতি ডিসোসিয়েটিভ ডিসঅর্ডার নিয়ে গবেষণা শুরু করেছি এবং দুর্ভাগ্যবশত এর সাথে বেশ কিছু লক্ষণের সম্পর্ক রয়েছে। আমি প্রায়শই একজন বিরক্তিকর ব্যক্তি এবং নিজের চারপাশে দেয়াল তৈরি করার বিষয়ে চিন্তিত ছিলাম, এবং আজ আমার মনে হয় আমি সমস্যাটি খুঁজে পেয়েছি। যখনই আমার খারাপ উদ্বেগের আক্রমণ হয়েছে, আমি সর্বদা নিজেকে এ থেকে দূরে রাখার চেষ্টা করেছি এবং সর্বদা আমার আবেগগুলি আমার গভীরে 'অনুভূত' করতে পারতাম। মনে হচ্ছিল যেন আমি তাদের একটি কারাগারে ঠেলে দিয়েছি এবং তাদের আটকে রেখেছি। আমি জানি যে এটি কতটা বিঘ্নিত ছিল বিশেষ করে যখন আমি ক্রমবর্ধমান এবং পরিণত শিশু ছিলাম। আমার মনে হয় আমি কিছু অনুভব করার জন্য পর্নোগ্রাফিকে একটি মাধ্যম হিসাবে ব্যবহার করেছি কারণ আমি ভ্রান্তভাবে ভেবেছিলাম এটি আমার আবেগকে পুনরুজ্জীবিত করতে পারে। এটি দেখার 'তাড়াহুড়ো' সম্ভবত বাস্তব আবেগের জন্য ভুল ছিল এবং এটিই আমাকে প্রায়শই এটি করতে আকৃষ্ট করেছিল। আমি যত তাড়াতাড়ি সম্ভব এটি নিয়ে কাজ করব। এর বিরুদ্ধে লড়াই করার জন্য যেকোনো গল্প এবং যেকোনো সংস্থানের জন্য অত্যন্ত কৃতজ্ঞ।</v>
      </c>
    </row>
    <row r="830" spans="1:3" ht="15" x14ac:dyDescent="0.25">
      <c r="A830" s="3" t="s">
        <v>826</v>
      </c>
      <c r="B830" s="3" t="s">
        <v>4</v>
      </c>
      <c r="C830" s="4" t="str">
        <f ca="1">IFERROR(__xludf.DUMMYFUNCTION("GOOGLETRANSLATE(A830, ""auto"", ""bn"")"),"কঠিন দিন। বিস্তারিত বলতে চাই না কিন্তু কোনও কারণে আমার খুব একটা ইচ্ছে হচ্ছিল না। সবেমাত্র একটা বড় অঙ্কন কমিশন পেয়েছি, তাই আমার ""গোপন টাকা"" আছে (আমি ১০০০ ডলারের বেশি অঙ্কন বিক্রির উপর কর দিতে রাজি নই) সংক্ষেপে: আমার বান্ধবী, একজন গির্জাগামী খ্রিস্টান, "&amp;"তাড়াতাড়ি ঘুমিয়ে পড়েছিল তাই আমি গাড়িতে করে বেরিয়েছিলাম। আমার মনে হয় আমি জানতাম আমি কী করছি কারণ আমি সরাসরি পতিতাবৃত্তি, মাদক, গ্যাং, পরিত্যক্ত ভবন এবং পুলিশের জন্য পরিচিত একটি এলাকায় গিয়েছিলাম। খুব একটা ভালোও ছিল না, কিন্তু এখন আমি আরও চাই, অথবা আ"&amp;"রও ভালো :(উফ, আমি চুষে ফেলেছি!! নিজেকে পাগলের মতো লাগছে। কিছু সাহায্যের প্রয়োজন হতে পারে")</f>
        <v>কঠিন দিন। বিস্তারিত বলতে চাই না কিন্তু কোনও কারণে আমার খুব একটা ইচ্ছে হচ্ছিল না। সবেমাত্র একটা বড় অঙ্কন কমিশন পেয়েছি, তাই আমার "গোপন টাকা" আছে (আমি ১০০০ ডলারের বেশি অঙ্কন বিক্রির উপর কর দিতে রাজি নই) সংক্ষেপে: আমার বান্ধবী, একজন গির্জাগামী খ্রিস্টান, তাড়াতাড়ি ঘুমিয়ে পড়েছিল তাই আমি গাড়িতে করে বেরিয়েছিলাম। আমার মনে হয় আমি জানতাম আমি কী করছি কারণ আমি সরাসরি পতিতাবৃত্তি, মাদক, গ্যাং, পরিত্যক্ত ভবন এবং পুলিশের জন্য পরিচিত একটি এলাকায় গিয়েছিলাম। খুব একটা ভালোও ছিল না, কিন্তু এখন আমি আরও চাই, অথবা আরও ভালো :(উফ, আমি চুষে ফেলেছি!! নিজেকে পাগলের মতো লাগছে। কিছু সাহায্যের প্রয়োজন হতে পারে</v>
      </c>
    </row>
    <row r="831" spans="1:3" ht="15" x14ac:dyDescent="0.25">
      <c r="A831" s="3" t="s">
        <v>827</v>
      </c>
      <c r="B831" s="3" t="s">
        <v>4</v>
      </c>
      <c r="C831" s="4" t="str">
        <f ca="1">IFERROR(__xludf.DUMMYFUNCTION("GOOGLETRANSLATE(A831, ""auto"", ""bn"")"),"তৃষ্ণা আসে আর যায়, আর মনে হয় যেন রিল্যাপস সবসময়ই থাকে। যখন আমি আমার ফোন খুব বেশি ব্যবহার করি তখন রিল্যাপস হওয়ার সম্ভাবনা সবসময়ই আরও খারাপ হয়ে যায়। আমি ভাবতে শুরু করেছি যে একদিনের জন্য ফোন বন্ধ করে দেওয়া এই পরিস্থিতি কাটিয়ে ওঠার সেরা উপায় নাও হতে"&amp;" পারে। বরং, আমার এক ধরণের ""বাফার অ্যাক্টিভিটি"" দরকার যেখানে আমি যখন আমার প্লেটে কিছুই না থাকে তখন সবসময় উল্লেখ করব। এইভাবে আমার মন কিছুটা ব্যস্ত থাকবে, তবে অন্যান্য কাজ করার কথা ভাবতে যথেষ্ট উন্মুক্ত থাকবে। আমি ধ্যান করার কথা ভাবছি কিন্তু অন্যদের জন্যও"&amp;" উন্মুক্ত। কোন সুপারিশ আছে? দুর্ভাগ্যবশত, ক্রমাগত 'কিছু' করার আমার প্রয়োজনীয়তার কারণে আমি আমার ফোনটি বেশ কিছুটা ব্যবহার করছি। আমি সম্প্রতি নিজের সম্পর্কে কিছু আবিষ্কার করেছি। আমি (আরও ভালো শব্দের অভাবে) বিরক্ত হতে ভয় পাচ্ছি। যদিও আমি লক্ষ্য করেছি যে কে"&amp;"বল আরাম করা এবং বিরক্ত হওয়ার মাধ্যমে, আমি সবসময় কিছু করার জন্য কিছু নিয়ে এসেছি; আমি নিজেকে কেবল বিরক্ত হতে দিতে ভয় পাই বলে মনে হয়। আমি যে বাফারে যাই তা হল আমার ফোন ব্যবহার করা। যা শেষ পর্যন্ত একটি নেতিবাচক চক্রে পরিণত হয় যেখানে আমি যথেষ্ট কাজ না করা"&amp;"র বিষয়ে উদ্বিগ্ন এবং সাধারণভাবে কেবল হতাশ বোধ করার মতো উদ্বেগজনক পর্বগুলি উপভোগ করি। এটি কিছুটা বকবক হিসাবে দেখা দিতে শুরু করেছে, তবে আমার এটি প্রয়োজন এবং আমি প্রদত্ত যেকোনো পরামর্শ এবং যেকোনো সহায়ক উপাখ্যানের জন্য কৃতজ্ঞ।")</f>
        <v>তৃষ্ণা আসে আর যায়, আর মনে হয় যেন রিল্যাপস সবসময়ই থাকে। যখন আমি আমার ফোন খুব বেশি ব্যবহার করি তখন রিল্যাপস হওয়ার সম্ভাবনা সবসময়ই আরও খারাপ হয়ে যায়। আমি ভাবতে শুরু করেছি যে একদিনের জন্য ফোন বন্ধ করে দেওয়া এই পরিস্থিতি কাটিয়ে ওঠার সেরা উপায় নাও হতে পারে। বরং, আমার এক ধরণের "বাফার অ্যাক্টিভিটি" দরকার যেখানে আমি যখন আমার প্লেটে কিছুই না থাকে তখন সবসময় উল্লেখ করব। এইভাবে আমার মন কিছুটা ব্যস্ত থাকবে, তবে অন্যান্য কাজ করার কথা ভাবতে যথেষ্ট উন্মুক্ত থাকবে। আমি ধ্যান করার কথা ভাবছি কিন্তু অন্যদের জন্যও উন্মুক্ত। কোন সুপারিশ আছে? দুর্ভাগ্যবশত, ক্রমাগত 'কিছু' করার আমার প্রয়োজনীয়তার কারণে আমি আমার ফোনটি বেশ কিছুটা ব্যবহার করছি। আমি সম্প্রতি নিজের সম্পর্কে কিছু আবিষ্কার করেছি। আমি (আরও ভালো শব্দের অভাবে) বিরক্ত হতে ভয় পাচ্ছি। যদিও আমি লক্ষ্য করেছি যে কেবল আরাম করা এবং বিরক্ত হওয়ার মাধ্যমে, আমি সবসময় কিছু করার জন্য কিছু নিয়ে এসেছি; আমি নিজেকে কেবল বিরক্ত হতে দিতে ভয় পাই বলে মনে হয়। আমি যে বাফারে যাই তা হল আমার ফোন ব্যবহার করা। যা শেষ পর্যন্ত একটি নেতিবাচক চক্রে পরিণত হয় যেখানে আমি যথেষ্ট কাজ না করার বিষয়ে উদ্বিগ্ন এবং সাধারণভাবে কেবল হতাশ বোধ করার মতো উদ্বেগজনক পর্বগুলি উপভোগ করি। এটি কিছুটা বকবক হিসাবে দেখা দিতে শুরু করেছে, তবে আমার এটি প্রয়োজন এবং আমি প্রদত্ত যেকোনো পরামর্শ এবং যেকোনো সহায়ক উপাখ্যানের জন্য কৃতজ্ঞ।</v>
      </c>
    </row>
    <row r="832" spans="1:3" ht="15" x14ac:dyDescent="0.25">
      <c r="A832" s="3" t="s">
        <v>828</v>
      </c>
      <c r="B832" s="3" t="s">
        <v>4</v>
      </c>
      <c r="C832" s="4" t="str">
        <f ca="1">IFERROR(__xludf.DUMMYFUNCTION("GOOGLETRANSLATE(A832, ""auto"", ""bn"")"),"তুমি যদি NA তে থাকো, তাহলে অন্যরা মদ্যপান/অন্যান্য জিনিস ব্যবহার সম্পর্কে কেমন অনুভব করবে? আমি সম্প্রতি দুই বছর ধরে আসক্ত থাকার পর থেকে আফিম থেকে মুক্ত হয়েছি। আমার বয়স ২০ বছর এবং আমি এখনও মদ্যপান করি এবং মাঝে মাঝে কোকেন ব্যবহার করি। আমি আফিম গ্রহণের চেয"&amp;"়ে অনেক বেশি সময় ধরে এগুলো ব্যবহার করে আসছি এবং যখন ইচ্ছা তখন বন্ধ করতে পারি (যেমন, যখন আমি চিকিৎসার জন্য গিয়েছিলাম তখন আমার সপ্তাহে ৩ দিন ড্রাগ টেস্ট করা হচ্ছিল) এবং আমি কখনোই OXY/fentanyl এর মতো আমার অনুভূতি ঠিক করার জন্য এগুলো ব্যবহার করিনি। আমি আমার"&amp;" থেরাপিস্ট এবং চিকিৎসার সময় আমার সংযমী পরামর্শদাতাকে মদ্যপান এবং অন্যান্য জিনিস সম্পর্কে বলেছি, এবং তারা চিন্তিত বলে মনে হচ্ছে না কিন্তু আমার বাবা-মা ক্রমাগত চিন্তিত এবং আমি এখনও আমার স্পনসরকে বলিনি। অন্য কেউ কি এখনও এমন কিছু পান করে বা ব্যবহার করে যা তা"&amp;"দের ডাক্তার ছিল না? আপনার মতামত কী?")</f>
        <v>তুমি যদি NA তে থাকো, তাহলে অন্যরা মদ্যপান/অন্যান্য জিনিস ব্যবহার সম্পর্কে কেমন অনুভব করবে? আমি সম্প্রতি দুই বছর ধরে আসক্ত থাকার পর থেকে আফিম থেকে মুক্ত হয়েছি। আমার বয়স ২০ বছর এবং আমি এখনও মদ্যপান করি এবং মাঝে মাঝে কোকেন ব্যবহার করি। আমি আফিম গ্রহণের চেয়ে অনেক বেশি সময় ধরে এগুলো ব্যবহার করে আসছি এবং যখন ইচ্ছা তখন বন্ধ করতে পারি (যেমন, যখন আমি চিকিৎসার জন্য গিয়েছিলাম তখন আমার সপ্তাহে ৩ দিন ড্রাগ টেস্ট করা হচ্ছিল) এবং আমি কখনোই OXY/fentanyl এর মতো আমার অনুভূতি ঠিক করার জন্য এগুলো ব্যবহার করিনি। আমি আমার থেরাপিস্ট এবং চিকিৎসার সময় আমার সংযমী পরামর্শদাতাকে মদ্যপান এবং অন্যান্য জিনিস সম্পর্কে বলেছি, এবং তারা চিন্তিত বলে মনে হচ্ছে না কিন্তু আমার বাবা-মা ক্রমাগত চিন্তিত এবং আমি এখনও আমার স্পনসরকে বলিনি। অন্য কেউ কি এখনও এমন কিছু পান করে বা ব্যবহার করে যা তাদের ডাক্তার ছিল না? আপনার মতামত কী?</v>
      </c>
    </row>
    <row r="833" spans="1:3" ht="15" x14ac:dyDescent="0.25">
      <c r="A833" s="3" t="s">
        <v>829</v>
      </c>
      <c r="B833" s="3" t="s">
        <v>4</v>
      </c>
      <c r="C833" s="4" t="str">
        <f ca="1">IFERROR(__xludf.DUMMYFUNCTION("GOOGLETRANSLATE(A833, ""auto"", ""bn"")"),"আগাছার আসক্তি আমার কাছে আক্ষরিক অর্থেই মনে হচ্ছে আমার পক্ষে নিয়ন্ত্রিত থাকা অসম্ভব। আমি এমন কিছু পদক্ষেপ নিতে শুরু করেছি যা আমি ভেবেছিলাম কখনও নেশাগ্রস্ত হব না, আমি নিজেকে একজন বোকার মতো অনুভব করি এবং আমি জানি না কী করব। যখন আমার কাছে ড্রাগ সিম থাকে না, "&amp;"কেবল সেগুলি সম্পর্কে চিন্তা করি এবং কীভাবে সেগুলি পাব/এর জন্য অর্থ উপার্জন করব এবং আমি শক্তিহীন বোধ করি, তখন আমার জীবন কেড়ে নেওয়া হয়।")</f>
        <v>আগাছার আসক্তি আমার কাছে আক্ষরিক অর্থেই মনে হচ্ছে আমার পক্ষে নিয়ন্ত্রিত থাকা অসম্ভব। আমি এমন কিছু পদক্ষেপ নিতে শুরু করেছি যা আমি ভেবেছিলাম কখনও নেশাগ্রস্ত হব না, আমি নিজেকে একজন বোকার মতো অনুভব করি এবং আমি জানি না কী করব। যখন আমার কাছে ড্রাগ সিম থাকে না, কেবল সেগুলি সম্পর্কে চিন্তা করি এবং কীভাবে সেগুলি পাব/এর জন্য অর্থ উপার্জন করব এবং আমি শক্তিহীন বোধ করি, তখন আমার জীবন কেড়ে নেওয়া হয়।</v>
      </c>
    </row>
    <row r="834" spans="1:3" ht="15" x14ac:dyDescent="0.25">
      <c r="A834" s="3" t="s">
        <v>830</v>
      </c>
      <c r="B834" s="3" t="s">
        <v>4</v>
      </c>
      <c r="C834" s="4" t="str">
        <f ca="1">IFERROR(__xludf.DUMMYFUNCTION("GOOGLETRANSLATE(A834, ""auto"", ""bn"")"),"আমার ছেলে গাঁজার নেশায় আসক্ত, তার নেশা সে কয়েক ঘন্টার বেশি ঘুম থেকে ওঠে না। যখন সে গাঁজা কিনতে পারে না, তখন হয় সে শেষ হয়ে যায়, নয়তো টাকা পয়সা থাকে না, সে আমাকে মেসেজ করে টাকা চাইতে থাকে, স্প্যাম করে, বারবার বলে। যখন আমি আমার অস্ত্র ধরে রাখি এবং না বলি, তখ"&amp;"ন সে জঘন্য কথা বলে। আমাকে আত্মহত্যা করতে বলে, গালিগালাজ করে, আশা করে যে আমি মরবো, আমাকে ঘৃণা করে, আমি তার জন্য কখনও কিছু করিনি। ইত্যাদি। এটা কি সাধারণ?")</f>
        <v>আমার ছেলে গাঁজার নেশায় আসক্ত, তার নেশা সে কয়েক ঘন্টার বেশি ঘুম থেকে ওঠে না। যখন সে গাঁজা কিনতে পারে না, তখন হয় সে শেষ হয়ে যায়, নয়তো টাকা পয়সা থাকে না, সে আমাকে মেসেজ করে টাকা চাইতে থাকে, স্প্যাম করে, বারবার বলে। যখন আমি আমার অস্ত্র ধরে রাখি এবং না বলি, তখন সে জঘন্য কথা বলে। আমাকে আত্মহত্যা করতে বলে, গালিগালাজ করে, আশা করে যে আমি মরবো, আমাকে ঘৃণা করে, আমি তার জন্য কখনও কিছু করিনি। ইত্যাদি। এটা কি সাধারণ?</v>
      </c>
    </row>
    <row r="835" spans="1:3" ht="15" x14ac:dyDescent="0.25">
      <c r="A835" s="3" t="s">
        <v>831</v>
      </c>
      <c r="B835" s="3" t="s">
        <v>4</v>
      </c>
      <c r="C835" s="4" t="str">
        <f ca="1">IFERROR(__xludf.DUMMYFUNCTION("GOOGLETRANSLATE(A835, ""auto"", ""bn"")"),"২ দিন আগে আমার আবারও নেশা শুরু হয়েছে, আর আমি আমার বান্ধবীকে বলেছিলাম যে, যদি আবার এমনটা হয়, তাহলে হয়তো আমাদের আলাদা হয়ে যাওয়া উচিত। আমি চাই না যে সে আমার ঝামেলায় পড়ুক। আমার ভুল হয়েছে, আমি ক্ষমা চাইছি। সে এখনও আমার সাথে থাকতে চায় এবং আমিও তার সাথে থাকতে চা"&amp;"ই, কিন্তু প্রথমেই এটা বলার জন্য আমার খুব অপরাধবোধ হচ্ছে। কেউ কি এরকম কিছুর মধ্য দিয়ে গেছে? আমি কি একা? আমি যা করেছি তার জন্য আমি নিজেকে ঘৃণা করি।")</f>
        <v>২ দিন আগে আমার আবারও নেশা শুরু হয়েছে, আর আমি আমার বান্ধবীকে বলেছিলাম যে, যদি আবার এমনটা হয়, তাহলে হয়তো আমাদের আলাদা হয়ে যাওয়া উচিত। আমি চাই না যে সে আমার ঝামেলায় পড়ুক। আমার ভুল হয়েছে, আমি ক্ষমা চাইছি। সে এখনও আমার সাথে থাকতে চায় এবং আমিও তার সাথে থাকতে চাই, কিন্তু প্রথমেই এটা বলার জন্য আমার খুব অপরাধবোধ হচ্ছে। কেউ কি এরকম কিছুর মধ্য দিয়ে গেছে? আমি কি একা? আমি যা করেছি তার জন্য আমি নিজেকে ঘৃণা করি।</v>
      </c>
    </row>
    <row r="836" spans="1:3" ht="15" x14ac:dyDescent="0.25">
      <c r="A836" s="3" t="s">
        <v>832</v>
      </c>
      <c r="B836" s="3" t="s">
        <v>4</v>
      </c>
      <c r="C836" s="4" t="str">
        <f ca="1">IFERROR(__xludf.DUMMYFUNCTION("GOOGLETRANSLATE(A836, ""auto"", ""bn"")"),"আমি (২১ ফারেনহাইট)। নিকোটিন এবং গাঁজা সেবনের ৬ বছর হয়ে গেছে। আমি জানি আমার মতো অনেকেই আছেন, কিন্তু আমি কখনও কল্পনাও করিনি যে আমি এই পোস্টগুলির মধ্যে একটিতে যোগাযোগ করব। ধূমপান আমার জীবনের প্রতিটি দিককে প্রভাবিত করেছে। কিছু সময়ের পরে আমি কলেজ ছেড়ে দিয়ে"&amp;"ছিলাম, আমার চাকরি এবং যারা আসলে আমার সুস্থতার যত্ন নেয় তাদের উপর। আমার প্রথম চিন্তা ছিল ইন্টারনেটে অভিযোগ করার পরিবর্তে আমার অভ্যাসগুলি জোর করে ছেড়ে দেওয়ার জন্য হাসপাতালে যাওয়া, কিন্তু আর্থিকভাবে আমি থাকার সামর্থ্য রাখি না। সত্যি বলতে, আমি কেবল এমন কা"&amp;"রো কাছ থেকে কিছু পরামর্শ চাই যারা থামতে চাইছে অথবা আমাকে জানাতে চাই যে আমি একা নই যারা থামতে চাইছে। আমি এমন অনেক লোককে রেখে এসেছি যাদের আমি আমার বন্ধু বলে মনে করতাম, কিন্তু বাস্তবে তারা সকলেই তাদের নিজের জীবনে আসক্ত। তাছাড়া, আমি জানি এটি তাদের মানুষ করে "&amp;"তোলে, কিন্তু আমি অবশেষে নিজেকে আরও উন্নত করতে চাই, এবং আমি জানি এর জন্য কাজ এবং ধৈর্যের প্রয়োজন। এখন বড় হওয়ার সময়। আমি এখন যা করতে চাই তা হল উচ্চাকাঙ্ক্ষা অনুভব করার জন্য একটি গাড়ি কিনতে যাওয়া, কিন্তু বাড়িতে থাকতে অনেক সময় লাগছে।")</f>
        <v>আমি (২১ ফারেনহাইট)। নিকোটিন এবং গাঁজা সেবনের ৬ বছর হয়ে গেছে। আমি জানি আমার মতো অনেকেই আছেন, কিন্তু আমি কখনও কল্পনাও করিনি যে আমি এই পোস্টগুলির মধ্যে একটিতে যোগাযোগ করব। ধূমপান আমার জীবনের প্রতিটি দিককে প্রভাবিত করেছে। কিছু সময়ের পরে আমি কলেজ ছেড়ে দিয়েছিলাম, আমার চাকরি এবং যারা আসলে আমার সুস্থতার যত্ন নেয় তাদের উপর। আমার প্রথম চিন্তা ছিল ইন্টারনেটে অভিযোগ করার পরিবর্তে আমার অভ্যাসগুলি জোর করে ছেড়ে দেওয়ার জন্য হাসপাতালে যাওয়া, কিন্তু আর্থিকভাবে আমি থাকার সামর্থ্য রাখি না। সত্যি বলতে, আমি কেবল এমন কারো কাছ থেকে কিছু পরামর্শ চাই যারা থামতে চাইছে অথবা আমাকে জানাতে চাই যে আমি একা নই যারা থামতে চাইছে। আমি এমন অনেক লোককে রেখে এসেছি যাদের আমি আমার বন্ধু বলে মনে করতাম, কিন্তু বাস্তবে তারা সকলেই তাদের নিজের জীবনে আসক্ত। তাছাড়া, আমি জানি এটি তাদের মানুষ করে তোলে, কিন্তু আমি অবশেষে নিজেকে আরও উন্নত করতে চাই, এবং আমি জানি এর জন্য কাজ এবং ধৈর্যের প্রয়োজন। এখন বড় হওয়ার সময়। আমি এখন যা করতে চাই তা হল উচ্চাকাঙ্ক্ষা অনুভব করার জন্য একটি গাড়ি কিনতে যাওয়া, কিন্তু বাড়িতে থাকতে অনেক সময় লাগছে।</v>
      </c>
    </row>
    <row r="837" spans="1:3" ht="15" x14ac:dyDescent="0.25">
      <c r="A837" s="3" t="s">
        <v>833</v>
      </c>
      <c r="B837" s="3" t="s">
        <v>4</v>
      </c>
      <c r="C837" s="4" t="str">
        <f ca="1">IFERROR(__xludf.DUMMYFUNCTION("GOOGLETRANSLATE(A837, ""auto"", ""bn"")"),"আজ আমি যখন থেকে শুরু করেছিলাম, তখন থেকে আজ পর্যন্ত আমি রিল্যাপসের খুব কাছাকাছি ছিলাম, কিন্তু ভাগ্যক্রমে আমি তা কাটিয়ে উঠতে পেরেছি। আমি পুরনো পদ্ধতিতে ফিরে যাওয়ার কথা খুব ভাবছিলাম কিন্তু চূড়ান্ত লক্ষ্যটি মাথায় রেখেছিলাম। আমি নিজের জন্য একটি স্বাস্থ্যকর"&amp;" এবং উন্নত জীবন চাই, তাই আমি এটি অর্জনের জন্য প্রয়োজনীয় পদক্ষেপ নেব। তাছাড়া, আমি মনে করি সম্ভাব্য রিল্যাপসের মূল কারণ ছিল আমার ফোনের অতিরিক্ত ব্যবহার। কেউ এটিও উল্লেখ করেছে, কিন্তু আমি ভেবেছিলাম এটি আমার নিয়ন্ত্রণে ছিল। আমি খুব কৃতজ্ঞ যে আমি আত্মসমর্পণ"&amp;" করিনি। যাইহোক, আমি অস্বাস্থ্যকর ধরণগুলি বুঝতে পারছি যা আমাকে এই পরিণতিতে নিয়ে গেছে। যেহেতু আমার ফোনটি ইতিমধ্যেই কম ব্যাটারিতে রয়েছে তাই আমি কেবল এটি শেষ করতে দেব এবং নিশ্চিত করব যে পুরো দিন এটি স্পর্শ করব না। আমি নিজেকে আমার ল্যাপটপটি কেবল কিছু ভিডিও গ"&amp;"েম খেলতে বা আমার আগ্রহের বিষয়গুলি সম্পর্কে কিছু গবেষণা করার জন্য ব্যবহার করার অনুমতি দিচ্ছি। আমি এটিকে শাস্তি মনে করি না বরং একটি ""ডিটক্স"" পরিস্থিতি বলে মনে করি যেখানে আমি নিজেকে ইন্টারনেট থেকে পুরো দিন ছুটি দেই। এটি অবশ্যই একটি প্রয়োজনীয় পদক্ষেপ, এব"&amp;"ং আমি আশা করি এটি আমার অগ্রগতিকে আরও এগিয়ে নিয়ে যাবে। এখন পর্যন্ত আপনাদের সকলকে যেভাবে সহযোগিতা করেছেন তার জন্য ধন্যবাদ, এবং আশা করি আগামী ২৪ ঘন্টার মধ্যে আপনাদের সকলের সাথে দেখা হবে!! অনেক ভালোবাসা।")</f>
        <v>আজ আমি যখন থেকে শুরু করেছিলাম, তখন থেকে আজ পর্যন্ত আমি রিল্যাপসের খুব কাছাকাছি ছিলাম, কিন্তু ভাগ্যক্রমে আমি তা কাটিয়ে উঠতে পেরেছি। আমি পুরনো পদ্ধতিতে ফিরে যাওয়ার কথা খুব ভাবছিলাম কিন্তু চূড়ান্ত লক্ষ্যটি মাথায় রেখেছিলাম। আমি নিজের জন্য একটি স্বাস্থ্যকর এবং উন্নত জীবন চাই, তাই আমি এটি অর্জনের জন্য প্রয়োজনীয় পদক্ষেপ নেব। তাছাড়া, আমি মনে করি সম্ভাব্য রিল্যাপসের মূল কারণ ছিল আমার ফোনের অতিরিক্ত ব্যবহার। কেউ এটিও উল্লেখ করেছে, কিন্তু আমি ভেবেছিলাম এটি আমার নিয়ন্ত্রণে ছিল। আমি খুব কৃতজ্ঞ যে আমি আত্মসমর্পণ করিনি। যাইহোক, আমি অস্বাস্থ্যকর ধরণগুলি বুঝতে পারছি যা আমাকে এই পরিণতিতে নিয়ে গেছে। যেহেতু আমার ফোনটি ইতিমধ্যেই কম ব্যাটারিতে রয়েছে তাই আমি কেবল এটি শেষ করতে দেব এবং নিশ্চিত করব যে পুরো দিন এটি স্পর্শ করব না। আমি নিজেকে আমার ল্যাপটপটি কেবল কিছু ভিডিও গেম খেলতে বা আমার আগ্রহের বিষয়গুলি সম্পর্কে কিছু গবেষণা করার জন্য ব্যবহার করার অনুমতি দিচ্ছি। আমি এটিকে শাস্তি মনে করি না বরং একটি "ডিটক্স" পরিস্থিতি বলে মনে করি যেখানে আমি নিজেকে ইন্টারনেট থেকে পুরো দিন ছুটি দেই। এটি অবশ্যই একটি প্রয়োজনীয় পদক্ষেপ, এবং আমি আশা করি এটি আমার অগ্রগতিকে আরও এগিয়ে নিয়ে যাবে। এখন পর্যন্ত আপনাদের সকলকে যেভাবে সহযোগিতা করেছেন তার জন্য ধন্যবাদ, এবং আশা করি আগামী ২৪ ঘন্টার মধ্যে আপনাদের সকলের সাথে দেখা হবে!! অনেক ভালোবাসা।</v>
      </c>
    </row>
    <row r="838" spans="1:3" ht="15" x14ac:dyDescent="0.25">
      <c r="A838" s="3" t="s">
        <v>834</v>
      </c>
      <c r="B838" s="3" t="s">
        <v>4</v>
      </c>
      <c r="C838" s="4" t="str">
        <f ca="1">IFERROR(__xludf.DUMMYFUNCTION("GOOGLETRANSLATE(A838, ""auto"", ""bn"")"),"আজকের দিনটা বেশ অস্বাভাবিক ছিল, কারণ আমার স্বাভাবিক আকাঙ্ক্ষা এবং এর বিরুদ্ধে লড়াই করতে হয়েছিল। তবে, আমি বুঝতে পেরেছিলাম যে আমার সামাজিক দক্ষতাগুলি অনেকটাই অস্থির এবং এর সমাধান প্রয়োজন। আমি সাধারণত একজন বিরক্তিকর ব্যক্তিতে পরিণত হয়েছি যার সাথে আমি আংশি"&amp;"কভাবে সময় কাটাতে পারি, যার জন্য আমার পর্ন ব্যবহারের উপর আংশিকভাবে দোষ দেওয়া ঠিক, কারণ এটি বন্ধুত্ব তৈরি এবং অন্যান্য ধরণের কাজে আমার আগ্রহ কেড়ে নিয়েছে। আমি খুশি যে আমি এটি প্রথম দিকেই বুঝতে পেরেছি এবং আশা করি লকডাউন থেকে মুক্তি পাওয়ার পরে আমি এটি পরি"&amp;"বর্তন করতে শুরু করব। আমার পড়াশোনার জায়গায় আমি যে বয়সের সাথে বেশি পরিচিত হব তার কারণে অসুবিধা হবে, তবে আমি জানি যে আমার এটি করার ক্ষমতা আছে। আপাতত এটুকুই এবং এখানেই একটি উন্নত ভবিষ্যতের জন্য!")</f>
        <v>আজকের দিনটা বেশ অস্বাভাবিক ছিল, কারণ আমার স্বাভাবিক আকাঙ্ক্ষা এবং এর বিরুদ্ধে লড়াই করতে হয়েছিল। তবে, আমি বুঝতে পেরেছিলাম যে আমার সামাজিক দক্ষতাগুলি অনেকটাই অস্থির এবং এর সমাধান প্রয়োজন। আমি সাধারণত একজন বিরক্তিকর ব্যক্তিতে পরিণত হয়েছি যার সাথে আমি আংশিকভাবে সময় কাটাতে পারি, যার জন্য আমার পর্ন ব্যবহারের উপর আংশিকভাবে দোষ দেওয়া ঠিক, কারণ এটি বন্ধুত্ব তৈরি এবং অন্যান্য ধরণের কাজে আমার আগ্রহ কেড়ে নিয়েছে। আমি খুশি যে আমি এটি প্রথম দিকেই বুঝতে পেরেছি এবং আশা করি লকডাউন থেকে মুক্তি পাওয়ার পরে আমি এটি পরিবর্তন করতে শুরু করব। আমার পড়াশোনার জায়গায় আমি যে বয়সের সাথে বেশি পরিচিত হব তার কারণে অসুবিধা হবে, তবে আমি জানি যে আমার এটি করার ক্ষমতা আছে। আপাতত এটুকুই এবং এখানেই একটি উন্নত ভবিষ্যতের জন্য!</v>
      </c>
    </row>
    <row r="839" spans="1:3" ht="15" x14ac:dyDescent="0.25">
      <c r="A839" s="3" t="s">
        <v>835</v>
      </c>
      <c r="B839" s="3" t="s">
        <v>4</v>
      </c>
      <c r="C839" s="4" t="str">
        <f ca="1">IFERROR(__xludf.DUMMYFUNCTION("GOOGLETRANSLATE(A839, ""auto"", ""bn"")"),"আমি নিজেকে মদ্যপ মনে করি না। আমি অবশ্যই মদ্যপান উপভোগ করি, কিন্তু প্রায় সবসময়ই আমি কয়েকটি বিয়ারের মধ্যেই তা ধরে রাখতে পারি। আমার সমস্যা হলো, যখন আমি মাতাল থাকি, তখন আমার মধ্যে আত্মহত্যার চিন্তা আসে। আমি অনেক কথা বলি। আমি বেশ তর্কাতর্কি, খারাপ আচরণ করতে পা"&amp;"রি, এবং তারপর আমি এমন এক পর্যায়ের মধ্য দিয়ে যাই যেখানে আমি ভাবি আমার কি মরে যাওয়া উচিত, মরতে চাই, এবং এটা আমার প্রিয়জনদের উপর কীভাবে প্রভাব ফেলবে। আমার কি AA-তে যাওয়া উচিত? আমার কি শুধু থেরাপিতে যাওয়া উচিত? এটা কি মদ্যপানের লক্ষণ?")</f>
        <v>আমি নিজেকে মদ্যপ মনে করি না। আমি অবশ্যই মদ্যপান উপভোগ করি, কিন্তু প্রায় সবসময়ই আমি কয়েকটি বিয়ারের মধ্যেই তা ধরে রাখতে পারি। আমার সমস্যা হলো, যখন আমি মাতাল থাকি, তখন আমার মধ্যে আত্মহত্যার চিন্তা আসে। আমি অনেক কথা বলি। আমি বেশ তর্কাতর্কি, খারাপ আচরণ করতে পারি, এবং তারপর আমি এমন এক পর্যায়ের মধ্য দিয়ে যাই যেখানে আমি ভাবি আমার কি মরে যাওয়া উচিত, মরতে চাই, এবং এটা আমার প্রিয়জনদের উপর কীভাবে প্রভাব ফেলবে। আমার কি AA-তে যাওয়া উচিত? আমার কি শুধু থেরাপিতে যাওয়া উচিত? এটা কি মদ্যপানের লক্ষণ?</v>
      </c>
    </row>
    <row r="840" spans="1:3" ht="15" x14ac:dyDescent="0.25">
      <c r="A840" s="3" t="s">
        <v>836</v>
      </c>
      <c r="B840" s="3" t="s">
        <v>4</v>
      </c>
      <c r="C840" s="4" t="str">
        <f ca="1">IFERROR(__xludf.DUMMYFUNCTION("GOOGLETRANSLATE(A840, ""auto"", ""bn"")"),"আমার ১৮ বছর বয়সী একটি ছেলে আছে, সে একজন আসক্ত। সে সবকিছুই নেবে, কিন্তু তার জিনিস হলো গাঁজা। সে সম্প্রতি কোকও খাওয়া শুরু করেছে। তাছাড়া, ডিলারদের কাছ থেকে তার ঋণ আছে এবং আমি সেগুলো পরিশোধ করতে পারছি না। যদি জানতাম যে সে আর তা করবে না, তাহলে আমি টাকা খুঁজ"&amp;"ে বের করতাম, কিন্তু ১৪ বছর বয়স থেকেই এটা চলছে এবং ক্রমশ খারাপ হচ্ছে। গত বছর তার সহিংসতার কারণে তাকে অন্যত্র চলে যেতে হয়েছিল। সে আমাকে মারধর করেছে এবং আমার গাড়ি ভেঙে দিয়েছে। তাছাড়া, সে জিনিসপত্র বিক্রি করে দিয়েছে। আমিই তার একমাত্র সহায়, সে তার বাবার"&amp;" সাথে কথা বলে না। সে অ্যান্টিসাইকোটিকস সেবনকারী পরিষেবাগুলিতে জড়িত হয় না এবং আমাদের স্থানীয় AA ধরণের জায়গায় যায় না। সে কাজ করে না। সে কৌশলী কিন্তু সে আমার ছেলে। আমার মেয়ের মতোই তার প্রতি আমার নিঃশর্ত ভালোবাসা আছে। আমি অপরাধবোধে ভুগছি এবং সে তা জানে"&amp;"। তাছাড়া, আমি জানি না কীভাবে সীমা নির্ধারণ করতে হয় এবং কোন সীমা নির্ধারণ করা উচিত। তাছাড়া, আমি মানসিকভাবে লড়াই করছি আমি অ্যান্টিডিপ্রেসেন্ট সেবন করছি এবং মনে হচ্ছে আমি ডুবে যাচ্ছি। তাছাড়া, আমি সবসময় তার জন্য ভয় পাই।")</f>
        <v>আমার ১৮ বছর বয়সী একটি ছেলে আছে, সে একজন আসক্ত। সে সবকিছুই নেবে, কিন্তু তার জিনিস হলো গাঁজা। সে সম্প্রতি কোকও খাওয়া শুরু করেছে। তাছাড়া, ডিলারদের কাছ থেকে তার ঋণ আছে এবং আমি সেগুলো পরিশোধ করতে পারছি না। যদি জানতাম যে সে আর তা করবে না, তাহলে আমি টাকা খুঁজে বের করতাম, কিন্তু ১৪ বছর বয়স থেকেই এটা চলছে এবং ক্রমশ খারাপ হচ্ছে। গত বছর তার সহিংসতার কারণে তাকে অন্যত্র চলে যেতে হয়েছিল। সে আমাকে মারধর করেছে এবং আমার গাড়ি ভেঙে দিয়েছে। তাছাড়া, সে জিনিসপত্র বিক্রি করে দিয়েছে। আমিই তার একমাত্র সহায়, সে তার বাবার সাথে কথা বলে না। সে অ্যান্টিসাইকোটিকস সেবনকারী পরিষেবাগুলিতে জড়িত হয় না এবং আমাদের স্থানীয় AA ধরণের জায়গায় যায় না। সে কাজ করে না। সে কৌশলী কিন্তু সে আমার ছেলে। আমার মেয়ের মতোই তার প্রতি আমার নিঃশর্ত ভালোবাসা আছে। আমি অপরাধবোধে ভুগছি এবং সে তা জানে। তাছাড়া, আমি জানি না কীভাবে সীমা নির্ধারণ করতে হয় এবং কোন সীমা নির্ধারণ করা উচিত। তাছাড়া, আমি মানসিকভাবে লড়াই করছি আমি অ্যান্টিডিপ্রেসেন্ট সেবন করছি এবং মনে হচ্ছে আমি ডুবে যাচ্ছি। তাছাড়া, আমি সবসময় তার জন্য ভয় পাই।</v>
      </c>
    </row>
    <row r="841" spans="1:3" ht="15" x14ac:dyDescent="0.25">
      <c r="A841" s="3" t="s">
        <v>837</v>
      </c>
      <c r="B841" s="3" t="s">
        <v>4</v>
      </c>
      <c r="C841" s="4" t="str">
        <f ca="1">IFERROR(__xludf.DUMMYFUNCTION("GOOGLETRANSLATE(A841, ""auto"", ""bn"")"),"আজ আমি স্বাভাবিকের চেয়ে অনেক বেশি কাজ করেছি, যা প্রায় দূরের স্মৃতির মতো মনে হচ্ছে। সাধারণত আমার স্বাভাবিক দিনটি (হয়তো) একটি উৎপাদনশীল কাজ করে এবং বাকি দিনটা আমি সেই ঢেউয়ের উপর ভর করে কাটাই। তবে আজ নিজেকে কাজে লাগানো অনেক সহজ মনে হয়েছে। ঘুম থেকে উঠেই ম"&amp;"নে হচ্ছিল কিছু বাগান করার ইচ্ছা হচ্ছে এবং... আমি এটা করেছি। তাছাড়া, আমি পার্কে দ্রুত জগিং করতে গিয়ে লাফিয়ে লাফিয়ে ব্যায়াম করেছি। তাছাড়া, আমার সারা শরীর ব্যথা করছে, এবং আমি জানি আগামীকাল ঘুম থেকে ওঠা নিজেই একটা ঝামেলার কাজ হবে???? যদিও আমি একটি স্বাস"&amp;"্থ্যকর জীবনধারা গড়ে তোলার প্রচেষ্টা করার জন্য নিজেকে ভালো বোধ করি। যাইহোক, সেবনের অভাবের প্রভাব পড়তে শুরু করেছে। আমার সেরোটোনিনের মাত্রা এখন স্বাভাবিকের চেয়ে কম হওয়ায় আমি আরও আবেগপ্রবণ হয়ে উঠছি এবং পুরানো অনুভূতি এবং ব্যক্তিত্বের কিছু অংশ উঠে আসছে। "&amp;"আমি এটিকে আমার অবচেতন মন এই জিনিসগুলির সাথে মানিয়ে নেওয়ার জন্য বেছে নিচ্ছি এবং এটি চূড়ান্ত লক্ষ্যের জন্য একটি প্রয়োজনীয় পথ। আমি ক্লান্ত n")</f>
        <v>আজ আমি স্বাভাবিকের চেয়ে অনেক বেশি কাজ করেছি, যা প্রায় দূরের স্মৃতির মতো মনে হচ্ছে। সাধারণত আমার স্বাভাবিক দিনটি (হয়তো) একটি উৎপাদনশীল কাজ করে এবং বাকি দিনটা আমি সেই ঢেউয়ের উপর ভর করে কাটাই। তবে আজ নিজেকে কাজে লাগানো অনেক সহজ মনে হয়েছে। ঘুম থেকে উঠেই মনে হচ্ছিল কিছু বাগান করার ইচ্ছা হচ্ছে এবং... আমি এটা করেছি। তাছাড়া, আমি পার্কে দ্রুত জগিং করতে গিয়ে লাফিয়ে লাফিয়ে ব্যায়াম করেছি। তাছাড়া, আমার সারা শরীর ব্যথা করছে, এবং আমি জানি আগামীকাল ঘুম থেকে ওঠা নিজেই একটা ঝামেলার কাজ হবে???? যদিও আমি একটি স্বাস্থ্যকর জীবনধারা গড়ে তোলার প্রচেষ্টা করার জন্য নিজেকে ভালো বোধ করি। যাইহোক, সেবনের অভাবের প্রভাব পড়তে শুরু করেছে। আমার সেরোটোনিনের মাত্রা এখন স্বাভাবিকের চেয়ে কম হওয়ায় আমি আরও আবেগপ্রবণ হয়ে উঠছি এবং পুরানো অনুভূতি এবং ব্যক্তিত্বের কিছু অংশ উঠে আসছে। আমি এটিকে আমার অবচেতন মন এই জিনিসগুলির সাথে মানিয়ে নেওয়ার জন্য বেছে নিচ্ছি এবং এটি চূড়ান্ত লক্ষ্যের জন্য একটি প্রয়োজনীয় পথ। আমি ক্লান্ত n</v>
      </c>
    </row>
    <row r="842" spans="1:3" ht="15" x14ac:dyDescent="0.25">
      <c r="A842" s="3" t="s">
        <v>838</v>
      </c>
      <c r="B842" s="3" t="s">
        <v>4</v>
      </c>
      <c r="C842" s="4" t="str">
        <f ca="1">IFERROR(__xludf.DUMMYFUNCTION("GOOGLETRANSLATE(A842, ""auto"", ""bn"")"),"গতকালের তুলনায় আজ অনেক ভালো ছিল, সারাদিন আমার অনেক প্রলোভন ছিল কিন্তু কোন না কোনভাবে সেগুলো ত্যাগ করা এবং আমার মনকে নিয়ন্ত্রণ করা অনেক সহজ হয়ে গেছে। আমি আমার নিজের শরীরে অনেক বেশি শক্তি অনুভব করি (যদি তা যুক্তিসঙ্গত হয়)। আমি এই অনুভূতিটি একেবারে উপভোগ "&amp;"করি এবং এখন জানি যে এটিই আমার নিজের জন্য করা উচিত। অনেক বছর পরে আমি জানি যে আমি পিছনে ফিরে তাকাবো এবং এখন যে প্রচেষ্টা করেছি তার প্রশংসা করব। আমার নতুন বাস্তবায়িত নিয়মগুলির কারণে আমি ধীরে ধীরে আমার আত্মসম্মান ফিরে পাচ্ছি এবং নিজেকে আরও ভালোভাবে ব্যবহার "&amp;"করছি। আমি প্রতি রাতে আমার ফোনটি নাগালের বাইরে রাখি এবং ঘুমাতে যাওয়ার আগে আমার বইয়ের কয়েক পৃষ্ঠা পড়ি। আমি এখন অনেক সহজে ঘুম থেকে উঠি এবং দিনটি গ্রহণ করার জন্য আরও প্রস্তুত বোধ করি। তাছাড়া, আমি এখনও কয়েক বছর আগে যে জ্ঞানীয় কার্যকলাপের স্তরে ছিলাম তার"&amp;" কাছাকাছি নেই তবে এই ছোট কিন্তু অর্থপূর্ণ অগ্রগতি আমার কাছে অনেক অর্থবহ। আজ বেশ মজার ছিল। আমি দেরিতে ঘুম থেকে উঠে কিছুক্ষণ ইন্টারনেট ব্রাউজ করেছি। অবশেষে আমি আবার ব্যায়াম শুরু করেছি যা আমার ছোট বিরতির পরে দুর্দান্ত অনুভূত হয়েছিল। আমার ব্রেসের রক্ষণাবেক্"&amp;"ষণের জন্য দ্রুত দাঁতের পরীক্ষা করালাম, এবং তারপর আমি এই বাগান প্রকল্পটি শুরু করলাম যা আমি কিছুক্ষণের জন্য বিলম্বিত করেছিলাম। আমি এটি ভোর ৩টায় টাইপ করছি তাই সম্ভাব্য অসঙ্গতি উপেক্ষা করা যাক হা হা! তবুও, মাত্র ৩ দিন ধরে আমি নিজের সাথে আরও শান্তি বোধ করছি এ"&amp;"বং এত ক্লান্ত বোধ করছি না। আমি ধীরে ধীরে বুঝতে শুরু করেছি যে আমি নিজের জন্য যে আত্ম-ধ্বংসাত্মক ধরণগুলি তৈরি করেছি যা গুরুত্বপূর্ণ এবং এর সমাধান করা প্রয়োজন। দিনের জন্য এটুকুই, এবং এখানে থাকার জন্য ধন্যবাদ!")</f>
        <v>গতকালের তুলনায় আজ অনেক ভালো ছিল, সারাদিন আমার অনেক প্রলোভন ছিল কিন্তু কোন না কোনভাবে সেগুলো ত্যাগ করা এবং আমার মনকে নিয়ন্ত্রণ করা অনেক সহজ হয়ে গেছে। আমি আমার নিজের শরীরে অনেক বেশি শক্তি অনুভব করি (যদি তা যুক্তিসঙ্গত হয়)। আমি এই অনুভূতিটি একেবারে উপভোগ করি এবং এখন জানি যে এটিই আমার নিজের জন্য করা উচিত। অনেক বছর পরে আমি জানি যে আমি পিছনে ফিরে তাকাবো এবং এখন যে প্রচেষ্টা করেছি তার প্রশংসা করব। আমার নতুন বাস্তবায়িত নিয়মগুলির কারণে আমি ধীরে ধীরে আমার আত্মসম্মান ফিরে পাচ্ছি এবং নিজেকে আরও ভালোভাবে ব্যবহার করছি। আমি প্রতি রাতে আমার ফোনটি নাগালের বাইরে রাখি এবং ঘুমাতে যাওয়ার আগে আমার বইয়ের কয়েক পৃষ্ঠা পড়ি। আমি এখন অনেক সহজে ঘুম থেকে উঠি এবং দিনটি গ্রহণ করার জন্য আরও প্রস্তুত বোধ করি। তাছাড়া, আমি এখনও কয়েক বছর আগে যে জ্ঞানীয় কার্যকলাপের স্তরে ছিলাম তার কাছাকাছি নেই তবে এই ছোট কিন্তু অর্থপূর্ণ অগ্রগতি আমার কাছে অনেক অর্থবহ। আজ বেশ মজার ছিল। আমি দেরিতে ঘুম থেকে উঠে কিছুক্ষণ ইন্টারনেট ব্রাউজ করেছি। অবশেষে আমি আবার ব্যায়াম শুরু করেছি যা আমার ছোট বিরতির পরে দুর্দান্ত অনুভূত হয়েছিল। আমার ব্রেসের রক্ষণাবেক্ষণের জন্য দ্রুত দাঁতের পরীক্ষা করালাম, এবং তারপর আমি এই বাগান প্রকল্পটি শুরু করলাম যা আমি কিছুক্ষণের জন্য বিলম্বিত করেছিলাম। আমি এটি ভোর ৩টায় টাইপ করছি তাই সম্ভাব্য অসঙ্গতি উপেক্ষা করা যাক হা হা! তবুও, মাত্র ৩ দিন ধরে আমি নিজের সাথে আরও শান্তি বোধ করছি এবং এত ক্লান্ত বোধ করছি না। আমি ধীরে ধীরে বুঝতে শুরু করেছি যে আমি নিজের জন্য যে আত্ম-ধ্বংসাত্মক ধরণগুলি তৈরি করেছি যা গুরুত্বপূর্ণ এবং এর সমাধান করা প্রয়োজন। দিনের জন্য এটুকুই, এবং এখানে থাকার জন্য ধন্যবাদ!</v>
      </c>
    </row>
    <row r="843" spans="1:3" ht="15" x14ac:dyDescent="0.25">
      <c r="A843" s="3" t="s">
        <v>839</v>
      </c>
      <c r="B843" s="3" t="s">
        <v>4</v>
      </c>
      <c r="C843" s="4" t="str">
        <f ca="1">IFERROR(__xludf.DUMMYFUNCTION("GOOGLETRANSLATE(A843, ""auto"", ""bn"")"),"আমি এখানে এসেছি কারণ আমার স্ত্রী মদ্যপানের আসক্তি স্বীকার করেছে। এর সাথে অনেক কিছু জড়িত এবং আমি সংক্ষেপে বলতে চাই। সময়ের সাথে সাথে (একসাথে ১০ বছর ধরে) এটি বেরিয়ে এসেছে, এবং আমি অনিচ্ছাকৃতভাবে এতে অবদান রেখেছি। আমি এটি সম্পর্কে ভয়াবহ বোধ করি, এবং কী ঘটছ"&amp;"ে তা পুরোপুরি বুঝতে পারিনি। যদিও সে পুরোপুরি মদ্যপ নয় এই অর্থে যে এটি নিয়ন্ত্রণের বাইরে চলে যাচ্ছে, সম্প্রতি এমন গুরুতর সমস্যা দেখা দিয়েছে যা এই বিষয়টিকে আলোকপাত করেছে। আমি আসক্তি সম্পর্কে ধারণা করতে পারছি না বা কীভাবে সঠিকভাবে সাহায্য করতে পারি তা বু"&amp;"ঝতে পারছি না। ব্যক্তিগতভাবে আমি ব্যক্তিগতভাবে নিয়ন্ত্রণ না থাকার অনুভূতি ঘৃণা করি এবং আমার মদ্যপানকে সহজেই নিয়ন্ত্রণে রাখি। আমার স্ত্রীও স্বীকার করেছেন, এবং আমি বুঝতে পেরেছি যে, সে সম্পূর্ণ ভিন্ন ব্যক্তি হয়ে ওঠে যা কেবল তার মদ্যপানের অনুকরণ করে। গুরুত্"&amp;"বপূর্ণ বিষয়: আমরা সাধারণভাবে স্বাস্থ্য ভিত্তিক (পরিষ্কার খাদ্য, নিয়মিত ফিটনেস ইত্যাদি)। ওয়াইন হল খারাপ দিক, কিন্তু যদি আরও (তার জন্য) বিকল্প থাকে তবে ""শুধুমাত্র একটি পানীয়"" বলে কিছু নেই। আমরা দুজনেই দুই মাস ধরে চলা একটি দৌড়ের প্রস্তুতিতে ব্যস্ত ছিল"&amp;"াম, এবং এটি দুর্দান্ত ছিল। তারপর থেকে, আমরা মাঝে মাঝে (এবং খুব সীমিত) মদ্যপান শুরু করেছি; রেফারেন্সের জন্য, আমরা এক বোতল ওয়াইন ভাগ করে নেব, অথবা একটি পরিকল্পিত ভ্রমণে সর্বাধিক দুটি পানীয় পান করব, যার মধ্যে বেশ কয়েকটি শুকনো দিন থাকবে। আমাদের বাড়িতে কোন"&amp;"ও অ্যালকোহল কেবল তাকের উপর পড়ে থাকবে। স্বাস্থ্যকর সহায়তার স্বার্থে, আমি এই চ্যালেঞ্জটি কাটিয়ে উঠতে আমার স্ত্রীর জন্য একটি ইতিবাচক স্থান বজায় রাখার জন্য অবদান রাখার উপায় খুঁজছি। আমার কোনও আসক্তির মানসিকতা আরও ভালভাবে বুঝতে হবে না (আমি যদি কিছু বিষয় স"&amp;"্পষ্টভাবে উত্থাপন করি তবে আমার স্ত্রী খুব রক্ষণাত্মক হয়ে ওঠে)। আমার মনে হয় এটি আমার বাইরে বাইরের হস্তক্ষেপ ছাড়াই পরিচালনা করা যেতে পারে। তদুপরি, আমি তার আসক্তিকে স্পষ্টভাবে নেতিবাচক অর্থে তুলে না ফেলে এটি করতে চাই যা স্বাভাবিক বলে মনে হয়। এই পদ্ধতির স"&amp;"াথে যেকোনো সম্পদ বা পরামর্শ অনেক সাহায্য করবে।")</f>
        <v>আমি এখানে এসেছি কারণ আমার স্ত্রী মদ্যপানের আসক্তি স্বীকার করেছে। এর সাথে অনেক কিছু জড়িত এবং আমি সংক্ষেপে বলতে চাই। সময়ের সাথে সাথে (একসাথে ১০ বছর ধরে) এটি বেরিয়ে এসেছে, এবং আমি অনিচ্ছাকৃতভাবে এতে অবদান রেখেছি। আমি এটি সম্পর্কে ভয়াবহ বোধ করি, এবং কী ঘটছে তা পুরোপুরি বুঝতে পারিনি। যদিও সে পুরোপুরি মদ্যপ নয় এই অর্থে যে এটি নিয়ন্ত্রণের বাইরে চলে যাচ্ছে, সম্প্রতি এমন গুরুতর সমস্যা দেখা দিয়েছে যা এই বিষয়টিকে আলোকপাত করেছে। আমি আসক্তি সম্পর্কে ধারণা করতে পারছি না বা কীভাবে সঠিকভাবে সাহায্য করতে পারি তা বুঝতে পারছি না। ব্যক্তিগতভাবে আমি ব্যক্তিগতভাবে নিয়ন্ত্রণ না থাকার অনুভূতি ঘৃণা করি এবং আমার মদ্যপানকে সহজেই নিয়ন্ত্রণে রাখি। আমার স্ত্রীও স্বীকার করেছেন, এবং আমি বুঝতে পেরেছি যে, সে সম্পূর্ণ ভিন্ন ব্যক্তি হয়ে ওঠে যা কেবল তার মদ্যপানের অনুকরণ করে। গুরুত্বপূর্ণ বিষয়: আমরা সাধারণভাবে স্বাস্থ্য ভিত্তিক (পরিষ্কার খাদ্য, নিয়মিত ফিটনেস ইত্যাদি)। ওয়াইন হল খারাপ দিক, কিন্তু যদি আরও (তার জন্য) বিকল্প থাকে তবে "শুধুমাত্র একটি পানীয়" বলে কিছু নেই। আমরা দুজনেই দুই মাস ধরে চলা একটি দৌড়ের প্রস্তুতিতে ব্যস্ত ছিলাম, এবং এটি দুর্দান্ত ছিল। তারপর থেকে, আমরা মাঝে মাঝে (এবং খুব সীমিত) মদ্যপান শুরু করেছি; রেফারেন্সের জন্য, আমরা এক বোতল ওয়াইন ভাগ করে নেব, অথবা একটি পরিকল্পিত ভ্রমণে সর্বাধিক দুটি পানীয় পান করব, যার মধ্যে বেশ কয়েকটি শুকনো দিন থাকবে। আমাদের বাড়িতে কোনও অ্যালকোহল কেবল তাকের উপর পড়ে থাকবে। স্বাস্থ্যকর সহায়তার স্বার্থে, আমি এই চ্যালেঞ্জটি কাটিয়ে উঠতে আমার স্ত্রীর জন্য একটি ইতিবাচক স্থান বজায় রাখার জন্য অবদান রাখার উপায় খুঁজছি। আমার কোনও আসক্তির মানসিকতা আরও ভালভাবে বুঝতে হবে না (আমি যদি কিছু বিষয় স্পষ্টভাবে উত্থাপন করি তবে আমার স্ত্রী খুব রক্ষণাত্মক হয়ে ওঠে)। আমার মনে হয় এটি আমার বাইরে বাইরের হস্তক্ষেপ ছাড়াই পরিচালনা করা যেতে পারে। তদুপরি, আমি তার আসক্তিকে স্পষ্টভাবে নেতিবাচক অর্থে তুলে না ফেলে এটি করতে চাই যা স্বাভাবিক বলে মনে হয়। এই পদ্ধতির সাথে যেকোনো সম্পদ বা পরামর্শ অনেক সাহায্য করবে।</v>
      </c>
    </row>
    <row r="844" spans="1:3" ht="15" x14ac:dyDescent="0.25">
      <c r="A844" s="3" t="s">
        <v>840</v>
      </c>
      <c r="B844" s="3" t="s">
        <v>4</v>
      </c>
      <c r="C844" s="4" t="str">
        <f ca="1">IFERROR(__xludf.DUMMYFUNCTION("GOOGLETRANSLATE(A844, ""auto"", ""bn"")"),"আমি ২০ বছর ধরে RuneScape খেলছি, গত ১০ বছর ধরে প্রতিদিন ৬ ঘন্টা সময় ব্যয় করেছি গাছ এবং পাথর কেটে, আমি সর্বোচ্চ ৫০টিরও বেশি অ্যাকাউন্ট তৈরি করেছি। এর মধ্যে ২০টিতেই Comp আছে। আমি প্রচুর টাকা জমা করেছি, পার্টি টুপি এবং অন্যান্য বন্ধ থাকা জিনিসপত্র সংগ্রহ কর"&amp;"ে +৯০০B ব্যাংকে রেখেছি। আমি জীবনের দুই দশক ধরে এলিনরের উপর রাজত্ব করেছি, আমাকে পদত্যাগ করতে হবে। তাছাড়া, আমার একটি সন্তান আছে, একজন হকার গর্ভবতী হয়ে পড়ে, যেখানে আমি থাকি সেখানে গর্ভপাত করা অবৈধ। তাছাড়া, আমি এর থেকে বেরিয়ে আসার চেষ্টা করেছি, কিন্তু তা"&amp;"রপর তার মা আমার খালাকে ফোন করেছিলেন, যিনি আমার মাকে ফোন করেছিলেন, এবং এখন আমাকে বাচ্চাটিকে গ্রহণ করতে হবে এবং বড় করতে হবে। তাছাড়া, আমি যদি অন্যথা না করি তবে আমাকে ত্যাগ করা হবে। তাই আমাকে আমার RuneScape জীবনধারা ছেড়ে দিতে হবে এবং বড় হতে শুরু করতে হবে।")</f>
        <v>আমি ২০ বছর ধরে RuneScape খেলছি, গত ১০ বছর ধরে প্রতিদিন ৬ ঘন্টা সময় ব্যয় করেছি গাছ এবং পাথর কেটে, আমি সর্বোচ্চ ৫০টিরও বেশি অ্যাকাউন্ট তৈরি করেছি। এর মধ্যে ২০টিতেই Comp আছে। আমি প্রচুর টাকা জমা করেছি, পার্টি টুপি এবং অন্যান্য বন্ধ থাকা জিনিসপত্র সংগ্রহ করে +৯০০B ব্যাংকে রেখেছি। আমি জীবনের দুই দশক ধরে এলিনরের উপর রাজত্ব করেছি, আমাকে পদত্যাগ করতে হবে। তাছাড়া, আমার একটি সন্তান আছে, একজন হকার গর্ভবতী হয়ে পড়ে, যেখানে আমি থাকি সেখানে গর্ভপাত করা অবৈধ। তাছাড়া, আমি এর থেকে বেরিয়ে আসার চেষ্টা করেছি, কিন্তু তারপর তার মা আমার খালাকে ফোন করেছিলেন, যিনি আমার মাকে ফোন করেছিলেন, এবং এখন আমাকে বাচ্চাটিকে গ্রহণ করতে হবে এবং বড় করতে হবে। তাছাড়া, আমি যদি অন্যথা না করি তবে আমাকে ত্যাগ করা হবে। তাই আমাকে আমার RuneScape জীবনধারা ছেড়ে দিতে হবে এবং বড় হতে শুরু করতে হবে।</v>
      </c>
    </row>
    <row r="845" spans="1:3" ht="15" x14ac:dyDescent="0.25">
      <c r="A845" s="3" t="s">
        <v>841</v>
      </c>
      <c r="B845" s="3" t="s">
        <v>4</v>
      </c>
      <c r="C845" s="4" t="str">
        <f ca="1">IFERROR(__xludf.DUMMYFUNCTION("GOOGLETRANSLATE(A845, ""auto"", ""bn"")"),"আমার সাহায্যের প্রয়োজন, কর্মক্ষেত্রে খুব তীব্র আকাঙ্ক্ষা, ছোটখাটো কাজ সবসময়ই একটি উদ্দীপক পরিস্থিতি হয়ে এসেছে। আমার সাহায্যের প্রয়োজন, দয়া করে একঘেয়েমি এবং ভয়ের সাথে মোকাবিলা করুন, এমন পরিস্থিতিতে যখন মুদি দোকান বা রেস্তোরাঁয় কাজ করা আমার পক্ষে কঠিন হয়ে "&amp;"পড়ে, যেখানে আমি আর কিছুই করতে পারি না, কেবল কাজ চালিয়ে যেতে পারি, কাজে আটকে থাকাকালীন আকাঙ্ক্ষাকে দূরে রাখতে কারও সাহায্য পাওয়া যায় (যেখানে কাজ নিজেই মূল কারণ)। দয়া করে আমাকে সাহায্য করুন। আমি জানি না আমি আর কতক্ষণ ধরে রাখতে পারব, আমি দুবার পুনর্বাসনে গি"&amp;"য়েছি এবং জানি যে এটি সর্বত্র একটি খারাপ ধারণা, কিন্তু আকাঙ্ক্ষা এত তীব্র যে দয়া করে সাহায্য করুন।")</f>
        <v>আমার সাহায্যের প্রয়োজন, কর্মক্ষেত্রে খুব তীব্র আকাঙ্ক্ষা, ছোটখাটো কাজ সবসময়ই একটি উদ্দীপক পরিস্থিতি হয়ে এসেছে। আমার সাহায্যের প্রয়োজন, দয়া করে একঘেয়েমি এবং ভয়ের সাথে মোকাবিলা করুন, এমন পরিস্থিতিতে যখন মুদি দোকান বা রেস্তোরাঁয় কাজ করা আমার পক্ষে কঠিন হয়ে পড়ে, যেখানে আমি আর কিছুই করতে পারি না, কেবল কাজ চালিয়ে যেতে পারি, কাজে আটকে থাকাকালীন আকাঙ্ক্ষাকে দূরে রাখতে কারও সাহায্য পাওয়া যায় (যেখানে কাজ নিজেই মূল কারণ)। দয়া করে আমাকে সাহায্য করুন। আমি জানি না আমি আর কতক্ষণ ধরে রাখতে পারব, আমি দুবার পুনর্বাসনে গিয়েছি এবং জানি যে এটি সর্বত্র একটি খারাপ ধারণা, কিন্তু আকাঙ্ক্ষা এত তীব্র যে দয়া করে সাহায্য করুন।</v>
      </c>
    </row>
    <row r="846" spans="1:3" ht="15" x14ac:dyDescent="0.25">
      <c r="A846" s="3" t="s">
        <v>842</v>
      </c>
      <c r="B846" s="3" t="s">
        <v>4</v>
      </c>
      <c r="C846" s="4" t="str">
        <f ca="1">IFERROR(__xludf.DUMMYFUNCTION("GOOGLETRANSLATE(A846, ""auto"", ""bn"")"),"১৭ মিনিট। সম্প্রতি আমি একটি চ্যাট সাইট ব্যবহার শুরু করেছি যেখানে আমি অনলাইনে যৌন কার্যকলাপ যেমন সেক্সটিং ইত্যাদিতে সক্রিয়ভাবে অংশীদারদের খুঁজে বের করতে পারব। আমি আজই স্থায়ীভাবে ছেড়ে দেওয়ার সিদ্ধান্ত নিয়েছি, এবং আমি আমার শক্তিকে আরও উৎপাদনশীল বিষয়গুল"&amp;"িতে পুনঃনির্দেশিত করতে যাচ্ছি যেমন শখ গড়ে তোলা এবং একাধিক আগ্রহ খুঁজে বের করা এবং বজায় রাখা। সম্ভব হলে আমি সারাদিন নিজেকে ব্যস্ত রাখতে চাই এবং নিশ্চিত করতে চাই যে সবসময় আমার হাতে এমন কিছু আছে যা আমি হয় কাজ করছি অথবা কেবল তালগোল পাকিয়ে যাচ্ছি। তাই আমি"&amp;" রেডিটের দিকে ঝুঁকছি, আমার দিনটি পূরণ করা উচিত এমন কার্যকলাপ সম্পর্কে পরামর্শের জন্য উন্মুক্ত (আমার দেশে বর্তমানে সম্পূর্ণ লকডাউন চলছে তাই অভ্যন্তরীণ কার্যকলাপগুলি প্রশংসা করা হয়)। আমাকে ডিএম করতে বা এখানে আপনার মতামত টাইপ করতে দ্বিধা করবেন না। এছাড়াও, "&amp;"আমি সত্যিই কৃতজ্ঞ থাকব কিছু প্রাক্তন আসক্ত ব্যক্তিদের জন্য, যারা বর্তমানে তাদের সংযমের জন্য লড়াই করছেন অথবা সর্বোপরি কিছু লাইফ কোচ আমার ডিএমএসের সাথে একটি মিনি সাপোর্ট গ্রুপের জন্য যোগাযোগ করার জন্য।")</f>
        <v>১৭ মিনিট। সম্প্রতি আমি একটি চ্যাট সাইট ব্যবহার শুরু করেছি যেখানে আমি অনলাইনে যৌন কার্যকলাপ যেমন সেক্সটিং ইত্যাদিতে সক্রিয়ভাবে অংশীদারদের খুঁজে বের করতে পারব। আমি আজই স্থায়ীভাবে ছেড়ে দেওয়ার সিদ্ধান্ত নিয়েছি, এবং আমি আমার শক্তিকে আরও উৎপাদনশীল বিষয়গুলিতে পুনঃনির্দেশিত করতে যাচ্ছি যেমন শখ গড়ে তোলা এবং একাধিক আগ্রহ খুঁজে বের করা এবং বজায় রাখা। সম্ভব হলে আমি সারাদিন নিজেকে ব্যস্ত রাখতে চাই এবং নিশ্চিত করতে চাই যে সবসময় আমার হাতে এমন কিছু আছে যা আমি হয় কাজ করছি অথবা কেবল তালগোল পাকিয়ে যাচ্ছি। তাই আমি রেডিটের দিকে ঝুঁকছি, আমার দিনটি পূরণ করা উচিত এমন কার্যকলাপ সম্পর্কে পরামর্শের জন্য উন্মুক্ত (আমার দেশে বর্তমানে সম্পূর্ণ লকডাউন চলছে তাই অভ্যন্তরীণ কার্যকলাপগুলি প্রশংসা করা হয়)। আমাকে ডিএম করতে বা এখানে আপনার মতামত টাইপ করতে দ্বিধা করবেন না। এছাড়াও, আমি সত্যিই কৃতজ্ঞ থাকব কিছু প্রাক্তন আসক্ত ব্যক্তিদের জন্য, যারা বর্তমানে তাদের সংযমের জন্য লড়াই করছেন অথবা সর্বোপরি কিছু লাইফ কোচ আমার ডিএমএসের সাথে একটি মিনি সাপোর্ট গ্রুপের জন্য যোগাযোগ করার জন্য।</v>
      </c>
    </row>
    <row r="847" spans="1:3" ht="15" x14ac:dyDescent="0.25">
      <c r="A847" s="3" t="s">
        <v>843</v>
      </c>
      <c r="B847" s="3" t="s">
        <v>4</v>
      </c>
      <c r="C847" s="4" t="str">
        <f ca="1">IFERROR(__xludf.DUMMYFUNCTION("GOOGLETRANSLATE(A847, ""auto"", ""bn"")"),"কোয়ারেন্টাইনের সময় কেউ আমাকে একটা পিসি দিলেই সব শুরু হয়েছিল। আর তারপর অবশ্যই প্রথমেই যে জিনিসটা মনে আসে তা হলো ভিডিও গেম। তাই আমি ভিডিও গেম এবং অন্যান্য জিনিসপত্র ইনস্টল করেছিলাম। আর তারপর একসময় বাবা ভাবলেন যে আমার পিসি ব্যবহার কমানো উচিত, কিন্তু আমি কা"&amp;"ন দিলাম না। আর তারপর আমি নিজেকে নিয়ন্ত্রণ করতে পারছিলাম না এবং প্রায় সবসময় ভিডিও গেম খেলতে শুরু করেছিলাম। যার ফলে দায়িত্ববোধের অভাব এবং খারাপ সময় ব্যবস্থাপনা দেখা দেয়। আর তাই আমার বাবা আমার উপর রাগ করতে শুরু করেছিলেন যেগুলো আমার করা উচিত ছিল। আর নিয়ম মে"&amp;"নে চলতে শুরু করেছিলাম, কিন্তু অবশ্যই আমি অমান্য করে খেলতাম এবং যখন কেউ আশেপাশে থাকত না তখনই খেলতাম। কিন্তু এর অবসান ঘটে যখন আমাকে বারবার ধরা পড়তে হয়, যার ফলে আমার বাবা আমার উপর এতটাই রেগে যেতেন যে আমার মন ভেঙে যেত। আর এখন আমার মনে হয় আমার নিজের এবং আমার প"&amp;"রিবারের ভালোর জন্য আমার নিজেকে পরিষ্কার করে বদলানো উচিত। যিনি এই লেখাটি পড়ার জন্য সময় নিয়েছেন, তার জন্য ধন্যবাদ, আশা করি আপনার দিনটি ভালো কাটবে।")</f>
        <v>কোয়ারেন্টাইনের সময় কেউ আমাকে একটা পিসি দিলেই সব শুরু হয়েছিল। আর তারপর অবশ্যই প্রথমেই যে জিনিসটা মনে আসে তা হলো ভিডিও গেম। তাই আমি ভিডিও গেম এবং অন্যান্য জিনিসপত্র ইনস্টল করেছিলাম। আর তারপর একসময় বাবা ভাবলেন যে আমার পিসি ব্যবহার কমানো উচিত, কিন্তু আমি কান দিলাম না। আর তারপর আমি নিজেকে নিয়ন্ত্রণ করতে পারছিলাম না এবং প্রায় সবসময় ভিডিও গেম খেলতে শুরু করেছিলাম। যার ফলে দায়িত্ববোধের অভাব এবং খারাপ সময় ব্যবস্থাপনা দেখা দেয়। আর তাই আমার বাবা আমার উপর রাগ করতে শুরু করেছিলেন যেগুলো আমার করা উচিত ছিল। আর নিয়ম মেনে চলতে শুরু করেছিলাম, কিন্তু অবশ্যই আমি অমান্য করে খেলতাম এবং যখন কেউ আশেপাশে থাকত না তখনই খেলতাম। কিন্তু এর অবসান ঘটে যখন আমাকে বারবার ধরা পড়তে হয়, যার ফলে আমার বাবা আমার উপর এতটাই রেগে যেতেন যে আমার মন ভেঙে যেত। আর এখন আমার মনে হয় আমার নিজের এবং আমার পরিবারের ভালোর জন্য আমার নিজেকে পরিষ্কার করে বদলানো উচিত। যিনি এই লেখাটি পড়ার জন্য সময় নিয়েছেন, তার জন্য ধন্যবাদ, আশা করি আপনার দিনটি ভালো কাটবে।</v>
      </c>
    </row>
    <row r="848" spans="1:3" ht="15" x14ac:dyDescent="0.25">
      <c r="A848" s="3" t="s">
        <v>844</v>
      </c>
      <c r="B848" s="3" t="s">
        <v>4</v>
      </c>
      <c r="C848" s="4" t="str">
        <f ca="1">IFERROR(__xludf.DUMMYFUNCTION("GOOGLETRANSLATE(A848, ""auto"", ""bn"")"),"রিল্যাপসের বিভিন্ন ধাপ আছে। ব্যবহারের প্রক্রিয়া আমাদের সেই পর্যায়ে নিয়ে যাওয়া সবকিছুরই একটি বহিঃপ্রকাশ মাত্র। আপনি এই বিষয়ে শিক্ষিত হোন অথবা রিল্যাপসের ধাপগুলোর সাথে একেবারেই নতুন হোন, আপনি যত বেশি জানেন; তত বেশি প্রস্তুত থাকবেন। রিল্যাপস কীভাবে তৈরি হ"&amp;"য় সে সম্পর্কে আরও গভীরভাবে জানতে আজই এই সচেতন চেক-ইনের মাধ্যমে কিছু জ্ঞান অর্জন করুন।")</f>
        <v>রিল্যাপসের বিভিন্ন ধাপ আছে। ব্যবহারের প্রক্রিয়া আমাদের সেই পর্যায়ে নিয়ে যাওয়া সবকিছুরই একটি বহিঃপ্রকাশ মাত্র। আপনি এই বিষয়ে শিক্ষিত হোন অথবা রিল্যাপসের ধাপগুলোর সাথে একেবারেই নতুন হোন, আপনি যত বেশি জানেন; তত বেশি প্রস্তুত থাকবেন। রিল্যাপস কীভাবে তৈরি হয় সে সম্পর্কে আরও গভীরভাবে জানতে আজই এই সচেতন চেক-ইনের মাধ্যমে কিছু জ্ঞান অর্জন করুন।</v>
      </c>
    </row>
    <row r="849" spans="1:3" ht="15" x14ac:dyDescent="0.25">
      <c r="A849" s="3" t="s">
        <v>845</v>
      </c>
      <c r="B849" s="3" t="s">
        <v>4</v>
      </c>
      <c r="C849" s="4" t="str">
        <f ca="1">IFERROR(__xludf.DUMMYFUNCTION("GOOGLETRANSLATE(A849, ""auto"", ""bn"")"),"আমার মনে হচ্ছে আমি একটা নেশার সাথে মোকাবিলা করছি। এটা নিয়ে কারো সাথে কথা বলতে চাই। এটা একটা যৌন আসক্তি, আমার মনে হয় এটা হস্তমৈথুনের আসক্তি। আমি কি জানতে চেয়েছিলাম যে অন্য পুরুষরা দিনে একাধিকবার হস্তমৈথুন করে?")</f>
        <v>আমার মনে হচ্ছে আমি একটা নেশার সাথে মোকাবিলা করছি। এটা নিয়ে কারো সাথে কথা বলতে চাই। এটা একটা যৌন আসক্তি, আমার মনে হয় এটা হস্তমৈথুনের আসক্তি। আমি কি জানতে চেয়েছিলাম যে অন্য পুরুষরা দিনে একাধিকবার হস্তমৈথুন করে?</v>
      </c>
    </row>
    <row r="850" spans="1:3" ht="15" x14ac:dyDescent="0.25">
      <c r="A850" s="3" t="s">
        <v>846</v>
      </c>
      <c r="B850" s="3" t="s">
        <v>4</v>
      </c>
      <c r="C850" s="4" t="str">
        <f ca="1">IFERROR(__xludf.DUMMYFUNCTION("GOOGLETRANSLATE(A850, ""auto"", ""bn"")"),"২০ মিনিট আমার পাড়ায় ৫-৬ বছর বয়সে হস্তমৈথুনের সাথে আমার পরিচয় হয়। সে হ্যালো গে, কিন্তু আমার মনে হয় না সে আমাকে যৌন নির্যাতন করেছে। তখন তার বয়স ছিল কমপক্ষে ১৬। হ্যাঁ, আমার মনে হয় সে আমাকে ঠকিয়েছিল, আমার সেই সময়টা অস্পষ্টভাবে মনে আছে। ১৭ বছর বয়স প"&amp;"র্যন্ত আমার মন সেই সময়টা সম্পর্কে একেবারেই অজ্ঞাত ছিল। তারপর আমি বুঝতে পারি, 'ছোটবেলায় আমার উপর অত্যাচার করা হয়েছিল'। আমি এটা সবার কাছ থেকে গোপন রেখেছিলাম। তারপর থেকে, ৮-৯ বছর বয়সের পর থেকে আমি ধীরে ধীরে হস্তমৈথুনের প্রতি আসক্ত হয়ে পড়ি। প্রথমে এটি খ"&amp;"ুব কম বা মাঝে মাঝে হত। কিন্তু পরে আমার বাবা-মা দুজনেই পূর্ণকালীন কাজ করতেন। এবং আমি একা ছিলাম, তাই আমি এই অভ্যাসে জড়িয়ে পড়ি। ২১ বছর বয়সে দ্রুত এগিয়ে যান → আমার স্মৃতিশক্তির সমস্যা, আসক্তি, সামাজিক অস্বস্তি, পেশী দুর্বলতা, সর্বদা বিষণ্ণ থাকা, অলসতা, হ"&amp;"রমোনের ভারসাম্যহীনতার কারণে ব্রণে আক্রান্ত হওয়া এবং অন্যান্য কিছু সমস্যা ছিল।")</f>
        <v>২০ মিনিট আমার পাড়ায় ৫-৬ বছর বয়সে হস্তমৈথুনের সাথে আমার পরিচয় হয়। সে হ্যালো গে, কিন্তু আমার মনে হয় না সে আমাকে যৌন নির্যাতন করেছে। তখন তার বয়স ছিল কমপক্ষে ১৬। হ্যাঁ, আমার মনে হয় সে আমাকে ঠকিয়েছিল, আমার সেই সময়টা অস্পষ্টভাবে মনে আছে। ১৭ বছর বয়স পর্যন্ত আমার মন সেই সময়টা সম্পর্কে একেবারেই অজ্ঞাত ছিল। তারপর আমি বুঝতে পারি, 'ছোটবেলায় আমার উপর অত্যাচার করা হয়েছিল'। আমি এটা সবার কাছ থেকে গোপন রেখেছিলাম। তারপর থেকে, ৮-৯ বছর বয়সের পর থেকে আমি ধীরে ধীরে হস্তমৈথুনের প্রতি আসক্ত হয়ে পড়ি। প্রথমে এটি খুব কম বা মাঝে মাঝে হত। কিন্তু পরে আমার বাবা-মা দুজনেই পূর্ণকালীন কাজ করতেন। এবং আমি একা ছিলাম, তাই আমি এই অভ্যাসে জড়িয়ে পড়ি। ২১ বছর বয়সে দ্রুত এগিয়ে যান → আমার স্মৃতিশক্তির সমস্যা, আসক্তি, সামাজিক অস্বস্তি, পেশী দুর্বলতা, সর্বদা বিষণ্ণ থাকা, অলসতা, হরমোনের ভারসাম্যহীনতার কারণে ব্রণে আক্রান্ত হওয়া এবং অন্যান্য কিছু সমস্যা ছিল।</v>
      </c>
    </row>
    <row r="851" spans="1:3" ht="15" x14ac:dyDescent="0.25">
      <c r="A851" s="3" t="s">
        <v>847</v>
      </c>
      <c r="B851" s="3" t="s">
        <v>4</v>
      </c>
      <c r="C851" s="4" t="str">
        <f ca="1">IFERROR(__xludf.DUMMYFUNCTION("GOOGLETRANSLATE(A851, ""auto"", ""bn"")"),"তাই আমি প্রায় ২ বছর ধরে শান্ত এবং পরিষ্কার। আমার বয়স ২৭(F)। আমার ১০, ৮ এবং ৫ বছর বয়সী তিনটি সন্তান আছে। আমি ১০ বছরের দাম্পত্য জীবনে খুবই দুঃখজনকভাবে ছিলাম। এই সম্পর্ক থেকে বেরিয়ে এসে আমার বর্তমান স্বামী (যিনি একজন আসক্ত এবং ১৫ বছরের সবচেয়ে ভালো বন্ধু) প"&amp;"রিষ্কার-পরিচ্ছন্নতা ফিরে পেয়েছেন। আমরা দারুনভাবে কাজ করছি। জীবনটা অসাধারণ এবং শান্তিপূর্ণ এবং আমি খুব সুখী এবং সুস্থ। কিন্তু আমার একটা অপরাধবোধ আছে, অন্যদের মতো আমার বাচ্চাদের জীবন আমার মনে নেই। আমাকে ছবিগুলো দেখতে হবে। আর এটা আমার হৃদয়কে কষ্ট দেয়, যদিও"&amp;" তাদের সবসময় যত্ন নেওয়া হয়েছে। আমি সবসময়ই এই অনুভূতি থেকে মুক্তি পেয়েছি। আমি ৭ বছর ধরে গর্ভবতী ছিলাম এবং বুকের দুধ খাওয়াচ্ছিলাম। সেই সময় আমি কখনও ব্যবহার করিনি। কিন্তু যখন বাচ্চাটি দুধ খাওয়ানো বন্ধ করে দেয় তখনই আমি আবার তাড়াতাড়ি ফিরে পাই। আমার ব্যক"&amp;"্তিত্ব অত্যন্ত আসক্ত, আমি যেকোনো কিছুতেই আসক্ত হতে পারি। যাই হোক, আমি পিছিয়ে যাচ্ছি। এই পোস্টের মূল উদ্দেশ্য ছিল আমার কিছুটা বিরক্তি অনুভব করা কারণ আমার বাচ্চারা কেবল তাদের ঘরে থাকতেই পুরোপুরি সন্তুষ্ট। পাঁচ বছরের বাচ্চাটাও যদি না খাবার চায়। আমি জানি ওরা"&amp;" বড় হচ্ছে। আমি জানি আমি শুধু আবেগপ্রবণ। আমি ভাবছি আর কেউ কি কখনও এরকম অনুভব করে??")</f>
        <v>তাই আমি প্রায় ২ বছর ধরে শান্ত এবং পরিষ্কার। আমার বয়স ২৭(F)। আমার ১০, ৮ এবং ৫ বছর বয়সী তিনটি সন্তান আছে। আমি ১০ বছরের দাম্পত্য জীবনে খুবই দুঃখজনকভাবে ছিলাম। এই সম্পর্ক থেকে বেরিয়ে এসে আমার বর্তমান স্বামী (যিনি একজন আসক্ত এবং ১৫ বছরের সবচেয়ে ভালো বন্ধু) পরিষ্কার-পরিচ্ছন্নতা ফিরে পেয়েছেন। আমরা দারুনভাবে কাজ করছি। জীবনটা অসাধারণ এবং শান্তিপূর্ণ এবং আমি খুব সুখী এবং সুস্থ। কিন্তু আমার একটা অপরাধবোধ আছে, অন্যদের মতো আমার বাচ্চাদের জীবন আমার মনে নেই। আমাকে ছবিগুলো দেখতে হবে। আর এটা আমার হৃদয়কে কষ্ট দেয়, যদিও তাদের সবসময় যত্ন নেওয়া হয়েছে। আমি সবসময়ই এই অনুভূতি থেকে মুক্তি পেয়েছি। আমি ৭ বছর ধরে গর্ভবতী ছিলাম এবং বুকের দুধ খাওয়াচ্ছিলাম। সেই সময় আমি কখনও ব্যবহার করিনি। কিন্তু যখন বাচ্চাটি দুধ খাওয়ানো বন্ধ করে দেয় তখনই আমি আবার তাড়াতাড়ি ফিরে পাই। আমার ব্যক্তিত্ব অত্যন্ত আসক্ত, আমি যেকোনো কিছুতেই আসক্ত হতে পারি। যাই হোক, আমি পিছিয়ে যাচ্ছি। এই পোস্টের মূল উদ্দেশ্য ছিল আমার কিছুটা বিরক্তি অনুভব করা কারণ আমার বাচ্চারা কেবল তাদের ঘরে থাকতেই পুরোপুরি সন্তুষ্ট। পাঁচ বছরের বাচ্চাটাও যদি না খাবার চায়। আমি জানি ওরা বড় হচ্ছে। আমি জানি আমি শুধু আবেগপ্রবণ। আমি ভাবছি আর কেউ কি কখনও এরকম অনুভব করে??</v>
      </c>
    </row>
    <row r="852" spans="1:3" ht="15" x14ac:dyDescent="0.25">
      <c r="A852" s="3" t="s">
        <v>848</v>
      </c>
      <c r="B852" s="3" t="s">
        <v>4</v>
      </c>
      <c r="C852" s="4" t="str">
        <f ca="1">IFERROR(__xludf.DUMMYFUNCTION("GOOGLETRANSLATE(A852, ""auto"", ""bn"")"),"আমি নিশ্চিত নই যে আমি এটা ঠিক জায়গায় রাখছি কিনা, আর আমি আমার ব্যাকরণ সম্পর্কে খুব একটা সতর্ক থাকব না। আমি আমার জ্ঞান সম্পূর্ণরূপে হারিয়ে ফেলতে যাচ্ছি এবং আমার শুধু কিছু পরামর্শের প্রয়োজন। তাহলে এখানেই শেষ কথা। আমার বয়স ৩৬। আমার বয়ফ্রেন্ডের বয়স ৩৪। "&amp;"আমরা প্রায় দুই বছর ধরে একসাথে আছি। আমরা সবসময় একসাথে বেশ কঠোরভাবে পার্টি করেছি এবং আমরা কী করছি এবং কার সাথে করছি তা নিয়ে সবসময় ভালো যোগাযোগ ছিল। কিন্তু তারপর কোনও কারণে আমার বয়ফ্রেন্ড সিদ্ধান্ত নেয় যে সে ফাটল ধরার চেষ্টা করবে এবং তার আচরণ অস্পষ্ট হ"&amp;"য়ে ওঠে, এবং এটি একটি নিয়মিত বিষয় হয়ে ওঠে, এবং আমরা এটি নিয়ে ঝগড়া করি, কিন্তু সে বারবার বলতে থাকে যে তার কাজ শেষ হয়ে গেছে, কিন্তু সে তা করেনি। ফাটল ধরা বন্ধ করার পরিবর্তে সে সিদ্ধান্ত নেয় যে সে কোকেন সেবন করার চেষ্টা করবে এবং তার আচরণ আরও অস্পষ্ট হ"&amp;"য়ে ওঠে এবং হঠাৎ করে সে দিনের পর দিন অদৃশ্য হয়ে যেতে পছন্দ করে এবং বলে যে সে আমার নেতিবাচক শক্তি থেকে দূরে থাকার জন্য একটি হোটেলের ঘরে আছে... অর্থাৎ শান্তিতে ফাটল ধরার জন্য। সে বলে যে সে যখন ওখানে থাকে তখন সে একা থাকে....কিন্তু এই শেষবার সে কিছু পায়ুপথে"&amp;"র খেলনা নিয়ে ফিরে এসেছিল যা আমি জানি সে কখনও সাথে করে বেরোয়নি....আম, আমার প্রশ্ন, হোটেলের ঘরে পুরুষদের একা কোক-কোলা ছোঁড়া কি স্বাভাবিক আচরণ?")</f>
        <v>আমি নিশ্চিত নই যে আমি এটা ঠিক জায়গায় রাখছি কিনা, আর আমি আমার ব্যাকরণ সম্পর্কে খুব একটা সতর্ক থাকব না। আমি আমার জ্ঞান সম্পূর্ণরূপে হারিয়ে ফেলতে যাচ্ছি এবং আমার শুধু কিছু পরামর্শের প্রয়োজন। তাহলে এখানেই শেষ কথা। আমার বয়স ৩৬। আমার বয়ফ্রেন্ডের বয়স ৩৪। আমরা প্রায় দুই বছর ধরে একসাথে আছি। আমরা সবসময় একসাথে বেশ কঠোরভাবে পার্টি করেছি এবং আমরা কী করছি এবং কার সাথে করছি তা নিয়ে সবসময় ভালো যোগাযোগ ছিল। কিন্তু তারপর কোনও কারণে আমার বয়ফ্রেন্ড সিদ্ধান্ত নেয় যে সে ফাটল ধরার চেষ্টা করবে এবং তার আচরণ অস্পষ্ট হয়ে ওঠে, এবং এটি একটি নিয়মিত বিষয় হয়ে ওঠে, এবং আমরা এটি নিয়ে ঝগড়া করি, কিন্তু সে বারবার বলতে থাকে যে তার কাজ শেষ হয়ে গেছে, কিন্তু সে তা করেনি। ফাটল ধরা বন্ধ করার পরিবর্তে সে সিদ্ধান্ত নেয় যে সে কোকেন সেবন করার চেষ্টা করবে এবং তার আচরণ আরও অস্পষ্ট হয়ে ওঠে এবং হঠাৎ করে সে দিনের পর দিন অদৃশ্য হয়ে যেতে পছন্দ করে এবং বলে যে সে আমার নেতিবাচক শক্তি থেকে দূরে থাকার জন্য একটি হোটেলের ঘরে আছে... অর্থাৎ শান্তিতে ফাটল ধরার জন্য। সে বলে যে সে যখন ওখানে থাকে তখন সে একা থাকে....কিন্তু এই শেষবার সে কিছু পায়ুপথের খেলনা নিয়ে ফিরে এসেছিল যা আমি জানি সে কখনও সাথে করে বেরোয়নি....আম, আমার প্রশ্ন, হোটেলের ঘরে পুরুষদের একা কোক-কোলা ছোঁড়া কি স্বাভাবিক আচরণ?</v>
      </c>
    </row>
    <row r="853" spans="1:3" ht="15" x14ac:dyDescent="0.25">
      <c r="A853" s="3" t="s">
        <v>849</v>
      </c>
      <c r="B853" s="3" t="s">
        <v>4</v>
      </c>
      <c r="C853" s="4" t="str">
        <f ca="1">IFERROR(__xludf.DUMMYFUNCTION("GOOGLETRANSLATE(A853, ""auto"", ""bn"")"),"তাই আমি এখন দুবার স্বল্পমেয়াদী থেরাপিতে আছি এবং আমি যেসব ডাক্তারের সাথে দেখা করছি তাদের সাথে এই বিষয়ে খুব বেশি কথা বলতে পারিনি। আমি বর্তমানে অন্য একজন ডাক্তার খুঁজছি যিনি আমার মায়ের হাতে আমার উপর যে নির্যাতনের প্রভাব পড়েছে তা সমাধানে সাহায্য করবেন। আম"&amp;"ি নিশ্চিত নই যে কাউকে দেখতে কতক্ষণ সময় লাগবে, তবে এটি আমার মনে ভারী। তাছাড়া, আমার বয়স ২৮ বছর। আমার মা ৫৮ বছর বয়সী। এবং যখন থেকে আমি মনে করতে পারি যে তিনি একজন মাদকাসক্ত। আমার প্রথম স্মৃতিগুলির মধ্যে একটি ছিল দিনের মাঝখানে আমাদের সোফায় তাকে জাগিয়ে তোল"&amp;"ার জন্য তিনি আমাকে চিৎকার করেছিলেন, তখন আমার বয়স তখন প্রায় ৩ বছর। আমার শৈশবের বাকি সময়গুলিও একইভাবে চলতে থাকে, তার সাথে তার দ্বারা প্রচুর মৌখিক এবং মানসিক নির্যাতন। ১০-১২ বছর বয়সে আমার বড় চাচাতো ভাই যিনি আমাদের সাথে থাকতেন, যা অনেক পরে আমি জানতে পারি"&amp;" যে তিনি আমাদের বাড়িতে থাকার বিনিময়ে আমার মাকে মাদক সরবরাহ করতেন। তাই, আমি তার প্রতি বিরক্তি নিয়ে অনেক লড়াই করছি। আমার বাবা আমার বোনকে এবং আমাকে কখনও মাদক সেবনের ব্যাপারে বা এটি কীভাবে তাকে, আমার মাকে, অথবা আমাদের উপর প্রভাব ফেলেছে সে সম্পর্কে কিছু বল"&amp;"েননি। আমার মা বেশিরভাগ সময়ই অস্বীকার করার মতো অবস্থায় থাকেন, তাই তার সাথে গুরুত্বপূর্ণ কোনও বিষয়ে কথা বলা কঠিন। তিনি সম্প্রতি হাসপাতালে এবং বাইরে থেকে এসেছেন, একসাথে বেশ কয়েকটি স্বাস্থ্য সমস্যা নিয়ে আলোচনা করছেন। আমাকে তার অনেক যত্ন নিতে হয়েছে এবং আ"&amp;"মার শৈশবের বাড়িতে যেতে হয়েছে, যা আমাকে সেখানে থাকতেও বেশ উৎসাহিত করছে। এই সমস্ত অনুভূতি একরকম জড়িত, এবং এটি কেবল একটি রোলার কোস্টারের মতো মনে হয়। আমি ভাবছি কেউ কি একই রকম কিছুর মধ্য দিয়ে গেছে এবং আপনি কীভাবে এটি মোকাবেলা করেছেন। আমি এমন এক পর্যায়ে এ"&amp;"সেছি যেখানে আমি তাকে বলতে চাই যে আমি তার আসক্তি সম্পর্কে কীভাবে জানি এবং সমর্থন করতে চাই, পাশাপাশি এটি আমার জীবনে কীভাবে প্রভাব ফেলেছে তাও বলতে চাই। আগাম ধন্যবাদ। আমি জানি এটি একটি জটিল জিজ্ঞাসাবাদ।")</f>
        <v>তাই আমি এখন দুবার স্বল্পমেয়াদী থেরাপিতে আছি এবং আমি যেসব ডাক্তারের সাথে দেখা করছি তাদের সাথে এই বিষয়ে খুব বেশি কথা বলতে পারিনি। আমি বর্তমানে অন্য একজন ডাক্তার খুঁজছি যিনি আমার মায়ের হাতে আমার উপর যে নির্যাতনের প্রভাব পড়েছে তা সমাধানে সাহায্য করবেন। আমি নিশ্চিত নই যে কাউকে দেখতে কতক্ষণ সময় লাগবে, তবে এটি আমার মনে ভারী। তাছাড়া, আমার বয়স ২৮ বছর। আমার মা ৫৮ বছর বয়সী। এবং যখন থেকে আমি মনে করতে পারি যে তিনি একজন মাদকাসক্ত। আমার প্রথম স্মৃতিগুলির মধ্যে একটি ছিল দিনের মাঝখানে আমাদের সোফায় তাকে জাগিয়ে তোলার জন্য তিনি আমাকে চিৎকার করেছিলেন, তখন আমার বয়স তখন প্রায় ৩ বছর। আমার শৈশবের বাকি সময়গুলিও একইভাবে চলতে থাকে, তার সাথে তার দ্বারা প্রচুর মৌখিক এবং মানসিক নির্যাতন। ১০-১২ বছর বয়সে আমার বড় চাচাতো ভাই যিনি আমাদের সাথে থাকতেন, যা অনেক পরে আমি জানতে পারি যে তিনি আমাদের বাড়িতে থাকার বিনিময়ে আমার মাকে মাদক সরবরাহ করতেন। তাই, আমি তার প্রতি বিরক্তি নিয়ে অনেক লড়াই করছি। আমার বাবা আমার বোনকে এবং আমাকে কখনও মাদক সেবনের ব্যাপারে বা এটি কীভাবে তাকে, আমার মাকে, অথবা আমাদের উপর প্রভাব ফেলেছে সে সম্পর্কে কিছু বলেননি। আমার মা বেশিরভাগ সময়ই অস্বীকার করার মতো অবস্থায় থাকেন, তাই তার সাথে গুরুত্বপূর্ণ কোনও বিষয়ে কথা বলা কঠিন। তিনি সম্প্রতি হাসপাতালে এবং বাইরে থেকে এসেছেন, একসাথে বেশ কয়েকটি স্বাস্থ্য সমস্যা নিয়ে আলোচনা করছেন। আমাকে তার অনেক যত্ন নিতে হয়েছে এবং আমার শৈশবের বাড়িতে যেতে হয়েছে, যা আমাকে সেখানে থাকতেও বেশ উৎসাহিত করছে। এই সমস্ত অনুভূতি একরকম জড়িত, এবং এটি কেবল একটি রোলার কোস্টারের মতো মনে হয়। আমি ভাবছি কেউ কি একই রকম কিছুর মধ্য দিয়ে গেছে এবং আপনি কীভাবে এটি মোকাবেলা করেছেন। আমি এমন এক পর্যায়ে এসেছি যেখানে আমি তাকে বলতে চাই যে আমি তার আসক্তি সম্পর্কে কীভাবে জানি এবং সমর্থন করতে চাই, পাশাপাশি এটি আমার জীবনে কীভাবে প্রভাব ফেলেছে তাও বলতে চাই। আগাম ধন্যবাদ। আমি জানি এটি একটি জটিল জিজ্ঞাসাবাদ।</v>
      </c>
    </row>
    <row r="854" spans="1:3" ht="15" x14ac:dyDescent="0.25">
      <c r="A854" s="3" t="s">
        <v>850</v>
      </c>
      <c r="B854" s="3" t="s">
        <v>4</v>
      </c>
      <c r="C854" s="4" t="str">
        <f ca="1">IFERROR(__xludf.DUMMYFUNCTION("GOOGLETRANSLATE(A854, ""auto"", ""bn"")"),"আমি একজন ৪৬ বছর বয়সী ইংরেজ পুরুষ এবং বছরের পর বছর ধরে মাঝে মাঝে ধূমপান করে আসছি। আমার বর্তমান সঙ্গীর সাথে দেখা হওয়ার পর ৯ বছর ধরে আমি সম্পূর্ণরূপে ধূমপান বন্ধ করে দিয়েছি কিন্তু সম্প্রতি তার মতবিরোধের কারণে বেশিরভাগ সন্ধ্যায় আবার ধূমপান শুরু করেছি। তাছ"&amp;"াড়া, আমি এখন পর্যন্ত ২ সপ্তাহ ধরে কোনও বিষয় ছাড়াই ধূমপান করতে পেরেছি, তবে শুক্রবার সন্ধ্যায় জুট আমার মনে হয় ঠিক আছে, কিন্তু আমার হৃদয় আমাকে অন্য কথা বলছে। আমি এমন একজন বিক্রেতা খুঁজে পেয়েছি যে আমার আগে কখনও দেখা বিক্রেতার চেয়ে অনেক ভালো, সহজে বিক্র"&amp;"ি করা যায়, খুব বিচক্ষণ এবং আশ্চর্যজনক। আমি যখন কখনও পান করিনি তখনও আমি নিজেই কয়েকটি বিয়ারের পরিবর্তে পান করেছি। সপ্তাহান্তে একটি গালভরা বিয়ার কি এত খারাপ??")</f>
        <v>আমি একজন ৪৬ বছর বয়সী ইংরেজ পুরুষ এবং বছরের পর বছর ধরে মাঝে মাঝে ধূমপান করে আসছি। আমার বর্তমান সঙ্গীর সাথে দেখা হওয়ার পর ৯ বছর ধরে আমি সম্পূর্ণরূপে ধূমপান বন্ধ করে দিয়েছি কিন্তু সম্প্রতি তার মতবিরোধের কারণে বেশিরভাগ সন্ধ্যায় আবার ধূমপান শুরু করেছি। তাছাড়া, আমি এখন পর্যন্ত ২ সপ্তাহ ধরে কোনও বিষয় ছাড়াই ধূমপান করতে পেরেছি, তবে শুক্রবার সন্ধ্যায় জুট আমার মনে হয় ঠিক আছে, কিন্তু আমার হৃদয় আমাকে অন্য কথা বলছে। আমি এমন একজন বিক্রেতা খুঁজে পেয়েছি যে আমার আগে কখনও দেখা বিক্রেতার চেয়ে অনেক ভালো, সহজে বিক্রি করা যায়, খুব বিচক্ষণ এবং আশ্চর্যজনক। আমি যখন কখনও পান করিনি তখনও আমি নিজেই কয়েকটি বিয়ারের পরিবর্তে পান করেছি। সপ্তাহান্তে একটি গালভরা বিয়ার কি এত খারাপ??</v>
      </c>
    </row>
    <row r="855" spans="1:3" ht="15" x14ac:dyDescent="0.25">
      <c r="A855" s="3" t="s">
        <v>851</v>
      </c>
      <c r="B855" s="3" t="s">
        <v>4</v>
      </c>
      <c r="C855" s="4" t="str">
        <f ca="1">IFERROR(__xludf.DUMMYFUNCTION("GOOGLETRANSLATE(A855, ""auto"", ""bn"")"),"যারা মাদকাসক্তির বিরুদ্ধে লড়াই করে তাদের জন্য উৎসাহের কথা। আমি গর্বের সাথে এবং খোলাখুলিভাবে আমার অতীত নিয়ে কথা বলি এবং যারা শোনে তাদের সাথে আমার নিজের অভিজ্ঞতা শেয়ার করতে আপত্তি নেই। আমি আমার ক্ষত আমার পুরো জীবনকে সংজ্ঞায়িত করতে বা আমি কে তা নির্ধারণ "&amp;"করতে রাজি নই। আমাদের সকলেরই ভালোবাসা এবং সমর্থন প্রাপ্য, ভুলের জন্য লজ্জিত বা নিপীড়িত না হয়ে, যে ভুলগুলো আমাদের অনেকেই মনে করে যে আমাদের মাদকাসক্ত হিসেবে খ্যাতি অর্জন করতে হবে এবং সারা জীবন ধরে সমাজে চিহ্নিত হতে হবে এবং পুনরুদ্ধারই আমাদের একমাত্র চিন্তা"&amp;"। শিক্ষিত করা, কথা বলা এবং সচেতনতা ছড়িয়ে দেওয়া ঠিক আছে কিন্তু নিজেকে পুনরায় আবিষ্কার করার এবং নিজের জন্য একটি সম্পূর্ণ জীবন তৈরি করার জন্য প্রস্তুত হবেন না। আপনি সবকিছুর মধ্য দিয়ে গেছেন এবং আপনি নিজের জন্য একটি সম্পূর্ণ জীবন তৈরি করার জন্য লড়াই করেছ"&amp;"েন। হ্যাঁ, একজন মাদকাসক্তকে তার কাজের জন্য বিজ্ঞাপনে দেখা হয়, AMD খ্যাতি আমাদের সকলের জন্য অতিক্রম করা কঠিন হতে পারে। অপরাধবোধ ধরে রাখা এবং আপনার করা খারাপ সিদ্ধান্তের জন্য নিজেকে শাস্তি দেওয়া ভুলবেন না। আমরা মানুষ, আমাদের ভাগ্যে ছিল ভুল করা, অযোগ্য বোধ"&amp;" করা বা এমনকি সমাজের কাছে আমাদের নিকৃষ্ট মানুষ হিসেবে দেখা প্রাপ্য। আমি জানি যে আমাদের বেশিরভাগই প্রত্যাখ্যানের শিকার হয়েছি এবং অবশ্যই এই পৃথিবীতে জনপ্রিয়তার প্রতিযোগিতায় জয়ী হতে পারিনি। স্বাভাবিক বা পছন্দের হওয়া আমাদের উপর চাপের কারণ হতে পারে... আমর"&amp;"া সাহসী, সহানুভূতিশীল, ভুল বোঝাবুঝি এবং আমাদের অনুভূতি সম্পর্কে সংবেদনশীল। আপনি সম্পূর্ণ ভিন্ন ব্যক্তি হয়ে উঠতে পারেন - কোনও লেবেল বহন করবেন না, তবে আপনি যে নতুন ব্যক্তি হয়ে উঠেছেন তাকে ভালোবাসতে এবং আলিঙ্গন করতে পারেন। আপনি যোগ্য এবং একে অপরকে সমর্থন ক"&amp;"রা আসক্তদের উপর নির্ভর করে।")</f>
        <v>যারা মাদকাসক্তির বিরুদ্ধে লড়াই করে তাদের জন্য উৎসাহের কথা। আমি গর্বের সাথে এবং খোলাখুলিভাবে আমার অতীত নিয়ে কথা বলি এবং যারা শোনে তাদের সাথে আমার নিজের অভিজ্ঞতা শেয়ার করতে আপত্তি নেই। আমি আমার ক্ষত আমার পুরো জীবনকে সংজ্ঞায়িত করতে বা আমি কে তা নির্ধারণ করতে রাজি নই। আমাদের সকলেরই ভালোবাসা এবং সমর্থন প্রাপ্য, ভুলের জন্য লজ্জিত বা নিপীড়িত না হয়ে, যে ভুলগুলো আমাদের অনেকেই মনে করে যে আমাদের মাদকাসক্ত হিসেবে খ্যাতি অর্জন করতে হবে এবং সারা জীবন ধরে সমাজে চিহ্নিত হতে হবে এবং পুনরুদ্ধারই আমাদের একমাত্র চিন্তা। শিক্ষিত করা, কথা বলা এবং সচেতনতা ছড়িয়ে দেওয়া ঠিক আছে কিন্তু নিজেকে পুনরায় আবিষ্কার করার এবং নিজের জন্য একটি সম্পূর্ণ জীবন তৈরি করার জন্য প্রস্তুত হবেন না। আপনি সবকিছুর মধ্য দিয়ে গেছেন এবং আপনি নিজের জন্য একটি সম্পূর্ণ জীবন তৈরি করার জন্য লড়াই করেছেন। হ্যাঁ, একজন মাদকাসক্তকে তার কাজের জন্য বিজ্ঞাপনে দেখা হয়, AMD খ্যাতি আমাদের সকলের জন্য অতিক্রম করা কঠিন হতে পারে। অপরাধবোধ ধরে রাখা এবং আপনার করা খারাপ সিদ্ধান্তের জন্য নিজেকে শাস্তি দেওয়া ভুলবেন না। আমরা মানুষ, আমাদের ভাগ্যে ছিল ভুল করা, অযোগ্য বোধ করা বা এমনকি সমাজের কাছে আমাদের নিকৃষ্ট মানুষ হিসেবে দেখা প্রাপ্য। আমি জানি যে আমাদের বেশিরভাগই প্রত্যাখ্যানের শিকার হয়েছি এবং অবশ্যই এই পৃথিবীতে জনপ্রিয়তার প্রতিযোগিতায় জয়ী হতে পারিনি। স্বাভাবিক বা পছন্দের হওয়া আমাদের উপর চাপের কারণ হতে পারে... আমরা সাহসী, সহানুভূতিশীল, ভুল বোঝাবুঝি এবং আমাদের অনুভূতি সম্পর্কে সংবেদনশীল। আপনি সম্পূর্ণ ভিন্ন ব্যক্তি হয়ে উঠতে পারেন - কোনও লেবেল বহন করবেন না, তবে আপনি যে নতুন ব্যক্তি হয়ে উঠেছেন তাকে ভালোবাসতে এবং আলিঙ্গন করতে পারেন। আপনি যোগ্য এবং একে অপরকে সমর্থন করা আসক্তদের উপর নির্ভর করে।</v>
      </c>
    </row>
    <row r="856" spans="1:3" ht="15" x14ac:dyDescent="0.25">
      <c r="A856" s="3" t="s">
        <v>852</v>
      </c>
      <c r="B856" s="3" t="s">
        <v>4</v>
      </c>
      <c r="C856" s="4" t="str">
        <f ca="1">IFERROR(__xludf.DUMMYFUNCTION("GOOGLETRANSLATE(A856, ""auto"", ""bn"")"),"আমরা বিবাহিত। আমার বয়স ৩৪ ফুট, আর ওর উচ্চতা ৪০ মিটার। মূলত সপ্তাহে একবার এলোমেলোভাবে ড্রাগ টেস্ট করানো হয়। আমার স্বামীর কোনও পরীক্ষা করানো হয় না। তাই আমি তাকে ব্যবহারের জন্য আঘাত করি না। যখন সে একা থাকে। আর আমার চিন্তার বিষয় হলো, যদি আমি ব্যাগ না পরে থাকি"&amp;" তাহলে আমি যোগদান করতে পারব না। আমি যেটা উত্তেজিত হই, আর সে বুঝতে পারে না, সেটা হল BIC স্ট্রাইক শোনা, নাকি সে ভাবছে যে সে শুধু হেঁটে যেতে পারবে এবং বলবে ""আরে বাবু, আমি আর ব্লা ব্লা রুমে ঢুকছি। আর আমি জানি আমি অনেক কিছু সহ্য করতে পারি, কিন্তু ঠিক আছে, আমা"&amp;"র জন্য একটা বড় রিল্যাপস মোড আছে। আমার মনে হচ্ছে একটা পার্টি চলছে, আর আমি সঙ্গ মিস করছি, বাইরে তুলে নেওয়া হচ্ছে। আমি তাকে বলেছি যে সে আমাকে রিল্যাপস করতে ট্রিগার করেছে। আর সৌভাগ্যবশত সেই সময় আমাকে পরীক্ষা করতে হয়নি। আমি তাকে এবং তার সঙ্গকে আমাদের ঘরে যে"&amp;"তে বাধা দিয়েছি। সে তার সঙ্গকে রাগ করে তুলেছে, এবং পরের দিন পর্যন্ত বাড়ি ফিরে আসেনি। আমি তাকে বলেছি সে একা ব্যবহারের ক্ষেত্রে শ্রদ্ধাশীল। আমার মনে হয় সে আমার সুবিধা নিচ্ছে, এবং বুঝতে পারে না যে সে আমার জন্য শান্ত থাকা সহজ করছে না। আমি পরামর্শের জন্য উন্"&amp;"মুক্ত।")</f>
        <v>আমরা বিবাহিত। আমার বয়স ৩৪ ফুট, আর ওর উচ্চতা ৪০ মিটার। মূলত সপ্তাহে একবার এলোমেলোভাবে ড্রাগ টেস্ট করানো হয়। আমার স্বামীর কোনও পরীক্ষা করানো হয় না। তাই আমি তাকে ব্যবহারের জন্য আঘাত করি না। যখন সে একা থাকে। আর আমার চিন্তার বিষয় হলো, যদি আমি ব্যাগ না পরে থাকি তাহলে আমি যোগদান করতে পারব না। আমি যেটা উত্তেজিত হই, আর সে বুঝতে পারে না, সেটা হল BIC স্ট্রাইক শোনা, নাকি সে ভাবছে যে সে শুধু হেঁটে যেতে পারবে এবং বলবে "আরে বাবু, আমি আর ব্লা ব্লা রুমে ঢুকছি। আর আমি জানি আমি অনেক কিছু সহ্য করতে পারি, কিন্তু ঠিক আছে, আমার জন্য একটা বড় রিল্যাপস মোড আছে। আমার মনে হচ্ছে একটা পার্টি চলছে, আর আমি সঙ্গ মিস করছি, বাইরে তুলে নেওয়া হচ্ছে। আমি তাকে বলেছি যে সে আমাকে রিল্যাপস করতে ট্রিগার করেছে। আর সৌভাগ্যবশত সেই সময় আমাকে পরীক্ষা করতে হয়নি। আমি তাকে এবং তার সঙ্গকে আমাদের ঘরে যেতে বাধা দিয়েছি। সে তার সঙ্গকে রাগ করে তুলেছে, এবং পরের দিন পর্যন্ত বাড়ি ফিরে আসেনি। আমি তাকে বলেছি সে একা ব্যবহারের ক্ষেত্রে শ্রদ্ধাশীল। আমার মনে হয় সে আমার সুবিধা নিচ্ছে, এবং বুঝতে পারে না যে সে আমার জন্য শান্ত থাকা সহজ করছে না। আমি পরামর্শের জন্য উন্মুক্ত।</v>
      </c>
    </row>
    <row r="857" spans="1:3" ht="15" x14ac:dyDescent="0.25">
      <c r="A857" s="3" t="s">
        <v>853</v>
      </c>
      <c r="B857" s="3" t="s">
        <v>4</v>
      </c>
      <c r="C857" s="4" t="str">
        <f ca="1">IFERROR(__xludf.DUMMYFUNCTION("GOOGLETRANSLATE(A857, ""auto"", ""bn"")"),"আমার বয়ফ্রেন্ড আমার থেকে বেশ কিছুটা বড়, সে তার পুরো প্রাপ্তবয়স্ক জীবন ধরেই আসক্ত/মদ্যপান করেছে। যখন সে সুস্থ ছিল তখন তার সাথে আমার দেখা হয়েছিল, এবং আমি মাথা ঘোরাতে বাধ্য হয়েছিলাম। কিন্তু সময় আমাদের পক্ষে ছিল না, এবং সে চলে গেল, আবার অসুস্থ হয়ে পড়ল"&amp;" এবং পুনর্বাসনের জন্য বাড়িতে ফিরে এল। আমরা আবার একসাথে হলাম, এবং সে আমাকে বলল যে সে মাদক ব্যবহার করছে না (পানি ছাড়া) এবং একজন মাদক ও অ্যালকোহল পরামর্শদাতার সাথে দেখা করছিল যিনি বলেছিলেন যে যতক্ষণ না এটি পরিমিত এবং ক্ষতি নিয়ন্ত্রণের মধ্যে থাকে ততক্ষণ তা"&amp;"র জন্য মদ্যপান করা ঠিক। দ্রুত ছয় মাস, সে আমার বোনের সাথে থাকে এবং আমি এবং সে রান্নাঘরের কাউন্টারে তার ডায়েরি খোলা রেখেছিলাম এবং আমার বোন একটি এন্ট্রি দেখতে পেল যাতে বলা হয়েছে যে সে সম্প্রতি প্রচুর পরিমাণে মেথ সেবন করছে। সে আমাকে বলল এবং আমি তাকে এটি সম"&amp;"্পর্কে জিজ্ঞাসা করলাম, এবং সে বলল যে সে ব্যায়ামের জন্য যে এফিড্রিন গ্রহণ করে তার কথা বলছিল, স্পষ্টতই মেথের মতোই প্রভাব ফেলে। এর দুই সপ্তাহ পরে, আমি তাকে কাজ থেকে নিতে গেলাম (সে একজন বারটেন্ডার) এবং তাকে কর্মক্ষেত্রে মারধর করা হয়েছিল। আমি তাকে কিছুটা মনো"&amp;"ভাব দেখালাম এবং সে তার পাগল হয়ে গেল। তার গ্রাহকদের সামনে সে আমাকে এত কঠোরভাবে এবং জোরে চিৎকার করত, আমার সম্পর্কে ভয়াবহ কথা বলত এবং কীভাবে সে কেবল আমার সাথে থাকে কারণ আমি একজন ভালো বন্ধু। এটা এমন একটা রাগ ছিল যা আমি আগে কখনও তার কাছ থেকে দেখিনি, এটা খুবই "&amp;"উদ্বেগজনক ছিল। পরের দিন সে আমাকে দোষারোপ করার চেষ্টা করেছিল যে সে কর্মক্ষেত্রে থাকাকালীন আমার সাথে খারাপ আচরণ করেছে... কিন্তু এটাও বলেছিল যে সে তার চাকরি ছেড়ে দেবে যখন আমি আবারও বলতে বাধ্য হয়েছিলাম যে সে একজন বাবা, এবং সে এই কাজ আর করতে পারবে না এবং ব্ল"&amp;"া ব্লা। আর তার কর্মক্ষেত্রে ঘটনার পর, আমার বড় বোন (যার সাথে আমরা থাকি) আমাকে বসিয়ে তার সম্পর্কে অনেক অদ্ভুত আচরণের কথা বলেছিল (সে খুব কম ঘুমায়, মাঝে মাঝে অনিয়মিত হয়, স্থির থাকতে পারে না, ছোট ছোট চোখ বা চকচকে)। আমি ক্ষমাতে বিশ্বাস করি এবং মানুষ পরিবর্"&amp;"তন হতে পারে, তাই আমাদের ঝগড়ার পর আমি তাকে সুযোগ দিয়েছিলাম। কিন্তু এখন সে যা ঘটেছে তা নিয়ে কথা বলতে অস্বীকার করে, যদিও এটি মাত্র দেড় সপ্তাহ আগের ঘটনা। এবং আমার দিকে ঝুঁকে পড়ে, ড্রাগ পরীক্ষা করতে চায় না। আর আজ সকালে আমি এমন একটা কাজ করেছি যা যদি না কর"&amp;"তাম। আমি তার ফোনের দিকে তাকালাম এবং কয়েক সপ্তাহ আগে সে তার বন্ধুর কাছে ফর্ক র‍্যাঙ্ক এবং ৩০ ব্যাগের কিছু একটা চেয়েছিল.... আমি খুব হতাশ।")</f>
        <v>আমার বয়ফ্রেন্ড আমার থেকে বেশ কিছুটা বড়, সে তার পুরো প্রাপ্তবয়স্ক জীবন ধরেই আসক্ত/মদ্যপান করেছে। যখন সে সুস্থ ছিল তখন তার সাথে আমার দেখা হয়েছিল, এবং আমি মাথা ঘোরাতে বাধ্য হয়েছিলাম। কিন্তু সময় আমাদের পক্ষে ছিল না, এবং সে চলে গেল, আবার অসুস্থ হয়ে পড়ল এবং পুনর্বাসনের জন্য বাড়িতে ফিরে এল। আমরা আবার একসাথে হলাম, এবং সে আমাকে বলল যে সে মাদক ব্যবহার করছে না (পানি ছাড়া) এবং একজন মাদক ও অ্যালকোহল পরামর্শদাতার সাথে দেখা করছিল যিনি বলেছিলেন যে যতক্ষণ না এটি পরিমিত এবং ক্ষতি নিয়ন্ত্রণের মধ্যে থাকে ততক্ষণ তার জন্য মদ্যপান করা ঠিক। দ্রুত ছয় মাস, সে আমার বোনের সাথে থাকে এবং আমি এবং সে রান্নাঘরের কাউন্টারে তার ডায়েরি খোলা রেখেছিলাম এবং আমার বোন একটি এন্ট্রি দেখতে পেল যাতে বলা হয়েছে যে সে সম্প্রতি প্রচুর পরিমাণে মেথ সেবন করছে। সে আমাকে বলল এবং আমি তাকে এটি সম্পর্কে জিজ্ঞাসা করলাম, এবং সে বলল যে সে ব্যায়ামের জন্য যে এফিড্রিন গ্রহণ করে তার কথা বলছিল, স্পষ্টতই মেথের মতোই প্রভাব ফেলে। এর দুই সপ্তাহ পরে, আমি তাকে কাজ থেকে নিতে গেলাম (সে একজন বারটেন্ডার) এবং তাকে কর্মক্ষেত্রে মারধর করা হয়েছিল। আমি তাকে কিছুটা মনোভাব দেখালাম এবং সে তার পাগল হয়ে গেল। তার গ্রাহকদের সামনে সে আমাকে এত কঠোরভাবে এবং জোরে চিৎকার করত, আমার সম্পর্কে ভয়াবহ কথা বলত এবং কীভাবে সে কেবল আমার সাথে থাকে কারণ আমি একজন ভালো বন্ধু। এটা এমন একটা রাগ ছিল যা আমি আগে কখনও তার কাছ থেকে দেখিনি, এটা খুবই উদ্বেগজনক ছিল। পরের দিন সে আমাকে দোষারোপ করার চেষ্টা করেছিল যে সে কর্মক্ষেত্রে থাকাকালীন আমার সাথে খারাপ আচরণ করেছে... কিন্তু এটাও বলেছিল যে সে তার চাকরি ছেড়ে দেবে যখন আমি আবারও বলতে বাধ্য হয়েছিলাম যে সে একজন বাবা, এবং সে এই কাজ আর করতে পারবে না এবং ব্লা ব্লা। আর তার কর্মক্ষেত্রে ঘটনার পর, আমার বড় বোন (যার সাথে আমরা থাকি) আমাকে বসিয়ে তার সম্পর্কে অনেক অদ্ভুত আচরণের কথা বলেছিল (সে খুব কম ঘুমায়, মাঝে মাঝে অনিয়মিত হয়, স্থির থাকতে পারে না, ছোট ছোট চোখ বা চকচকে)। আমি ক্ষমাতে বিশ্বাস করি এবং মানুষ পরিবর্তন হতে পারে, তাই আমাদের ঝগড়ার পর আমি তাকে সুযোগ দিয়েছিলাম। কিন্তু এখন সে যা ঘটেছে তা নিয়ে কথা বলতে অস্বীকার করে, যদিও এটি মাত্র দেড় সপ্তাহ আগের ঘটনা। এবং আমার দিকে ঝুঁকে পড়ে, ড্রাগ পরীক্ষা করতে চায় না। আর আজ সকালে আমি এমন একটা কাজ করেছি যা যদি না করতাম। আমি তার ফোনের দিকে তাকালাম এবং কয়েক সপ্তাহ আগে সে তার বন্ধুর কাছে ফর্ক র‍্যাঙ্ক এবং ৩০ ব্যাগের কিছু একটা চেয়েছিল.... আমি খুব হতাশ।</v>
      </c>
    </row>
    <row r="858" spans="1:3" ht="15" x14ac:dyDescent="0.25">
      <c r="A858" s="3" t="s">
        <v>854</v>
      </c>
      <c r="B858" s="3" t="s">
        <v>4</v>
      </c>
      <c r="C858" s="4" t="str">
        <f ca="1">IFERROR(__xludf.DUMMYFUNCTION("GOOGLETRANSLATE(A858, ""auto"", ""bn"")"),"আমি আগে কখনও এটা করিনি। আমার বয়স ১৪, আমার বাবা-মা অত্যন্ত দায়িত্বজ্ঞানহীন এবং মানসিকভাবে অসুস্থ, একজন মিসঅ্যান্ড্রিস্ট বোন, আর আমি গত এক মাস ধরে ৫-৭ ইউনিট অ্যালকোহল পান করছি এবং আমার পরিবার তা লক্ষ্য করেনি। এখন কি যুক্তরাজ্যে আমার পক্ষে একা ডাক্তারের অ্যা"&amp;"পয়েন্টমেন্ট বুক করা সম্ভব? আর যদি থাকে তাহলে আমি কীভাবে করব?")</f>
        <v>আমি আগে কখনও এটা করিনি। আমার বয়স ১৪, আমার বাবা-মা অত্যন্ত দায়িত্বজ্ঞানহীন এবং মানসিকভাবে অসুস্থ, একজন মিসঅ্যান্ড্রিস্ট বোন, আর আমি গত এক মাস ধরে ৫-৭ ইউনিট অ্যালকোহল পান করছি এবং আমার পরিবার তা লক্ষ্য করেনি। এখন কি যুক্তরাজ্যে আমার পক্ষে একা ডাক্তারের অ্যাপয়েন্টমেন্ট বুক করা সম্ভব? আর যদি থাকে তাহলে আমি কীভাবে করব?</v>
      </c>
    </row>
    <row r="859" spans="1:3" ht="15" x14ac:dyDescent="0.25">
      <c r="A859" s="3" t="s">
        <v>855</v>
      </c>
      <c r="B859" s="3" t="s">
        <v>4</v>
      </c>
      <c r="C859" s="4" t="str">
        <f ca="1">IFERROR(__xludf.DUMMYFUNCTION("GOOGLETRANSLATE(A859, ""auto"", ""bn"")"),"আমার এক বন্ধু আছে যে হস্তমৈথুনে আসক্ত, কিন্তু সে মনে করে যে সে যেকোনো সময় হস্তমৈথুন করতে পারে। স্কুলের ফাইনালের জন্য আমি তার বাড়িতে ৪ দিন ছিলাম, এবং সে আমাকে বলল যে সে গোসলের সময় হস্তমৈথুন করেছে। সে বলে যে সে যেকোনো সময় হস্তমৈথুন করতে পারে কিন্তু সে য"&amp;"তক্ষণ না এটি আবিষ্কার করেছে ততক্ষণ পর্যন্ত সে ৩ দিনই হস্তমৈথুন করেছে।")</f>
        <v>আমার এক বন্ধু আছে যে হস্তমৈথুনে আসক্ত, কিন্তু সে মনে করে যে সে যেকোনো সময় হস্তমৈথুন করতে পারে। স্কুলের ফাইনালের জন্য আমি তার বাড়িতে ৪ দিন ছিলাম, এবং সে আমাকে বলল যে সে গোসলের সময় হস্তমৈথুন করেছে। সে বলে যে সে যেকোনো সময় হস্তমৈথুন করতে পারে কিন্তু সে যতক্ষণ না এটি আবিষ্কার করেছে ততক্ষণ পর্যন্ত সে ৩ দিনই হস্তমৈথুন করেছে।</v>
      </c>
    </row>
    <row r="860" spans="1:3" ht="15" x14ac:dyDescent="0.25">
      <c r="A860" s="3" t="s">
        <v>856</v>
      </c>
      <c r="B860" s="3" t="s">
        <v>4</v>
      </c>
      <c r="C860" s="4" t="str">
        <f ca="1">IFERROR(__xludf.DUMMYFUNCTION("GOOGLETRANSLATE(A860, ""auto"", ""bn"")"),"এটা অনেক লম্বা হতে পারে, কিন্তু আজকের ঘটনাগুলো বোঝার জন্য পুরো গল্পটা বলা দরকার। আমার ছোট ভাই (আমরা তাকে অলিভার বলব) ভিডিও গেমের প্রতি আসক্ত এবং বছরের পর বছর ধরে এটা করছে। আমার বিশ্বাস সে তার যন্ত্রণাদায়ক শৈশব এবং সামগ্রিকভাবে খুব কঠিন জীবনের কারণে এগুলো"&amp;"কে পালানোর উপায় হিসেবে ব্যবহার করে। আমাদের পরিবারের আসক্তির ইতিহাস রয়েছে এবং অলিভারের বাবা-মা দুজনেই হেরোইন আসক্ত ছিলেন। তার দাদী এবং তার স্বামী মূলত তার বাবা-মা। তার মা যখন ২ বছর বয়সে তার জীবন ছেড়ে চলে যান, কিন্তু তার আসক্তির কারণে তিনি কখনই তার জীবন"&amp;"ে আসল ছিলেন না। তার বাবা ৬ মাস সুস্থ থাকার পর এবং অবশেষে অলিভারের জীবনে পুনরায় প্রবেশ করার পর ২ বছর আগে অতিরিক্ত মাদকাসক্তির কারণে মারা যান। যখন তিনি মারা যান তখন তিনি এবং তার বাবা অবশেষে ছেলে এবং বাবা হতে শুরু করেন, এবং এটি পুরো পরিবারের জন্য, বিশেষ করে"&amp;" অলিভারের দাদীর জন্য খুবই বেদনাদায়ক ছিল, যিনি তার তত্ত্বাবধায়কও।")</f>
        <v>এটা অনেক লম্বা হতে পারে, কিন্তু আজকের ঘটনাগুলো বোঝার জন্য পুরো গল্পটা বলা দরকার। আমার ছোট ভাই (আমরা তাকে অলিভার বলব) ভিডিও গেমের প্রতি আসক্ত এবং বছরের পর বছর ধরে এটা করছে। আমার বিশ্বাস সে তার যন্ত্রণাদায়ক শৈশব এবং সামগ্রিকভাবে খুব কঠিন জীবনের কারণে এগুলোকে পালানোর উপায় হিসেবে ব্যবহার করে। আমাদের পরিবারের আসক্তির ইতিহাস রয়েছে এবং অলিভারের বাবা-মা দুজনেই হেরোইন আসক্ত ছিলেন। তার দাদী এবং তার স্বামী মূলত তার বাবা-মা। তার মা যখন ২ বছর বয়সে তার জীবন ছেড়ে চলে যান, কিন্তু তার আসক্তির কারণে তিনি কখনই তার জীবনে আসল ছিলেন না। তার বাবা ৬ মাস সুস্থ থাকার পর এবং অবশেষে অলিভারের জীবনে পুনরায় প্রবেশ করার পর ২ বছর আগে অতিরিক্ত মাদকাসক্তির কারণে মারা যান। যখন তিনি মারা যান তখন তিনি এবং তার বাবা অবশেষে ছেলে এবং বাবা হতে শুরু করেন, এবং এটি পুরো পরিবারের জন্য, বিশেষ করে অলিভারের দাদীর জন্য খুবই বেদনাদায়ক ছিল, যিনি তার তত্ত্বাবধায়কও।</v>
      </c>
    </row>
    <row r="861" spans="1:3" ht="15" x14ac:dyDescent="0.25">
      <c r="A861" s="3" t="s">
        <v>857</v>
      </c>
      <c r="B861" s="3" t="s">
        <v>4</v>
      </c>
      <c r="C861" s="4" t="str">
        <f ca="1">IFERROR(__xludf.DUMMYFUNCTION("GOOGLETRANSLATE(A861, ""auto"", ""bn"")"),"আমার প্রেমিক তার পুরো প্রাপ্তবয়স্ক জীবনে আসক্তির সমস্যায় ভুগছে। অস্ত্রোপচারের পর ওষুধ দিয়ে শুরু হয়েছিল এবং তারপর সে যা কিছু করতে পারত, তার সব কিছুতেই তা এগিয়ে গেছে। তার পছন্দের শেষ ওষুধ ছিল মেথ। এক বছর ধরে সে সুস্থ থাকার পর তার সাথে আমার দেখা হয়েছিল, এবং"&amp;" সে চলে যায়, আবার অসুস্থ হয়ে যায়, পুনর্বাসনের জন্য বাড়ি আসে, এবং আমরা আবার একসাথে থাকি। সে একটি বারে কাজ করে এবং একজন মদ্যপও, সে কাজ থেকে প্রায়ই মাতাল অবস্থায় বাড়ি আসে। আমি লক্ষ্য করি, সবসময়, কিন্তু মাঝে মাঝে কিছু বলে না। গত সপ্তাহে আমি তাকে কাজ থেকে তুলে"&amp;" নিয়ে আসি, এবং তাকে ডাকাডাকি করার জন্য তাকে মারধর করা হয় এবং আমার উপর আঘাত করা হয়। সে এত রেগে ছিল, এমন রাগ আমি আগে কখনও দেখিনি। এটা উদ্বেগজনক ছিল। সে তার সমস্ত গ্রাহকদের সামনে এবং পুরো বাড়ি ফেরার পথে আমাকে মৌখিকভাবে আক্রমণ করেছিল। সে আমাকে সবচেয়ে ভয়ঙ্কর"&amp;" কথা বলেছিল। তাছাড়া, পরের দিন সে এটা খুব একটা মনে রাখেনি এবং দাবি করে যে আমি তাকে বিরক্ত করেছিলাম কারণ আমি তার কর্মক্ষেত্রে খারাপ আচরণ করছিলাম। তবুও দাবি করে যে সে কেবল মাতাল ছিল এবং শপথ ​​করেছিল যে সে তার চাকরি ছেড়ে দেবে কারণ এটি তার জন্য স্বাস্থ্যকর ন"&amp;"য়। এখন সে ধূমপান ত্যাগ করার জন্য ব্যস্ত এবং আমি বুঝতে পেরেছি যে তার ঘুম খুব একটা হয় না। সে এর জন্য তার ওয়ার্কআউটের জন্য যে এফিড্রিন সেবন করে তার জন্য দায়ী, কিন্তু সে সম্প্রতি আমাকে সিডেটেডের জন্যও জিজ্ঞাসা করছে এবং সে একজন পুরনো স্কুলের হিপ্পি হওয়ায়"&amp;" সে ওষুধ খেতে বিশ্বাস করে না। গত শুক্রবার তার ছাত্ররা সত্যিই প্রসারিত হয়েছিল এবং সে স্থির থাকতে পারছিল না এবং জোর দিয়ে বলল যে আমরা রাতের বেলায় ওয়ালমার্টে জিনিসপত্রের জন্য যাই, তারপর সে তার মানিব্যাগটি ভুলে গেছে। তারপর সে আমাকে ৪৫ মিনিটের ব্যবধানে ৪ বা"&amp;"র একই প্রশ্ন জিজ্ঞাসা করেছিল। সে কি আবার সেবন করছে?")</f>
        <v>আমার প্রেমিক তার পুরো প্রাপ্তবয়স্ক জীবনে আসক্তির সমস্যায় ভুগছে। অস্ত্রোপচারের পর ওষুধ দিয়ে শুরু হয়েছিল এবং তারপর সে যা কিছু করতে পারত, তার সব কিছুতেই তা এগিয়ে গেছে। তার পছন্দের শেষ ওষুধ ছিল মেথ। এক বছর ধরে সে সুস্থ থাকার পর তার সাথে আমার দেখা হয়েছিল, এবং সে চলে যায়, আবার অসুস্থ হয়ে যায়, পুনর্বাসনের জন্য বাড়ি আসে, এবং আমরা আবার একসাথে থাকি। সে একটি বারে কাজ করে এবং একজন মদ্যপও, সে কাজ থেকে প্রায়ই মাতাল অবস্থায় বাড়ি আসে। আমি লক্ষ্য করি, সবসময়, কিন্তু মাঝে মাঝে কিছু বলে না। গত সপ্তাহে আমি তাকে কাজ থেকে তুলে নিয়ে আসি, এবং তাকে ডাকাডাকি করার জন্য তাকে মারধর করা হয় এবং আমার উপর আঘাত করা হয়। সে এত রেগে ছিল, এমন রাগ আমি আগে কখনও দেখিনি। এটা উদ্বেগজনক ছিল। সে তার সমস্ত গ্রাহকদের সামনে এবং পুরো বাড়ি ফেরার পথে আমাকে মৌখিকভাবে আক্রমণ করেছিল। সে আমাকে সবচেয়ে ভয়ঙ্কর কথা বলেছিল। তাছাড়া, পরের দিন সে এটা খুব একটা মনে রাখেনি এবং দাবি করে যে আমি তাকে বিরক্ত করেছিলাম কারণ আমি তার কর্মক্ষেত্রে খারাপ আচরণ করছিলাম। তবুও দাবি করে যে সে কেবল মাতাল ছিল এবং শপথ ​​করেছিল যে সে তার চাকরি ছেড়ে দেবে কারণ এটি তার জন্য স্বাস্থ্যকর নয়। এখন সে ধূমপান ত্যাগ করার জন্য ব্যস্ত এবং আমি বুঝতে পেরেছি যে তার ঘুম খুব একটা হয় না। সে এর জন্য তার ওয়ার্কআউটের জন্য যে এফিড্রিন সেবন করে তার জন্য দায়ী, কিন্তু সে সম্প্রতি আমাকে সিডেটেডের জন্যও জিজ্ঞাসা করছে এবং সে একজন পুরনো স্কুলের হিপ্পি হওয়ায় সে ওষুধ খেতে বিশ্বাস করে না। গত শুক্রবার তার ছাত্ররা সত্যিই প্রসারিত হয়েছিল এবং সে স্থির থাকতে পারছিল না এবং জোর দিয়ে বলল যে আমরা রাতের বেলায় ওয়ালমার্টে জিনিসপত্রের জন্য যাই, তারপর সে তার মানিব্যাগটি ভুলে গেছে। তারপর সে আমাকে ৪৫ মিনিটের ব্যবধানে ৪ বার একই প্রশ্ন জিজ্ঞাসা করেছিল। সে কি আবার সেবন করছে?</v>
      </c>
    </row>
    <row r="862" spans="1:3" ht="15" x14ac:dyDescent="0.25">
      <c r="A862" s="3" t="s">
        <v>858</v>
      </c>
      <c r="B862" s="3" t="s">
        <v>4</v>
      </c>
      <c r="C862" s="4" t="str">
        <f ca="1">IFERROR(__xludf.DUMMYFUNCTION("GOOGLETRANSLATE(A862, ""auto"", ""bn"")"),"কেউ কি কখনও এই পণ্যটি ব্যবহার করে দেখেছেন? আমি এটি ব্যবহার করার কথা ভাবছি। মাদক ত্যাগ করার পর আমার অ্যানহেডোনিক হয়েছে। আমার কোনও আবেগ বা ড্রাইভ হয়নি। তাছাড়া, আমি রাতে ২ ঘন্টার বেশি ঘুমাতে পারি না। তারা দাবি করে যে এটি মস্তিষ্কের পুরষ্কার কেন্দ্রকে সুস্"&amp;"থ করতে সাহায্য করে। যেকোনো তথ্যের জন্য কৃতজ্ঞ থাকব। কোম্পানির কাছ থেকে পাওয়া তথ্যের অভাবে, আমি নিশ্চিত নই যে আমি তাদের সাক্ষ্য বিশ্বাস করতে পারি কিনা।")</f>
        <v>কেউ কি কখনও এই পণ্যটি ব্যবহার করে দেখেছেন? আমি এটি ব্যবহার করার কথা ভাবছি। মাদক ত্যাগ করার পর আমার অ্যানহেডোনিক হয়েছে। আমার কোনও আবেগ বা ড্রাইভ হয়নি। তাছাড়া, আমি রাতে ২ ঘন্টার বেশি ঘুমাতে পারি না। তারা দাবি করে যে এটি মস্তিষ্কের পুরষ্কার কেন্দ্রকে সুস্থ করতে সাহায্য করে। যেকোনো তথ্যের জন্য কৃতজ্ঞ থাকব। কোম্পানির কাছ থেকে পাওয়া তথ্যের অভাবে, আমি নিশ্চিত নই যে আমি তাদের সাক্ষ্য বিশ্বাস করতে পারি কিনা।</v>
      </c>
    </row>
    <row r="863" spans="1:3" ht="15" x14ac:dyDescent="0.25">
      <c r="A863" s="3" t="s">
        <v>859</v>
      </c>
      <c r="B863" s="3" t="s">
        <v>4</v>
      </c>
      <c r="C863" s="4" t="str">
        <f ca="1">IFERROR(__xludf.DUMMYFUNCTION("GOOGLETRANSLATE(A863, ""auto"", ""bn"")"),"হাই, আমার নাম ল্যানি এবং আমার বয়স ২১ বছর। আমি সম্প্রতি চিকিৎসা থেকে বেরিয়ে এসেছি এবং একজন অসাধারণ লোকের সাথে আছি, সে একজন ""নরি""। আমি আবার পার্সি শুরু করেছি, খুব বেশি নয়, বরং দিনে ২ বা ৩ বার, ১০ মিলিগ্রাম। প্রায় ২ মাস হয়ে গেছে এবং এখন আমার মনে হচ্ছে"&amp;" আমি থামতে পারছি না কারণ আমি যখন এক বা দুই দিন ধরে এগুলো না নিই তখন আমার খারাপ লাগা শুরু হয়। সবকিছু খুব ভালো চলছে এবং আমি আবার খারাপ হয়ে গেছি। আমি কাউকে বলতে চাই না কারণ আমি আবার হতাশ হতে চাই না। আমার প্রেমিক বলেছে যে সে আমাকে ছেড়ে দিতে সাহায্য করবে কি"&amp;"ন্তু ডিটক্স ভালোভাবে সাহায্য করার জন্য আমার পরামর্শ প্রয়োজন কারণ আমি আবার চিকিৎসা নিতে পারব না। আমি এভাবে কাজ মিস করতে পারি না এবং আমার পরিবার জানতে পারবে যে আমি আবার ব্যর্থ হয়েছি। আমার বাড়িতে ডিটক্সের জন্য প্রতিকার এবং টিপস প্রয়োজন। আমি জানি এটি কেবল"&amp;" ৩-৭ দিনের ডিটক্সের মতো হবে, কিন্তু সেই বিষটি চিরকাল এর মধ্য দিয়ে যাওয়ার মতো মনে হয়। তাই আমার পরামর্শ প্রয়োজন দয়া করে। আমি জানি আমার প্রেমিক সাহায্য করবে কিন্তু সে জানে না কিভাবে।")</f>
        <v>হাই, আমার নাম ল্যানি এবং আমার বয়স ২১ বছর। আমি সম্প্রতি চিকিৎসা থেকে বেরিয়ে এসেছি এবং একজন অসাধারণ লোকের সাথে আছি, সে একজন "নরি"। আমি আবার পার্সি শুরু করেছি, খুব বেশি নয়, বরং দিনে ২ বা ৩ বার, ১০ মিলিগ্রাম। প্রায় ২ মাস হয়ে গেছে এবং এখন আমার মনে হচ্ছে আমি থামতে পারছি না কারণ আমি যখন এক বা দুই দিন ধরে এগুলো না নিই তখন আমার খারাপ লাগা শুরু হয়। সবকিছু খুব ভালো চলছে এবং আমি আবার খারাপ হয়ে গেছি। আমি কাউকে বলতে চাই না কারণ আমি আবার হতাশ হতে চাই না। আমার প্রেমিক বলেছে যে সে আমাকে ছেড়ে দিতে সাহায্য করবে কিন্তু ডিটক্স ভালোভাবে সাহায্য করার জন্য আমার পরামর্শ প্রয়োজন কারণ আমি আবার চিকিৎসা নিতে পারব না। আমি এভাবে কাজ মিস করতে পারি না এবং আমার পরিবার জানতে পারবে যে আমি আবার ব্যর্থ হয়েছি। আমার বাড়িতে ডিটক্সের জন্য প্রতিকার এবং টিপস প্রয়োজন। আমি জানি এটি কেবল ৩-৭ দিনের ডিটক্সের মতো হবে, কিন্তু সেই বিষটি চিরকাল এর মধ্য দিয়ে যাওয়ার মতো মনে হয়। তাই আমার পরামর্শ প্রয়োজন দয়া করে। আমি জানি আমার প্রেমিক সাহায্য করবে কিন্তু সে জানে না কিভাবে।</v>
      </c>
    </row>
    <row r="864" spans="1:3" ht="15" x14ac:dyDescent="0.25">
      <c r="A864" s="3" t="s">
        <v>860</v>
      </c>
      <c r="B864" s="3" t="s">
        <v>4</v>
      </c>
      <c r="C864" s="4" t="str">
        <f ca="1">IFERROR(__xludf.DUMMYFUNCTION("GOOGLETRANSLATE(A864, ""auto"", ""bn"")"),"আজ আমার আর আমার বয়ফ্রেন্ডের দ্বিতীয়বারের মতো শান্ত দিন। আমরা দিনে ২টি বিয়ার পান করতাম। আমাদের কাছে ভাড়ার টাকা নেই। যদি আমরা ভাড়া দেই, তাহলে আমাদের কাছে খাওয়ার কিছু নেই। আমরা শুধু ওষুধ কিনতে গিয়েছিলাম কারণ সে বিষণ্ণ বোধ করছে। তার বিক্রেতা তার জন্য দাম কমি"&amp;"য়ে দিয়েছে। আর এখন এটা আমার দোষ কারণ আমি এতে রেগে গিয়েছিলাম, আমি অতিরঞ্জিত করছি। সে বলেছে এটা আজই। এটা বিয়ার নয়। থেরাপি হিসেবে মাত্র একবারই আমি এই জীবনকে ঘৃণা করি।")</f>
        <v>আজ আমার আর আমার বয়ফ্রেন্ডের দ্বিতীয়বারের মতো শান্ত দিন। আমরা দিনে ২টি বিয়ার পান করতাম। আমাদের কাছে ভাড়ার টাকা নেই। যদি আমরা ভাড়া দেই, তাহলে আমাদের কাছে খাওয়ার কিছু নেই। আমরা শুধু ওষুধ কিনতে গিয়েছিলাম কারণ সে বিষণ্ণ বোধ করছে। তার বিক্রেতা তার জন্য দাম কমিয়ে দিয়েছে। আর এখন এটা আমার দোষ কারণ আমি এতে রেগে গিয়েছিলাম, আমি অতিরঞ্জিত করছি। সে বলেছে এটা আজই। এটা বিয়ার নয়। থেরাপি হিসেবে মাত্র একবারই আমি এই জীবনকে ঘৃণা করি।</v>
      </c>
    </row>
    <row r="865" spans="1:3" ht="15" x14ac:dyDescent="0.25">
      <c r="A865" s="3" t="s">
        <v>861</v>
      </c>
      <c r="B865" s="3" t="s">
        <v>4</v>
      </c>
      <c r="C865" s="4" t="str">
        <f ca="1">IFERROR(__xludf.DUMMYFUNCTION("GOOGLETRANSLATE(A865, ""auto"", ""bn"")"),"আমার বাবা-মা কেন বুঝতে পারছেন না যে আমি আসক্তির সাথে লড়াই করছি, প্রতিদিন তারা আমাকে ধূমপানের জন্য মজা করে এবং আমি ধূমপান ছাড়ার জন্য লড়াই করছি এবং খুব হতাশাগ্রস্ত এবং হতাশ ছিলাম, এবং তবুও যখনই আমি খারাপ থাকি তখন তারা সর্বদা এটি নিয়ে কথা বলে এবং উত্যক্ত"&amp;" করে এবং তারা সর্বদা এই সিদ্ধান্তে পৌঁছায় যে আমি খুশি এবং কেবল দুঃখিত নই, তাদের কথা বন্ধ করতে বলার পরে তারা বলে যে এটি করার জন্য আমি এটিই পাই এবং ধূমপান করার জন্য আমি প্রতিক্রিয়া মোকাবেলা করি এবং আমার ভাইকে এখনও এর জন্য মজা করা হয়, তারা কেবল আমার চিন্ত"&amp;"াভাবনা বুঝতে পারে না এবং আমি সত্যিই জানি না যে তাদের কাছে এটি কীভাবে বর্ণনা করব।")</f>
        <v>আমার বাবা-মা কেন বুঝতে পারছেন না যে আমি আসক্তির সাথে লড়াই করছি, প্রতিদিন তারা আমাকে ধূমপানের জন্য মজা করে এবং আমি ধূমপান ছাড়ার জন্য লড়াই করছি এবং খুব হতাশাগ্রস্ত এবং হতাশ ছিলাম, এবং তবুও যখনই আমি খারাপ থাকি তখন তারা সর্বদা এটি নিয়ে কথা বলে এবং উত্যক্ত করে এবং তারা সর্বদা এই সিদ্ধান্তে পৌঁছায় যে আমি খুশি এবং কেবল দুঃখিত নই, তাদের কথা বন্ধ করতে বলার পরে তারা বলে যে এটি করার জন্য আমি এটিই পাই এবং ধূমপান করার জন্য আমি প্রতিক্রিয়া মোকাবেলা করি এবং আমার ভাইকে এখনও এর জন্য মজা করা হয়, তারা কেবল আমার চিন্তাভাবনা বুঝতে পারে না এবং আমি সত্যিই জানি না যে তাদের কাছে এটি কীভাবে বর্ণনা করব।</v>
      </c>
    </row>
    <row r="866" spans="1:3" ht="15" x14ac:dyDescent="0.25">
      <c r="A866" s="3" t="s">
        <v>862</v>
      </c>
      <c r="B866" s="3" t="s">
        <v>4</v>
      </c>
      <c r="C866" s="4" t="str">
        <f ca="1">IFERROR(__xludf.DUMMYFUNCTION("GOOGLETRANSLATE(A866, ""auto"", ""bn"")"),"আমি ১৩ বছর বয়সী। আমার একটি প্রশ্নের উত্তর দিতে সাহায্যের প্রয়োজন। আমার বাবা-মা মাদকাসক্ত ছিলেন এবং সম্প্রতি আবার মাদকাসক্ত হয়ে পড়েছেন, কেন তা আমি জানি না কিন্তু আমি জানি যে আসক্তি কঠিন। আমার বোন (১৯) আমার মা এবং আমার খালার সাথে ঝগড়া করে। আমার খালা ক্"&amp;"রমাগত মদ্যপান করে এবং আমার বোন গাঁজা সেবন করে। আমার মা আমাকে এবং আমার বড় ভাইকে (১৫) জিজ্ঞাসা করেছিলেন যে তারা কি মদ্যপ হয়ে গেছে? উত্তর তৈরি করতে আমার কিছু সাহায্যের প্রয়োজন কারণ আমি আগেই বলেছি, আমার বয়স মাত্র ১৩। (যদি আমি কোনও নিয়ম লঙ্ঘন করে থাকি তবে"&amp;" দয়া করে আমাকে জানান, আমার কেবল সাহায্যের প্রয়োজন)")</f>
        <v>আমি ১৩ বছর বয়সী। আমার একটি প্রশ্নের উত্তর দিতে সাহায্যের প্রয়োজন। আমার বাবা-মা মাদকাসক্ত ছিলেন এবং সম্প্রতি আবার মাদকাসক্ত হয়ে পড়েছেন, কেন তা আমি জানি না কিন্তু আমি জানি যে আসক্তি কঠিন। আমার বোন (১৯) আমার মা এবং আমার খালার সাথে ঝগড়া করে। আমার খালা ক্রমাগত মদ্যপান করে এবং আমার বোন গাঁজা সেবন করে। আমার মা আমাকে এবং আমার বড় ভাইকে (১৫) জিজ্ঞাসা করেছিলেন যে তারা কি মদ্যপ হয়ে গেছে? উত্তর তৈরি করতে আমার কিছু সাহায্যের প্রয়োজন কারণ আমি আগেই বলেছি, আমার বয়স মাত্র ১৩। (যদি আমি কোনও নিয়ম লঙ্ঘন করে থাকি তবে দয়া করে আমাকে জানান, আমার কেবল সাহায্যের প্রয়োজন)</v>
      </c>
    </row>
    <row r="867" spans="1:3" ht="15" x14ac:dyDescent="0.25">
      <c r="A867" s="3" t="s">
        <v>863</v>
      </c>
      <c r="B867" s="3" t="s">
        <v>4</v>
      </c>
      <c r="C867" s="4" t="str">
        <f ca="1">IFERROR(__xludf.DUMMYFUNCTION("GOOGLETRANSLATE(A867, ""auto"", ""bn"")"),"গত দুই দিন ধরে আমি প্রতি ৩ ঘন্টা অন্তর অন্তর ব্যথানাশক ওষুধ খেয়ে ঘুমাচ্ছি। আমি লক্ষ্য করেছি যে আমার বোতল থেকে পরিমাণটা খসে পড়েছে। আমি কীভাবে তাকে বিরক্ত না করে বিষয়টি নিয়ে আলোচনা করব? আমি চাই না সে আমার ওষুধ এবং ওডি খাক। আমি জানি সে প্রচুর পরিমাণে মদ্"&amp;"যপান করে এবং গাঁজা সেবন করে। আমি চাই না তার সাথে খারাপ কিছু ঘটুক।")</f>
        <v>গত দুই দিন ধরে আমি প্রতি ৩ ঘন্টা অন্তর অন্তর ব্যথানাশক ওষুধ খেয়ে ঘুমাচ্ছি। আমি লক্ষ্য করেছি যে আমার বোতল থেকে পরিমাণটা খসে পড়েছে। আমি কীভাবে তাকে বিরক্ত না করে বিষয়টি নিয়ে আলোচনা করব? আমি চাই না সে আমার ওষুধ এবং ওডি খাক। আমি জানি সে প্রচুর পরিমাণে মদ্যপান করে এবং গাঁজা সেবন করে। আমি চাই না তার সাথে খারাপ কিছু ঘটুক।</v>
      </c>
    </row>
    <row r="868" spans="1:3" ht="15" x14ac:dyDescent="0.25">
      <c r="A868" s="3" t="s">
        <v>864</v>
      </c>
      <c r="B868" s="3" t="s">
        <v>4</v>
      </c>
      <c r="C868" s="4" t="str">
        <f ca="1">IFERROR(__xludf.DUMMYFUNCTION("GOOGLETRANSLATE(A868, ""auto"", ""bn"")"),"আমার স্বাস্থ্য এবং সম্পর্ককে পঙ্গু করে তুলছিল এমন একাধিক আসক্তি থেকে নিজেকে মুক্ত করার চতুর্থ দিনে, আমি তাড়না এবং প্রত্যাহারের প্রভাব মোকাবেলায় সাহায্য করার জন্য অনেক ভাল উপায় খুঁজে পেয়েছি। যদি কারও কিছু শুনতে হয় তবে তারা চেষ্টা করতে পারে অথবা কেবল এ"&amp;"মন কাউকে বলতে চায় যে তাদের চেনে না, দয়া করে আমাকে মেসেজ করুন।")</f>
        <v>আমার স্বাস্থ্য এবং সম্পর্ককে পঙ্গু করে তুলছিল এমন একাধিক আসক্তি থেকে নিজেকে মুক্ত করার চতুর্থ দিনে, আমি তাড়না এবং প্রত্যাহারের প্রভাব মোকাবেলায় সাহায্য করার জন্য অনেক ভাল উপায় খুঁজে পেয়েছি। যদি কারও কিছু শুনতে হয় তবে তারা চেষ্টা করতে পারে অথবা কেবল এমন কাউকে বলতে চায় যে তাদের চেনে না, দয়া করে আমাকে মেসেজ করুন।</v>
      </c>
    </row>
    <row r="869" spans="1:3" ht="15" x14ac:dyDescent="0.25">
      <c r="A869" s="3" t="s">
        <v>865</v>
      </c>
      <c r="B869" s="3" t="s">
        <v>4</v>
      </c>
      <c r="C869" s="4" t="str">
        <f ca="1">IFERROR(__xludf.DUMMYFUNCTION("GOOGLETRANSLATE(A869, ""auto"", ""bn"")"),"তাই শুধু এটা স্পষ্ট করে বলতে চাই যে ধূমপায়ী বা যারা তাদের পছন্দের কাজ করে তাদের সাথে আমার কোনও সমস্যা নেই। অবশ্যই, যখন আমি আমার মাকে বা আমার বন্ধুদের এটা করতে দেখি তখন আমার একটু খারাপ লাগে কারণ আমি চিন্তিত এবং যত্নশীল, কিন্তু আমি কম ভাবি না। কিন্তু আমি এর"&amp;" থেকে অনেক লোককে হারিয়েছি এবং ডেটিং করার ক্ষেত্রে আমার একটা সীমা আছে কারণ আমি এমন একজন যে একটি পরিবার রাখতে চায়। আমি ৬ মাস ধরে কারো সাথে ডেটিং করছি আমার (২৯ বছর বয়সী) সাথে, তার (৩১ বছর বয়সী) সাথে। সে সম্প্রতি আমাকে বলেছে যে সে মাসে মাত্র একবার সামাজিক"&amp;" ধূমপায়ী। অবশ্যই, করোনার সময় আমি লক্ষ্য করেছি। সে বলে যে সে ""ধূমপায়ী নয়?"" এবং এটি আসক্ত হওয়ার কোনও ঝুঁকি নয় কারণ এটি মাসে মাত্র একবার। আমি সম্পূর্ণরূপে একমত নই, আমি মনে করি এবং বিশ্বাস করি যে সে এখন এটা মানে যখন সে বলে যে সে মনে করে না যে সে আসক্ত"&amp;" হবে, কিন্তু আমি মনে করি যে এটির জন্য জীবনের একটি কঠিন সময়, অথবা এমন একটি সময় লাগতে পারে যখন ""সামাজিক মদ্যপান"" করার জন্য অনেক বেশি সুযোগ থাকে। ডেটিংয়ের দৃষ্টিকোণ থেকে ধূমপান আমার জন্য সত্যিই একটি চুক্তি ভঙ্গকারী। তার মতে, সে মনে করে আমি শূন্য থেকে অনে"&amp;"ক কিছু আয় করছি কারণ এটি মাসে একবার হয়। কারো কি এই বিষয়ে আরও কিছু অন্তর্দৃষ্টি আছে, হয়তো কিছু গবেষণার লিঙ্ক আছে যাতে আমি বুঝতে পারি যে আমি ভুল করছি? আমি এই বিষয়ে সত্যিই অস্বস্তিতে আছি এবং আশা করি আরও তথ্য খুঁজে পেলে এটি মোকাবেলা করার উপায় খুঁজে পাবো।")</f>
        <v>তাই শুধু এটা স্পষ্ট করে বলতে চাই যে ধূমপায়ী বা যারা তাদের পছন্দের কাজ করে তাদের সাথে আমার কোনও সমস্যা নেই। অবশ্যই, যখন আমি আমার মাকে বা আমার বন্ধুদের এটা করতে দেখি তখন আমার একটু খারাপ লাগে কারণ আমি চিন্তিত এবং যত্নশীল, কিন্তু আমি কম ভাবি না। কিন্তু আমি এর থেকে অনেক লোককে হারিয়েছি এবং ডেটিং করার ক্ষেত্রে আমার একটা সীমা আছে কারণ আমি এমন একজন যে একটি পরিবার রাখতে চায়। আমি ৬ মাস ধরে কারো সাথে ডেটিং করছি আমার (২৯ বছর বয়সী) সাথে, তার (৩১ বছর বয়সী) সাথে। সে সম্প্রতি আমাকে বলেছে যে সে মাসে মাত্র একবার সামাজিক ধূমপায়ী। অবশ্যই, করোনার সময় আমি লক্ষ্য করেছি। সে বলে যে সে "ধূমপায়ী নয়?" এবং এটি আসক্ত হওয়ার কোনও ঝুঁকি নয় কারণ এটি মাসে মাত্র একবার। আমি সম্পূর্ণরূপে একমত নই, আমি মনে করি এবং বিশ্বাস করি যে সে এখন এটা মানে যখন সে বলে যে সে মনে করে না যে সে আসক্ত হবে, কিন্তু আমি মনে করি যে এটির জন্য জীবনের একটি কঠিন সময়, অথবা এমন একটি সময় লাগতে পারে যখন "সামাজিক মদ্যপান" করার জন্য অনেক বেশি সুযোগ থাকে। ডেটিংয়ের দৃষ্টিকোণ থেকে ধূমপান আমার জন্য সত্যিই একটি চুক্তি ভঙ্গকারী। তার মতে, সে মনে করে আমি শূন্য থেকে অনেক কিছু আয় করছি কারণ এটি মাসে একবার হয়। কারো কি এই বিষয়ে আরও কিছু অন্তর্দৃষ্টি আছে, হয়তো কিছু গবেষণার লিঙ্ক আছে যাতে আমি বুঝতে পারি যে আমি ভুল করছি? আমি এই বিষয়ে সত্যিই অস্বস্তিতে আছি এবং আশা করি আরও তথ্য খুঁজে পেলে এটি মোকাবেলা করার উপায় খুঁজে পাবো।</v>
      </c>
    </row>
    <row r="870" spans="1:3" ht="15" x14ac:dyDescent="0.25">
      <c r="A870" s="3" t="s">
        <v>866</v>
      </c>
      <c r="B870" s="3" t="s">
        <v>4</v>
      </c>
      <c r="C870" s="4" t="str">
        <f ca="1">IFERROR(__xludf.DUMMYFUNCTION("GOOGLETRANSLATE(A870, ""auto"", ""bn"")"),"আমার বাবা ১০ বছর ধরে ক্যান্সারের সাথে লড়াই করছেন। সেই সময় তাকে অক্সিকোডোন দেওয়া হয়েছিল এবং যখন বড়িগুলি অকার্যকর হয়ে গেল তখন তার অ্যালকোহলের সমস্যাও দেখা দিল। অবশেষে তিনি স্বীকার করেছেন যে তার একটি সমস্যা আছে এবং তার সাহায্যের প্রয়োজন - এটি একটি বিশ"&amp;"াল প্রথম পদক্ষেপ যা নিয়ে আমরা সকলেই খুশি। আমি সর্বোত্তম পদক্ষেপের জন্য কিছু পরামর্শ খুঁজছি। যেহেতু তার দুটি প্রধান আসক্তি রয়েছে (অ্যালকোহল এবং অক্সি), তাই আমার পরিবারের ভয় হল যে একটি চিকিৎসা কেন্দ্র তাকে অবিলম্বে উভয়ই বন্ধ করতে বাধ্য করবে এবং আমার মা "&amp;"নিশ্চিত যে এটি ""আক্ষরিক অর্থেই তাকে মেরে ফেলবে""। আমি তার উদ্বেগ বুঝতে পারি কারণ ক্যান্সারের চিকিৎসায় সে এখনও খুব দুর্বল এবং দুর্বল। সে মনে করে যে সবচেয়ে ভালো হবে এমন একটি জায়গা যেখানে প্রথমে বড়ি আসক্তির চিকিৎসার জন্য বহির্বিভাগে ওষুধ ব্যবহার করা হয়"&amp;", তবে সে মদ্যপান চালিয়ে যেতে পারে। আমি তাকে বলেছিলাম যে আমার মনে হয় না যে আপনার কোনও আসক্তির ওষুধ পান করা উচিত। এইভাবে নিরাপদে এবং কার্যকরভাবে একাধিক আসক্তির চিকিৎসা করার কোন উপায় আছে, নাকি তাকে প্রথমে বড়ি খাওয়ার সময় মদ্যপান বন্ধ করতে হবে? আমার আরও "&amp;"ভয় হচ্ছে যে সে সাবক্সোন বা অন্যান্য অভ্যাস ত্যাগ করার জন্য তাকে যা-ই দেওয়া হোক না কেন, তাতে আসক্ত হয়ে পড়বে। কিছু প্রসঙ্গে: সে খুবই কঠিন একজন মানুষ। সে বহু বছর ধরে ধূমপান ত্যাগ করার জন্য গাম এবং প্যাচ থেকে শুরু করে হিপনোথেরাপি, কাউন্সেলিং পর্যন্ত চেষ্টা ক"&amp;"রেছে কিন্তু কিছুই কাজ করেনি। সে খুবই কঠোর এবং একগুঁয়ে এবং সেই কারণেই আমরা মুগ্ধ যে সে অবশেষে তার সমস্যা স্বীকার করেছে এবং সাহায্য নেওয়ার সিদ্ধান্ত নিয়েছে। আমার মনে হয় এর অর্থ হল আমরা ধূমপানের চেয়ে সমাধানের কাছাকাছি।")</f>
        <v>আমার বাবা ১০ বছর ধরে ক্যান্সারের সাথে লড়াই করছেন। সেই সময় তাকে অক্সিকোডোন দেওয়া হয়েছিল এবং যখন বড়িগুলি অকার্যকর হয়ে গেল তখন তার অ্যালকোহলের সমস্যাও দেখা দিল। অবশেষে তিনি স্বীকার করেছেন যে তার একটি সমস্যা আছে এবং তার সাহায্যের প্রয়োজন - এটি একটি বিশাল প্রথম পদক্ষেপ যা নিয়ে আমরা সকলেই খুশি। আমি সর্বোত্তম পদক্ষেপের জন্য কিছু পরামর্শ খুঁজছি। যেহেতু তার দুটি প্রধান আসক্তি রয়েছে (অ্যালকোহল এবং অক্সি), তাই আমার পরিবারের ভয় হল যে একটি চিকিৎসা কেন্দ্র তাকে অবিলম্বে উভয়ই বন্ধ করতে বাধ্য করবে এবং আমার মা নিশ্চিত যে এটি "আক্ষরিক অর্থেই তাকে মেরে ফেলবে"। আমি তার উদ্বেগ বুঝতে পারি কারণ ক্যান্সারের চিকিৎসায় সে এখনও খুব দুর্বল এবং দুর্বল। সে মনে করে যে সবচেয়ে ভালো হবে এমন একটি জায়গা যেখানে প্রথমে বড়ি আসক্তির চিকিৎসার জন্য বহির্বিভাগে ওষুধ ব্যবহার করা হয়, তবে সে মদ্যপান চালিয়ে যেতে পারে। আমি তাকে বলেছিলাম যে আমার মনে হয় না যে আপনার কোনও আসক্তির ওষুধ পান করা উচিত। এইভাবে নিরাপদে এবং কার্যকরভাবে একাধিক আসক্তির চিকিৎসা করার কোন উপায় আছে, নাকি তাকে প্রথমে বড়ি খাওয়ার সময় মদ্যপান বন্ধ করতে হবে? আমার আরও ভয় হচ্ছে যে সে সাবক্সোন বা অন্যান্য অভ্যাস ত্যাগ করার জন্য তাকে যা-ই দেওয়া হোক না কেন, তাতে আসক্ত হয়ে পড়বে। কিছু প্রসঙ্গে: সে খুবই কঠিন একজন মানুষ। সে বহু বছর ধরে ধূমপান ত্যাগ করার জন্য গাম এবং প্যাচ থেকে শুরু করে হিপনোথেরাপি, কাউন্সেলিং পর্যন্ত চেষ্টা করেছে কিন্তু কিছুই কাজ করেনি। সে খুবই কঠোর এবং একগুঁয়ে এবং সেই কারণেই আমরা মুগ্ধ যে সে অবশেষে তার সমস্যা স্বীকার করেছে এবং সাহায্য নেওয়ার সিদ্ধান্ত নিয়েছে। আমার মনে হয় এর অর্থ হল আমরা ধূমপানের চেয়ে সমাধানের কাছাকাছি।</v>
      </c>
    </row>
    <row r="871" spans="1:3" ht="15" x14ac:dyDescent="0.25">
      <c r="A871" s="3" t="s">
        <v>867</v>
      </c>
      <c r="B871" s="3" t="s">
        <v>4</v>
      </c>
      <c r="C871" s="4" t="str">
        <f ca="1">IFERROR(__xludf.DUMMYFUNCTION("GOOGLETRANSLATE(A871, ""auto"", ""bn"")"),"আমার সঙ্গীর কোকেনের তীব্র আসক্তি আছে যা এক দশকেরও বেশি সময় ধরে চলছে। সে একজন ডিজে এবং রেভ ইত্যাদির প্রতি তার তীব্র আকর্ষণ আছে, তাই সম্পূর্ণ সংযত থাকা তার জন্য প্রস্তুত নয়, তবে সম্প্রতি সে অ্যালকোহল এবং মাদকের ব্যবহার আলাদা করে কমিয়ে আনার ক্ষেত্রে কিছু "&amp;"নিখুঁত কাজ করছে। কোন না কোনভাবে এর ফলে ক্ষতি আরও খারাপ হয়ে যাচ্ছে, বিশেষ করে সম্প্রতি সে আগের মতো উপভোগ করতে পারছে না, এবং এটি তাকে তাৎক্ষণিকভাবে ব্যথা এবং বিষণ্ণতার মধ্যে ফেলে দেয়। আমি স্বার্থপর বোধ করি কিন্তু তাকে এই পরিস্থিতির মধ্য দিয়ে যেতে দেখে, ত"&amp;"াকে সমর্থন করতে দেখে, তাকে নিজের ক্ষতি করতে বাধা দিতে দেখে এবং তার হৃদয় কখন নিঃশেষ হয়ে যায় বা অন্য কিছুর জন্য অপেক্ষা করতে দেখে আমি আবেগগতভাবে ক্লান্ত হয়ে পড়ি। কিছু রাতে সে আবার আরও স্বার্থপর এবং আক্রমণাত্মক মানসিকতায় ফিরে যায় এবং এটি ব্যক্তিগতভাবে"&amp;" না নেওয়া এত কঠিন হয়ে পড়ে। আমি জানি না কীভাবে নিজেকে এই রাতগুলির মধ্য দিয়ে যেতে হবে, বিশেষ করে যখন এগুলি একের পর এক দিনের জন্য ঘটে। সে বেশিরভাগ পরিষেবা পেতে পারে না কারণ সে মোনাঘানের বাইরে কাজ করে, নিয়মিত সময় না থাকায়, তাই ফোনে অ্যাপয়েন্টমেন্টও বুক"&amp;" করতে পারে না, এবং আমি বুঝতে পারছি না কিভাবে আমরা এই চক্রটি ভাঙতে পারি। আমার মনে হয় আমি কেবল এমন কারো কাছ থেকে পরামর্শ চাইছি যারা তার পক্ষ বোঝে / একই রকম পরিস্থিতিতে কাউকে সমর্থন করেছে, উভয়ই আমাকে তার সাথে এই রাতগুলি কাটাতে সাহায্য করার জন্য এবং যদি লোক"&amp;"েরা মনে করে যে এটিই তার জন্য সঠিক পথ, তাহলে আমি কীভাবে তাকে সংযত থাকার ধারণায় উষ্ণ হতে সাহায্য করতে পারি? আমি জানি না আরও নিয়ন্ত্রিত ব্যবহারের লক্ষ্য রাখা বাস্তবসম্মত কিনা, নাকি সে কেবল সংযত হওয়ার ধারণাটি স্থগিত করছে। আমি সাধারণত তার আসক্তির আচরণগুলিকে"&amp;" কেবল লক্ষণ হিসাবে দেখার বিষয়ে খুব ইতিবাচক এবং সমমনা, তবে এই মুহূর্তে এটি আমাকে সত্যিই চাপ দিচ্ছে। এছাড়াও, যদি কেউ যুক্তরাজ্যের সপ্তাহান্তে অ্যালকোহল সহায়তা পরিষেবা বা এই জাতীয় কিছু সম্পর্কে জানেন তবে তা খুবই সহায়ক হবে।")</f>
        <v>আমার সঙ্গীর কোকেনের তীব্র আসক্তি আছে যা এক দশকেরও বেশি সময় ধরে চলছে। সে একজন ডিজে এবং রেভ ইত্যাদির প্রতি তার তীব্র আকর্ষণ আছে, তাই সম্পূর্ণ সংযত থাকা তার জন্য প্রস্তুত নয়, তবে সম্প্রতি সে অ্যালকোহল এবং মাদকের ব্যবহার আলাদা করে কমিয়ে আনার ক্ষেত্রে কিছু নিখুঁত কাজ করছে। কোন না কোনভাবে এর ফলে ক্ষতি আরও খারাপ হয়ে যাচ্ছে, বিশেষ করে সম্প্রতি সে আগের মতো উপভোগ করতে পারছে না, এবং এটি তাকে তাৎক্ষণিকভাবে ব্যথা এবং বিষণ্ণতার মধ্যে ফেলে দেয়। আমি স্বার্থপর বোধ করি কিন্তু তাকে এই পরিস্থিতির মধ্য দিয়ে যেতে দেখে, তাকে সমর্থন করতে দেখে, তাকে নিজের ক্ষতি করতে বাধা দিতে দেখে এবং তার হৃদয় কখন নিঃশেষ হয়ে যায় বা অন্য কিছুর জন্য অপেক্ষা করতে দেখে আমি আবেগগতভাবে ক্লান্ত হয়ে পড়ি। কিছু রাতে সে আবার আরও স্বার্থপর এবং আক্রমণাত্মক মানসিকতায় ফিরে যায় এবং এটি ব্যক্তিগতভাবে না নেওয়া এত কঠিন হয়ে পড়ে। আমি জানি না কীভাবে নিজেকে এই রাতগুলির মধ্য দিয়ে যেতে হবে, বিশেষ করে যখন এগুলি একের পর এক দিনের জন্য ঘটে। সে বেশিরভাগ পরিষেবা পেতে পারে না কারণ সে মোনাঘানের বাইরে কাজ করে, নিয়মিত সময় না থাকায়, তাই ফোনে অ্যাপয়েন্টমেন্টও বুক করতে পারে না, এবং আমি বুঝতে পারছি না কিভাবে আমরা এই চক্রটি ভাঙতে পারি। আমার মনে হয় আমি কেবল এমন কারো কাছ থেকে পরামর্শ চাইছি যারা তার পক্ষ বোঝে / একই রকম পরিস্থিতিতে কাউকে সমর্থন করেছে, উভয়ই আমাকে তার সাথে এই রাতগুলি কাটাতে সাহায্য করার জন্য এবং যদি লোকেরা মনে করে যে এটিই তার জন্য সঠিক পথ, তাহলে আমি কীভাবে তাকে সংযত থাকার ধারণায় উষ্ণ হতে সাহায্য করতে পারি? আমি জানি না আরও নিয়ন্ত্রিত ব্যবহারের লক্ষ্য রাখা বাস্তবসম্মত কিনা, নাকি সে কেবল সংযত হওয়ার ধারণাটি স্থগিত করছে। আমি সাধারণত তার আসক্তির আচরণগুলিকে কেবল লক্ষণ হিসাবে দেখার বিষয়ে খুব ইতিবাচক এবং সমমনা, তবে এই মুহূর্তে এটি আমাকে সত্যিই চাপ দিচ্ছে। এছাড়াও, যদি কেউ যুক্তরাজ্যের সপ্তাহান্তে অ্যালকোহল সহায়তা পরিষেবা বা এই জাতীয় কিছু সম্পর্কে জানেন তবে তা খুবই সহায়ক হবে।</v>
      </c>
    </row>
    <row r="872" spans="1:3" ht="15" x14ac:dyDescent="0.25">
      <c r="A872" s="3" t="s">
        <v>868</v>
      </c>
      <c r="B872" s="3" t="s">
        <v>4</v>
      </c>
      <c r="C872" s="4" t="str">
        <f ca="1">IFERROR(__xludf.DUMMYFUNCTION("GOOGLETRANSLATE(A872, ""auto"", ""bn"")"),"শুরুতেই আমি বলতে চাইছি - এটা কাউকে বিচার করার জন্য নয়। কাউকে ভুল বলা। অথবা কাউকে তাদের পছন্দ এবং কাজের কারণের উপর ভিত্তি করে ছোট করা। আমি সত্যিই এটাই বলতে চাইছি। আমার হৃদয়ে যা আছে তা প্রকাশ করার জন্য, আশা করি এটি কাউকে স্পর্শ করবে। কারণ যদি তা হয়, তাহলে"&amp;" একটি জীবন বাঁচানো যেতে পারে। যারা পুনর্বাসনে যাওয়ার কথা ভাবছেন, তাদের জন্য, কারণ আপনি সত্যিই পরিষ্কার হতে চান না, বরং আপনার বাবা-মা, আদালত বা অন্য কাউকে আপনার পিছন থেকে সরিয়ে দেওয়ার জন্য - দয়া করে তাদের বিবেচনা করুন যারা সত্যিই আরও ভালো হওয়ার চেষ্টা"&amp;" করছেন। কারণ যে কোনও আসক্ত ব্যক্তি জানেন - যখন আপনি সাহায্য চাইতে প্রস্তুত থাকেন, তখন আপনার ভাগ্য ভালো থাকার সম্ভাবনা খুব বেশি থাকে এবং মনে হয় যে যদি আপনি শীঘ্রই সাহায্য না পান, তাহলে আপনি মারা যাবেন। অনেকেই জানেন না যে একজন ব্যক্তির নিজেরাই পুনর্বাসনে য"&amp;"াওয়ার প্রক্রিয়াটি কতটা হতাশাজনক হতে পারে। এখন আমার মনে হয় এটি কাজ করা উচিত। আপনার আসক্তির কারণে আপনি যে দায়িত্বশীল প্রাপ্তবয়স্ককে হারিয়েছেন সেই দায়িত্বশীল প্রাপ্তবয়স্ক হওয়ার পথে এটি প্রথম পদক্ষেপ। এবং একজন প্রাপ্তবয়স্ক হওয়ার জন্য কাজ প্রয়োজন। "&amp;"কিন্তু সকাল দুপুর আর রাত প্রার্থনা করে যখনই তুমি জিজ্ঞেস করবে ""তোমার কি বিছানা আছে?"", তখনই উত্তরটা আজ হ্যাঁ হবে। আর যখনই বিছানা নেই, তখনই তুমি ভেঙে পড়ো। তুমি শুরুতেই শক্তিশালী হও। ""আমি এটা করতে পারি। আমি এর চেয়েও শক্তিশালী। আমি এর চেয়েও ভালো। তাছাড়"&amp;"া, আমি লড়াই করার যোগ্য।"" তুমি নিজেকে যা বলছো, সবই এইসব। কিন্তু প্রতিটি দিন যত যাচ্ছে, আর প্রত্যাহারের প্রবণতা ততই বাড়ছে। প্রত্যাহারের মানসিক অংশের সাথে। যা সত্যি বলতে শারীরিক চেয়েও খারাপ হতে পারে - তোমার যথেষ্ট ভালো এবং যোগ্য অনুভূতি সেই আসক্তিতে ফিরে"&amp;" যাচ্ছে যেখানে তুমি ছিলে। তুমি ভাবতে শুরু করো, ""আমি কী ভাবছিলাম? আমি তাদের পরিষ্কার হওয়ার সুযোগ দেওয়ার যোগ্য নই। আমি এর বিরুদ্ধে লড়াই করার মতো যথেষ্ট শক্তিশালী নই। তাছাড়া, আমি এটা করতে পারব না। তাছাড়া, আমি আমার এবং MES-কে সাহায্য করার চেষ্টা করা লোক"&amp;"দের সময় নষ্ট করছি। কারণ আমি অনেক দূরে চলে গেছি। এবং প্রায়শই দিনের পর দিন ফোন করে কারো জন্য বিছানা আছে বলে প্রার্থনা করার পরে, লোকেরা কেবল হাল ছেড়ে দেয়। এবং এটি হৃদয়বিদারক। এবং প্রায়শই সেই বিছানাগুলি খোলা থাকে না কারণ লোকেরা কারও ভালো অনুগ্রহে ফিরে য"&amp;"াওয়ার জন্য যথেষ্ট সময় ধরে ভালো থাকার ভান করার চেষ্টা করে, শুরু থেকেই আসলে পরিষ্কার হওয়ার এবং পরিষ্কার থাকার কোনও উদ্দেশ্য ছাড়াই। এখন আমি জানি যে কখনও কখনও যারা কেবল এটি করতে যায় তাদের ভিতরে কিছু স্ফুলিঙ্গ হয় এবং তারা পরিষ্কার থাকে। এবং এটি আশ্চর্যজন"&amp;"ক। আমি যা বুঝতে পারছি, যদি আপনি এটিকে গুরুত্ব সহকারে নেওয়ার পরিকল্পনা না করেন। এবং জীবনের নতুন ইজারা আপনাকে সুযোগ দেওয়া হচ্ছে - দয়া করে, আমি আপনাকে অনুরোধ করছি - এমন কোনও জায়গা দখল করবেন না যার জন্য কারও সত্যিই প্রয়োজন এবং প্রার্থনা করছে। দয়া করে।")</f>
        <v>শুরুতেই আমি বলতে চাইছি - এটা কাউকে বিচার করার জন্য নয়। কাউকে ভুল বলা। অথবা কাউকে তাদের পছন্দ এবং কাজের কারণের উপর ভিত্তি করে ছোট করা। আমি সত্যিই এটাই বলতে চাইছি। আমার হৃদয়ে যা আছে তা প্রকাশ করার জন্য, আশা করি এটি কাউকে স্পর্শ করবে। কারণ যদি তা হয়, তাহলে একটি জীবন বাঁচানো যেতে পারে। যারা পুনর্বাসনে যাওয়ার কথা ভাবছেন, তাদের জন্য, কারণ আপনি সত্যিই পরিষ্কার হতে চান না, বরং আপনার বাবা-মা, আদালত বা অন্য কাউকে আপনার পিছন থেকে সরিয়ে দেওয়ার জন্য - দয়া করে তাদের বিবেচনা করুন যারা সত্যিই আরও ভালো হওয়ার চেষ্টা করছেন। কারণ যে কোনও আসক্ত ব্যক্তি জানেন - যখন আপনি সাহায্য চাইতে প্রস্তুত থাকেন, তখন আপনার ভাগ্য ভালো থাকার সম্ভাবনা খুব বেশি থাকে এবং মনে হয় যে যদি আপনি শীঘ্রই সাহায্য না পান, তাহলে আপনি মারা যাবেন। অনেকেই জানেন না যে একজন ব্যক্তির নিজেরাই পুনর্বাসনে যাওয়ার প্রক্রিয়াটি কতটা হতাশাজনক হতে পারে। এখন আমার মনে হয় এটি কাজ করা উচিত। আপনার আসক্তির কারণে আপনি যে দায়িত্বশীল প্রাপ্তবয়স্ককে হারিয়েছেন সেই দায়িত্বশীল প্রাপ্তবয়স্ক হওয়ার পথে এটি প্রথম পদক্ষেপ। এবং একজন প্রাপ্তবয়স্ক হওয়ার জন্য কাজ প্রয়োজন। কিন্তু সকাল দুপুর আর রাত প্রার্থনা করে যখনই তুমি জিজ্ঞেস করবে "তোমার কি বিছানা আছে?", তখনই উত্তরটা আজ হ্যাঁ হবে। আর যখনই বিছানা নেই, তখনই তুমি ভেঙে পড়ো। তুমি শুরুতেই শক্তিশালী হও। "আমি এটা করতে পারি। আমি এর চেয়েও শক্তিশালী। আমি এর চেয়েও ভালো। তাছাড়া, আমি লড়াই করার যোগ্য।" তুমি নিজেকে যা বলছো, সবই এইসব। কিন্তু প্রতিটি দিন যত যাচ্ছে, আর প্রত্যাহারের প্রবণতা ততই বাড়ছে। প্রত্যাহারের মানসিক অংশের সাথে। যা সত্যি বলতে শারীরিক চেয়েও খারাপ হতে পারে - তোমার যথেষ্ট ভালো এবং যোগ্য অনুভূতি সেই আসক্তিতে ফিরে যাচ্ছে যেখানে তুমি ছিলে। তুমি ভাবতে শুরু করো, "আমি কী ভাবছিলাম? আমি তাদের পরিষ্কার হওয়ার সুযোগ দেওয়ার যোগ্য নই। আমি এর বিরুদ্ধে লড়াই করার মতো যথেষ্ট শক্তিশালী নই। তাছাড়া, আমি এটা করতে পারব না। তাছাড়া, আমি আমার এবং MES-কে সাহায্য করার চেষ্টা করা লোকদের সময় নষ্ট করছি। কারণ আমি অনেক দূরে চলে গেছি। এবং প্রায়শই দিনের পর দিন ফোন করে কারো জন্য বিছানা আছে বলে প্রার্থনা করার পরে, লোকেরা কেবল হাল ছেড়ে দেয়। এবং এটি হৃদয়বিদারক। এবং প্রায়শই সেই বিছানাগুলি খোলা থাকে না কারণ লোকেরা কারও ভালো অনুগ্রহে ফিরে যাওয়ার জন্য যথেষ্ট সময় ধরে ভালো থাকার ভান করার চেষ্টা করে, শুরু থেকেই আসলে পরিষ্কার হওয়ার এবং পরিষ্কার থাকার কোনও উদ্দেশ্য ছাড়াই। এখন আমি জানি যে কখনও কখনও যারা কেবল এটি করতে যায় তাদের ভিতরে কিছু স্ফুলিঙ্গ হয় এবং তারা পরিষ্কার থাকে। এবং এটি আশ্চর্যজনক। আমি যা বুঝতে পারছি, যদি আপনি এটিকে গুরুত্ব সহকারে নেওয়ার পরিকল্পনা না করেন। এবং জীবনের নতুন ইজারা আপনাকে সুযোগ দেওয়া হচ্ছে - দয়া করে, আমি আপনাকে অনুরোধ করছি - এমন কোনও জায়গা দখল করবেন না যার জন্য কারও সত্যিই প্রয়োজন এবং প্রার্থনা করছে। দয়া করে।</v>
      </c>
    </row>
    <row r="873" spans="1:3" ht="15" x14ac:dyDescent="0.25">
      <c r="A873" s="3" t="s">
        <v>869</v>
      </c>
      <c r="B873" s="3" t="s">
        <v>4</v>
      </c>
      <c r="C873" s="4" t="str">
        <f ca="1">IFERROR(__xludf.DUMMYFUNCTION("GOOGLETRANSLATE(A873, ""auto"", ""bn"")"),"এই প্রথম এখানে পোস্ট করছি, কিন্তু আমার শুধু পরামর্শের প্রয়োজন। আমার সঙ্গী একজন সুস্থ হওয়া আসক্ত এবং তার সুস্থ হওয়ার শুরু থেকেই তার যৌন ইচ্ছা প্রায় নেই বললেই চলে এবং দুর্ভাগ্যবশত আমি যখনই চেষ্টা করি তখনই আমাকে প্রায় প্রত্যাখ্যান করা হয়, এবং সে ব্যাখ্যা কর"&amp;"ার চেষ্টা করে যে এটা আমি নই, সে নিজেই। ওষুধের কারণে তার আর তা করার ইচ্ছা নেই? এটা কি স্বাভাবিক? পরিস্থিতি কি কখনও বদলাবে নাকি কোন আশা নেই?")</f>
        <v>এই প্রথম এখানে পোস্ট করছি, কিন্তু আমার শুধু পরামর্শের প্রয়োজন। আমার সঙ্গী একজন সুস্থ হওয়া আসক্ত এবং তার সুস্থ হওয়ার শুরু থেকেই তার যৌন ইচ্ছা প্রায় নেই বললেই চলে এবং দুর্ভাগ্যবশত আমি যখনই চেষ্টা করি তখনই আমাকে প্রায় প্রত্যাখ্যান করা হয়, এবং সে ব্যাখ্যা করার চেষ্টা করে যে এটা আমি নই, সে নিজেই। ওষুধের কারণে তার আর তা করার ইচ্ছা নেই? এটা কি স্বাভাবিক? পরিস্থিতি কি কখনও বদলাবে নাকি কোন আশা নেই?</v>
      </c>
    </row>
    <row r="874" spans="1:3" ht="15" x14ac:dyDescent="0.25">
      <c r="A874" s="3" t="s">
        <v>870</v>
      </c>
      <c r="B874" s="3" t="s">
        <v>4</v>
      </c>
      <c r="C874" s="4" t="str">
        <f ca="1">IFERROR(__xludf.DUMMYFUNCTION("GOOGLETRANSLATE(A874, ""auto"", ""bn"")"),"আমি কয়েক সপ্তাহ ধরে গাঁজা ধূমপান করিনি। আমি জানি কেন আমি ধূমপান ছেড়ে দিয়েছি, এবং আমি নিজেকে কারণগুলি মনে করিয়ে দিচ্ছি। আমি ধূমপান ছেড়ে দেওয়ার সবচেয়ে বড় কারণ হল আমি ধূমপান করার সময় কোনও খারাপ কাজ করতে চাই না এবং আমি শূকরের মতো খাই। কিছুক্ষণ ধূমপান"&amp;" না করার পর যখনই আমি ধূমপান করি তখনই আমি নিজেকে বলি যে আমি সপ্তাহে একবারই এটি করব। এখন পর্যন্ত প্রতিবারই এটি মিথ্যা। আমি সপ্তাহে একবার বা দুই সপ্তাহ ধূমপান শিখতে চাই। নিজেকে এভাবে নিয়ন্ত্রণ করার কোন টিপস? কীভাবে এটি কখনও করবেন না?")</f>
        <v>আমি কয়েক সপ্তাহ ধরে গাঁজা ধূমপান করিনি। আমি জানি কেন আমি ধূমপান ছেড়ে দিয়েছি, এবং আমি নিজেকে কারণগুলি মনে করিয়ে দিচ্ছি। আমি ধূমপান ছেড়ে দেওয়ার সবচেয়ে বড় কারণ হল আমি ধূমপান করার সময় কোনও খারাপ কাজ করতে চাই না এবং আমি শূকরের মতো খাই। কিছুক্ষণ ধূমপান না করার পর যখনই আমি ধূমপান করি তখনই আমি নিজেকে বলি যে আমি সপ্তাহে একবারই এটি করব। এখন পর্যন্ত প্রতিবারই এটি মিথ্যা। আমি সপ্তাহে একবার বা দুই সপ্তাহ ধূমপান শিখতে চাই। নিজেকে এভাবে নিয়ন্ত্রণ করার কোন টিপস? কীভাবে এটি কখনও করবেন না?</v>
      </c>
    </row>
    <row r="875" spans="1:3" ht="15" x14ac:dyDescent="0.25">
      <c r="A875" s="3" t="s">
        <v>871</v>
      </c>
      <c r="B875" s="3" t="s">
        <v>4</v>
      </c>
      <c r="C875" s="4" t="str">
        <f ca="1">IFERROR(__xludf.DUMMYFUNCTION("GOOGLETRANSLATE(A875, ""auto"", ""bn"")"),"আমি একজন ২৫ বছর বয়সী যুবক। আমার নিজেরও পর্ন এবং কিছু যৌন বিষয়, ছবি, ভিডিও ইত্যাদির প্রতি আসক্ত হওয়ার সমস্যা আছে। তাছাড়া, আমি জানি এটি ধীরে ধীরে আমার জীবনে প্রভাব ফেলছে। তাছাড়া, আমার কাজের প্রতি মনোযোগের অভাব রয়েছে। তাছাড়া, আমি জিনিসপত্রের প্রতি খুব"&amp;" বেশি ভুলে যাচ্ছি, কাজ করার শক্তির অভাব রয়েছে। তাছাড়া, আমার পরিস্থিতি নিয়ে আমি হতাশাগ্রস্ত বোধ করছি। তাছাড়া, আমার বন্ধুবান্ধব এবং পরিবারের কাউকে আমার পরিস্থিতি বলতে লজ্জা পাচ্ছি। কেউ, দয়া করে আমাকে এই আসক্তি কাটিয়ে উঠতে সাহায্য করুন। আমার সাথে কথা ব"&amp;"লার মতো কেউ নেই। আমার সত্যিই আপনার পরামর্শের প্রয়োজন। দয়া করে আমাকে এই পরিস্থিতি, এই আসক্তি কাটিয়ে উঠতে সাহায্য করুন। ধন্যবাদ।")</f>
        <v>আমি একজন ২৫ বছর বয়সী যুবক। আমার নিজেরও পর্ন এবং কিছু যৌন বিষয়, ছবি, ভিডিও ইত্যাদির প্রতি আসক্ত হওয়ার সমস্যা আছে। তাছাড়া, আমি জানি এটি ধীরে ধীরে আমার জীবনে প্রভাব ফেলছে। তাছাড়া, আমার কাজের প্রতি মনোযোগের অভাব রয়েছে। তাছাড়া, আমি জিনিসপত্রের প্রতি খুব বেশি ভুলে যাচ্ছি, কাজ করার শক্তির অভাব রয়েছে। তাছাড়া, আমার পরিস্থিতি নিয়ে আমি হতাশাগ্রস্ত বোধ করছি। তাছাড়া, আমার বন্ধুবান্ধব এবং পরিবারের কাউকে আমার পরিস্থিতি বলতে লজ্জা পাচ্ছি। কেউ, দয়া করে আমাকে এই আসক্তি কাটিয়ে উঠতে সাহায্য করুন। আমার সাথে কথা বলার মতো কেউ নেই। আমার সত্যিই আপনার পরামর্শের প্রয়োজন। দয়া করে আমাকে এই পরিস্থিতি, এই আসক্তি কাটিয়ে উঠতে সাহায্য করুন। ধন্যবাদ।</v>
      </c>
    </row>
    <row r="876" spans="1:3" ht="15" x14ac:dyDescent="0.25">
      <c r="A876" s="3" t="s">
        <v>872</v>
      </c>
      <c r="B876" s="3" t="s">
        <v>4</v>
      </c>
      <c r="C876" s="4" t="str">
        <f ca="1">IFERROR(__xludf.DUMMYFUNCTION("GOOGLETRANSLATE(A876, ""auto"", ""bn"")"),"আমি আমার আসক্তির জীবনের একটি ভিডিও ডকুমেন্টারি দেখছি এবং আমার কিছু বিষয়ের প্রয়োজন, যদি আপনি কোন প্রশ্ন জিজ্ঞাসা করতে পারেন এবং আসক্তি করতে পারেন যে এটি কি সবচেয়ে বিব্রতকর গল্প, কেন তারা ব্যবহার করেছিল, রিল্যাপসিং কীভাবে হয়েছিল ইত্যাদি। আপনি কী জিজ্ঞাস"&amp;"া করবেন? যদি আপনার প্রশ্ন ইতিমধ্যেই পোস্ট করা হয়েছে তবে অনুগ্রহ করে অতিরিক্ত প্রশ্নের পরিমাণের জন্য একটি নতুন প্রশ্ন বেছে নিন। আমি এটির জন্য কৃতজ্ঞ, আমি অভাবী কাউকে সাহায্য করার জন্য আমার অনুগ্রহ চাই।")</f>
        <v>আমি আমার আসক্তির জীবনের একটি ভিডিও ডকুমেন্টারি দেখছি এবং আমার কিছু বিষয়ের প্রয়োজন, যদি আপনি কোন প্রশ্ন জিজ্ঞাসা করতে পারেন এবং আসক্তি করতে পারেন যে এটি কি সবচেয়ে বিব্রতকর গল্প, কেন তারা ব্যবহার করেছিল, রিল্যাপসিং কীভাবে হয়েছিল ইত্যাদি। আপনি কী জিজ্ঞাসা করবেন? যদি আপনার প্রশ্ন ইতিমধ্যেই পোস্ট করা হয়েছে তবে অনুগ্রহ করে অতিরিক্ত প্রশ্নের পরিমাণের জন্য একটি নতুন প্রশ্ন বেছে নিন। আমি এটির জন্য কৃতজ্ঞ, আমি অভাবী কাউকে সাহায্য করার জন্য আমার অনুগ্রহ চাই।</v>
      </c>
    </row>
    <row r="877" spans="1:3" ht="15" x14ac:dyDescent="0.25">
      <c r="A877" s="3" t="s">
        <v>873</v>
      </c>
      <c r="B877" s="3" t="s">
        <v>4</v>
      </c>
      <c r="C877" s="4" t="str">
        <f ca="1">IFERROR(__xludf.DUMMYFUNCTION("GOOGLETRANSLATE(A877, ""auto"", ""bn"")"),"আমি শুধু কৌতূহলী। এই সময়ে আমার অনেক বন্ধু আবার অসুস্থ হয়ে পড়েছে, কিন্তু এমন অনেক লোকও আছে যারা বলে যে তারা আগের চেয়ে ভালো করছে কারণ কোয়ারেন্টাইন তাদের পুনরুদ্ধার এবং মানসিক স্বাস্থ্যের উপর মনোযোগ দেওয়ার সুযোগ করে দিয়েছে।")</f>
        <v>আমি শুধু কৌতূহলী। এই সময়ে আমার অনেক বন্ধু আবার অসুস্থ হয়ে পড়েছে, কিন্তু এমন অনেক লোকও আছে যারা বলে যে তারা আগের চেয়ে ভালো করছে কারণ কোয়ারেন্টাইন তাদের পুনরুদ্ধার এবং মানসিক স্বাস্থ্যের উপর মনোযোগ দেওয়ার সুযোগ করে দিয়েছে।</v>
      </c>
    </row>
    <row r="878" spans="1:3" ht="15" x14ac:dyDescent="0.25">
      <c r="A878" s="3" t="s">
        <v>874</v>
      </c>
      <c r="B878" s="3" t="s">
        <v>4</v>
      </c>
      <c r="C878" s="4" t="str">
        <f ca="1">IFERROR(__xludf.DUMMYFUNCTION("GOOGLETRANSLATE(A878, ""auto"", ""bn"")"),"আমি (৩) দিন সুস্থ, মূল পরিকল্পনা ছিল ভিজিটরদের টিকা দেওয়া। তবে, প্রত্যাহারের লক্ষণগুলি খুব খারাপ লাগছিল, তাই আমি সাবক্সোন নিলাম.... এবং এক ঘন্টার মধ্যে আমি ঘুম থেকে উঠে গোসল করে ঘর পরিষ্কার করলাম। আমি আমার ডাক্তারকে ফোন করে সাবক্সোনে আমার পরিকল্পনা পরিবর্"&amp;"তন করার কথা ভাবছি। আপনার মতামত? পরামর্শ? অভিজ্ঞতা?")</f>
        <v>আমি (৩) দিন সুস্থ, মূল পরিকল্পনা ছিল ভিজিটরদের টিকা দেওয়া। তবে, প্রত্যাহারের লক্ষণগুলি খুব খারাপ লাগছিল, তাই আমি সাবক্সোন নিলাম.... এবং এক ঘন্টার মধ্যে আমি ঘুম থেকে উঠে গোসল করে ঘর পরিষ্কার করলাম। আমি আমার ডাক্তারকে ফোন করে সাবক্সোনে আমার পরিকল্পনা পরিবর্তন করার কথা ভাবছি। আপনার মতামত? পরামর্শ? অভিজ্ঞতা?</v>
      </c>
    </row>
    <row r="879" spans="1:3" ht="15" x14ac:dyDescent="0.25">
      <c r="A879" s="3" t="s">
        <v>875</v>
      </c>
      <c r="B879" s="3" t="s">
        <v>4</v>
      </c>
      <c r="C879" s="4" t="str">
        <f ca="1">IFERROR(__xludf.DUMMYFUNCTION("GOOGLETRANSLATE(A879, ""auto"", ""bn"")"),"চার দিন আগে আমি মদ্যপান বন্ধ করে দিয়েছি। প্রথম দুই দিন যতটা খারাপ ভেবেছিলাম ততটা খারাপ ছিল না কারণ আমি উৎসাহী ছিলাম। গতকাল খারাপ ছিল কিন্তু আজ আরও খারাপ। সকালে আমি অনেক শক্তি অনুভব করলাম কিন্তু তারপর থেকেই শুরু হলো অনধিকারপ্রবেশকারী চিন্তাভাবনা। আমি ছবি "&amp;"আঁকার চেষ্টা করেছিলাম কিন্তু হতাশ হয়ে পড়েছিলাম, এবং এখন আমি কোনও কিছুতে মনোযোগ দিতে পারছি না, এবং আমি সত্যিই বিরক্ত। এখন আমার সবচেয়ে খারাপ ইচ্ছা ২০ মিনিট পরেও বন্ধ হয়ে যায়, কিন্তু এখনও আমার মাথার পিছনে সেই কণ্ঠস্বরটি আছে... আপনার কি কোন পরামর্শ আছে?")</f>
        <v>চার দিন আগে আমি মদ্যপান বন্ধ করে দিয়েছি। প্রথম দুই দিন যতটা খারাপ ভেবেছিলাম ততটা খারাপ ছিল না কারণ আমি উৎসাহী ছিলাম। গতকাল খারাপ ছিল কিন্তু আজ আরও খারাপ। সকালে আমি অনেক শক্তি অনুভব করলাম কিন্তু তারপর থেকেই শুরু হলো অনধিকারপ্রবেশকারী চিন্তাভাবনা। আমি ছবি আঁকার চেষ্টা করেছিলাম কিন্তু হতাশ হয়ে পড়েছিলাম, এবং এখন আমি কোনও কিছুতে মনোযোগ দিতে পারছি না, এবং আমি সত্যিই বিরক্ত। এখন আমার সবচেয়ে খারাপ ইচ্ছা ২০ মিনিট পরেও বন্ধ হয়ে যায়, কিন্তু এখনও আমার মাথার পিছনে সেই কণ্ঠস্বরটি আছে... আপনার কি কোন পরামর্শ আছে?</v>
      </c>
    </row>
    <row r="880" spans="1:3" ht="15" x14ac:dyDescent="0.25">
      <c r="A880" s="3" t="s">
        <v>876</v>
      </c>
      <c r="B880" s="3" t="s">
        <v>4</v>
      </c>
      <c r="C880" s="4" t="str">
        <f ca="1">IFERROR(__xludf.DUMMYFUNCTION("GOOGLETRANSLATE(A880, ""auto"", ""bn"")"),"ছোটবেলা থেকেই আঙুলের চামড়া ছিঁড়ে ফেলা আমার নেশা। এটা বিষ্ঠার মতো ব্যথা করে এবং রক্তপাত হয় এবং সর্বত্র পুড়ে যায়। আমি থামতে চাই, আমি অনেকবার থামানোর চেষ্টা করেছি, কিন্তু পারিনি, টাইপ করার সময় আমি ছিঁড়ে ফেলছি RN, এটা ব্যথা করছে দয়া করে সাহায্য করুন।")</f>
        <v>ছোটবেলা থেকেই আঙুলের চামড়া ছিঁড়ে ফেলা আমার নেশা। এটা বিষ্ঠার মতো ব্যথা করে এবং রক্তপাত হয় এবং সর্বত্র পুড়ে যায়। আমি থামতে চাই, আমি অনেকবার থামানোর চেষ্টা করেছি, কিন্তু পারিনি, টাইপ করার সময় আমি ছিঁড়ে ফেলছি RN, এটা ব্যথা করছে দয়া করে সাহায্য করুন।</v>
      </c>
    </row>
    <row r="881" spans="1:3" ht="15" x14ac:dyDescent="0.25">
      <c r="A881" s="3" t="s">
        <v>877</v>
      </c>
      <c r="B881" s="3" t="s">
        <v>4</v>
      </c>
      <c r="C881" s="4" t="str">
        <f ca="1">IFERROR(__xludf.DUMMYFUNCTION("GOOGLETRANSLATE(A881, ""auto"", ""bn"")"),"তাহলে কি কেউ এমন কাউকে চেনেন যে বেসবল কার্ডের প্রতি আসক্ত? আমার স্বামী এটা শখ হিসেবে শুরু করেছিলেন, কিন্তু এখন এটি নিয়ন্ত্রণের বাইরে চলে গেছে। তার আর্থিক অবস্থা খারাপ হয়ে গেছে। আমি তাকে খরচ করার জন্য একটি বাজেট দেওয়ার চেষ্টা করেছি, কিন্তু সে অনেক সময় "&amp;"তাড়িয়ে দেয়, অ্যাকাউন্টে প্রবেশাধিকার না দেওয়ার চেষ্টা করে, এবং সে মানুষের কাছ থেকে টাকা ধার করে ফেরত দিতে শুরু করে। এই মুহূর্তে আমি বুঝতে পারছি না কী করব। কোন পরামর্শ বা পরামর্শ??")</f>
        <v>তাহলে কি কেউ এমন কাউকে চেনেন যে বেসবল কার্ডের প্রতি আসক্ত? আমার স্বামী এটা শখ হিসেবে শুরু করেছিলেন, কিন্তু এখন এটি নিয়ন্ত্রণের বাইরে চলে গেছে। তার আর্থিক অবস্থা খারাপ হয়ে গেছে। আমি তাকে খরচ করার জন্য একটি বাজেট দেওয়ার চেষ্টা করেছি, কিন্তু সে অনেক সময় তাড়িয়ে দেয়, অ্যাকাউন্টে প্রবেশাধিকার না দেওয়ার চেষ্টা করে, এবং সে মানুষের কাছ থেকে টাকা ধার করে ফেরত দিতে শুরু করে। এই মুহূর্তে আমি বুঝতে পারছি না কী করব। কোন পরামর্শ বা পরামর্শ??</v>
      </c>
    </row>
    <row r="882" spans="1:3" ht="15" x14ac:dyDescent="0.25">
      <c r="A882" s="3" t="s">
        <v>878</v>
      </c>
      <c r="B882" s="3" t="s">
        <v>4</v>
      </c>
      <c r="C882" s="4" t="str">
        <f ca="1">IFERROR(__xludf.DUMMYFUNCTION("GOOGLETRANSLATE(A882, ""auto"", ""bn"")"),"ঠিক আছে, আমি চেষ্টা করব এটা একটু ছোট করে রাখবো এবং তারপরও এটাকে যুক্তিসঙ্গত করে তুলবো... গত ৪ বছরের সম্পর্কের সময় একজন লোকের সাথে ৭ বছর ধরে ছিল যে মেথের প্রতি আসক্ত ছিল। গত বছরটা খুব খারাপ কেটেছে। সে মিথ্যা বলেছে, আমার কাছ থেকে কিছু গোপন করেছে, কখনও প্রত"&amp;"িশ্রুতি রাখেনি, প্রচুর টাকা খরচ করেছে। সে বারবার বলেছে যে সে টাকা ফেরত দেবে ইত্যাদি। এর আগে সে মাদকাসক্ত হওয়ার সিদ্ধান্ত নিয়েছিল, এবং আমি তাকে এই কাজটি করতে সাহায্য করেছি এবং সবকিছু খুব ভালোভাবে সম্পন্ন হয়েছিল এবং তারপর প্রায় ৪ মাস পর সে আবার মাদকাসক্"&amp;"ত হতে শুরু করে, কিন্তু সে আমার কাছ থেকে তা লুকিয়ে রেখেছিল এবং তার পর এক বা দুই মাস আমি জানতে পারিনি। তার আগের সম্পর্কের দুটি বাচ্চা আছে যাদের আমরা গত ৫ বছর ধরে পূর্ণকালীনভাবে লালন-পালন করে আসছি (তাদের বয়স ১৩ এবং ১৪ বছর)। যখন সে আবার মাদকাসক্ত হতে শুরু ক"&amp;"রে, আমি তাকে সমর্থন করার চেষ্টা করেছিলাম, কিন্তু এটা কঠিন ছিল, এবং সে কয়েকদিন ধরে চলে যেত এবং তারপর ফিরে এসে স্বাভাবিক আচরণ করত, এবং এটা খুবই খারাপ ছিল... অবশেষে সে আমার সাথে সম্পর্ক ছিন্ন করে। সে বললো সে আমার জন্য ভালো না ইত্যাদি। ব্লা ব্লা তারপর আমি জা"&amp;"নতে পারলাম সে ভেবেছে আমি তার সাথে প্রতারণা করছি (তার এক বন্ধু বললো তারা ভেবেছে তারা আমাকে একজন ছেলের সাথে দেখেছে এবং আমি বুঝতে পারছি না তারা কি নিয়ে কথা বলছিল) আমার মনে হয় সে এটা প্রজেক্ট করছিল কারণ সে সম্ভবত আমার সাথে প্রতারণা করছিল, অথবা কেবল ভৌতিক হয"&amp;"়ে উঠছিল যা সে হয়ে গিয়েছিল। ঠিক আছে, আমার কথা হল। আমি জানি আমি বেশ কয়েক বছর ধরে তাকে সাহায্য করেছি। আমি এখন বুঝতে পারছি যে আমি এটি সমর্থন করার চেষ্টা করছিলাম, কিন্তু এটি তাকে মাদক ব্যবহার চালিয়ে যেতে সক্ষম করেছে। আমিই তার বাচ্চাদের লালন-পালন করেছি, কা"&amp;"জ করেছি, বিল পরিশোধ করেছি, দায়িত্বশীল। এখন সে আমার সাথে সম্পর্ক ছিন্ন করেছে এবং বাড়ি ছেড়ে চলে গেছে এবং আমি এখনও এখানে তার বাচ্চাদের যত্ন নিচ্ছি। কী করব তা নিশ্চিত নই কারণ আমি তাকে সাহায্য করতে চাই না, তবুও আমি তার বাচ্চাদের খুব ভালোবাসি, এবং আমি না থাক"&amp;"লে তাদের থাকার জায়গা থাকত না। সে প্রায় প্রতিদিন তাদের টেক্সট করে কিন্তু তাদের খুব কমই দেখতে পায়, এবং আমরা এখনও যোগাযোগ করি যদিও সে ব্রেকআপের পর প্রায় 2 সপ্তাহ ধরে আমাকে এবং তার বাচ্চাদের উপেক্ষা করেছিল। আমি এখনও তাকে ভালোবাসি এবং তাকে ফিরে পেতে চাই, ক"&amp;"িন্তু আমি জানি তার আরও ভালো হতে হবে, কিছুটা পরিবর্তন করতে হবে। আর আমি কেবল তাকে সহজেই একজন আসক্ত হিসেবে থাকতে সাহায্য করছি, তার বাচ্চাদের সাথে সাহায্য করছি এবং তার সাথে যোগাযোগ চালিয়ে যাচ্ছি... মনে হচ্ছে এর কোন ভালো উত্তর নেই এবং আমি ভেঙে পড়েছি, আটকে গে"&amp;"ছি এবং দুঃখিত।")</f>
        <v>ঠিক আছে, আমি চেষ্টা করব এটা একটু ছোট করে রাখবো এবং তারপরও এটাকে যুক্তিসঙ্গত করে তুলবো... গত ৪ বছরের সম্পর্কের সময় একজন লোকের সাথে ৭ বছর ধরে ছিল যে মেথের প্রতি আসক্ত ছিল। গত বছরটা খুব খারাপ কেটেছে। সে মিথ্যা বলেছে, আমার কাছ থেকে কিছু গোপন করেছে, কখনও প্রতিশ্রুতি রাখেনি, প্রচুর টাকা খরচ করেছে। সে বারবার বলেছে যে সে টাকা ফেরত দেবে ইত্যাদি। এর আগে সে মাদকাসক্ত হওয়ার সিদ্ধান্ত নিয়েছিল, এবং আমি তাকে এই কাজটি করতে সাহায্য করেছি এবং সবকিছু খুব ভালোভাবে সম্পন্ন হয়েছিল এবং তারপর প্রায় ৪ মাস পর সে আবার মাদকাসক্ত হতে শুরু করে, কিন্তু সে আমার কাছ থেকে তা লুকিয়ে রেখেছিল এবং তার পর এক বা দুই মাস আমি জানতে পারিনি। তার আগের সম্পর্কের দুটি বাচ্চা আছে যাদের আমরা গত ৫ বছর ধরে পূর্ণকালীনভাবে লালন-পালন করে আসছি (তাদের বয়স ১৩ এবং ১৪ বছর)। যখন সে আবার মাদকাসক্ত হতে শুরু করে, আমি তাকে সমর্থন করার চেষ্টা করেছিলাম, কিন্তু এটা কঠিন ছিল, এবং সে কয়েকদিন ধরে চলে যেত এবং তারপর ফিরে এসে স্বাভাবিক আচরণ করত, এবং এটা খুবই খারাপ ছিল... অবশেষে সে আমার সাথে সম্পর্ক ছিন্ন করে। সে বললো সে আমার জন্য ভালো না ইত্যাদি। ব্লা ব্লা তারপর আমি জানতে পারলাম সে ভেবেছে আমি তার সাথে প্রতারণা করছি (তার এক বন্ধু বললো তারা ভেবেছে তারা আমাকে একজন ছেলের সাথে দেখেছে এবং আমি বুঝতে পারছি না তারা কি নিয়ে কথা বলছিল) আমার মনে হয় সে এটা প্রজেক্ট করছিল কারণ সে সম্ভবত আমার সাথে প্রতারণা করছিল, অথবা কেবল ভৌতিক হয়ে উঠছিল যা সে হয়ে গিয়েছিল। ঠিক আছে, আমার কথা হল। আমি জানি আমি বেশ কয়েক বছর ধরে তাকে সাহায্য করেছি। আমি এখন বুঝতে পারছি যে আমি এটি সমর্থন করার চেষ্টা করছিলাম, কিন্তু এটি তাকে মাদক ব্যবহার চালিয়ে যেতে সক্ষম করেছে। আমিই তার বাচ্চাদের লালন-পালন করেছি, কাজ করেছি, বিল পরিশোধ করেছি, দায়িত্বশীল। এখন সে আমার সাথে সম্পর্ক ছিন্ন করেছে এবং বাড়ি ছেড়ে চলে গেছে এবং আমি এখনও এখানে তার বাচ্চাদের যত্ন নিচ্ছি। কী করব তা নিশ্চিত নই কারণ আমি তাকে সাহায্য করতে চাই না, তবুও আমি তার বাচ্চাদের খুব ভালোবাসি, এবং আমি না থাকলে তাদের থাকার জায়গা থাকত না। সে প্রায় প্রতিদিন তাদের টেক্সট করে কিন্তু তাদের খুব কমই দেখতে পায়, এবং আমরা এখনও যোগাযোগ করি যদিও সে ব্রেকআপের পর প্রায় 2 সপ্তাহ ধরে আমাকে এবং তার বাচ্চাদের উপেক্ষা করেছিল। আমি এখনও তাকে ভালোবাসি এবং তাকে ফিরে পেতে চাই, কিন্তু আমি জানি তার আরও ভালো হতে হবে, কিছুটা পরিবর্তন করতে হবে। আর আমি কেবল তাকে সহজেই একজন আসক্ত হিসেবে থাকতে সাহায্য করছি, তার বাচ্চাদের সাথে সাহায্য করছি এবং তার সাথে যোগাযোগ চালিয়ে যাচ্ছি... মনে হচ্ছে এর কোন ভালো উত্তর নেই এবং আমি ভেঙে পড়েছি, আটকে গেছি এবং দুঃখিত।</v>
      </c>
    </row>
    <row r="883" spans="1:3" ht="15" x14ac:dyDescent="0.25">
      <c r="A883" s="3" t="s">
        <v>879</v>
      </c>
      <c r="B883" s="3" t="s">
        <v>4</v>
      </c>
      <c r="C883" s="4" t="s">
        <v>3018</v>
      </c>
    </row>
    <row r="884" spans="1:3" ht="15" x14ac:dyDescent="0.25">
      <c r="A884" s="3" t="s">
        <v>880</v>
      </c>
      <c r="B884" s="3" t="s">
        <v>4</v>
      </c>
      <c r="C884" s="4" t="str">
        <f ca="1">IFERROR(__xludf.DUMMYFUNCTION("GOOGLETRANSLATE(A884, ""auto"", ""bn"")"),"বাজে কথা, এটা খুব কঠিন। আমি ৩ দিন ""পরিষ্কার"", আজ ৪র্থ দিন। আজ যদি আমি এই যাত্রা শুরু করার পর থেকে এটি আমার দীর্ঘতম ধারাবাহিকতা হবে। আমি ""পরিষ্কার"" শব্দটি ব্যবহার করি কারণ আমি কোনও পদার্থের প্রতি আসক্ত নই, আমি এই হটলাইনে কল করার আসক্ত (এটি কোনও যৌন হটল"&amp;"াইন নয়, তবে আমি এটি কী তা ভাগ করে নিতে প্রস্তুত নই)। এই হটলাইনে কল করা আমাকে আশা এবং বৈধতার অনুভূতি দিয়েছে (অথবা বৈধতার আশাও!)। আমি যৌনতাও করছি না - এটিও একটি সংগ্রাম ছিল। সাধারণত, আমি যৌনতার মাধ্যমে বৈধতা বা বিপরীত লিঙ্গের মনোযোগের মাধ্যমে বৈধতা চেয়েছ"&amp;"ি। এই উভয়ের মুখোমুখি হওয়া কঠিন, তবে আমি জানি প্রয়োজনীয়।")</f>
        <v>বাজে কথা, এটা খুব কঠিন। আমি ৩ দিন "পরিষ্কার", আজ ৪র্থ দিন। আজ যদি আমি এই যাত্রা শুরু করার পর থেকে এটি আমার দীর্ঘতম ধারাবাহিকতা হবে। আমি "পরিষ্কার" শব্দটি ব্যবহার করি কারণ আমি কোনও পদার্থের প্রতি আসক্ত নই, আমি এই হটলাইনে কল করার আসক্ত (এটি কোনও যৌন হটলাইন নয়, তবে আমি এটি কী তা ভাগ করে নিতে প্রস্তুত নই)। এই হটলাইনে কল করা আমাকে আশা এবং বৈধতার অনুভূতি দিয়েছে (অথবা বৈধতার আশাও!)। আমি যৌনতাও করছি না - এটিও একটি সংগ্রাম ছিল। সাধারণত, আমি যৌনতার মাধ্যমে বৈধতা বা বিপরীত লিঙ্গের মনোযোগের মাধ্যমে বৈধতা চেয়েছি। এই উভয়ের মুখোমুখি হওয়া কঠিন, তবে আমি জানি প্রয়োজনীয়।</v>
      </c>
    </row>
    <row r="885" spans="1:3" ht="15" x14ac:dyDescent="0.25">
      <c r="A885" s="3" t="s">
        <v>881</v>
      </c>
      <c r="B885" s="3" t="s">
        <v>4</v>
      </c>
      <c r="C885" s="4" t="str">
        <f ca="1">IFERROR(__xludf.DUMMYFUNCTION("GOOGLETRANSLATE(A885, ""auto"", ""bn"")"),"গত কয়েক মাস ধরে আমি আমার মাকে ধীরে ধীরে শান্ত হতে দেখছি। কয়েক মাস আগে যখন সে সিগারেট খাওয়া শুরু করেছিল, তখন থেকেই সবকিছু শুরু হয়েছিল। চার বছর ধরে সে সুস্থ ছিল এবং জর্জিয়ায় তার বোনদের সাথে দেখা করার পর আবার সে সুস্থ হয়ে উঠেছে। আমার বাবা এটা পছন্দ কর"&amp;"েন না যে সে আবার ধূমপান শুরু করে কারণ তারা একসাথে ধূমপান ছেড়ে দিয়েছে। সে এমন আচরণ করে যেন সে কখনও ধূমপান ছাড়েনি। সে আবার দিনে প্রায় দুই প্যাকেট সেবন করে। আমি তাকে জিজ্ঞাসা করলাম কেন সে আবার ধূমপান শুরু করেছে, এবং সে ভেঙে পড়ে এবং আমাকে বলে যে সে তার ব"&amp;"্যথার ওষুধে আসক্ত। (অতীতে সে অস্ত্রোপচার এবং ঘাড়/পিঠের সমস্যার কারণে বছরের পর বছর ধরে ব্যথার ওষুধ খাচ্ছে এবং এটি কখনও এমন হয়নি।) সে আমাকে বলেছিল যে সে একাধিকবার অতিরিক্ত ওষুধ খেয়েছে, গাড়ি চালাতে চালাতে ঘুমিয়ে পড়েছে, এবং প্রায় এমন পর্যায়ে পৌঁছেছে য"&amp;"ে সে ভাবেনি যে সে কিছু দিন ঘুম থেকে উঠবে। তার প্রেসক্রিপশনের সময়সীমা শেষ হওয়ার এক সপ্তাহ আগে সে শেষ হয়ে যায়। সে অতিরিক্ত ১৫টি বড়ি খায় যা তার উচিত নয়। প্রয়োজনে ব্যথার জন্য সে কেবল সেগুলি খাওয়ার কথা। সে দিনে একাধিকবার এগুলো খায় এবং তার পেশী শিথিলকা"&amp;"রীর সাথে মিশিয়ে দেয়, যা কেবল প্রয়োজন অনুযায়ী নেওয়া উচিত। সকালে ঘুম থেকে উঠে প্রথমেই সে এগুলো খোঁজে। সে তার আসক্তির জন্য এবং আবার ধূমপান করার কারণের জন্য আমার বাবাকে দোষারোপ করে, কিন্তু সে একজন ভালো মানুষ এবং বাবা এবং কখনও তাকে আঘাত করার চেষ্টা করবে না। সে"&amp;" এতটাই বিরক্তিকর এবং পুরো পরিবার থেকে দূরে সরে গেছে যে আমি বুঝতে পারছি এটি তাকে গ্রাস করছে। আমরা ছুটিতে গিয়েছিলাম, এবং সে মদের সাথে এগুলো মিশিয়ে দিচ্ছিল। আমরা গতকালই ফিরে এসেছি। আমার বাবা বলছেন যে তিনি কিছুই করতে পারবেন না। এটি তার উপর খুব চাপ সৃষ্টি কর"&amp;"ছে। সে তাকে সাহায্য করার চেষ্টা করে, কিন্তু সে তার মুখে বিষ্ঠা ছুঁড়ে মারতে থাকে এবং তাকে অভিশাপ দিতে থাকে যে সে বিবাহবিচ্ছেদ চায়। তারা দুজনেই কষ্ট পাচ্ছে। আমি চাই না আমার পরিবার এভাবে ভেঙে যাক। পরের মাসে আমার বয়স ২২। আমার বাবা বলছেন যেহেতু সে আমার কাছে"&amp;" এই বিষয়ে খোলাখুলিভাবে কথা বলেছে, (সে তার সাথে এটি সম্পর্কে কথা বলবে না) আমিই তাকে ছেড়ে দিতে সাহায্য করার সুযোগ পাচ্ছি। আমি খুব ভয় পাচ্ছি যে একদিন সে অনেক বেশি খাবে। আমি জানি না কিভাবে তাকে সাহায্য করব। তাছাড়া, আমি জানি না কী করব, আর আমি চাই না আমার ছো"&amp;"ট ভাই (৪ বছর বয়সী) তাকে ছাড়া বড় হোক। আমি কীভাবে শুরু করব??")</f>
        <v>গত কয়েক মাস ধরে আমি আমার মাকে ধীরে ধীরে শান্ত হতে দেখছি। কয়েক মাস আগে যখন সে সিগারেট খাওয়া শুরু করেছিল, তখন থেকেই সবকিছু শুরু হয়েছিল। চার বছর ধরে সে সুস্থ ছিল এবং জর্জিয়ায় তার বোনদের সাথে দেখা করার পর আবার সে সুস্থ হয়ে উঠেছে। আমার বাবা এটা পছন্দ করেন না যে সে আবার ধূমপান শুরু করে কারণ তারা একসাথে ধূমপান ছেড়ে দিয়েছে। সে এমন আচরণ করে যেন সে কখনও ধূমপান ছাড়েনি। সে আবার দিনে প্রায় দুই প্যাকেট সেবন করে। আমি তাকে জিজ্ঞাসা করলাম কেন সে আবার ধূমপান শুরু করেছে, এবং সে ভেঙে পড়ে এবং আমাকে বলে যে সে তার ব্যথার ওষুধে আসক্ত। (অতীতে সে অস্ত্রোপচার এবং ঘাড়/পিঠের সমস্যার কারণে বছরের পর বছর ধরে ব্যথার ওষুধ খাচ্ছে এবং এটি কখনও এমন হয়নি।) সে আমাকে বলেছিল যে সে একাধিকবার অতিরিক্ত ওষুধ খেয়েছে, গাড়ি চালাতে চালাতে ঘুমিয়ে পড়েছে, এবং প্রায় এমন পর্যায়ে পৌঁছেছে যে সে ভাবেনি যে সে কিছু দিন ঘুম থেকে উঠবে। তার প্রেসক্রিপশনের সময়সীমা শেষ হওয়ার এক সপ্তাহ আগে সে শেষ হয়ে যায়। সে অতিরিক্ত ১৫টি বড়ি খায় যা তার উচিত নয়। প্রয়োজনে ব্যথার জন্য সে কেবল সেগুলি খাওয়ার কথা। সে দিনে একাধিকবার এগুলো খায় এবং তার পেশী শিথিলকারীর সাথে মিশিয়ে দেয়, যা কেবল প্রয়োজন অনুযায়ী নেওয়া উচিত। সকালে ঘুম থেকে উঠে প্রথমেই সে এগুলো খোঁজে। সে তার আসক্তির জন্য এবং আবার ধূমপান করার কারণের জন্য আমার বাবাকে দোষারোপ করে, কিন্তু সে একজন ভালো মানুষ এবং বাবা এবং কখনও তাকে আঘাত করার চেষ্টা করবে না। সে এতটাই বিরক্তিকর এবং পুরো পরিবার থেকে দূরে সরে গেছে যে আমি বুঝতে পারছি এটি তাকে গ্রাস করছে। আমরা ছুটিতে গিয়েছিলাম, এবং সে মদের সাথে এগুলো মিশিয়ে দিচ্ছিল। আমরা গতকালই ফিরে এসেছি। আমার বাবা বলছেন যে তিনি কিছুই করতে পারবেন না। এটি তার উপর খুব চাপ সৃষ্টি করছে। সে তাকে সাহায্য করার চেষ্টা করে, কিন্তু সে তার মুখে বিষ্ঠা ছুঁড়ে মারতে থাকে এবং তাকে অভিশাপ দিতে থাকে যে সে বিবাহবিচ্ছেদ চায়। তারা দুজনেই কষ্ট পাচ্ছে। আমি চাই না আমার পরিবার এভাবে ভেঙে যাক। পরের মাসে আমার বয়স ২২। আমার বাবা বলছেন যেহেতু সে আমার কাছে এই বিষয়ে খোলাখুলিভাবে কথা বলেছে, (সে তার সাথে এটি সম্পর্কে কথা বলবে না) আমিই তাকে ছেড়ে দিতে সাহায্য করার সুযোগ পাচ্ছি। আমি খুব ভয় পাচ্ছি যে একদিন সে অনেক বেশি খাবে। আমি জানি না কিভাবে তাকে সাহায্য করব। তাছাড়া, আমি জানি না কী করব, আর আমি চাই না আমার ছোট ভাই (৪ বছর বয়সী) তাকে ছাড়া বড় হোক। আমি কীভাবে শুরু করব??</v>
      </c>
    </row>
    <row r="886" spans="1:3" ht="15" x14ac:dyDescent="0.25">
      <c r="A886" s="3" t="s">
        <v>882</v>
      </c>
      <c r="B886" s="3" t="s">
        <v>4</v>
      </c>
      <c r="C886" s="4" t="str">
        <f ca="1">IFERROR(__xludf.DUMMYFUNCTION("GOOGLETRANSLATE(A886, ""auto"", ""bn"")"),"কেউ কি এমন কোন খাবার বা ভোজ্য জিনিস জানেন যা ড্রাইওয়ালের মতো গঠনে বা এমনকি স্বাদেও? আমার সত্যিই থামানো উচিত কারণ আমি জানি যদি এই আসক্তি চলতে থাকে তবে এটি আমার স্বাস্থ্যের জন্য কতটা ক্ষতিকর হবে, কিন্তু এর ক্ষতিকর প্রভাব সম্পর্কে জেনেও আমার লোভ থামছে না।")</f>
        <v>কেউ কি এমন কোন খাবার বা ভোজ্য জিনিস জানেন যা ড্রাইওয়ালের মতো গঠনে বা এমনকি স্বাদেও? আমার সত্যিই থামানো উচিত কারণ আমি জানি যদি এই আসক্তি চলতে থাকে তবে এটি আমার স্বাস্থ্যের জন্য কতটা ক্ষতিকর হবে, কিন্তু এর ক্ষতিকর প্রভাব সম্পর্কে জেনেও আমার লোভ থামছে না।</v>
      </c>
    </row>
    <row r="887" spans="1:3" ht="15" x14ac:dyDescent="0.25">
      <c r="A887" s="3" t="s">
        <v>883</v>
      </c>
      <c r="B887" s="3" t="s">
        <v>4</v>
      </c>
      <c r="C887" s="4" t="str">
        <f ca="1">IFERROR(__xludf.DUMMYFUNCTION("GOOGLETRANSLATE(A887, ""auto"", ""bn"")"),"যদি তুমি পরিষ্কার-পরিচ্ছন্ন থাকতে কষ্ট পাও, আমি তোমাকে মনে করিয়ে দিতে চাই যে তোমার পরিবার তোমাকে ভালোবাসে, তোমার বন্ধুরা খুশি যে তুমি তোমার জীবন পরিবর্তন করার চেষ্টা করছো, এবং একদিন করে সময় বের করা ঠিক আছে, তাড়াহুড়ো করার কিছু নেই!")</f>
        <v>যদি তুমি পরিষ্কার-পরিচ্ছন্ন থাকতে কষ্ট পাও, আমি তোমাকে মনে করিয়ে দিতে চাই যে তোমার পরিবার তোমাকে ভালোবাসে, তোমার বন্ধুরা খুশি যে তুমি তোমার জীবন পরিবর্তন করার চেষ্টা করছো, এবং একদিন করে সময় বের করা ঠিক আছে, তাড়াহুড়ো করার কিছু নেই!</v>
      </c>
    </row>
    <row r="888" spans="1:3" ht="15" x14ac:dyDescent="0.25">
      <c r="A888" s="3" t="s">
        <v>884</v>
      </c>
      <c r="B888" s="3" t="s">
        <v>4</v>
      </c>
      <c r="C888" s="4" t="str">
        <f ca="1">IFERROR(__xludf.DUMMYFUNCTION("GOOGLETRANSLATE(A888, ""auto"", ""bn"")"),"লকডাউনের পর থেকে আমি পর্নের প্রতি আসক্ত। প্রথমে এটি পর্ন দিয়ে শুরু হয়েছিল, তারপর আমি ওমেগা এবং তারপর কিক এবং স্ন্যাপচ্যাট ব্যবহার শুরু করি। আমি এতটাই আসক্ত যে এটি আমার জীবনকে ক্ষতিগ্রস্ত করছে। আমি কোনও FAP ক্রেডিট পাইনি, কিন্তু পরামর্শটি ভাল ছিল না এবং "&amp;"আমি পুনরায় অসুস্থ হতে শুরু করি। যদি কেউ সাহায্য করতে পারেন তবে দয়া করে আমাকে পিএম করুন।")</f>
        <v>লকডাউনের পর থেকে আমি পর্নের প্রতি আসক্ত। প্রথমে এটি পর্ন দিয়ে শুরু হয়েছিল, তারপর আমি ওমেগা এবং তারপর কিক এবং স্ন্যাপচ্যাট ব্যবহার শুরু করি। আমি এতটাই আসক্ত যে এটি আমার জীবনকে ক্ষতিগ্রস্ত করছে। আমি কোনও FAP ক্রেডিট পাইনি, কিন্তু পরামর্শটি ভাল ছিল না এবং আমি পুনরায় অসুস্থ হতে শুরু করি। যদি কেউ সাহায্য করতে পারেন তবে দয়া করে আমাকে পিএম করুন।</v>
      </c>
    </row>
    <row r="889" spans="1:3" ht="15" x14ac:dyDescent="0.25">
      <c r="A889" s="3" t="s">
        <v>885</v>
      </c>
      <c r="B889" s="3" t="s">
        <v>4</v>
      </c>
      <c r="C889" s="4" t="str">
        <f ca="1">IFERROR(__xludf.DUMMYFUNCTION("GOOGLETRANSLATE(A889, ""auto"", ""bn"")"),"বন্ধুরা আমার অ্যাকাউন্ট দেখে, আর তারা জানে না যে আমার এই ধরণের সমস্যা আছে, কিন্তু আমার বেশ কিছুদিন ধরে একটা নেশা আছে, যা বলতে আমি আসলে স্বাচ্ছন্দ্য বোধ করি না, কিন্তু আমি বলতে পারি প্রায় আড়াই মাস ধরে নিজেকে এড়িয়ে চলতে পেরেছি, কিন্তু আজ হঠাৎ করেই আবার "&amp;"ফিরে এসেছি। আমি পরিকল্পনাও করিনি, আমার একটা তাড়না ছিল, যা থামাতে পারছিলাম না এবং এখন আমি নিজের জন্য খুব লজ্জিত। আমি গর্বিত যে আমি এতক্ষণ ধরে কীভাবে থামলাম এবং আজ যখন আমি বুঝতে পারলাম যে আমি যা প্রতিশ্রুতি দিয়েছিলাম তা করছি, আমি করব না, কিন্তু যদি আমি পু"&amp;"রোপুরি ছেড়ে দিতে না পারি, তাহলে আর কী ব্যাপার। দয়া করে কেউ যদি আমাকে এমন কিছু উপায় বলে দেন যা আমাকে থামাতে সাহায্য করতে পারে, তাহলে আমি সত্যিই কৃতজ্ঞ থাকব।")</f>
        <v>বন্ধুরা আমার অ্যাকাউন্ট দেখে, আর তারা জানে না যে আমার এই ধরণের সমস্যা আছে, কিন্তু আমার বেশ কিছুদিন ধরে একটা নেশা আছে, যা বলতে আমি আসলে স্বাচ্ছন্দ্য বোধ করি না, কিন্তু আমি বলতে পারি প্রায় আড়াই মাস ধরে নিজেকে এড়িয়ে চলতে পেরেছি, কিন্তু আজ হঠাৎ করেই আবার ফিরে এসেছি। আমি পরিকল্পনাও করিনি, আমার একটা তাড়না ছিল, যা থামাতে পারছিলাম না এবং এখন আমি নিজের জন্য খুব লজ্জিত। আমি গর্বিত যে আমি এতক্ষণ ধরে কীভাবে থামলাম এবং আজ যখন আমি বুঝতে পারলাম যে আমি যা প্রতিশ্রুতি দিয়েছিলাম তা করছি, আমি করব না, কিন্তু যদি আমি পুরোপুরি ছেড়ে দিতে না পারি, তাহলে আর কী ব্যাপার। দয়া করে কেউ যদি আমাকে এমন কিছু উপায় বলে দেন যা আমাকে থামাতে সাহায্য করতে পারে, তাহলে আমি সত্যিই কৃতজ্ঞ থাকব।</v>
      </c>
    </row>
    <row r="890" spans="1:3" ht="15" x14ac:dyDescent="0.25">
      <c r="A890" s="3" t="s">
        <v>886</v>
      </c>
      <c r="B890" s="3" t="s">
        <v>4</v>
      </c>
      <c r="C890" s="4" t="str">
        <f ca="1">IFERROR(__xludf.DUMMYFUNCTION("GOOGLETRANSLATE(A890, ""auto"", ""bn"")"),"আমি আরোগ্যলাভের ক্ষেত্রে/অন্যদের সাহায্য করার সুযোগ দেওয়ার ক্ষেত্রে একেবারেই নতুন। আমি সবসময়ই যুক্তি দিয়েছি যে আমার মাদকের সমস্যা ছিল না, আমি ছিলাম স্থিতিস্থাপক। জীবনে এতদিন এটা আমার জন্য ভালো ফল করেনি, তাই আমি একটি ভিন্ন ""শান্ত"" জীবনযাপন করার চেষ্টা কর"&amp;"ছি। ২৬ বছর বয়সে আমার আসলে স্ট্রোক হয়েছিল যার ফলে আমার ডান চোখের দৃষ্টিশক্তি হারিয়ে যায়, আমি একজন আর্মি ভেটেরিনারি চিকিৎসক এবং PTSD-তে ভুগছি। PTSD এবং অন্যান্য মানসিক স্বাস্থ্য সমস্যা থাকার কারণে, আমি পরাজিত বোধ করছি এবং আশা করছি যে আমি কোনও সমাধান খুঁজে "&amp;"পাচ্ছি না। আমি এখানে পোস্ট করছি এই আশায় যে কারও কাছে পরামর্শ, টিপস বা ব্যক্তিগত অভিজ্ঞতা আছে যা তারা ভাগ করে নিতে আগ্রহী হবে। আমার DOC ১৩ বছর বয়সে আগাছা দিয়ে শুরু হয়েছিল এবং এখন এটি আরও কঠিন নেশা, মেথ এবং হিরোইনের দিকে এগিয়ে গেছে।")</f>
        <v>আমি আরোগ্যলাভের ক্ষেত্রে/অন্যদের সাহায্য করার সুযোগ দেওয়ার ক্ষেত্রে একেবারেই নতুন। আমি সবসময়ই যুক্তি দিয়েছি যে আমার মাদকের সমস্যা ছিল না, আমি ছিলাম স্থিতিস্থাপক। জীবনে এতদিন এটা আমার জন্য ভালো ফল করেনি, তাই আমি একটি ভিন্ন "শান্ত" জীবনযাপন করার চেষ্টা করছি। ২৬ বছর বয়সে আমার আসলে স্ট্রোক হয়েছিল যার ফলে আমার ডান চোখের দৃষ্টিশক্তি হারিয়ে যায়, আমি একজন আর্মি ভেটেরিনারি চিকিৎসক এবং PTSD-তে ভুগছি। PTSD এবং অন্যান্য মানসিক স্বাস্থ্য সমস্যা থাকার কারণে, আমি পরাজিত বোধ করছি এবং আশা করছি যে আমি কোনও সমাধান খুঁজে পাচ্ছি না। আমি এখানে পোস্ট করছি এই আশায় যে কারও কাছে পরামর্শ, টিপস বা ব্যক্তিগত অভিজ্ঞতা আছে যা তারা ভাগ করে নিতে আগ্রহী হবে। আমার DOC ১৩ বছর বয়সে আগাছা দিয়ে শুরু হয়েছিল এবং এখন এটি আরও কঠিন নেশা, মেথ এবং হিরোইনের দিকে এগিয়ে গেছে।</v>
      </c>
    </row>
    <row r="891" spans="1:3" ht="15" x14ac:dyDescent="0.25">
      <c r="A891" s="3" t="s">
        <v>887</v>
      </c>
      <c r="B891" s="3" t="s">
        <v>4</v>
      </c>
      <c r="C891" s="4" t="str">
        <f ca="1">IFERROR(__xludf.DUMMYFUNCTION("GOOGLETRANSLATE(A891, ""auto"", ""bn"")"),"ছোট্ট একটা গল্প... যখন আমরা দেখা করি, তখন সে আমার ডিলার ছিল। আমি একজন কোক ব্যবহারকারী ছিলাম (অথবা বেশিরভাগ ক্ষেত্রেই), সে আমাকে সাহায্য করেছিল। সে আমাকে নিরাপদ বোধ করাত, সান্ত্বনা দিত। এমন কিছু যা আমি কখনও খেতাম না। আমরা একসাথে ব্যবহার করতাম, এখানে সেখানে"&amp;" চেষ্টা করতাম, কিন্তু এখন যা ঘটছে তা আর পছন্দ হয়নি। দ্রুত এগিয়ে যাওয়ার কয়েক বছর পরে, আমরা বিয়ে করি এবং একটি সন্তান হয়। যখন আমি জানতে পারি যে আমি গর্ভবতী, তখন আমি অবিলম্বে সমস্ত মাদকদ্রব্য ছেড়ে দিয়েছিলাম। সে লড়াই করছিল। সে দিনের পর দিন বাঁকের উপর "&amp;"অদৃশ্য হয়ে যেত, কিন্তু আমি সবসময় চাইতাম যে সে বাড়ি ফিরে আসুক। আমরা ঝগড়া করেছিলাম কিন্তু আবার আমি তার মতোই ছিলাম। আমি প্রতিদিন কোক খেতাম, মাছের মতো পান করতাম। আমরা এক এবং একই ছিলাম। এখন পরিস্থিতি ভিন্ন। আমাদের একটি সন্তান আছে, আমি একজন মা, এবং সে আমার "&amp;"লক্ষ্য এবং প্রতিদিনের ড্রাইভ। লাইনের কোথাও সে প্রতিদিন ক্র্যাক ধূমপান শুরু করে। যদি সে উত্তেজিত না হয়, সে ঘুমিয়ে থাকে। যদি সে জেগে থাকে তবে সে পাগল, ভীতু বা দুষ্টু। চাকরি ধরে রাখতে পারছি না, আর্থিক আমার উপর। আমাদের সন্তানের যত্ন নেওয়া আমার উপর। আমাদের "&amp;"বাড়ি, আমাদের পোষা প্রাণী, আমি এখন একা কিন্তু একজন খালি মানুষের সাথে বাস করছি। সে পুনর্বাসন প্রত্যাখ্যান করে, বারবার IOP ত্যাগ করে। আমি কী করব? সে কেন আমার মতো থামতে পারে না? আমি কেন মাদকাসক্তির বাইরে যে আমি অন্য গাল ঘুরিয়েছি এবং আমার জীবনযাপনের দিকে কখন"&amp;"ও ফিরে তাকাইনি? আমাদের বিয়ে, আমাদের জীবিকা, আমাদের পরিবার বিপদের মধ্যে রয়েছে। পরিবার বুঝতে পারে না, তারা কীভাবে বুঝতে পারে? তারা আমার ইতিহাস জানে না। তারা বুঝতে পারবে না। দয়া করে রেডিট করুন, আমাকে এটি বুঝতে সাহায্য করুন এবং আমার কী করা উচিত তার উত্তর খু"&amp;"ঁজে পেতে সাহায্য করুন।")</f>
        <v>ছোট্ট একটা গল্প... যখন আমরা দেখা করি, তখন সে আমার ডিলার ছিল। আমি একজন কোক ব্যবহারকারী ছিলাম (অথবা বেশিরভাগ ক্ষেত্রেই), সে আমাকে সাহায্য করেছিল। সে আমাকে নিরাপদ বোধ করাত, সান্ত্বনা দিত। এমন কিছু যা আমি কখনও খেতাম না। আমরা একসাথে ব্যবহার করতাম, এখানে সেখানে চেষ্টা করতাম, কিন্তু এখন যা ঘটছে তা আর পছন্দ হয়নি। দ্রুত এগিয়ে যাওয়ার কয়েক বছর পরে, আমরা বিয়ে করি এবং একটি সন্তান হয়। যখন আমি জানতে পারি যে আমি গর্ভবতী, তখন আমি অবিলম্বে সমস্ত মাদকদ্রব্য ছেড়ে দিয়েছিলাম। সে লড়াই করছিল। সে দিনের পর দিন বাঁকের উপর অদৃশ্য হয়ে যেত, কিন্তু আমি সবসময় চাইতাম যে সে বাড়ি ফিরে আসুক। আমরা ঝগড়া করেছিলাম কিন্তু আবার আমি তার মতোই ছিলাম। আমি প্রতিদিন কোক খেতাম, মাছের মতো পান করতাম। আমরা এক এবং একই ছিলাম। এখন পরিস্থিতি ভিন্ন। আমাদের একটি সন্তান আছে, আমি একজন মা, এবং সে আমার লক্ষ্য এবং প্রতিদিনের ড্রাইভ। লাইনের কোথাও সে প্রতিদিন ক্র্যাক ধূমপান শুরু করে। যদি সে উত্তেজিত না হয়, সে ঘুমিয়ে থাকে। যদি সে জেগে থাকে তবে সে পাগল, ভীতু বা দুষ্টু। চাকরি ধরে রাখতে পারছি না, আর্থিক আমার উপর। আমাদের সন্তানের যত্ন নেওয়া আমার উপর। আমাদের বাড়ি, আমাদের পোষা প্রাণী, আমি এখন একা কিন্তু একজন খালি মানুষের সাথে বাস করছি। সে পুনর্বাসন প্রত্যাখ্যান করে, বারবার IOP ত্যাগ করে। আমি কী করব? সে কেন আমার মতো থামতে পারে না? আমি কেন মাদকাসক্তির বাইরে যে আমি অন্য গাল ঘুরিয়েছি এবং আমার জীবনযাপনের দিকে কখনও ফিরে তাকাইনি? আমাদের বিয়ে, আমাদের জীবিকা, আমাদের পরিবার বিপদের মধ্যে রয়েছে। পরিবার বুঝতে পারে না, তারা কীভাবে বুঝতে পারে? তারা আমার ইতিহাস জানে না। তারা বুঝতে পারবে না। দয়া করে রেডিট করুন, আমাকে এটি বুঝতে সাহায্য করুন এবং আমার কী করা উচিত তার উত্তর খুঁজে পেতে সাহায্য করুন।</v>
      </c>
    </row>
    <row r="892" spans="1:3" ht="15" x14ac:dyDescent="0.25">
      <c r="A892" s="3" t="s">
        <v>888</v>
      </c>
      <c r="B892" s="3" t="s">
        <v>4</v>
      </c>
      <c r="C892" s="4" t="str">
        <f ca="1">IFERROR(__xludf.DUMMYFUNCTION("GOOGLETRANSLATE(A892, ""auto"", ""bn"")"),"শিরোনামে তুমি যেমন পড়েছ, আমার সোডা নেশার নেশা বেশ খারাপ। আমি কেবল কোকা-কোলা জিরো পান করি যা আমি গত এক বছর ধরে করে আসছি। আমি খুব কমই পানি পান করি, হয়তো সপ্তাহে বা মাসে একবার কিন্তু এর বেশি বার নয়। তাছাড়া, এটা কীভাবে ত্যাগ করতে হবে সে সম্পর্কে আমার সত্যিই "&amp;"পরামর্শের প্রয়োজন কারণ আমি অনুভব করছি যে এটি আমার স্বাস্থ্যের জন্য সত্যিই খারাপ। এছাড়াও এখন কেউ কি বিশেষভাবে জানেন যে এটি আমার স্বাস্থ্যের উপর কীভাবে প্রভাব ফেলে এবং কীভাবে ত্যাগ করতে হবে সে সম্পর্কে কিছু পরামর্শ থাকতে পারে?")</f>
        <v>শিরোনামে তুমি যেমন পড়েছ, আমার সোডা নেশার নেশা বেশ খারাপ। আমি কেবল কোকা-কোলা জিরো পান করি যা আমি গত এক বছর ধরে করে আসছি। আমি খুব কমই পানি পান করি, হয়তো সপ্তাহে বা মাসে একবার কিন্তু এর বেশি বার নয়। তাছাড়া, এটা কীভাবে ত্যাগ করতে হবে সে সম্পর্কে আমার সত্যিই পরামর্শের প্রয়োজন কারণ আমি অনুভব করছি যে এটি আমার স্বাস্থ্যের জন্য সত্যিই খারাপ। এছাড়াও এখন কেউ কি বিশেষভাবে জানেন যে এটি আমার স্বাস্থ্যের উপর কীভাবে প্রভাব ফেলে এবং কীভাবে ত্যাগ করতে হবে সে সম্পর্কে কিছু পরামর্শ থাকতে পারে?</v>
      </c>
    </row>
    <row r="893" spans="1:3" ht="15" x14ac:dyDescent="0.25">
      <c r="A893" s="3" t="s">
        <v>889</v>
      </c>
      <c r="B893" s="3" t="s">
        <v>4</v>
      </c>
      <c r="C893" s="4" t="str">
        <f ca="1">IFERROR(__xludf.DUMMYFUNCTION("GOOGLETRANSLATE(A893, ""auto"", ""bn"")"),"এই প্রথমবার এখানে পোস্ট করছি। আমি চেষ্টা করবো সংক্ষিপ্ত এবং মিষ্টি করে লিখবো। আমি হতবাক। তাছাড়া, আমি ১০ বছর ধরে নিকোটিন ধূমপান করছি। সিগারেট ছেড়ে দিয়েছি, কয়েক বছর ধরে ভ্যাপিং করেছি। অবশেষে নিকোটিন লজেঞ্জ দিয়ে ভ্যাপিং ছেড়ে দিয়েছি। ৪ মাস ধরে (আমার সব"&amp;"চেয়ে বেশি সময় ধরে শ্বাস-প্রশ্বাস ছাড়ার সময়) এটি আমাকে অবাক করে দিয়েছে। এটি আমাদের আজকের দিনে নিয়ে আসে। জীবন ঘটেছিল, আমি মানসিক চাপে পড়েছিলাম, আমি ভেঙে পড়েছিলাম এবং একটি ভ্যাপ এবং 0 মিলিগ্রাম (নিকোটিন ছাড়া) ভ্যাপ জুস কিনেছিলাম। আমার কাছে যা অবাক ক"&amp;"রার মতো তা হল ভ্যাপ কেনার পর থেকে আমি সারাদিন নিকোটিন লজেঞ্জ ব্যবহার করিনি। আমার নিকোটিনের প্রতি আকাঙ্ক্ষা নেই, তবে আমার শ্বাস-প্রশ্বাসের আকাঙ্ক্ষা রয়েছে। এটা কি পদার্থের আসক্তি? নাকি অন্য কিছু? এটা কি আমার মাথায় আছে?")</f>
        <v>এই প্রথমবার এখানে পোস্ট করছি। আমি চেষ্টা করবো সংক্ষিপ্ত এবং মিষ্টি করে লিখবো। আমি হতবাক। তাছাড়া, আমি ১০ বছর ধরে নিকোটিন ধূমপান করছি। সিগারেট ছেড়ে দিয়েছি, কয়েক বছর ধরে ভ্যাপিং করেছি। অবশেষে নিকোটিন লজেঞ্জ দিয়ে ভ্যাপিং ছেড়ে দিয়েছি। ৪ মাস ধরে (আমার সবচেয়ে বেশি সময় ধরে শ্বাস-প্রশ্বাস ছাড়ার সময়) এটি আমাকে অবাক করে দিয়েছে। এটি আমাদের আজকের দিনে নিয়ে আসে। জীবন ঘটেছিল, আমি মানসিক চাপে পড়েছিলাম, আমি ভেঙে পড়েছিলাম এবং একটি ভ্যাপ এবং 0 মিলিগ্রাম (নিকোটিন ছাড়া) ভ্যাপ জুস কিনেছিলাম। আমার কাছে যা অবাক করার মতো তা হল ভ্যাপ কেনার পর থেকে আমি সারাদিন নিকোটিন লজেঞ্জ ব্যবহার করিনি। আমার নিকোটিনের প্রতি আকাঙ্ক্ষা নেই, তবে আমার শ্বাস-প্রশ্বাসের আকাঙ্ক্ষা রয়েছে। এটা কি পদার্থের আসক্তি? নাকি অন্য কিছু? এটা কি আমার মাথায় আছে?</v>
      </c>
    </row>
    <row r="894" spans="1:3" ht="15" x14ac:dyDescent="0.25">
      <c r="A894" s="3" t="s">
        <v>890</v>
      </c>
      <c r="B894" s="3" t="s">
        <v>4</v>
      </c>
      <c r="C894" s="4" t="str">
        <f ca="1">IFERROR(__xludf.DUMMYFUNCTION("GOOGLETRANSLATE(A894, ""auto"", ""bn"")"),"এখানে আসক্ত একজন সহকর্মী। আমি (১৮°F) বহু বছর ধরে ধূমপান করছি এবং যদিও আমি আগে কখনও ধূমপান ত্যাগ করতে চাইনি, আমি সম্প্রতি আত্ম-উন্নতির অনুশীলন করছি এবং ভেবেছি যে দীর্ঘতর পরিপূর্ণ জীবনযাপনের জন্য এটি করা আমার পক্ষে সবচেয়ে ভালো হবে। শুধু আমার জন্য নয়, আমার"&amp;" প্রিয়জনদের জন্যও। প্রধান অসুবিধা হল, আমার অনেক প্রিয়জনও ধূমপান করে। আমার বড় বোনই আমাকে ধূমপান শুরু করতে সাহায্য করেছে, এবং আমি, আমার ভাই এবং সবচেয়ে ভালো বন্ধু (যিনি আমার বোনের মতো) সবাই হাই স্কুলের শুরু থেকেই একসাথে ধূমপান করেছি। এর মধ্যে গাঁজা এবং ন"&amp;"িকোটিনও রয়েছে। এখন ভাবছি, আমি বুঝতে পারছি না কেন আমরা এত ছোটবেলায় শুরু করা ঠিক বলে মনে করেছি। আমাদের সকলেরই সমস্যা ছিল, হ্যাঁ, এবং এখনও আছে, কিন্তু এটা কোনভাবেই মেনে নেওয়া উচিত নয় যে ধূমপান মেরামতের চেয়ে বেশি ক্ষতি করে, তাই না? আমি মাঝে মাঝে চিন্তা ক"&amp;"রি যে যেহেতু আমি এত ছোটবেলা থেকেই এটিকে আমার জীবনে অন্তর্ভুক্ত করেছি, তাই ত্যাগ করা প্রায় অসম্ভব হয়ে পড়বে। বিশেষ করে কারণ তারা এমনকি চায়ও না। একমাত্র যে আমাকে সত্যিই সমর্থন করে সে হল আমার প্রেমিক যার সাথে আমি শীঘ্রই চলে যাওয়ার পরিকল্পনা করছি। আমি ভেব"&amp;"েছিলাম দূরে সরে যাওয়া এবং কিছুক্ষণের জন্য সবকিছু থেকে দূরে থাকা আমাকে ছেড়ে দেওয়ার ক্ষেত্রে উল্লেখযোগ্যভাবে সাহায্য করবে, কিন্তু সম্প্রতি আমার সন্দেহ হচ্ছে। এখানে আর কেউ কি আগে ভ্যাপিং এবং ধূমপান উভয়ই ছেড়ে দিয়েছেন? সবুজ রঙ ততটা কঠিন নয়, তবে ভ্যাপিং "&amp;"এই সময়ের মতো প্রায় অসম্ভব বলে মনে হচ্ছে। বিশেষ করে অনেকেই তাদের ব্যর্থ প্রচেষ্টা সম্পর্কে আমাকে যা বলেছেন তার তুলনায়। যদি আপনি সক্ষম হয়ে থাকেন, তাহলে আপনার প্রক্রিয়াটি কী ছিল? যেকোনো পরামর্শ বা টিপস সত্যিই প্রশংসাযোগ্য!")</f>
        <v>এখানে আসক্ত একজন সহকর্মী। আমি (১৮°F) বহু বছর ধরে ধূমপান করছি এবং যদিও আমি আগে কখনও ধূমপান ত্যাগ করতে চাইনি, আমি সম্প্রতি আত্ম-উন্নতির অনুশীলন করছি এবং ভেবেছি যে দীর্ঘতর পরিপূর্ণ জীবনযাপনের জন্য এটি করা আমার পক্ষে সবচেয়ে ভালো হবে। শুধু আমার জন্য নয়, আমার প্রিয়জনদের জন্যও। প্রধান অসুবিধা হল, আমার অনেক প্রিয়জনও ধূমপান করে। আমার বড় বোনই আমাকে ধূমপান শুরু করতে সাহায্য করেছে, এবং আমি, আমার ভাই এবং সবচেয়ে ভালো বন্ধু (যিনি আমার বোনের মতো) সবাই হাই স্কুলের শুরু থেকেই একসাথে ধূমপান করেছি। এর মধ্যে গাঁজা এবং নিকোটিনও রয়েছে। এখন ভাবছি, আমি বুঝতে পারছি না কেন আমরা এত ছোটবেলায় শুরু করা ঠিক বলে মনে করেছি। আমাদের সকলেরই সমস্যা ছিল, হ্যাঁ, এবং এখনও আছে, কিন্তু এটা কোনভাবেই মেনে নেওয়া উচিত নয় যে ধূমপান মেরামতের চেয়ে বেশি ক্ষতি করে, তাই না? আমি মাঝে মাঝে চিন্তা করি যে যেহেতু আমি এত ছোটবেলা থেকেই এটিকে আমার জীবনে অন্তর্ভুক্ত করেছি, তাই ত্যাগ করা প্রায় অসম্ভব হয়ে পড়বে। বিশেষ করে কারণ তারা এমনকি চায়ও না। একমাত্র যে আমাকে সত্যিই সমর্থন করে সে হল আমার প্রেমিক যার সাথে আমি শীঘ্রই চলে যাওয়ার পরিকল্পনা করছি। আমি ভেবেছিলাম দূরে সরে যাওয়া এবং কিছুক্ষণের জন্য সবকিছু থেকে দূরে থাকা আমাকে ছেড়ে দেওয়ার ক্ষেত্রে উল্লেখযোগ্যভাবে সাহায্য করবে, কিন্তু সম্প্রতি আমার সন্দেহ হচ্ছে। এখানে আর কেউ কি আগে ভ্যাপিং এবং ধূমপান উভয়ই ছেড়ে দিয়েছেন? সবুজ রঙ ততটা কঠিন নয়, তবে ভ্যাপিং এই সময়ের মতো প্রায় অসম্ভব বলে মনে হচ্ছে। বিশেষ করে অনেকেই তাদের ব্যর্থ প্রচেষ্টা সম্পর্কে আমাকে যা বলেছেন তার তুলনায়। যদি আপনি সক্ষম হয়ে থাকেন, তাহলে আপনার প্রক্রিয়াটি কী ছিল? যেকোনো পরামর্শ বা টিপস সত্যিই প্রশংসাযোগ্য!</v>
      </c>
    </row>
    <row r="895" spans="1:3" ht="15" x14ac:dyDescent="0.25">
      <c r="A895" s="3" t="s">
        <v>891</v>
      </c>
      <c r="B895" s="3" t="s">
        <v>4</v>
      </c>
      <c r="C895" s="4" t="str">
        <f ca="1">IFERROR(__xludf.DUMMYFUNCTION("GOOGLETRANSLATE(A895, ""auto"", ""bn"")"),"আমি প্রতিদিন প্রচুর সোডা পান করতাম। আর আমি কোল্ড টার্কি ছেড়ে দিয়েছি, স্পষ্টতই এটা খারাপ জিনিস, কারণ এখন যদি আমি কার্বনেটেড বা ক্যাফিনেটেড কিছু পান করি তাহলে আমি সত্যিই অসুস্থ এবং অ্যাসিডিটি হয়ে পড়ি। এটা একটু খারাপ। কেউ কি এই ধরণের আসক্তির সম্মুখীন হয়"&amp;"েছে, শুধু সোডা পান করার সময় নয়?")</f>
        <v>আমি প্রতিদিন প্রচুর সোডা পান করতাম। আর আমি কোল্ড টার্কি ছেড়ে দিয়েছি, স্পষ্টতই এটা খারাপ জিনিস, কারণ এখন যদি আমি কার্বনেটেড বা ক্যাফিনেটেড কিছু পান করি তাহলে আমি সত্যিই অসুস্থ এবং অ্যাসিডিটি হয়ে পড়ি। এটা একটু খারাপ। কেউ কি এই ধরণের আসক্তির সম্মুখীন হয়েছে, শুধু সোডা পান করার সময় নয়?</v>
      </c>
    </row>
    <row r="896" spans="1:3" ht="15" x14ac:dyDescent="0.25">
      <c r="A896" s="3" t="s">
        <v>892</v>
      </c>
      <c r="B896" s="3" t="s">
        <v>4</v>
      </c>
      <c r="C896" s="4" t="str">
        <f ca="1">IFERROR(__xludf.DUMMYFUNCTION("GOOGLETRANSLATE(A896, ""auto"", ""bn"")"),"আমি অনেকদিন ধরে Reddit-এ নেই। যোগ দিতে আমার একটু দ্বিধা আছে। আমার বয়স প্রায় ২৪ বছর। আমি একজন মেয়ে এবং একটি সুন্দরী ৩ বছর বয়সী ছোট ছেলের মা। তাই, মূলত আমার সারা জীবন আমি আমার দাঁত আঁকাবাঁকা এবং ভয়াবহতার সাথে মোকাবিলা করেছি। দাঁত ঠিক করার জন্য কখনও টাক"&amp;"া ছিল না এবং আমার বীমা এটি কভার করে না। এখন আমার কোনও ডেন্টাল বীমা নেই। এটি বহন করতে পারছি না এবং অনেক মাস ধরে আমি প্রতিদিন শক্তিশালী আফিম গ্রহণ করছি। এটি দাঁতের ব্যথায় মারাত্মকভাবে সাহায্য করে এবং আমি ঠিক করেছি যে এটি একটি অস্থায়ী জিনিস হবে যতক্ষণ না আ"&amp;"মি সেগুলি ঠিক করার জন্য টাকা সঞ্চয় করতে পারি। কয়েক দিন আগে আমি প্রতিদিন ওষুধ খাওয়া বন্ধ করার চেষ্টা করার সিদ্ধান্ত নিয়েছি। কিছুটা ঠান্ডা টার্কি। আমি আগে কখনও এটি করিনি। আমি অক্টোবরের মতো দিন থেকে এগুলি গ্রহণ করছি। প্রতিদিন। প্রথম রাতে আমি থামলাম, এটি "&amp;"বেশ খারাপ ছিল। আমি টস করে ঘুরে দাঁড়ালাম, এবং আমার পা খুব ব্যথা করছিল। আমি গরম এবং ঠান্ডা, কাঁপছিলাম। তাছাড়া, আমি টাইলেনল খেয়েছিলাম এবং ভাগ্যক্রমে অজ্ঞান হয়ে গিয়েছিলাম, কিন্তু এখন গত কয়েক দিন ধরে, আমার অদ্ভুত লাগছে। তাছাড়া, আমার ভালো লাগছে না। তাছাড"&amp;"়া, আমি বিষণ্ণ বোধ করছি। তাছাড়া, আমি ক্রমাগত ক্লান্ত বোধ করছি। তাছাড়া, আমি অস্থির বোধ করছি এবং ক্ষুধাও নেই। আমার সেই অভিজ্ঞতার কারণে আমি আবার খাওয়া শুরু করতে ভয় পাচ্ছি। তাছাড়া, আমি থামার পর থেকে একটু ভালো বোধ করছি, কিন্তু এটা আমার ভেতরে একধরনের কুঁচক"&amp;"ানো অনুভূতির মতো। তাছাড়া, আমি রাতের বেলায় কিছুটা ভয় পাই। তাছাড়া, আমার প্রথম রাতের মতো ব্যথা হয় না, তবে এটি এই অস্থিরতার মতো। তাছাড়া, আমার ভালো ঘুম হয় না। তাছাড়া, আমি জানি না কী করব। ভাগ্যক্রমে আমার দাঁতে খুব বেশি ব্যথা হয়নি। তাই, আমি এখন ওই জায়গ"&amp;"ায় ঠিক আছি, কিন্তু আমার শরীর যেভাবে অনুভব করছে... তা ঠিক নয়। আমার কী করা উচিত?... আমার কাঁদতে ইচ্ছে করছে।")</f>
        <v>আমি অনেকদিন ধরে Reddit-এ নেই। যোগ দিতে আমার একটু দ্বিধা আছে। আমার বয়স প্রায় ২৪ বছর। আমি একজন মেয়ে এবং একটি সুন্দরী ৩ বছর বয়সী ছোট ছেলের মা। তাই, মূলত আমার সারা জীবন আমি আমার দাঁত আঁকাবাঁকা এবং ভয়াবহতার সাথে মোকাবিলা করেছি। দাঁত ঠিক করার জন্য কখনও টাকা ছিল না এবং আমার বীমা এটি কভার করে না। এখন আমার কোনও ডেন্টাল বীমা নেই। এটি বহন করতে পারছি না এবং অনেক মাস ধরে আমি প্রতিদিন শক্তিশালী আফিম গ্রহণ করছি। এটি দাঁতের ব্যথায় মারাত্মকভাবে সাহায্য করে এবং আমি ঠিক করেছি যে এটি একটি অস্থায়ী জিনিস হবে যতক্ষণ না আমি সেগুলি ঠিক করার জন্য টাকা সঞ্চয় করতে পারি। কয়েক দিন আগে আমি প্রতিদিন ওষুধ খাওয়া বন্ধ করার চেষ্টা করার সিদ্ধান্ত নিয়েছি। কিছুটা ঠান্ডা টার্কি। আমি আগে কখনও এটি করিনি। আমি অক্টোবরের মতো দিন থেকে এগুলি গ্রহণ করছি। প্রতিদিন। প্রথম রাতে আমি থামলাম, এটি বেশ খারাপ ছিল। আমি টস করে ঘুরে দাঁড়ালাম, এবং আমার পা খুব ব্যথা করছিল। আমি গরম এবং ঠান্ডা, কাঁপছিলাম। তাছাড়া, আমি টাইলেনল খেয়েছিলাম এবং ভাগ্যক্রমে অজ্ঞান হয়ে গিয়েছিলাম, কিন্তু এখন গত কয়েক দিন ধরে, আমার অদ্ভুত লাগছে। তাছাড়া, আমার ভালো লাগছে না। তাছাড়া, আমি বিষণ্ণ বোধ করছি। তাছাড়া, আমি ক্রমাগত ক্লান্ত বোধ করছি। তাছাড়া, আমি অস্থির বোধ করছি এবং ক্ষুধাও নেই। আমার সেই অভিজ্ঞতার কারণে আমি আবার খাওয়া শুরু করতে ভয় পাচ্ছি। তাছাড়া, আমি থামার পর থেকে একটু ভালো বোধ করছি, কিন্তু এটা আমার ভেতরে একধরনের কুঁচকানো অনুভূতির মতো। তাছাড়া, আমি রাতের বেলায় কিছুটা ভয় পাই। তাছাড়া, আমার প্রথম রাতের মতো ব্যথা হয় না, তবে এটি এই অস্থিরতার মতো। তাছাড়া, আমার ভালো ঘুম হয় না। তাছাড়া, আমি জানি না কী করব। ভাগ্যক্রমে আমার দাঁতে খুব বেশি ব্যথা হয়নি। তাই, আমি এখন ওই জায়গায় ঠিক আছি, কিন্তু আমার শরীর যেভাবে অনুভব করছে... তা ঠিক নয়। আমার কী করা উচিত?... আমার কাঁদতে ইচ্ছে করছে।</v>
      </c>
    </row>
    <row r="897" spans="1:3" ht="15" x14ac:dyDescent="0.25">
      <c r="A897" s="3" t="s">
        <v>893</v>
      </c>
      <c r="B897" s="3" t="s">
        <v>4</v>
      </c>
      <c r="C897" s="4" t="str">
        <f ca="1">IFERROR(__xludf.DUMMYFUNCTION("GOOGLETRANSLATE(A897, ""auto"", ""bn"")"),"আমি ১লা মে এক বন্ধুর সাথে থাকছি। সে প্রায় দেড় বছর ধরে AA-তে আছে এবং সুস্থ হয়ে উঠছে। বড়দিনের সময় সে পরপর দুবার অসুস্থ হয়ে পড়ে এবং AA/NA-এর সাথে আবারও যুক্ত হয়েছে। তাই সে এখন ৯০ দিন ধরে সুস্থ। আমি তার জন্য সবসময় খুশি এবং গর্বিত। কিন্তু আমার কিছু উদ"&amp;"্বেগ আছে। আমি মে মাসে থাকছি, জুলাই মাসে সে বাড়ি ফিরে না আসা পর্যন্ত আমার বাবা-মা তাকে ভাড়ার অর্ধেক দিতে সাহায্য করবেন। যদিও সম্প্রতি আমি তার সততার জন্য সত্যিই কৃতজ্ঞ, সে যে অনেক বিষয় নিয়ে মুখ খুলেছে তা আমাকে কিছু উদ্বেগের মধ্যে ফেলেছে। প্রথম কয়েক মাস"&amp;" তাকে লিজে না থাকতে বলা হয়েছে, যা ঠিক আছে কারণ সে সেখানে থাকবে না। তাই আমি বলেছি যে তুমি যখন বাড়ি ফিরে আসবে তখন আমরা তোমাকে লিজে রাখতে পারি। এবং সে বলেছে যে হ্যাঁ, আমরা যখন সেই সময় আসবে তখন আমরা এটির দিকে ফিরে তাকাতে পারি। সে খোলাখুলি বলেছে যে সে জানে "&amp;"না যে সে ক্ষতিপূরণ জমা দিতে পারবে কিনা কারণ সে আয় না থাকার কারণে তা বহন করতে পারে না। তাই আমি বললাম, তোমার বাবা-মায়ের সাথে এই বিষয়ে কথা বলতে হবে কারণ আমি এটা বলতে পারছি না। আর ওর জন্য এই সব চাপ ও উদ্বেগের পাশাপাশি, প্রতি সপ্তাহেই তার খারাপ প্রত্যাহারের স"&amp;"মস্যা হচ্ছে। আমি এখন জীবনকে কীভাবে সামলাচ্ছে তার সমালোচনা করতে চাই না। এটা আমার জায়গা নয় এবং আমি বুঝতে পারি যে আমার সুবিধার জন্য তাকে সাহায্য করা সঠিক উপায় নয়। কিন্তু সে যতটা ভালো বন্ধু, আমি মনে করি আমার এখনও বাস্তববাদী হওয়া প্রয়োজন। আমার মনে হয় অ্যালকোহল"&amp;" বা মাদক ছাড়া একসাথে থাকা আমাদের দুজনের জন্যই ভালো হবে। কিন্তু আমার আশ্বাস দরকার যে সে তার ওজন সমানভাবে কমাবে। এবং অন্তত এটা দেখানোর জন্য যে সে তার আর্থিক পরিস্থিতিকে আরও ভালোভাবে সাহায্য করার চেষ্টা করছে। এই সব কথা বলার পর আমার ভয় হল যে যদি সে ইতিমধ্যেই "&amp;"অন্য কোনও রিল্যাপস লাইনের কাছাকাছি থাকে, তাহলে এই কথাগুলো বললে সে তার ধারেকাছে চলে যাবে। এই কথোপকথনগুলি করার জন্য আমার কিছু পরামর্শের প্রয়োজন কারণ যদিও আমি নিজে আসক্তির মধ্য দিয়ে গেছি, আমার গল্পে এর থেকে নিজেকে বের করে আনা অনেক সহজ ছিল ... আমি ভেতর থেকে প"&amp;"ুরোপুরি বুঝতে পারছি না কিন্তু বৃহত্তর চিত্র এবং তাদের যে দায়িত্ব নিতে হবে তার চিন্তাভাবনার কারণে এটি অন্যদের জীবন ধ্বংস করতে দেখেছি।")</f>
        <v>আমি ১লা মে এক বন্ধুর সাথে থাকছি। সে প্রায় দেড় বছর ধরে AA-তে আছে এবং সুস্থ হয়ে উঠছে। বড়দিনের সময় সে পরপর দুবার অসুস্থ হয়ে পড়ে এবং AA/NA-এর সাথে আবারও যুক্ত হয়েছে। তাই সে এখন ৯০ দিন ধরে সুস্থ। আমি তার জন্য সবসময় খুশি এবং গর্বিত। কিন্তু আমার কিছু উদ্বেগ আছে। আমি মে মাসে থাকছি, জুলাই মাসে সে বাড়ি ফিরে না আসা পর্যন্ত আমার বাবা-মা তাকে ভাড়ার অর্ধেক দিতে সাহায্য করবেন। যদিও সম্প্রতি আমি তার সততার জন্য সত্যিই কৃতজ্ঞ, সে যে অনেক বিষয় নিয়ে মুখ খুলেছে তা আমাকে কিছু উদ্বেগের মধ্যে ফেলেছে। প্রথম কয়েক মাস তাকে লিজে না থাকতে বলা হয়েছে, যা ঠিক আছে কারণ সে সেখানে থাকবে না। তাই আমি বলেছি যে তুমি যখন বাড়ি ফিরে আসবে তখন আমরা তোমাকে লিজে রাখতে পারি। এবং সে বলেছে যে হ্যাঁ, আমরা যখন সেই সময় আসবে তখন আমরা এটির দিকে ফিরে তাকাতে পারি। সে খোলাখুলি বলেছে যে সে জানে না যে সে ক্ষতিপূরণ জমা দিতে পারবে কিনা কারণ সে আয় না থাকার কারণে তা বহন করতে পারে না। তাই আমি বললাম, তোমার বাবা-মায়ের সাথে এই বিষয়ে কথা বলতে হবে কারণ আমি এটা বলতে পারছি না। আর ওর জন্য এই সব চাপ ও উদ্বেগের পাশাপাশি, প্রতি সপ্তাহেই তার খারাপ প্রত্যাহারের সমস্যা হচ্ছে। আমি এখন জীবনকে কীভাবে সামলাচ্ছে তার সমালোচনা করতে চাই না। এটা আমার জায়গা নয় এবং আমি বুঝতে পারি যে আমার সুবিধার জন্য তাকে সাহায্য করা সঠিক উপায় নয়। কিন্তু সে যতটা ভালো বন্ধু, আমি মনে করি আমার এখনও বাস্তববাদী হওয়া প্রয়োজন। আমার মনে হয় অ্যালকোহল বা মাদক ছাড়া একসাথে থাকা আমাদের দুজনের জন্যই ভালো হবে। কিন্তু আমার আশ্বাস দরকার যে সে তার ওজন সমানভাবে কমাবে। এবং অন্তত এটা দেখানোর জন্য যে সে তার আর্থিক পরিস্থিতিকে আরও ভালোভাবে সাহায্য করার চেষ্টা করছে। এই সব কথা বলার পর আমার ভয় হল যে যদি সে ইতিমধ্যেই অন্য কোনও রিল্যাপস লাইনের কাছাকাছি থাকে, তাহলে এই কথাগুলো বললে সে তার ধারেকাছে চলে যাবে। এই কথোপকথনগুলি করার জন্য আমার কিছু পরামর্শের প্রয়োজন কারণ যদিও আমি নিজে আসক্তির মধ্য দিয়ে গেছি, আমার গল্পে এর থেকে নিজেকে বের করে আনা অনেক সহজ ছিল ... আমি ভেতর থেকে পুরোপুরি বুঝতে পারছি না কিন্তু বৃহত্তর চিত্র এবং তাদের যে দায়িত্ব নিতে হবে তার চিন্তাভাবনার কারণে এটি অন্যদের জীবন ধ্বংস করতে দেখেছি।</v>
      </c>
    </row>
    <row r="898" spans="1:3" ht="15" x14ac:dyDescent="0.25">
      <c r="A898" s="3" t="s">
        <v>894</v>
      </c>
      <c r="B898" s="3" t="s">
        <v>4</v>
      </c>
      <c r="C898" s="4" t="str">
        <f ca="1">IFERROR(__xludf.DUMMYFUNCTION("GOOGLETRANSLATE(A898, ""auto"", ""bn"")"),"হ্যালো, আমি একজন ৫০ বছর বয়সী মহিলা যিনি ২০+ বছর ধরে প্রতিদিন গাঁজা সেবন করে আসছেন। আমি এই আসক্তি কাটিয়ে উঠতে খুবই মরিয়া, কিন্তু আমি একা থাকি/কোনও সমর্থন নেই, এবং আমি বেশ সামাজিকভাবে বিচ্ছিন্ন, তাই রাতে একাকী/একঘেয়েমি থেকে বাঁচতে এবং মানসিক চাপ মোকাবেল"&amp;"া করার জন্য আমি এটি করি। যা আমি এখন বুঝতে পেরেছি যে এর বিপরীত প্রভাব পড়ছে। আমি অ্যান্টিডিপ্রেসেন্ট ওষুধ সম্পর্কে অনেক কিছু জানি এবং আমার উপর বেশ কয়েকটি নিক্ষেপ করা হয়েছে, কিন্তু কোনওটিই সাহায্য করেনি। আমি বিশ্বাস করি যে আমার মস্তিষ্কের ক্ষতি হয়েছে এবং"&amp;" এমন কিছুর প্রয়োজন যা কেবল সেরোটোনিন নয় বরং ডোপামিনকে লক্ষ্য করে। আমি যে ওষুধগুলি চেষ্টা করেছি: জোলফ্ট (একমাত্র ওষুধ যা কাজ করে বলে মনে হচ্ছে কিন্তু চরম পার্শ্বপ্রতিক্রিয়াগুলি পরিচালনা করতে পারেনি) এলেনা - উদ্বেগের জন্য দুর্দান্ত ছিল আমার অনুপ্রেরণার অ"&amp;"ভাব বা বিষণ্ণতাকে স্পর্শ করেনি। লেক্সা প্রো- সহ্য করতে পারেনি। ওয়েলবুট্রিন- সহ্য করতে পারেনি। মির্টাজাপাইনও আশ্চর্যজনক ছিল, তবে আমার 'রাগ' এবং রাগের সমস্যা তৈরি হয়েছিল। সেরোকেল- আমি ওষুধটি খেয়েছি কিন্তু কখনও চেষ্টা করিনি, আমি অনলাইনে যা পড়েছিলাম তা দে"&amp;"খে আমি কিছুটা নার্ভাস ছিলাম। কেউ কি আমাকে পরামর্শ বা ব্যক্তিগত অভিজ্ঞতা দিয়ে সাহায্য করতে পারেন? শুভেচ্ছান্তে, সি।")</f>
        <v>হ্যালো, আমি একজন ৫০ বছর বয়সী মহিলা যিনি ২০+ বছর ধরে প্রতিদিন গাঁজা সেবন করে আসছেন। আমি এই আসক্তি কাটিয়ে উঠতে খুবই মরিয়া, কিন্তু আমি একা থাকি/কোনও সমর্থন নেই, এবং আমি বেশ সামাজিকভাবে বিচ্ছিন্ন, তাই রাতে একাকী/একঘেয়েমি থেকে বাঁচতে এবং মানসিক চাপ মোকাবেলা করার জন্য আমি এটি করি। যা আমি এখন বুঝতে পেরেছি যে এর বিপরীত প্রভাব পড়ছে। আমি অ্যান্টিডিপ্রেসেন্ট ওষুধ সম্পর্কে অনেক কিছু জানি এবং আমার উপর বেশ কয়েকটি নিক্ষেপ করা হয়েছে, কিন্তু কোনওটিই সাহায্য করেনি। আমি বিশ্বাস করি যে আমার মস্তিষ্কের ক্ষতি হয়েছে এবং এমন কিছুর প্রয়োজন যা কেবল সেরোটোনিন নয় বরং ডোপামিনকে লক্ষ্য করে। আমি যে ওষুধগুলি চেষ্টা করেছি: জোলফ্ট (একমাত্র ওষুধ যা কাজ করে বলে মনে হচ্ছে কিন্তু চরম পার্শ্বপ্রতিক্রিয়াগুলি পরিচালনা করতে পারেনি) এলেনা - উদ্বেগের জন্য দুর্দান্ত ছিল আমার অনুপ্রেরণার অভাব বা বিষণ্ণতাকে স্পর্শ করেনি। লেক্সা প্রো- সহ্য করতে পারেনি। ওয়েলবুট্রিন- সহ্য করতে পারেনি। মির্টাজাপাইনও আশ্চর্যজনক ছিল, তবে আমার 'রাগ' এবং রাগের সমস্যা তৈরি হয়েছিল। সেরোকেল- আমি ওষুধটি খেয়েছি কিন্তু কখনও চেষ্টা করিনি, আমি অনলাইনে যা পড়েছিলাম তা দেখে আমি কিছুটা নার্ভাস ছিলাম। কেউ কি আমাকে পরামর্শ বা ব্যক্তিগত অভিজ্ঞতা দিয়ে সাহায্য করতে পারেন? শুভেচ্ছান্তে, সি।</v>
      </c>
    </row>
    <row r="899" spans="1:3" ht="15" x14ac:dyDescent="0.25">
      <c r="A899" s="3" t="s">
        <v>895</v>
      </c>
      <c r="B899" s="3" t="s">
        <v>4</v>
      </c>
      <c r="C899" s="4" t="str">
        <f ca="1">IFERROR(__xludf.DUMMYFUNCTION("GOOGLETRANSLATE(A899, ""auto"", ""bn"")"),"হাই, আমার বয়স ১৬ এবং আমি সত্যিই জানি না কোথা থেকে শুরু করবো, আমার মনে হয় এটা শুরু হয়েছিল ৮ বছর বয়স থেকেই এবং আমার পর্ন দেখার এবং বিছানায় শুয়ে শুয়ে যাওয়ার নেশা ছিল (তুমি জানো) যতক্ষণ না আমার বয়স ১৬ এবং এটা ৮ বছর ধরে এই নেশা এবং আমি এটা কাটিয়ে ওঠার চেষ্টা ক"&amp;"রতে চাই কিন্তু পারছি না, আমি ঠিকমতো হস্তমৈথুন করতে পারছি না বা সেই নেশার কারণে যৌন কিছু করতে পারছি না এবং আমার মস্তিষ্ক এতে ক্ষয়প্রাপ্ত হচ্ছে। আমি নিশ্চিত নই কী করব এবং আমি এতদূর যেতে চাই না যে আমি নারীদেরকে বস্তু হিসেবে ভাবি, আর তারা তোমার ছাড়া আর কিছু ন"&amp;"য়... আমি জানি না কী করব।")</f>
        <v>হাই, আমার বয়স ১৬ এবং আমি সত্যিই জানি না কোথা থেকে শুরু করবো, আমার মনে হয় এটা শুরু হয়েছিল ৮ বছর বয়স থেকেই এবং আমার পর্ন দেখার এবং বিছানায় শুয়ে শুয়ে যাওয়ার নেশা ছিল (তুমি জানো) যতক্ষণ না আমার বয়স ১৬ এবং এটা ৮ বছর ধরে এই নেশা এবং আমি এটা কাটিয়ে ওঠার চেষ্টা করতে চাই কিন্তু পারছি না, আমি ঠিকমতো হস্তমৈথুন করতে পারছি না বা সেই নেশার কারণে যৌন কিছু করতে পারছি না এবং আমার মস্তিষ্ক এতে ক্ষয়প্রাপ্ত হচ্ছে। আমি নিশ্চিত নই কী করব এবং আমি এতদূর যেতে চাই না যে আমি নারীদেরকে বস্তু হিসেবে ভাবি, আর তারা তোমার ছাড়া আর কিছু নয়... আমি জানি না কী করব।</v>
      </c>
    </row>
    <row r="900" spans="1:3" ht="15" x14ac:dyDescent="0.25">
      <c r="A900" s="3" t="s">
        <v>896</v>
      </c>
      <c r="B900" s="3" t="s">
        <v>4</v>
      </c>
      <c r="C900" s="4" t="str">
        <f ca="1">IFERROR(__xludf.DUMMYFUNCTION("GOOGLETRANSLATE(A900, ""auto"", ""bn"")"),"আমি প্রায় এক মাস ধরে লিরিক্স ব্যবহার করছি এবং আমি বন্ধ করতে চাই। আমাকে এটি প্রেসক্রিপশন দেওয়া হয়েছে, কিন্তু আমি প্রায় ২.৫ সপ্তাহ ধরে সুপারিশকৃত ডোজের চেয়ে বেশি মাত্রায় সেবন করছি। তাছাড়া, আমি আসলেই প্রত্যাহারের অভিজ্ঞতা নিতে চাই না, কেউ কি জানেন কিভাবে আম"&amp;"ি এটি এড়াতে পারি? ধন্যবাদ :) (কোনও মেডিকেল ডিটক্স ছাড়াই এটি থেকে মুক্তি পাওয়ার জন্য টিপস প্রয়োজন)")</f>
        <v>আমি প্রায় এক মাস ধরে লিরিক্স ব্যবহার করছি এবং আমি বন্ধ করতে চাই। আমাকে এটি প্রেসক্রিপশন দেওয়া হয়েছে, কিন্তু আমি প্রায় ২.৫ সপ্তাহ ধরে সুপারিশকৃত ডোজের চেয়ে বেশি মাত্রায় সেবন করছি। তাছাড়া, আমি আসলেই প্রত্যাহারের অভিজ্ঞতা নিতে চাই না, কেউ কি জানেন কিভাবে আমি এটি এড়াতে পারি? ধন্যবাদ :) (কোনও মেডিকেল ডিটক্স ছাড়াই এটি থেকে মুক্তি পাওয়ার জন্য টিপস প্রয়োজন)</v>
      </c>
    </row>
    <row r="901" spans="1:3" ht="15" x14ac:dyDescent="0.25">
      <c r="A901" s="3" t="s">
        <v>897</v>
      </c>
      <c r="B901" s="3" t="s">
        <v>4</v>
      </c>
      <c r="C901" s="4" t="str">
        <f ca="1">IFERROR(__xludf.DUMMYFUNCTION("GOOGLETRANSLATE(A901, ""auto"", ""bn"")"),"বহু বছর ধরে ব্যথার ওষুধ খাচ্ছি। আমার জীবন আমার পছন্দ নয়, এবং আমি এটি পরিবর্তন করার জন্য পদক্ষেপ নিচ্ছি। দুই মাস আগে আমি সিগারেট ধূমপান ছেড়ে দিয়েছি, এবং আজ আমি একটি বহির্বিভাগীয় ওষুধ চিকিৎসা প্রোগ্রামে ভর্তি হয়েছি। আমাকে দিনে দুবার সাবক্সোন প্রেসক্রাই"&amp;"ব করা হয়েছিল এবং আমি এই পরিবর্তন আনতে সত্যিই অনুপ্রাণিত বোধ করছি। বাড়ি ফেরার পথে আমার স্বামী আমাকে চিৎকার করে বলছিলেন যে আমি কীভাবে আমার ওষুধ খাচ্ছি এবং তার ওষুধ খাওয়া নিয়ে আমার কোনও মাথাব্যথা নেই এবং আমি কীভাবে ওষুধ না খাওয়া তার জন্য কঠিন করে তুলব। "&amp;"আমি যুক্তি দিয়েছিলাম যে এটি সত্য নয় কিন্তু বাস্তবে আমি তাতে কিছু যায় আসে না, মাদক না খাওয়ার সবচেয়ে ভালো দিকগুলির মধ্যে একটি হল 24/7 সর্বদা মাদকের জন্য নজর রাখা নয়, তাই না? যেন আমাকে আর কখনও এটি খুঁজতে হবে না এবং এটি আমাকে খুব খুশি করে। আমি কীভাবে আম"&amp;"াদের সাথে এটি কাজ করতে পারব? আমরা 19 বছর ধরে বিবাহিত এবং আমরা 10 বছর ধরে মেথ থেকে বিষমুক্ত এবং একসাথে পরিষ্কার রয়েছি, তবে এটি আলাদা যে সে ছাড়ছে না এবং স্পষ্ট করে দিয়েছে যে সে ছাড়বে না। আমার ভয় হচ্ছে, সে হয়তো এমন কারো সাথে মিশে যাবে যে মদ্যপান করে (সে"&amp;" একজন মদ্যপ) এবং ধূমপান করে এবং ওষুধ খায়। আমি তাকে ভালোবাসি এবং তাকে হারাতে চাই না।")</f>
        <v>বহু বছর ধরে ব্যথার ওষুধ খাচ্ছি। আমার জীবন আমার পছন্দ নয়, এবং আমি এটি পরিবর্তন করার জন্য পদক্ষেপ নিচ্ছি। দুই মাস আগে আমি সিগারেট ধূমপান ছেড়ে দিয়েছি, এবং আজ আমি একটি বহির্বিভাগীয় ওষুধ চিকিৎসা প্রোগ্রামে ভর্তি হয়েছি। আমাকে দিনে দুবার সাবক্সোন প্রেসক্রাইব করা হয়েছিল এবং আমি এই পরিবর্তন আনতে সত্যিই অনুপ্রাণিত বোধ করছি। বাড়ি ফেরার পথে আমার স্বামী আমাকে চিৎকার করে বলছিলেন যে আমি কীভাবে আমার ওষুধ খাচ্ছি এবং তার ওষুধ খাওয়া নিয়ে আমার কোনও মাথাব্যথা নেই এবং আমি কীভাবে ওষুধ না খাওয়া তার জন্য কঠিন করে তুলব। আমি যুক্তি দিয়েছিলাম যে এটি সত্য নয় কিন্তু বাস্তবে আমি তাতে কিছু যায় আসে না, মাদক না খাওয়ার সবচেয়ে ভালো দিকগুলির মধ্যে একটি হল 24/7 সর্বদা মাদকের জন্য নজর রাখা নয়, তাই না? যেন আমাকে আর কখনও এটি খুঁজতে হবে না এবং এটি আমাকে খুব খুশি করে। আমি কীভাবে আমাদের সাথে এটি কাজ করতে পারব? আমরা 19 বছর ধরে বিবাহিত এবং আমরা 10 বছর ধরে মেথ থেকে বিষমুক্ত এবং একসাথে পরিষ্কার রয়েছি, তবে এটি আলাদা যে সে ছাড়ছে না এবং স্পষ্ট করে দিয়েছে যে সে ছাড়বে না। আমার ভয় হচ্ছে, সে হয়তো এমন কারো সাথে মিশে যাবে যে মদ্যপান করে (সে একজন মদ্যপ) এবং ধূমপান করে এবং ওষুধ খায়। আমি তাকে ভালোবাসি এবং তাকে হারাতে চাই না।</v>
      </c>
    </row>
    <row r="902" spans="1:3" ht="15" x14ac:dyDescent="0.25">
      <c r="A902" s="3" t="s">
        <v>898</v>
      </c>
      <c r="B902" s="3" t="s">
        <v>4</v>
      </c>
      <c r="C902" s="4" t="str">
        <f ca="1">IFERROR(__xludf.DUMMYFUNCTION("GOOGLETRANSLATE(A902, ""auto"", ""bn"")"),"শুরুতেই বলতে চাই, আমি জীবনে কখনও কোনও মাদক গ্রহণ করিনি, তাই আমি কেবল বিপরীত দৃষ্টিকোণ থেকে বোঝার চেষ্টা করছি। আমি রেডিটে নতুন এবং কোনও পক্ষকে আঘাত করার উদ্দেশ্য আমার নেই। ২০১৯ সালে, আমার প্রাক্তন প্রেমিকের সাথে আমার দেখা হয়েছিল যিনি তার অতীত সম্পর্কে আমা"&amp;"র সাথে খোলাখুলি কথা বলেছিলেন। মাদক বিক্রি এবং ব্যবহার। তার পছন্দের ওষুধ ছিল বেজোস (আরও নির্দিষ্টভাবে জ্যানাক্স)। যখন আমি তার সাথে দেখা করি তখন তার বিরুদ্ধে খোলা আদালতে মামলা ছিল যেখানে তাকে প্রতি সপ্তাহে এক কাপে প্রস্রাব পরিষ্কার করতে হত। সে মদ্যপান বা ধূ"&amp;"মপান করত না। আমি দ্বিতীয় সুযোগে বিশ্বাসী এবং তাদের অতীত সম্পর্কে লোকেদের অবাধ্য না হওয়ার ক্ষেত্রে আমি খুব বিশ্বাসী, তাই আমি সম্পর্ক চালিয়ে গিয়েছিলাম। আমাদের সম্পর্কের পুরো সময় জুড়ে সে তার অতীতের মাদক ব্যবহারের প্রশংসা করত। সে প্রচুর পরিমাণে মেলাটোনি"&amp;"ন গ্রহণ করত। অথবা ""ঘুম""-এ সাহায্য করার জন্য কোনও পিএম পিল। এটা একটু বেশি মনে হয়েছিল। তার নজরে এলে সে আত্মরক্ষামূলক হয়ে উঠত। এছাড়াও অনেক জুয়া খেলেছে, নিশ্চিত নই যে এটি সহায়ক তথ্য কিনা।")</f>
        <v>শুরুতেই বলতে চাই, আমি জীবনে কখনও কোনও মাদক গ্রহণ করিনি, তাই আমি কেবল বিপরীত দৃষ্টিকোণ থেকে বোঝার চেষ্টা করছি। আমি রেডিটে নতুন এবং কোনও পক্ষকে আঘাত করার উদ্দেশ্য আমার নেই। ২০১৯ সালে, আমার প্রাক্তন প্রেমিকের সাথে আমার দেখা হয়েছিল যিনি তার অতীত সম্পর্কে আমার সাথে খোলাখুলি কথা বলেছিলেন। মাদক বিক্রি এবং ব্যবহার। তার পছন্দের ওষুধ ছিল বেজোস (আরও নির্দিষ্টভাবে জ্যানাক্স)। যখন আমি তার সাথে দেখা করি তখন তার বিরুদ্ধে খোলা আদালতে মামলা ছিল যেখানে তাকে প্রতি সপ্তাহে এক কাপে প্রস্রাব পরিষ্কার করতে হত। সে মদ্যপান বা ধূমপান করত না। আমি দ্বিতীয় সুযোগে বিশ্বাসী এবং তাদের অতীত সম্পর্কে লোকেদের অবাধ্য না হওয়ার ক্ষেত্রে আমি খুব বিশ্বাসী, তাই আমি সম্পর্ক চালিয়ে গিয়েছিলাম। আমাদের সম্পর্কের পুরো সময় জুড়ে সে তার অতীতের মাদক ব্যবহারের প্রশংসা করত। সে প্রচুর পরিমাণে মেলাটোনিন গ্রহণ করত। অথবা "ঘুম"-এ সাহায্য করার জন্য কোনও পিএম পিল। এটা একটু বেশি মনে হয়েছিল। তার নজরে এলে সে আত্মরক্ষামূলক হয়ে উঠত। এছাড়াও অনেক জুয়া খেলেছে, নিশ্চিত নই যে এটি সহায়ক তথ্য কিনা।</v>
      </c>
    </row>
    <row r="903" spans="1:3" ht="15" x14ac:dyDescent="0.25">
      <c r="A903" s="3" t="s">
        <v>899</v>
      </c>
      <c r="B903" s="3" t="s">
        <v>4</v>
      </c>
      <c r="C903" s="4" t="str">
        <f ca="1">IFERROR(__xludf.DUMMYFUNCTION("GOOGLETRANSLATE(A903, ""auto"", ""bn"")"),"ইউটিউব আসক্তি কীভাবে কাটিয়ে উঠব? আমি এমন একটি জায়গায় পৌঁছে গেছি যেখানে আমি যেসব চ্যানেল দেখতে এবং ভিডিও দেখতে চাই, সেগুলোর নাম ম্যানুয়ালি টাইপ করি। আমি DF Tube চেষ্টা করেছিলাম, মোবাইল থেকে ইউটিউব অ্যাপটি সরিয়েছিলাম, কয়েক দিনের জন্য আমার ল্যাপটপে ব্লক ক"&amp;"রে রেখেছিলাম।")</f>
        <v>ইউটিউব আসক্তি কীভাবে কাটিয়ে উঠব? আমি এমন একটি জায়গায় পৌঁছে গেছি যেখানে আমি যেসব চ্যানেল দেখতে এবং ভিডিও দেখতে চাই, সেগুলোর নাম ম্যানুয়ালি টাইপ করি। আমি DF Tube চেষ্টা করেছিলাম, মোবাইল থেকে ইউটিউব অ্যাপটি সরিয়েছিলাম, কয়েক দিনের জন্য আমার ল্যাপটপে ব্লক করে রেখেছিলাম।</v>
      </c>
    </row>
    <row r="904" spans="1:3" ht="15" x14ac:dyDescent="0.25">
      <c r="A904" s="3" t="s">
        <v>900</v>
      </c>
      <c r="B904" s="3" t="s">
        <v>4</v>
      </c>
      <c r="C904" s="4" t="str">
        <f ca="1">IFERROR(__xludf.DUMMYFUNCTION("GOOGLETRANSLATE(A904, ""auto"", ""bn"")"),"আমার বয়স ২১ বছর এবং আমি প্রায় ৪ বছর ধরে নিয়মিত ধূমপান করছি। মূলত আমি প্রতি কয়েক সপ্তাহ, দিনে কয়েক ঘন্টা পর পর ধূমপান করা বন্ধ করে দিয়েছি। এটি আমাকে অনেক খারাপ পরিস্থিতিতে ফেলেছে যেখানে আমি বিপদের মধ্যে ছিলাম এবং এটি বেশিরভাগ ক্ষেত্রেই আমাকে খুব অনুৎপাদনশী"&amp;"ল এবং আমার উৎপাদনশীলতার অভাবের জন্য হতাশাগ্রস্ত করে তুলেছে। মূলত আমার গ্রেড ভালো থেকে মাঝারি মানের হয়ে গেছে, এবং জীবনের অন্যান্য ঘটনার কারণে আমি অবশেষে স্কুল থেকে বিরতি নিয়েছি। অবশেষে আমাকে ধূমপান বন্ধ করতে হয়েছে কারণ আমি আমার ইচ্ছার বিরুদ্ধে ইউরোপে চলে এ"&amp;"সেছিলাম এবং ঠান্ডা টার্কি বন্ধ করতে হয়েছে। আমি আবার স্কুল শুরু করেছি এবং একসময় আসলে ভালো করছিলাম যা গত তিন বছরে আমি তীব্র ধূমপান শুরু করার পর থেকে ছিল না। তারপর... আমি ইউরোপে এখানে আগাছা খুঁজে পেয়েছি এবং এক মাস ধূমপান না করার পর প্রথমবারের মতো ধূমপান কর"&amp;"েছি, এবং এটি আমাকে এতটা পিছিয়ে দিয়েছে। আমি পুরো সপ্তাহ ধরে উৎপাদনশীল হতে পারিনি। তাছাড়া, আমি ধূমপান চালিয়ে যেতে চাই না কারণ এখন আমার এত কাজ এবং পরীক্ষার জন্য আমি প্রস্তুত নই এবং আমি নিজেকে ঘৃণা করি যে আমি গাঁজা খেয়েছি কারণ এটি ছাড়া আমি ভালো করছিলাম। "&amp;"তাছাড়া, যখন আমার কাছে আগাছা থাকে তখন ধূমপান না করার উপায়ও আমি জানি না। আজ আমি একেবারেই ধূমপান না করার এবং আমার অ্যাসাইনমেন্ট এবং পরীক্ষা শেষ করার চেষ্টা করব, কিন্তু আমি এই আগাছার সমস্যায় ক্লান্ত। একভাবে এই আগাছা যে ভারতের, তার সাথে এর সম্পর্ক থাকতে পার"&amp;"ে, কিন্তু আমার কাছে তেমন কোনও অন্ধকার নেই এবং যেভাবেই হোক আমার মনে হয় আগাছা আমার একটা অংশ কেড়ে নিয়েছে এবং আমাকে আটকে রেখেছে, এবং আমি ছেড়ে দিতে চাই কিন্তু এটা কঠিন, বিশেষ করে কারণ অনলাইনে আগাছা এত ইতিবাচকতা পায় এবং লোকেরা চিৎকার করে বলে যে তুমি আগাছার"&amp;" প্রতি আসক্ত হতে পারো না, যদিও গবেষণা অন্যথায় দেখায়। গতকাল আমি নিজেকে বলেছিলাম যে আমি ধূমপান করব না এবং আমি আমার কাজ করব, কিন্তু তারপর আমি তিনবার ধূমপান করেছিলাম এবং এটি আমাকে কোনও কাজ করা থেকে বিরত রাখার জন্য যথেষ্ট ছিল এবং আমাকে খেতে বাধ্য করেছিল। ঘুম"&amp;"িয়ে পড়ো। আমি এটাকে খুব ঘৃণা করতে শুরু করেছি। আমি উৎপাদনশীল হতে চাই, এবং সেমিস্টার শেষ না হওয়া পর্যন্ত আমার আগাছা আবর্জনার স্তূপে ফেলে দিতে হতে পারে। আর যারা বলছেন এটা শুধু আমার ব্যক্তিত্বের কারণে, আগাছার কারণে নয়, তাহলে তুমি কীভাবে ব্যাখ্যা করবে যে আম"&amp;"ি যখন উচ্চ মেজাজে নই তখনই স্কুলে সফল হতে পারি? যাই হোক, আমি শুধু চেয়েছিলাম লোকেরা আমার সাথে এই বিষয়ে কথা বলুক এবং যদি তোমারও একই সমস্যা থাকে এবং তুমি তা কাটিয়ে উঠতে পারো, তাহলে আমাকে জানাও কিভাবে আমিও তা করতে পারি।")</f>
        <v>আমার বয়স ২১ বছর এবং আমি প্রায় ৪ বছর ধরে নিয়মিত ধূমপান করছি। মূলত আমি প্রতি কয়েক সপ্তাহ, দিনে কয়েক ঘন্টা পর পর ধূমপান করা বন্ধ করে দিয়েছি। এটি আমাকে অনেক খারাপ পরিস্থিতিতে ফেলেছে যেখানে আমি বিপদের মধ্যে ছিলাম এবং এটি বেশিরভাগ ক্ষেত্রেই আমাকে খুব অনুৎপাদনশীল এবং আমার উৎপাদনশীলতার অভাবের জন্য হতাশাগ্রস্ত করে তুলেছে। মূলত আমার গ্রেড ভালো থেকে মাঝারি মানের হয়ে গেছে, এবং জীবনের অন্যান্য ঘটনার কারণে আমি অবশেষে স্কুল থেকে বিরতি নিয়েছি। অবশেষে আমাকে ধূমপান বন্ধ করতে হয়েছে কারণ আমি আমার ইচ্ছার বিরুদ্ধে ইউরোপে চলে এসেছিলাম এবং ঠান্ডা টার্কি বন্ধ করতে হয়েছে। আমি আবার স্কুল শুরু করেছি এবং একসময় আসলে ভালো করছিলাম যা গত তিন বছরে আমি তীব্র ধূমপান শুরু করার পর থেকে ছিল না। তারপর... আমি ইউরোপে এখানে আগাছা খুঁজে পেয়েছি এবং এক মাস ধূমপান না করার পর প্রথমবারের মতো ধূমপান করেছি, এবং এটি আমাকে এতটা পিছিয়ে দিয়েছে। আমি পুরো সপ্তাহ ধরে উৎপাদনশীল হতে পারিনি। তাছাড়া, আমি ধূমপান চালিয়ে যেতে চাই না কারণ এখন আমার এত কাজ এবং পরীক্ষার জন্য আমি প্রস্তুত নই এবং আমি নিজেকে ঘৃণা করি যে আমি গাঁজা খেয়েছি কারণ এটি ছাড়া আমি ভালো করছিলাম। তাছাড়া, যখন আমার কাছে আগাছা থাকে তখন ধূমপান না করার উপায়ও আমি জানি না। আজ আমি একেবারেই ধূমপান না করার এবং আমার অ্যাসাইনমেন্ট এবং পরীক্ষা শেষ করার চেষ্টা করব, কিন্তু আমি এই আগাছার সমস্যায় ক্লান্ত। একভাবে এই আগাছা যে ভারতের, তার সাথে এর সম্পর্ক থাকতে পারে, কিন্তু আমার কাছে তেমন কোনও অন্ধকার নেই এবং যেভাবেই হোক আমার মনে হয় আগাছা আমার একটা অংশ কেড়ে নিয়েছে এবং আমাকে আটকে রেখেছে, এবং আমি ছেড়ে দিতে চাই কিন্তু এটা কঠিন, বিশেষ করে কারণ অনলাইনে আগাছা এত ইতিবাচকতা পায় এবং লোকেরা চিৎকার করে বলে যে তুমি আগাছার প্রতি আসক্ত হতে পারো না, যদিও গবেষণা অন্যথায় দেখায়। গতকাল আমি নিজেকে বলেছিলাম যে আমি ধূমপান করব না এবং আমি আমার কাজ করব, কিন্তু তারপর আমি তিনবার ধূমপান করেছিলাম এবং এটি আমাকে কোনও কাজ করা থেকে বিরত রাখার জন্য যথেষ্ট ছিল এবং আমাকে খেতে বাধ্য করেছিল। ঘুমিয়ে পড়ো। আমি এটাকে খুব ঘৃণা করতে শুরু করেছি। আমি উৎপাদনশীল হতে চাই, এবং সেমিস্টার শেষ না হওয়া পর্যন্ত আমার আগাছা আবর্জনার স্তূপে ফেলে দিতে হতে পারে। আর যারা বলছেন এটা শুধু আমার ব্যক্তিত্বের কারণে, আগাছার কারণে নয়, তাহলে তুমি কীভাবে ব্যাখ্যা করবে যে আমি যখন উচ্চ মেজাজে নই তখনই স্কুলে সফল হতে পারি? যাই হোক, আমি শুধু চেয়েছিলাম লোকেরা আমার সাথে এই বিষয়ে কথা বলুক এবং যদি তোমারও একই সমস্যা থাকে এবং তুমি তা কাটিয়ে উঠতে পারো, তাহলে আমাকে জানাও কিভাবে আমিও তা করতে পারি।</v>
      </c>
    </row>
    <row r="905" spans="1:3" ht="15" x14ac:dyDescent="0.25">
      <c r="A905" s="3" t="s">
        <v>901</v>
      </c>
      <c r="B905" s="3" t="s">
        <v>4</v>
      </c>
      <c r="C905" s="4" t="str">
        <f ca="1">IFERROR(__xludf.DUMMYFUNCTION("GOOGLETRANSLATE(A905, ""auto"", ""bn"")"),"ডাইফেনহাইড্রামিনের সাথে পাঁচ বছর লড়াই করার পর, অবশেষে আমি অভ্যাসটি ছেড়ে দিলাম... কিন্তু মনে হচ্ছে এটা কেবল যুদ্ধের শুরু। আমি কতটা খারাপ? এই চিন্তা আমাকে গ্রাস করে, একটি প্রশ্ন যা আমি প্রতিদিন নিজেকে জিজ্ঞাসা করি কোন লাভ হয় না। আমি মিথ্যা বলব না আমি ভীত"&amp;", জ্ঞানীয় ক্ষমতা এবং স্মৃতিশক্তির তুলনায় আমার কাস্ত্রোর সমস্যা বেশি, তবে আমি স্পষ্টভাবে বলতে পারি যে আমার স্মৃতিশক্তি প্রভাবিত হয়েছে। আমি জানি তারা কী বলে, ""তুমি নিজের সাথে এটা করেছ"" অথবা ""তুমি জানতে যে তুমি কী করছো এবং এর পরিণতি কী হবে"" কিন্তু আমি"&amp;" এতে এতটাই ডুবে গিয়েছিলাম যে আমি যে ক্ষতি করছিলাম সে সম্পর্কে আমি সম্পূর্ণরূপে অজ্ঞ ছিলাম। আমার মনে হয় আমার জীবনের বাকি সময়টা আমি এই বিশ্বাসে কাটাতে বাধ্য হব যে আমার ডিমেনশিয়া হবে। তাছাড়া, আমি জানি না এটি ১০০% গ্যারান্টি কিনা, তবে উপলব্ধ তথ্য থেকে মন"&amp;"ে হচ্ছে আমি ভুল হয়ে গেছি। তাছাড়া, আমি এখন কী করতে হবে এবং সেরে ওঠার চেষ্টা করব তার কোনও তথ্যও খুঁজে পাচ্ছি না। তাছাড়া, আমি ফাটল ভেদ করে এই অব্যক্ত ধূসর অঞ্চলে চলে গেলাম। আপাতদৃষ্টিতে অচেনা এই অঞ্চলে, যেখানে আমাকে স্বাভাবিক জীবনে ফিরিয়ে আনার জন্য কোনও প"&amp;"থপ্রদর্শক আলো ছিল না। আমি প্রার্থনা করি যেন আমার মতো অন্যরাও বাস্তবে ফিরে আসে, এবং যারা এই প্রাঙ্গণে আসবে তারা যেন অন্য দিকে মুখ ফিরিয়ে নেয়।")</f>
        <v>ডাইফেনহাইড্রামিনের সাথে পাঁচ বছর লড়াই করার পর, অবশেষে আমি অভ্যাসটি ছেড়ে দিলাম... কিন্তু মনে হচ্ছে এটা কেবল যুদ্ধের শুরু। আমি কতটা খারাপ? এই চিন্তা আমাকে গ্রাস করে, একটি প্রশ্ন যা আমি প্রতিদিন নিজেকে জিজ্ঞাসা করি কোন লাভ হয় না। আমি মিথ্যা বলব না আমি ভীত, জ্ঞানীয় ক্ষমতা এবং স্মৃতিশক্তির তুলনায় আমার কাস্ত্রোর সমস্যা বেশি, তবে আমি স্পষ্টভাবে বলতে পারি যে আমার স্মৃতিশক্তি প্রভাবিত হয়েছে। আমি জানি তারা কী বলে, "তুমি নিজের সাথে এটা করেছ" অথবা "তুমি জানতে যে তুমি কী করছো এবং এর পরিণতি কী হবে" কিন্তু আমি এতে এতটাই ডুবে গিয়েছিলাম যে আমি যে ক্ষতি করছিলাম সে সম্পর্কে আমি সম্পূর্ণরূপে অজ্ঞ ছিলাম। আমার মনে হয় আমার জীবনের বাকি সময়টা আমি এই বিশ্বাসে কাটাতে বাধ্য হব যে আমার ডিমেনশিয়া হবে। তাছাড়া, আমি জানি না এটি ১০০% গ্যারান্টি কিনা, তবে উপলব্ধ তথ্য থেকে মনে হচ্ছে আমি ভুল হয়ে গেছি। তাছাড়া, আমি এখন কী করতে হবে এবং সেরে ওঠার চেষ্টা করব তার কোনও তথ্যও খুঁজে পাচ্ছি না। তাছাড়া, আমি ফাটল ভেদ করে এই অব্যক্ত ধূসর অঞ্চলে চলে গেলাম। আপাতদৃষ্টিতে অচেনা এই অঞ্চলে, যেখানে আমাকে স্বাভাবিক জীবনে ফিরিয়ে আনার জন্য কোনও পথপ্রদর্শক আলো ছিল না। আমি প্রার্থনা করি যেন আমার মতো অন্যরাও বাস্তবে ফিরে আসে, এবং যারা এই প্রাঙ্গণে আসবে তারা যেন অন্য দিকে মুখ ফিরিয়ে নেয়।</v>
      </c>
    </row>
    <row r="906" spans="1:3" ht="15" x14ac:dyDescent="0.25">
      <c r="A906" s="3" t="s">
        <v>902</v>
      </c>
      <c r="B906" s="3" t="s">
        <v>4</v>
      </c>
      <c r="C906" s="4" t="str">
        <f ca="1">IFERROR(__xludf.DUMMYFUNCTION("GOOGLETRANSLATE(A906, ""auto"", ""bn"")"),"আমার এক ভালো বন্ধু সিগারেটের প্রতি আসক্ত। এই সপ্তাহে, তার প্রথম বার্ষিকীর পর, সে আবার সিগারেটের নেশায় আসক্ত হয়ে পড়ে, এবং এখন সে রেগে যাচ্ছে এবং নিজের উপর গভীরভাবে লজ্জিত। আমি তাকে ফোন করেছি, এবং সে জানে যে তাকে কী সংগ্রামের মুখোমুখি হতে হবে। আমরা ভিন্ন"&amp;" দেশে থাকি এবং আমি যা করতে পারি তা হল তার সাথে কথা বলা।")</f>
        <v>আমার এক ভালো বন্ধু সিগারেটের প্রতি আসক্ত। এই সপ্তাহে, তার প্রথম বার্ষিকীর পর, সে আবার সিগারেটের নেশায় আসক্ত হয়ে পড়ে, এবং এখন সে রেগে যাচ্ছে এবং নিজের উপর গভীরভাবে লজ্জিত। আমি তাকে ফোন করেছি, এবং সে জানে যে তাকে কী সংগ্রামের মুখোমুখি হতে হবে। আমরা ভিন্ন দেশে থাকি এবং আমি যা করতে পারি তা হল তার সাথে কথা বলা।</v>
      </c>
    </row>
    <row r="907" spans="1:3" ht="15" x14ac:dyDescent="0.25">
      <c r="A907" s="3" t="s">
        <v>903</v>
      </c>
      <c r="B907" s="3" t="s">
        <v>4</v>
      </c>
      <c r="C907" s="4" t="str">
        <f ca="1">IFERROR(__xludf.DUMMYFUNCTION("GOOGLETRANSLATE(A907, ""auto"", ""bn"")"),"ভাই, কোথা থেকে শুরু করবো বুঝতে পারছি না। তাই আমি প্রায় ১.৫ বছর ধরে ট্রামাডলে আসক্ত। আমার পিঠে আঘাতের সময় আমাকে ওষুধ লিখে দেওয়া হয়েছিল। শুরুতে এটি প্রতিদিন ২-৩ ৫০ মিলিগ্রাম দিয়ে শুরু হয়েছিল। কিন্তু দ্রুত আমার সহনশীলতা তৈরি হতে শুরু করে। তাই এখন আমি প্রতিদ"&amp;"িন ৮ ৫০ মিলিগ্রাম সেবন করছি। আর আমি নিজেকে ছেড়ে দিতে পারছি না। এটা ছাড়া আমি নিজেকে দেখতেই পারছি না। আমার মনে হচ্ছে কিছু একটা সমস্যা আছে, কারণ আমি যখন সুস্থ থাকি তখন আমি কিছুই উপভোগ করতে পারি না। তাছাড়া, আমি জানি না এর কোনও পার্শ্বপ্রতিক্রিয়া আছে কিনা। "&amp;"কিন্তু আমি এভাবে জীবনযাপন করতে করতে ক্লান্ত। আমি সত্যিই আশা করি তোমাদের কারো কারো কাছ থেকে কিছু ভালো পরামর্শ পাওয়া যাবে। আর আমি কেন সুস্থ থাকতে পারি না তাও বলতে পারব। আসক্তি সত্যিই যন্ত্রণাদায়ক, যারা এই অবস্থার মধ্য দিয়ে যাচ্ছেন তাদের জন্য আমি সত্যিই প্রা"&amp;"র্থনা করি।")</f>
        <v>ভাই, কোথা থেকে শুরু করবো বুঝতে পারছি না। তাই আমি প্রায় ১.৫ বছর ধরে ট্রামাডলে আসক্ত। আমার পিঠে আঘাতের সময় আমাকে ওষুধ লিখে দেওয়া হয়েছিল। শুরুতে এটি প্রতিদিন ২-৩ ৫০ মিলিগ্রাম দিয়ে শুরু হয়েছিল। কিন্তু দ্রুত আমার সহনশীলতা তৈরি হতে শুরু করে। তাই এখন আমি প্রতিদিন ৮ ৫০ মিলিগ্রাম সেবন করছি। আর আমি নিজেকে ছেড়ে দিতে পারছি না। এটা ছাড়া আমি নিজেকে দেখতেই পারছি না। আমার মনে হচ্ছে কিছু একটা সমস্যা আছে, কারণ আমি যখন সুস্থ থাকি তখন আমি কিছুই উপভোগ করতে পারি না। তাছাড়া, আমি জানি না এর কোনও পার্শ্বপ্রতিক্রিয়া আছে কিনা। কিন্তু আমি এভাবে জীবনযাপন করতে করতে ক্লান্ত। আমি সত্যিই আশা করি তোমাদের কারো কারো কাছ থেকে কিছু ভালো পরামর্শ পাওয়া যাবে। আর আমি কেন সুস্থ থাকতে পারি না তাও বলতে পারব। আসক্তি সত্যিই যন্ত্রণাদায়ক, যারা এই অবস্থার মধ্য দিয়ে যাচ্ছেন তাদের জন্য আমি সত্যিই প্রার্থনা করি।</v>
      </c>
    </row>
    <row r="908" spans="1:3" ht="15" x14ac:dyDescent="0.25">
      <c r="A908" s="3" t="s">
        <v>904</v>
      </c>
      <c r="B908" s="3" t="s">
        <v>4</v>
      </c>
      <c r="C908" s="4" t="str">
        <f ca="1">IFERROR(__xludf.DUMMYFUNCTION("GOOGLETRANSLATE(A908, ""auto"", ""bn"")"),"আমি আমার হাসপাতালের পূর্ণকালীন চাকরিতে সত্যিই কঠোর পরিশ্রম করি। আমি একা আমার নিজস্ব অ্যাপার্টমেন্টে থাকি। তাছাড়া, আমি এখনও নিজেকে এতটাই হতাশ বোধ করি যে আমি প্রতি সপ্তাহান্তে পান করি এবং কোক পান করি। তাছাড়া, আমি সত্যিই জানি না আমার কী সমস্যা হয়েছে বা কী"&amp;"ভাবে সাহায্য পাব। আমার বাবা-মা দুজনেই মাদকাসক্ত এবং আমার বড় ভাই হেরোইন আসক্ত হয়ে সুস্থ হয়ে উঠছে। আমার একটি দুর্দান্ত চাকরি আছে এবং আমি ভালোভাবে জীবিকা নির্বাহ করি কিন্তু আমি কি সুস্থ থাকতে এবং আমার যত্ন নিতে এত সংগ্রাম করছি? আমি কী করব?")</f>
        <v>আমি আমার হাসপাতালের পূর্ণকালীন চাকরিতে সত্যিই কঠোর পরিশ্রম করি। আমি একা আমার নিজস্ব অ্যাপার্টমেন্টে থাকি। তাছাড়া, আমি এখনও নিজেকে এতটাই হতাশ বোধ করি যে আমি প্রতি সপ্তাহান্তে পান করি এবং কোক পান করি। তাছাড়া, আমি সত্যিই জানি না আমার কী সমস্যা হয়েছে বা কীভাবে সাহায্য পাব। আমার বাবা-মা দুজনেই মাদকাসক্ত এবং আমার বড় ভাই হেরোইন আসক্ত হয়ে সুস্থ হয়ে উঠছে। আমার একটি দুর্দান্ত চাকরি আছে এবং আমি ভালোভাবে জীবিকা নির্বাহ করি কিন্তু আমি কি সুস্থ থাকতে এবং আমার যত্ন নিতে এত সংগ্রাম করছি? আমি কী করব?</v>
      </c>
    </row>
    <row r="909" spans="1:3" ht="15" x14ac:dyDescent="0.25">
      <c r="A909" s="3" t="s">
        <v>905</v>
      </c>
      <c r="B909" s="3" t="s">
        <v>4</v>
      </c>
      <c r="C909" s="4" t="str">
        <f ca="1">IFERROR(__xludf.DUMMYFUNCTION("GOOGLETRANSLATE(A909, ""auto"", ""bn"")"),"বছরের পর বছর ধরে এই প্রথম গাঁজা ধূমপান করছি না, সপ্তাহের একদিন পরেই ভালো লাগতে সাধারণত কতক্ষণ লাগে? আমি ক্রমাগত অসুখী থাকি এবং ছোট ছোট জিনিসে বিরক্ত হই এবং কেবল রেগে যাই/খুশি হই। আমি এতটাই হাল ছেড়ে দিতে বাধ্য যে আমি হার মানতে বাধ্য।")</f>
        <v>বছরের পর বছর ধরে এই প্রথম গাঁজা ধূমপান করছি না, সপ্তাহের একদিন পরেই ভালো লাগতে সাধারণত কতক্ষণ লাগে? আমি ক্রমাগত অসুখী থাকি এবং ছোট ছোট জিনিসে বিরক্ত হই এবং কেবল রেগে যাই/খুশি হই। আমি এতটাই হাল ছেড়ে দিতে বাধ্য যে আমি হার মানতে বাধ্য।</v>
      </c>
    </row>
    <row r="910" spans="1:3" ht="15" x14ac:dyDescent="0.25">
      <c r="A910" s="3" t="s">
        <v>906</v>
      </c>
      <c r="B910" s="3" t="s">
        <v>4</v>
      </c>
      <c r="C910" s="4" t="str">
        <f ca="1">IFERROR(__xludf.DUMMYFUNCTION("GOOGLETRANSLATE(A910, ""auto"", ""bn"")"),"সে আমাকে তার প্রোবেশন বলে। আমি শুধু তাকে নিরাপদে (জীবিত) চাই। আমি এমন একটি বাড়িতে বড় হয়েছি যেখানে সৎ বাবা আসক্ত। আমি তাকে এত ভালোবাসি যে কখনও ভাবিনি যে এটা ঘটতে পারে। এত তাড়াতাড়ি এবং এখন সে ফেন্টানিলের সাথে আক্রান্ত। আমি চাই না সে আমাদের ছেড়ে চলে যা"&amp;"ক। কিন্তু আমি এটাও চাই যে আমার বাচ্চারা আমার মতো বড় না হোক। সে আমাদের ছোট বাচ্চাদের, দোকান এবং আমাদের বাড়ির সামনে অতিরিক্ত মাদক সেবন করেছে। আমি ভয় পাচ্ছি যদি আমি তাকে বের করে দেই এবং সে মারা যায়। আমি প্রতি সেকেন্ডে চিন্তিত যদি আমি তার কণ্ঠস্বর না শুনি"&amp;" এবং আমার বাচ্চারা তাকে অনুসরণ করে সর্বত্র জানালায় চিৎকার করবে, ভাববে যে তার ""খিঁচুনি"" হচ্ছে, বয়স্করা সর্বত্র তাকে অনুসরণ করে এটা ঠিক নয়। এটা কি আমার দোষ? আমি কি তাকে বের করে দেব? আমি কি আমি কি এমন মুখোমুখি হব যে আমরা আর কখনও স্বাভাবিক পরিবার হতে পার"&amp;"ব না?")</f>
        <v>সে আমাকে তার প্রোবেশন বলে। আমি শুধু তাকে নিরাপদে (জীবিত) চাই। আমি এমন একটি বাড়িতে বড় হয়েছি যেখানে সৎ বাবা আসক্ত। আমি তাকে এত ভালোবাসি যে কখনও ভাবিনি যে এটা ঘটতে পারে। এত তাড়াতাড়ি এবং এখন সে ফেন্টানিলের সাথে আক্রান্ত। আমি চাই না সে আমাদের ছেড়ে চলে যাক। কিন্তু আমি এটাও চাই যে আমার বাচ্চারা আমার মতো বড় না হোক। সে আমাদের ছোট বাচ্চাদের, দোকান এবং আমাদের বাড়ির সামনে অতিরিক্ত মাদক সেবন করেছে। আমি ভয় পাচ্ছি যদি আমি তাকে বের করে দেই এবং সে মারা যায়। আমি প্রতি সেকেন্ডে চিন্তিত যদি আমি তার কণ্ঠস্বর না শুনি এবং আমার বাচ্চারা তাকে অনুসরণ করে সর্বত্র জানালায় চিৎকার করবে, ভাববে যে তার "খিঁচুনি" হচ্ছে, বয়স্করা সর্বত্র তাকে অনুসরণ করে এটা ঠিক নয়। এটা কি আমার দোষ? আমি কি তাকে বের করে দেব? আমি কি আমি কি এমন মুখোমুখি হব যে আমরা আর কখনও স্বাভাবিক পরিবার হতে পারব না?</v>
      </c>
    </row>
    <row r="911" spans="1:3" ht="15" x14ac:dyDescent="0.25">
      <c r="A911" s="3" t="s">
        <v>907</v>
      </c>
      <c r="B911" s="3" t="s">
        <v>4</v>
      </c>
      <c r="C911" s="4" t="str">
        <f ca="1">IFERROR(__xludf.DUMMYFUNCTION("GOOGLETRANSLATE(A911, ""auto"", ""bn"")"),"আমি কিছুদিন ধরে রক্সি প্রেস করছি। আমি এগুলো নিতে শুরু করেছিলাম এবং ভাবছিলাম যে এগুলো রক্সির মতো মনে হচ্ছে না কিন্তু এখন আমি প্রতিদিন এবং রাতে এবং যখনই পারি নাক ডাকি। তাছাড়া, আমার WD এবং ব্যথা কমানোর জন্য আমার যা প্রয়োজন হতে পারে তার জন্য সাহায্যের প্রয়"&amp;"োজন। তাছাড়া, আমার কাছে খুব বেশি বিকল্প নেই। তাছাড়া, সাবসেক্টর নেওয়ার বা কোনও ক্লিনিক/পুনর্বাসনে যাওয়ার কোনও উপায় নেই। সবাই আমার জীবন ছেড়ে চলে যাচ্ছে এবং আমি কেবল হাল ছেড়ে দিতে চাই। আমি পারছি না কারণ আমার মা এটা সহ্য করতে পারবেন না। আমি আটকে আছি। আম"&amp;"ি হয় ব্যবহার চালিয়ে যাব অথবা এখন হেরোইন ব্যবহার করার আগে এটি বন্ধ করতে হবে। তাছাড়া, আমি কখনও কল্পনাও করতে পারিনি যে আমি এটি করছি, কিন্তু আমার মস্তিষ্ক ধীরে ধীরে ভাবছে যে এটি এত খারাপ ধারণা নয় এবং এটিই আমাকে ভয় দেখাচ্ছে। তাছাড়া, আমার আসক্তি পোষণ করার"&amp;" মতো আর্থিক স্থিতিশীলতা আমার নেই। আমি কয়েকদিন ধরে কাঁদছি কারণ এটি আমাকে ভেঙে ফেলছে। তাছাড়া, আমি জানি না কোথা থেকে ছেড়ে দেওয়া শুরু করব। WD আমাকে প্রায় সবকিছুর চেয়ে বেশি ভয় পায়। বিভিন্ন ওষুধের কারণে আমি অনেক ধরণের WD-তে ভুগেছি। কিন্তু এটাই আমার জন্য স"&amp;"বচেয়ে কঠিন হবে। আমি চাই কেউ যদি এই পরিস্থিতি থেকে আমাকে সাহায্য করত। যদি আমার কাঁধে কাঁধ মিলিয়ে কাঁদতে পারতাম, তাহলে সম্ভবত OD-তে ফিরে যাওয়ার বা পুনরায় অসুস্থ হওয়ার সম্ভাবনা কম থাকত। কিন্তু কেউ নেই। আমি এই মুহূর্তে একা এবং আমি আমার জীবন ফিরে পেতে চাই। আ"&amp;"মি সুস্থ সম্পর্ক চাই। তাছাড়া, আমি ভালোবাসা চাই। এই সব শুরু হয়েছিল কারণ আমি একাকী বোধ করতাম এবং সেই ফাঁক ঢেকে ফেলতে চাইতাম। এবং এখন এটি আমাকে ভালোবাসার অযোগ্য করে তুলছে, তার উপরে আমি আরও ভালোবাসা চাই। এই মুহূর্তে ভালোবাসাও নেই। শুধু মানসিক সমর্থন। কেউ দয"&amp;"়া করে আমাকে বলুন কিভাবে এই নরক মোকাবেলা করতে হবে, অনেক দেরি হওয়ার আগে। আমার বয়স মাত্র ১৮ বছর।")</f>
        <v>আমি কিছুদিন ধরে রক্সি প্রেস করছি। আমি এগুলো নিতে শুরু করেছিলাম এবং ভাবছিলাম যে এগুলো রক্সির মতো মনে হচ্ছে না কিন্তু এখন আমি প্রতিদিন এবং রাতে এবং যখনই পারি নাক ডাকি। তাছাড়া, আমার WD এবং ব্যথা কমানোর জন্য আমার যা প্রয়োজন হতে পারে তার জন্য সাহায্যের প্রয়োজন। তাছাড়া, আমার কাছে খুব বেশি বিকল্প নেই। তাছাড়া, সাবসেক্টর নেওয়ার বা কোনও ক্লিনিক/পুনর্বাসনে যাওয়ার কোনও উপায় নেই। সবাই আমার জীবন ছেড়ে চলে যাচ্ছে এবং আমি কেবল হাল ছেড়ে দিতে চাই। আমি পারছি না কারণ আমার মা এটা সহ্য করতে পারবেন না। আমি আটকে আছি। আমি হয় ব্যবহার চালিয়ে যাব অথবা এখন হেরোইন ব্যবহার করার আগে এটি বন্ধ করতে হবে। তাছাড়া, আমি কখনও কল্পনাও করতে পারিনি যে আমি এটি করছি, কিন্তু আমার মস্তিষ্ক ধীরে ধীরে ভাবছে যে এটি এত খারাপ ধারণা নয় এবং এটিই আমাকে ভয় দেখাচ্ছে। তাছাড়া, আমার আসক্তি পোষণ করার মতো আর্থিক স্থিতিশীলতা আমার নেই। আমি কয়েকদিন ধরে কাঁদছি কারণ এটি আমাকে ভেঙে ফেলছে। তাছাড়া, আমি জানি না কোথা থেকে ছেড়ে দেওয়া শুরু করব। WD আমাকে প্রায় সবকিছুর চেয়ে বেশি ভয় পায়। বিভিন্ন ওষুধের কারণে আমি অনেক ধরণের WD-তে ভুগেছি। কিন্তু এটাই আমার জন্য সবচেয়ে কঠিন হবে। আমি চাই কেউ যদি এই পরিস্থিতি থেকে আমাকে সাহায্য করত। যদি আমার কাঁধে কাঁধ মিলিয়ে কাঁদতে পারতাম, তাহলে সম্ভবত OD-তে ফিরে যাওয়ার বা পুনরায় অসুস্থ হওয়ার সম্ভাবনা কম থাকত। কিন্তু কেউ নেই। আমি এই মুহূর্তে একা এবং আমি আমার জীবন ফিরে পেতে চাই। আমি সুস্থ সম্পর্ক চাই। তাছাড়া, আমি ভালোবাসা চাই। এই সব শুরু হয়েছিল কারণ আমি একাকী বোধ করতাম এবং সেই ফাঁক ঢেকে ফেলতে চাইতাম। এবং এখন এটি আমাকে ভালোবাসার অযোগ্য করে তুলছে, তার উপরে আমি আরও ভালোবাসা চাই। এই মুহূর্তে ভালোবাসাও নেই। শুধু মানসিক সমর্থন। কেউ দয়া করে আমাকে বলুন কিভাবে এই নরক মোকাবেলা করতে হবে, অনেক দেরি হওয়ার আগে। আমার বয়স মাত্র ১৮ বছর।</v>
      </c>
    </row>
    <row r="912" spans="1:3" ht="15" x14ac:dyDescent="0.25">
      <c r="A912" s="3" t="s">
        <v>908</v>
      </c>
      <c r="B912" s="3" t="s">
        <v>4</v>
      </c>
      <c r="C912" s="4" t="str">
        <f ca="1">IFERROR(__xludf.DUMMYFUNCTION("GOOGLETRANSLATE(A912, ""auto"", ""bn"")"),"ঠিক আছে। তাহলে আমি সম্প্রতি এখানে কিছু পরিস্থিতির মধ্য দিয়ে যাচ্ছি। আমি আশা করি এবং প্রার্থনা করি যে আমি আমার সংগ্রামকে পুরোপুরি স্পষ্ট করে বলতে পারব এবং যা কিছু ঘটছে তার পিছনে আমার যুক্তি ব্যাখ্যা করতে পারব এবং কেন আমি যা সবচেয়ে ভালো মনে করেছি তা করেছি"&amp;"। আমি বলতে শুরু করব যে মহামারী শুরু হওয়ার সময় আমি 2 বছর ধরে শান্ত ছিলাম। কোভিড আমার 2টি চাকরি, একটি বাড়ি এবং একটি সম্পর্ক হারিয়েছে। আমি সীমানা থেকে ফাটল ধরতে শুরু করেছিলাম এবং 29শে এপ্রিল এটি ঘটেছিল। বছরের সবচেয়ে খারাপ দিনে ট্রাম্প আমাকে আমার উদ্দীপন"&amp;"া দিয়েছিলেন। আমি ট্রাম্পকে দোষ দিচ্ছি না, অথবা আমার অ্যাকাউন্টে অতিরিক্ত অর্থের প্রবাহকে। আমি নিজেকে এবং জবাবদিহিতার অভাবকে দোষ দিচ্ছি। কিন্তু আমি পুনরায় অসুস্থ হয়ে পড়েছিলাম। আমি 3 সপ্তাহ নরকে কাটিয়েছি এবং একটি মামলায় ধরা পড়েছি। আমি বন্ধনে আবদ্ধ হয"&amp;"়ে নিজেকে একত্রিত করেছি। তবে, এটি বেশি দিন স্থায়ী হয়নি, কয়েক মাস পরে আমি আবার অসুস্থ হয়ে পড়েছিলাম। আরও কয়েক সপ্তাহ নরকে কাটিয়েছি এবং সমস্যায় পড়ার আগে নিজেকে একত্রিত করেছি। এই সময় আমি আমার স্পনসর বা পুনরুদ্ধারের পরে কারও সাথে সত্যিই যোগাযোগ করিনি"&amp;"। কিন্তু এবার ভিন্নভাবে, আমি যোগাযোগ করার সিদ্ধান্ত নিয়েছি। আমি সাহায্য চাইতে চেয়েছিলাম। আর সাহায্যই আমার মনে হয়েছিল আমি পেয়েছি। আমি শান্ত জীবনযাপন শুরু করেছি, মিটিংয়ে যাচ্ছি এবং আবারও পদক্ষেপগুলি করছি। জীবন দুর্দান্ত ছিল! অথবা তাই মনে হচ্ছিল। তারপর আ"&amp;"মি লক্ষ্য করতে শুরু করলাম যে আমার শহরের পুনরুদ্ধার সম্প্রদায়ের শেষ সংখ্যাগরিষ্ঠরা কতটা বিচারপ্রবণ। এটা আবার ক্যাথলিক চার্চে থাকার মতো ছিল। এটা করো অথবা নরকে যাও। এটা করো অথবা মরে যাও। এটা করো এবং ঈশ্বর তোমাকে ঘৃণা করেন! তাই আমি আমার মাথা নিচু করে এবং আমা"&amp;"র বৃত্ত ছোট রাখার সিদ্ধান্ত নিয়েছিলাম। কিন্তু কোনওভাবে বিচারপ্রবণ সেসপুল, যা ইন্ডি পুনরুদ্ধার দৃশ্য, তা যেন ভেতরে ঢুকে পড়েছে। ""ঠান্ডা"" বাচ্চাদের টেবিলের অংশ নয়। যতবারই আমি সাহায্যের হাত বাড়িয়েছি, যেখানেই ঘুরেছি, আমি দেখেছি মিথ্যা আশা এবং মিথ্যা কথা"&amp;" বলছি। লোকেরা বিচার করছে এবং লোকেরা শেষ পর্যন্ত নিজেকে বা অন্যদের ঘৃণা করছে যারা ভালো করছে। যাই হোক, কয়েক মাস দ্রুত এগিয়ে গিয়ে আমি পুনরুদ্ধার সম্প্রদায় থেকে নিজেকে সম্পূর্ণরূপে সরিয়ে নেওয়ার চূড়ান্ত সিদ্ধান্ত নিয়েছি। এমন নয় যে আমি মাদক ধূমপান করতে"&amp;" চাই। আমি তা করি না। এমন নয় যে আমি জীবনের অপচয় করতে চাই এবং একাকী মানুষ হয়ে মরতে চাই। আমি তা করি না। কিন্তু আমি নিজেকে সেই ঘৃণা, অন্যের সংগ্রামের প্রতি প্রকৃত সহানুভূতির অভাব দিয়ে ঘিরে রাখতে চাই না। আর যারা ""ভিড়ের মধ্যে"" ছিল অথবা যারা শান্ত ছেলে ছি"&amp;"ল, আমি তাদের সবাইকে অবজ্ঞা করে দেখতাম এবং যেকোনো কিছুর জন্য আমাকে খারাপ মনে করতাম। আমি আমার পুনরুদ্ধার সম্পর্কিত 90% বন্ধুদের মুছে ফেলেছিলাম। ফেসবুকের সমস্ত স্থানীয় পুনরুদ্ধার গ্রুপ থেকে নিজেকে সরিয়ে নিয়েছি, এবং মূলত পরিবার এবং বন্ধুদের একটি ছোট গ্রুপে"&amp;" নিজেকে বিচ্ছিন্ন করে ফেলেছি। আমি কি নিজেকে পুনরায় রোগের জন্য প্রস্তুত করছি? আমি কি সবসময় যা করি তাই করেছি এবং নিজেকে মিথ্যা বলে বিশ্বাস করেছি? নাকি এটা সম্ভব যে আমি ঠিক আছি এবং পুনরুদ্ধার সম্প্রদায় আমার পুনরায় রোগের কারণ হিসাবে ""কেন আমরা এটি করি"" ত"&amp;"া নিয়ে সাহায্য করছে না? আবারও আমি যদি আমার সংগ্রামগুলি প্রকাশ করি বা ঘটনার সম্পূর্ণ সঠিক সময়রেখা দেই কারণ এটি আমার মাথার বাইরে। তবে যেকোনো পরামর্শের জন্য আমি কৃতজ্ঞ থাকব! অনেক ভালোবাসা এবং শ্রদ্ধা!")</f>
        <v>ঠিক আছে। তাহলে আমি সম্প্রতি এখানে কিছু পরিস্থিতির মধ্য দিয়ে যাচ্ছি। আমি আশা করি এবং প্রার্থনা করি যে আমি আমার সংগ্রামকে পুরোপুরি স্পষ্ট করে বলতে পারব এবং যা কিছু ঘটছে তার পিছনে আমার যুক্তি ব্যাখ্যা করতে পারব এবং কেন আমি যা সবচেয়ে ভালো মনে করেছি তা করেছি। আমি বলতে শুরু করব যে মহামারী শুরু হওয়ার সময় আমি 2 বছর ধরে শান্ত ছিলাম। কোভিড আমার 2টি চাকরি, একটি বাড়ি এবং একটি সম্পর্ক হারিয়েছে। আমি সীমানা থেকে ফাটল ধরতে শুরু করেছিলাম এবং 29শে এপ্রিল এটি ঘটেছিল। বছরের সবচেয়ে খারাপ দিনে ট্রাম্প আমাকে আমার উদ্দীপনা দিয়েছিলেন। আমি ট্রাম্পকে দোষ দিচ্ছি না, অথবা আমার অ্যাকাউন্টে অতিরিক্ত অর্থের প্রবাহকে। আমি নিজেকে এবং জবাবদিহিতার অভাবকে দোষ দিচ্ছি। কিন্তু আমি পুনরায় অসুস্থ হয়ে পড়েছিলাম। আমি 3 সপ্তাহ নরকে কাটিয়েছি এবং একটি মামলায় ধরা পড়েছি। আমি বন্ধনে আবদ্ধ হয়ে নিজেকে একত্রিত করেছি। তবে, এটি বেশি দিন স্থায়ী হয়নি, কয়েক মাস পরে আমি আবার অসুস্থ হয়ে পড়েছিলাম। আরও কয়েক সপ্তাহ নরকে কাটিয়েছি এবং সমস্যায় পড়ার আগে নিজেকে একত্রিত করেছি। এই সময় আমি আমার স্পনসর বা পুনরুদ্ধারের পরে কারও সাথে সত্যিই যোগাযোগ করিনি। কিন্তু এবার ভিন্নভাবে, আমি যোগাযোগ করার সিদ্ধান্ত নিয়েছি। আমি সাহায্য চাইতে চেয়েছিলাম। আর সাহায্যই আমার মনে হয়েছিল আমি পেয়েছি। আমি শান্ত জীবনযাপন শুরু করেছি, মিটিংয়ে যাচ্ছি এবং আবারও পদক্ষেপগুলি করছি। জীবন দুর্দান্ত ছিল! অথবা তাই মনে হচ্ছিল। তারপর আমি লক্ষ্য করতে শুরু করলাম যে আমার শহরের পুনরুদ্ধার সম্প্রদায়ের শেষ সংখ্যাগরিষ্ঠরা কতটা বিচারপ্রবণ। এটা আবার ক্যাথলিক চার্চে থাকার মতো ছিল। এটা করো অথবা নরকে যাও। এটা করো অথবা মরে যাও। এটা করো এবং ঈশ্বর তোমাকে ঘৃণা করেন! তাই আমি আমার মাথা নিচু করে এবং আমার বৃত্ত ছোট রাখার সিদ্ধান্ত নিয়েছিলাম। কিন্তু কোনওভাবে বিচারপ্রবণ সেসপুল, যা ইন্ডি পুনরুদ্ধার দৃশ্য, তা যেন ভেতরে ঢুকে পড়েছে। "ঠান্ডা" বাচ্চাদের টেবিলের অংশ নয়। যতবারই আমি সাহায্যের হাত বাড়িয়েছি, যেখানেই ঘুরেছি, আমি দেখেছি মিথ্যা আশা এবং মিথ্যা কথা বলছি। লোকেরা বিচার করছে এবং লোকেরা শেষ পর্যন্ত নিজেকে বা অন্যদের ঘৃণা করছে যারা ভালো করছে। যাই হোক, কয়েক মাস দ্রুত এগিয়ে গিয়ে আমি পুনরুদ্ধার সম্প্রদায় থেকে নিজেকে সম্পূর্ণরূপে সরিয়ে নেওয়ার চূড়ান্ত সিদ্ধান্ত নিয়েছি। এমন নয় যে আমি মাদক ধূমপান করতে চাই। আমি তা করি না। এমন নয় যে আমি জীবনের অপচয় করতে চাই এবং একাকী মানুষ হয়ে মরতে চাই। আমি তা করি না। কিন্তু আমি নিজেকে সেই ঘৃণা, অন্যের সংগ্রামের প্রতি প্রকৃত সহানুভূতির অভাব দিয়ে ঘিরে রাখতে চাই না। আর যারা "ভিড়ের মধ্যে" ছিল অথবা যারা শান্ত ছেলে ছিল, আমি তাদের সবাইকে অবজ্ঞা করে দেখতাম এবং যেকোনো কিছুর জন্য আমাকে খারাপ মনে করতাম। আমি আমার পুনরুদ্ধার সম্পর্কিত 90% বন্ধুদের মুছে ফেলেছিলাম। ফেসবুকের সমস্ত স্থানীয় পুনরুদ্ধার গ্রুপ থেকে নিজেকে সরিয়ে নিয়েছি, এবং মূলত পরিবার এবং বন্ধুদের একটি ছোট গ্রুপে নিজেকে বিচ্ছিন্ন করে ফেলেছি। আমি কি নিজেকে পুনরায় রোগের জন্য প্রস্তুত করছি? আমি কি সবসময় যা করি তাই করেছি এবং নিজেকে মিথ্যা বলে বিশ্বাস করেছি? নাকি এটা সম্ভব যে আমি ঠিক আছি এবং পুনরুদ্ধার সম্প্রদায় আমার পুনরায় রোগের কারণ হিসাবে "কেন আমরা এটি করি" তা নিয়ে সাহায্য করছে না? আবারও আমি যদি আমার সংগ্রামগুলি প্রকাশ করি বা ঘটনার সম্পূর্ণ সঠিক সময়রেখা দেই কারণ এটি আমার মাথার বাইরে। তবে যেকোনো পরামর্শের জন্য আমি কৃতজ্ঞ থাকব! অনেক ভালোবাসা এবং শ্রদ্ধা!</v>
      </c>
    </row>
    <row r="913" spans="1:3" ht="15" x14ac:dyDescent="0.25">
      <c r="A913" s="3" t="s">
        <v>909</v>
      </c>
      <c r="B913" s="3" t="s">
        <v>4</v>
      </c>
      <c r="C913" s="4" t="str">
        <f ca="1">IFERROR(__xludf.DUMMYFUNCTION("GOOGLETRANSLATE(A913, ""auto"", ""bn"")"),"আমি তার জন্য কিছু সূত্র রেখে গেলাম এবং তাকে জিজ্ঞাসা করলাম যে আমরা কি এই বিষয়ে কথা বলতে পারি এবং এটি কতটা ব্যথা করে। আমার মনে হয় তার কোনও ধারণা নেই। আমার আত্মসম্মান আর নেই, আমার বিশ্বাস সুখী সমাপ্তি সহ সিনেমা বা টিভি শোতে আমার সবচেয়ে খারাপ অনুষ্ঠান। আম"&amp;"ি বিভ্রান্ত এবং আহত এবং এই ব্যক্তির প্রতি ঘৃণা করি যার সাথে আমার বাকি জীবন কাটানোর কথা। যদি না থাকে তবে আর কী আছে? সপ্তাহের সবচেয়ে প্রিয় হল শাওয়ার হেডমাস্টার ঘাঁটি! আমার আর অস্তিত্ব নেই বলে মনে হচ্ছে। আমি জানি তাকানো মানে রোদ নয় বরং উপেক্ষা করা এবং ক্"&amp;"রমাগত ব্যথা অনুভব করা। একই ঘরে থাকতে আমার পছন্দ হয় না। তাছাড়া, আমি চাই সে তার আচরণের জন্য কিছু দায়িত্ব নেবে। আমরা ফিরে যাই এবং সোমবার তার ইউরোলজিস্টের সাথে দেখা করি গত বছর টেস্টোস্টেরনের মাত্রা কম ছিল এবং আমি নিশ্চিত এই বছর আর ভালো হবে না। আমি ডাক্তারক"&amp;"ে একটি নোট দিয়েছিলাম যেখানে তাকে আমাদের যৌন জীবন এবং তার অতিরিক্ত কার্যকলাপ সম্পর্কে বলা হয়েছিল যা আমি অংশগ্রহণ করছি না। তার ডাক্তার বলেছিলেন যে তার অতিরিক্ত কার্যকলাপ লক্ষণগুলিকে আরও খারাপ করে তোলে! যখন আমি তাকে জড়িয়ে ধরার চেষ্টা করি, তখন আমার মনে হয"&amp;"় আমি তার স্থান দখল করছি।")</f>
        <v>আমি তার জন্য কিছু সূত্র রেখে গেলাম এবং তাকে জিজ্ঞাসা করলাম যে আমরা কি এই বিষয়ে কথা বলতে পারি এবং এটি কতটা ব্যথা করে। আমার মনে হয় তার কোনও ধারণা নেই। আমার আত্মসম্মান আর নেই, আমার বিশ্বাস সুখী সমাপ্তি সহ সিনেমা বা টিভি শোতে আমার সবচেয়ে খারাপ অনুষ্ঠান। আমি বিভ্রান্ত এবং আহত এবং এই ব্যক্তির প্রতি ঘৃণা করি যার সাথে আমার বাকি জীবন কাটানোর কথা। যদি না থাকে তবে আর কী আছে? সপ্তাহের সবচেয়ে প্রিয় হল শাওয়ার হেডমাস্টার ঘাঁটি! আমার আর অস্তিত্ব নেই বলে মনে হচ্ছে। আমি জানি তাকানো মানে রোদ নয় বরং উপেক্ষা করা এবং ক্রমাগত ব্যথা অনুভব করা। একই ঘরে থাকতে আমার পছন্দ হয় না। তাছাড়া, আমি চাই সে তার আচরণের জন্য কিছু দায়িত্ব নেবে। আমরা ফিরে যাই এবং সোমবার তার ইউরোলজিস্টের সাথে দেখা করি গত বছর টেস্টোস্টেরনের মাত্রা কম ছিল এবং আমি নিশ্চিত এই বছর আর ভালো হবে না। আমি ডাক্তারকে একটি নোট দিয়েছিলাম যেখানে তাকে আমাদের যৌন জীবন এবং তার অতিরিক্ত কার্যকলাপ সম্পর্কে বলা হয়েছিল যা আমি অংশগ্রহণ করছি না। তার ডাক্তার বলেছিলেন যে তার অতিরিক্ত কার্যকলাপ লক্ষণগুলিকে আরও খারাপ করে তোলে! যখন আমি তাকে জড়িয়ে ধরার চেষ্টা করি, তখন আমার মনে হয় আমি তার স্থান দখল করছি।</v>
      </c>
    </row>
    <row r="914" spans="1:3" ht="15" x14ac:dyDescent="0.25">
      <c r="A914" s="3" t="s">
        <v>910</v>
      </c>
      <c r="B914" s="3" t="s">
        <v>4</v>
      </c>
      <c r="C914" s="4" t="str">
        <f ca="1">IFERROR(__xludf.DUMMYFUNCTION("GOOGLETRANSLATE(A914, ""auto"", ""bn"")"),"আমি তাদের সন্তানদের মাদক ব্যবহারের অভিজ্ঞতা আমার সাথে ভাগ করে নেওয়ার জন্য বাবা-মাকে খুঁজছি। আমি পিতামাতার প্রয়োজনীয় সম্পদ বা সহায়তার উপর আমার থিসিস লিখছি অথবা আসক্তির সাথে লড়াই করা তাদের সন্তানকে সাহায্য করার জন্য ব্যবহার করতে পারতাম, এবং ভবিষ্যতে অন"&amp;"্যান্য বাবা-মাকে সাহায্য করার জন্য আপনার ব্যক্তিগত অভিজ্ঞতা সত্যিই ব্যবহার করতে পারতাম। তাছাড়া, আমি খুঁজছি যে আপনি একজন অভিভাবক বা যত্নশীল হিসেবে আপনাকে কী সাহায্য করতে পারতেন বলে মনে করেন? আপনি কোন চ্যালেঞ্জের মুখোমুখি হয়েছিলেন? পরে কী জানতে পারলে সত্য"&amp;"িই সহায়ক হত? নিজেকে সাহায্য করার জন্য আপনি কোন পরিষেবাগুলিতে অংশগ্রহণ করেছিলেন?")</f>
        <v>আমি তাদের সন্তানদের মাদক ব্যবহারের অভিজ্ঞতা আমার সাথে ভাগ করে নেওয়ার জন্য বাবা-মাকে খুঁজছি। আমি পিতামাতার প্রয়োজনীয় সম্পদ বা সহায়তার উপর আমার থিসিস লিখছি অথবা আসক্তির সাথে লড়াই করা তাদের সন্তানকে সাহায্য করার জন্য ব্যবহার করতে পারতাম, এবং ভবিষ্যতে অন্যান্য বাবা-মাকে সাহায্য করার জন্য আপনার ব্যক্তিগত অভিজ্ঞতা সত্যিই ব্যবহার করতে পারতাম। তাছাড়া, আমি খুঁজছি যে আপনি একজন অভিভাবক বা যত্নশীল হিসেবে আপনাকে কী সাহায্য করতে পারতেন বলে মনে করেন? আপনি কোন চ্যালেঞ্জের মুখোমুখি হয়েছিলেন? পরে কী জানতে পারলে সত্যিই সহায়ক হত? নিজেকে সাহায্য করার জন্য আপনি কোন পরিষেবাগুলিতে অংশগ্রহণ করেছিলেন?</v>
      </c>
    </row>
    <row r="915" spans="1:3" ht="15" x14ac:dyDescent="0.25">
      <c r="A915" s="3" t="s">
        <v>911</v>
      </c>
      <c r="B915" s="3" t="s">
        <v>4</v>
      </c>
      <c r="C915" s="4" t="str">
        <f ca="1">IFERROR(__xludf.DUMMYFUNCTION("GOOGLETRANSLATE(A915, ""auto"", ""bn"")"),"এক বছরেরও বেশি সময় আগে, আমি অ্যাম্ফিটামিন গ্রহণ বন্ধ করার সিদ্ধান্ত নিয়েছিলাম। আমি তিন বছর ধরে সত্যিই খুব খারাপ ছিলাম। অনেকেই বলে যে অ্যাম্ফিটামিনে খারাপ হওয়া যায় না, কিন্তু আমি এতে আরও খারাপ ছিলাম। এটি আমার জীবন এবং আমার শরীরকে ধ্বংস করে দিচ্ছিল। এটি"&amp;" এমন কিছু ছিল যা আমি কোনও পুনর্বাসন বা মিটিং ছাড়াই করা বন্ধ করে দিয়েছিলাম। আমার বাবার মৃত্যুর পরপরই আমি থামিয়ে দিয়েছিলাম। আমি থেরাপিতে যাওয়া শুরু করেছিলাম এবং আমার থেরাপিস্টকে বলেছিলাম যে আমি একজন আসক্ত এবং আমার থামাতে হবে, তাই আমি থামিয়ে দিয়েছিলাম"&amp;"। কিন্তু তারপর থেকে, আমার অন্য কোনও নির্দেশনা ছিল না। আমার থেরাপিস্ট খুব বেশি সাহায্য করেনি। আমি নিজেই মাদক থেকে দূরে থাকি, তবে আমি মাঝে মাঝে গাঁজা ধূমপান করি। অন্যথায়, আমি একজন সুস্থ হয়ে ওঠা মদ্যপও, এবং এটিকে এভাবে ধরে রাখার জন্য আমি নালট্রেক্সোন গ্রহণ"&amp;" করি। আমিও এক বছরেরও বেশি সময় ধরে পান করিনি। অ্যাম্ফিটামিন ছেড়ে দেওয়ার পর আমি সরাসরি মদ্যপানে পড়ে গেলাম। যা আমি কখনও আশা করিনি। কিন্তু এখানে আমার প্রশ্ন: আমি মাঝে মাঝে নিজেকে জিজ্ঞাসা করি, আমি কেন অ্যাম্ফিটামিনে আসক্ত হয়ে পড়েছিলাম? বিশেষ করে সেই মাদ"&amp;"কের কী ছিল? যখন আমি অ্যামফিটামিন গ্রহণ করতাম তখন আমার কখনও মদ্যপানের সমস্যা ছিল না। আসলে আমি মদ্যপানকে ঘৃণা করতাম। এছাড়াও, আমি কেন এখন এত কফি পান করি? কেন আমি এত নিকোটিন ধূমপান করি? এবং এটা কি সম্ভব যে এই জিনিসগুলি অ্যামফিটামিনের মতোই খারাপ? আসক্তির আগে,"&amp;" আমার বয়স ছিল ১৭, এবং আমার আগে কোনও মাদক সেবনের সমস্যা ছিল না। এবং এখন আমি ২৪ বছর বয়সে উদ্দীপকের উপর এত নির্ভরশীল। এবং আমি প্রতিদিন পান করতে চাই। আমার শরীর আক্ষরিক অর্থেই অ্যালকোহলের উপর এত আকাঙ্ক্ষা করে। আমার কী হয়েছে? আমার মস্তিষ্ক উদ্দীপকের উপর এত ন"&amp;"ির্ভরশীল হওয়ার কোনও কারণ আছে কি? এটি কি আসক্ত হওয়ার অংশ? আমার মস্তিষ্ক কি সর্বদা উদ্দীপকের প্রতি আসক্ত থাকবে, নাকি আমি নিকোটিন ধূমপান এবং ক্যাফিন পান করা বন্ধ করলে আরও ভালো হবে? একজন আসক্তের মস্তিষ্ক কীভাবে কাজ করে? যদি আমি হাস্যকর শোনাই তবে আমি সত্যিই "&amp;"দুঃখিত। আমি নিজের সম্পর্কে আরও সচেতন হতে চাই। তাছাড়া, আমি কেবল নিজেকে বুঝতে চাই। এবং এখন আমার কাছে খুব বেশি নির্দেশনা নেই। আমার মনে হয় এটিই একমাত্র জায়গা যেখানে আমি আমার প্রশ্নগুলি নিয়ে যেতে পারি। আমি সত্যিই আপনার সময়কে ধন্যবাদ জানাই।")</f>
        <v>এক বছরেরও বেশি সময় আগে, আমি অ্যাম্ফিটামিন গ্রহণ বন্ধ করার সিদ্ধান্ত নিয়েছিলাম। আমি তিন বছর ধরে সত্যিই খুব খারাপ ছিলাম। অনেকেই বলে যে অ্যাম্ফিটামিনে খারাপ হওয়া যায় না, কিন্তু আমি এতে আরও খারাপ ছিলাম। এটি আমার জীবন এবং আমার শরীরকে ধ্বংস করে দিচ্ছিল। এটি এমন কিছু ছিল যা আমি কোনও পুনর্বাসন বা মিটিং ছাড়াই করা বন্ধ করে দিয়েছিলাম। আমার বাবার মৃত্যুর পরপরই আমি থামিয়ে দিয়েছিলাম। আমি থেরাপিতে যাওয়া শুরু করেছিলাম এবং আমার থেরাপিস্টকে বলেছিলাম যে আমি একজন আসক্ত এবং আমার থামাতে হবে, তাই আমি থামিয়ে দিয়েছিলাম। কিন্তু তারপর থেকে, আমার অন্য কোনও নির্দেশনা ছিল না। আমার থেরাপিস্ট খুব বেশি সাহায্য করেনি। আমি নিজেই মাদক থেকে দূরে থাকি, তবে আমি মাঝে মাঝে গাঁজা ধূমপান করি। অন্যথায়, আমি একজন সুস্থ হয়ে ওঠা মদ্যপও, এবং এটিকে এভাবে ধরে রাখার জন্য আমি নালট্রেক্সোন গ্রহণ করি। আমিও এক বছরেরও বেশি সময় ধরে পান করিনি। অ্যাম্ফিটামিন ছেড়ে দেওয়ার পর আমি সরাসরি মদ্যপানে পড়ে গেলাম। যা আমি কখনও আশা করিনি। কিন্তু এখানে আমার প্রশ্ন: আমি মাঝে মাঝে নিজেকে জিজ্ঞাসা করি, আমি কেন অ্যাম্ফিটামিনে আসক্ত হয়ে পড়েছিলাম? বিশেষ করে সেই মাদকের কী ছিল? যখন আমি অ্যামফিটামিন গ্রহণ করতাম তখন আমার কখনও মদ্যপানের সমস্যা ছিল না। আসলে আমি মদ্যপানকে ঘৃণা করতাম। এছাড়াও, আমি কেন এখন এত কফি পান করি? কেন আমি এত নিকোটিন ধূমপান করি? এবং এটা কি সম্ভব যে এই জিনিসগুলি অ্যামফিটামিনের মতোই খারাপ? আসক্তির আগে, আমার বয়স ছিল ১৭, এবং আমার আগে কোনও মাদক সেবনের সমস্যা ছিল না। এবং এখন আমি ২৪ বছর বয়সে উদ্দীপকের উপর এত নির্ভরশীল। এবং আমি প্রতিদিন পান করতে চাই। আমার শরীর আক্ষরিক অর্থেই অ্যালকোহলের উপর এত আকাঙ্ক্ষা করে। আমার কী হয়েছে? আমার মস্তিষ্ক উদ্দীপকের উপর এত নির্ভরশীল হওয়ার কোনও কারণ আছে কি? এটি কি আসক্ত হওয়ার অংশ? আমার মস্তিষ্ক কি সর্বদা উদ্দীপকের প্রতি আসক্ত থাকবে, নাকি আমি নিকোটিন ধূমপান এবং ক্যাফিন পান করা বন্ধ করলে আরও ভালো হবে? একজন আসক্তের মস্তিষ্ক কীভাবে কাজ করে? যদি আমি হাস্যকর শোনাই তবে আমি সত্যিই দুঃখিত। আমি নিজের সম্পর্কে আরও সচেতন হতে চাই। তাছাড়া, আমি কেবল নিজেকে বুঝতে চাই। এবং এখন আমার কাছে খুব বেশি নির্দেশনা নেই। আমার মনে হয় এটিই একমাত্র জায়গা যেখানে আমি আমার প্রশ্নগুলি নিয়ে যেতে পারি। আমি সত্যিই আপনার সময়কে ধন্যবাদ জানাই।</v>
      </c>
    </row>
    <row r="916" spans="1:3" ht="15" x14ac:dyDescent="0.25">
      <c r="A916" s="3" t="s">
        <v>912</v>
      </c>
      <c r="B916" s="3" t="s">
        <v>4</v>
      </c>
      <c r="C916" s="4" t="str">
        <f ca="1">IFERROR(__xludf.DUMMYFUNCTION("GOOGLETRANSLATE(A916, ""auto"", ""bn"")"),"আমার পছন্দের ওষুধ হল অক্সিকোডোন, কিন্তু আমি এটা নিতে পারছি না কারণ আমার পরীক্ষা শুরু হতে চলেছে, এবং আমাকে Xanax নিতে হবে। আমি ভাবছি আমার কি OXY ছেড়ে দেওয়া উচিত এবং Xanax ব্যবহার করা উচিত, নাকি আমার তীব্র আসক্তির মধ্যে থাকা উচিত? আমি দুটোই ছাড়তে চাই না।"&amp;" সত্যি বলতে, আমার উদ্বেগ খুব তীব্র।")</f>
        <v>আমার পছন্দের ওষুধ হল অক্সিকোডোন, কিন্তু আমি এটা নিতে পারছি না কারণ আমার পরীক্ষা শুরু হতে চলেছে, এবং আমাকে Xanax নিতে হবে। আমি ভাবছি আমার কি OXY ছেড়ে দেওয়া উচিত এবং Xanax ব্যবহার করা উচিত, নাকি আমার তীব্র আসক্তির মধ্যে থাকা উচিত? আমি দুটোই ছাড়তে চাই না। সত্যি বলতে, আমার উদ্বেগ খুব তীব্র।</v>
      </c>
    </row>
    <row r="917" spans="1:3" ht="15" x14ac:dyDescent="0.25">
      <c r="A917" s="3" t="s">
        <v>913</v>
      </c>
      <c r="B917" s="3" t="s">
        <v>4</v>
      </c>
      <c r="C917" s="4" t="str">
        <f ca="1">IFERROR(__xludf.DUMMYFUNCTION("GOOGLETRANSLATE(A917, ""auto"", ""bn"")"),"যারা তাদের সঙ্গীর সাথে মাদক সেবন করেছেন (অথবা চেষ্টা করেছেন) তাদের জন্য আমার কিছু প্রশ্ন আছে। শুরুতে, আমি এবং আমার সঙ্গী একসাথে মাদক ব্যবহার করতাম এবং দুজনেই মাদক সেবন বন্ধ করার সিদ্ধান্ত নিয়েছিলাম, আমার নিজের আরোগ্য আশ্চর্যজনকভাবে মসৃণ হচ্ছে, কিন্তু আমা"&amp;"র সঙ্গী যে মাদক সেবন করে না তা বিশ্বাস করতে আমার সমস্যা হচ্ছে। তাই আমি এখানে যোগাযোগ করছি যাতে অন্য কেউ এই অভিজ্ঞতার সম্মুখীন হয়েছে কিনা এবং বিশ্বাসঘাতক আসক্তদের সাথে কীভাবে মোকাবিলা করতে হয় তা জানতে পারি। যেকোনো গল্প বা পরামর্শ স্বাগত! এই সাব থেকে আমি "&amp;"একবার যে আক্রমণাত্মক বক্তব্য/শব্দ পেয়েছি তা ছাড়া।")</f>
        <v>যারা তাদের সঙ্গীর সাথে মাদক সেবন করেছেন (অথবা চেষ্টা করেছেন) তাদের জন্য আমার কিছু প্রশ্ন আছে। শুরুতে, আমি এবং আমার সঙ্গী একসাথে মাদক ব্যবহার করতাম এবং দুজনেই মাদক সেবন বন্ধ করার সিদ্ধান্ত নিয়েছিলাম, আমার নিজের আরোগ্য আশ্চর্যজনকভাবে মসৃণ হচ্ছে, কিন্তু আমার সঙ্গী যে মাদক সেবন করে না তা বিশ্বাস করতে আমার সমস্যা হচ্ছে। তাই আমি এখানে যোগাযোগ করছি যাতে অন্য কেউ এই অভিজ্ঞতার সম্মুখীন হয়েছে কিনা এবং বিশ্বাসঘাতক আসক্তদের সাথে কীভাবে মোকাবিলা করতে হয় তা জানতে পারি। যেকোনো গল্প বা পরামর্শ স্বাগত! এই সাব থেকে আমি একবার যে আক্রমণাত্মক বক্তব্য/শব্দ পেয়েছি তা ছাড়া।</v>
      </c>
    </row>
    <row r="918" spans="1:3" ht="15" x14ac:dyDescent="0.25">
      <c r="A918" s="3" t="s">
        <v>914</v>
      </c>
      <c r="B918" s="3" t="s">
        <v>4</v>
      </c>
      <c r="C918" s="4" t="str">
        <f ca="1">IFERROR(__xludf.DUMMYFUNCTION("GOOGLETRANSLATE(A918, ""auto"", ""bn"")"),"আমি ৮ মিলিগ্রাম সাব সেবন করেছিলাম এবং এখন প্রতিদিন ২ মিলিগ্রামে নেমে এসেছে। প্রত্যাহার সামলাতে খুব কষ্ট হচ্ছে এবং পরামর্শের প্রয়োজন। এটা থেকে মুক্তি চাই। যাইহোক, আমি এখন সাবক্সোন সেবন করছি কারণ আমার Kr অ্যাটম ব্যবহার ছিল যা আমি পিঠের ব্যথার জন্য নিউট্রিশ"&amp;"ন সিটি থেকে নেওয়া শুরু করেছিলাম। তখন আমি জানতাম না যে এটি আসক্তিকর, কিন্তু আমার ক্ষেত্রে এটি অবশ্যই ছিল। এটি একটি চিরস্থায়ী বৃত্তের মতো মনে হয়, এবং আমি এতে ক্লান্ত। নিরাপদ বিকল্প সম্পর্কে কি কারো কোন পরামর্শ আছে যা এটি শেষ না হওয়া পর্যন্ত সাহায্য করবে"&amp;"? যেহেতু অনেকগুলি বিভিন্ন লক্ষণ রয়েছে, তাই এটি চ্যালেঞ্জিং। যদি কেউ সম্পর্কিত হতে পারে এবং কিছু ভাল পরামর্শ শেয়ার করতে পারে তবে সত্যিই সাহায্যের প্রয়োজন।")</f>
        <v>আমি ৮ মিলিগ্রাম সাব সেবন করেছিলাম এবং এখন প্রতিদিন ২ মিলিগ্রামে নেমে এসেছে। প্রত্যাহার সামলাতে খুব কষ্ট হচ্ছে এবং পরামর্শের প্রয়োজন। এটা থেকে মুক্তি চাই। যাইহোক, আমি এখন সাবক্সোন সেবন করছি কারণ আমার Kr অ্যাটম ব্যবহার ছিল যা আমি পিঠের ব্যথার জন্য নিউট্রিশন সিটি থেকে নেওয়া শুরু করেছিলাম। তখন আমি জানতাম না যে এটি আসক্তিকর, কিন্তু আমার ক্ষেত্রে এটি অবশ্যই ছিল। এটি একটি চিরস্থায়ী বৃত্তের মতো মনে হয়, এবং আমি এতে ক্লান্ত। নিরাপদ বিকল্প সম্পর্কে কি কারো কোন পরামর্শ আছে যা এটি শেষ না হওয়া পর্যন্ত সাহায্য করবে? যেহেতু অনেকগুলি বিভিন্ন লক্ষণ রয়েছে, তাই এটি চ্যালেঞ্জিং। যদি কেউ সম্পর্কিত হতে পারে এবং কিছু ভাল পরামর্শ শেয়ার করতে পারে তবে সত্যিই সাহায্যের প্রয়োজন।</v>
      </c>
    </row>
    <row r="919" spans="1:3" ht="15" x14ac:dyDescent="0.25">
      <c r="A919" s="3" t="s">
        <v>915</v>
      </c>
      <c r="B919" s="3" t="s">
        <v>4</v>
      </c>
      <c r="C919" s="4" t="str">
        <f ca="1">IFERROR(__xludf.DUMMYFUNCTION("GOOGLETRANSLATE(A919, ""auto"", ""bn"")"),"আমার এক খুব কাছের বন্ধু আজ রাতে যোগাযোগ করেছে। আমি ভেবেছিলাম এটি শুরু করার জন্য একটি ভালো জায়গা হবে এবং যে কারোর 2 পয়সা দিলে সত্যিই খুশি হব। সে সাধারণত আসক্তির জন্য সাহায্য পেতে চাইছে (সে বছরের পর বছর ধরে অনেক কিছুর মধ্য দিয়ে গেছে), বর্তমানে, এটি মূলত "&amp;"কেটামিন এবং অ্যালকোহল সহ অন্যান্য পার্টি ড্রাগ। সে AA এর মতো কোনও কিছুতে যেতে দ্বিধা বোধ করে কারণ তার বয়স 20 এর দশকের শেষের দিকে এবং সে এমন একটি গ্রুপ খুঁজে পেতে চায় যা সম্পর্কযুক্ত বলে মনে হয়। তাছাড়া, সে ঐতিহ্যবাহী 12-পদক্ষেপের প্রোগ্রামের ধর্মীয় দিক"&amp;"টিতেও খুব একটা আগ্রহী নয়। আমার মনে হয় আমি বেরিয়ে এসে বলব, যদি কোনও জ্যোতিষ ভিত্তিক গ্রুপ থাকে তবে দয়া করে শেয়ার করুন... এই মহামারীর কারণে, জুমের মতো কোনও কিছুর মাধ্যমে একটি অনলাইন মিটিং সে যা ভাবছিল তাই সে এখন সহায়তা পেতে পারে। ব্যক্তিগতভাবে একটি জি"&amp;"নিস আদর্শ হবে, তবে আমি বাস্তববাদী হওয়ার চেষ্টা করছি। গোপনীয়তার কারণে অনুগ্রহ করে আমাকে অবস্থানের জন্য বার্তা পাঠান। গ্রুপগুলির জন্য যেকোনো পরামর্শের পাশাপাশি নতুন সাহায্যের জন্য পরামর্শের জন্য অত্যন্ত প্রশংসা করা হবে! আমি আশা করি এই সময়ে সবাই যতটা সম্ভ"&amp;"ব সুস্থ থাকবেন।")</f>
        <v>আমার এক খুব কাছের বন্ধু আজ রাতে যোগাযোগ করেছে। আমি ভেবেছিলাম এটি শুরু করার জন্য একটি ভালো জায়গা হবে এবং যে কারোর 2 পয়সা দিলে সত্যিই খুশি হব। সে সাধারণত আসক্তির জন্য সাহায্য পেতে চাইছে (সে বছরের পর বছর ধরে অনেক কিছুর মধ্য দিয়ে গেছে), বর্তমানে, এটি মূলত কেটামিন এবং অ্যালকোহল সহ অন্যান্য পার্টি ড্রাগ। সে AA এর মতো কোনও কিছুতে যেতে দ্বিধা বোধ করে কারণ তার বয়স 20 এর দশকের শেষের দিকে এবং সে এমন একটি গ্রুপ খুঁজে পেতে চায় যা সম্পর্কযুক্ত বলে মনে হয়। তাছাড়া, সে ঐতিহ্যবাহী 12-পদক্ষেপের প্রোগ্রামের ধর্মীয় দিকটিতেও খুব একটা আগ্রহী নয়। আমার মনে হয় আমি বেরিয়ে এসে বলব, যদি কোনও জ্যোতিষ ভিত্তিক গ্রুপ থাকে তবে দয়া করে শেয়ার করুন... এই মহামারীর কারণে, জুমের মতো কোনও কিছুর মাধ্যমে একটি অনলাইন মিটিং সে যা ভাবছিল তাই সে এখন সহায়তা পেতে পারে। ব্যক্তিগতভাবে একটি জিনিস আদর্শ হবে, তবে আমি বাস্তববাদী হওয়ার চেষ্টা করছি। গোপনীয়তার কারণে অনুগ্রহ করে আমাকে অবস্থানের জন্য বার্তা পাঠান। গ্রুপগুলির জন্য যেকোনো পরামর্শের পাশাপাশি নতুন সাহায্যের জন্য পরামর্শের জন্য অত্যন্ত প্রশংসা করা হবে! আমি আশা করি এই সময়ে সবাই যতটা সম্ভব সুস্থ থাকবেন।</v>
      </c>
    </row>
    <row r="920" spans="1:3" ht="15" x14ac:dyDescent="0.25">
      <c r="A920" s="3" t="s">
        <v>916</v>
      </c>
      <c r="B920" s="3" t="s">
        <v>4</v>
      </c>
      <c r="C920" s="4" t="str">
        <f ca="1">IFERROR(__xludf.DUMMYFUNCTION("GOOGLETRANSLATE(A920, ""auto"", ""bn"")"),"হ্যালো সবাই, তাই সারাদিন ধূমপান করার পর আর টাকা খরচ করার পর আমি একটু বিরতি নিচ্ছি! আমি একদিন ধূমপান করেছি, আজ আমার দ্বিতীয়। আমি অনেক কাঁদছি, বমি বমি ভাব হচ্ছে এবং আমার পা ঝিমঝিম করছে। এটা সহজ করার জন্য কারো কাছে কোন টিপস বা কৌশল আছে? আমি পুনর্বাসনে যেতে "&amp;"চাই কিন্তু এটা অনেক ব্যয়বহুল।")</f>
        <v>হ্যালো সবাই, তাই সারাদিন ধূমপান করার পর আর টাকা খরচ করার পর আমি একটু বিরতি নিচ্ছি! আমি একদিন ধূমপান করেছি, আজ আমার দ্বিতীয়। আমি অনেক কাঁদছি, বমি বমি ভাব হচ্ছে এবং আমার পা ঝিমঝিম করছে। এটা সহজ করার জন্য কারো কাছে কোন টিপস বা কৌশল আছে? আমি পুনর্বাসনে যেতে চাই কিন্তু এটা অনেক ব্যয়বহুল।</v>
      </c>
    </row>
    <row r="921" spans="1:3" ht="15" x14ac:dyDescent="0.25">
      <c r="A921" s="3" t="s">
        <v>917</v>
      </c>
      <c r="B921" s="3" t="s">
        <v>4</v>
      </c>
      <c r="C921" s="4" t="str">
        <f ca="1">IFERROR(__xludf.DUMMYFUNCTION("GOOGLETRANSLATE(A921, ""auto"", ""bn"")"),"যারা তাদের ব্যক্তিগত অভিজ্ঞতা শেয়ার করতে চান তাদের জন্যই ভাবছি! তোমার ঘুম ভাঙার কারণ কী ছিল? তুমি নিজের সাথে লড়াই করো। এটা রাতারাতি কোনো উপদেশ নয়। তুমি নিজেকে মাস বা বছর ধরে বলতে পারো যে আগামীকাল তুমি ছেড়ে দেবে। তুমি এটা কম করতে শুরু করবে..... তাছাড়া"&amp;", তুমি এটা নিয়ে কাজ করবে। এটা এমন একটা জিনিস যা প্রতিদিন থামাতে হবে তা জানার জন্য একটি কঠিন লড়াই, কিন্তু তোমার ঘুম ভাঙার কারণ কী ছিল? কী হয়েছিল যার কারণে তুমি বলতে শুরু করেছো যে আমার সব শেষ, আজ থেকে শুরু, এখন থেকে শুরু। সেই গুরুত্বপূর্ণ মুহূর্তটি কী ছি"&amp;"ল যেখানে তুমি আগামীকাল নিজেকে বলা বন্ধ করে দিয়েছিলে এবং আজ থেকেই নিজেকে বলতে শুরু করেছিলে? আমি জিজ্ঞাসা করছি কারণ আমার বন্ধু (২৯ বছর বয়সী) তার SO (৪৫ বছর বয়সী) এর সাথে ৮ বছর ধরে বিবাহিত এবং সে প্রতিদিন মদ্যপান করে এবং এটি সম্পর্কে মিথ্যা বলে, এমনকি সে "&amp;"গোপনে পানীয় সংগ্রহের কাজে ধরা পড়েছে। আমার মনে হয় না তার হতাশা শোনা ছাড়া আমার আর কিছুই করার আছে এবং আমি বুঝতে পারি যে তারা উভয়ই কোথা থেকে আসছে... তাছাড়া, আমি কেবল তোমার জীবনকে কী পরিবর্তন করেছে সে সম্পর্কে তোমার গল্প শুনতে চাই।")</f>
        <v>যারা তাদের ব্যক্তিগত অভিজ্ঞতা শেয়ার করতে চান তাদের জন্যই ভাবছি! তোমার ঘুম ভাঙার কারণ কী ছিল? তুমি নিজের সাথে লড়াই করো। এটা রাতারাতি কোনো উপদেশ নয়। তুমি নিজেকে মাস বা বছর ধরে বলতে পারো যে আগামীকাল তুমি ছেড়ে দেবে। তুমি এটা কম করতে শুরু করবে..... তাছাড়া, তুমি এটা নিয়ে কাজ করবে। এটা এমন একটা জিনিস যা প্রতিদিন থামাতে হবে তা জানার জন্য একটি কঠিন লড়াই, কিন্তু তোমার ঘুম ভাঙার কারণ কী ছিল? কী হয়েছিল যার কারণে তুমি বলতে শুরু করেছো যে আমার সব শেষ, আজ থেকে শুরু, এখন থেকে শুরু। সেই গুরুত্বপূর্ণ মুহূর্তটি কী ছিল যেখানে তুমি আগামীকাল নিজেকে বলা বন্ধ করে দিয়েছিলে এবং আজ থেকেই নিজেকে বলতে শুরু করেছিলে? আমি জিজ্ঞাসা করছি কারণ আমার বন্ধু (২৯ বছর বয়সী) তার SO (৪৫ বছর বয়সী) এর সাথে ৮ বছর ধরে বিবাহিত এবং সে প্রতিদিন মদ্যপান করে এবং এটি সম্পর্কে মিথ্যা বলে, এমনকি সে গোপনে পানীয় সংগ্রহের কাজে ধরা পড়েছে। আমার মনে হয় না তার হতাশা শোনা ছাড়া আমার আর কিছুই করার আছে এবং আমি বুঝতে পারি যে তারা উভয়ই কোথা থেকে আসছে... তাছাড়া, আমি কেবল তোমার জীবনকে কী পরিবর্তন করেছে সে সম্পর্কে তোমার গল্প শুনতে চাই।</v>
      </c>
    </row>
    <row r="922" spans="1:3" ht="15" x14ac:dyDescent="0.25">
      <c r="A922" s="3" t="s">
        <v>918</v>
      </c>
      <c r="B922" s="3" t="s">
        <v>4</v>
      </c>
      <c r="C922" s="4" t="str">
        <f ca="1">IFERROR(__xludf.DUMMYFUNCTION("GOOGLETRANSLATE(A922, ""auto"", ""bn"")"),"আমার পর্ন আসক্তি আধা-পঙ্গু করে দিচ্ছে। আমার বয়স ১৮ বছরের কম এবং আমি দিনে ৫-৭ বার পর্ন দেখি এবং হস্তমৈথুন করি। তাছাড়া, আমি নিজের চোখে দেখেছি যে যেকোনো আসক্তি কী করতে পারে, তা যাই হোক না কেন। আমি শুধু এই পরিমাণ কমাতে বা অন্তত নিয়ন্ত্রণে থাকার জন্য কিছু স"&amp;"াহায্য খুঁজছি। ধন্যবাদ। সম্পাদনা: এটি শুরু হয়েছিল যখন আমি ১১ বছর বয়সে ছিলাম এবং একটি ফ্ল্যাশ গেম ওয়েবসাইটে দুর্ঘটনাক্রমে পর্ন দেখতে পাই এবং তারপর থেকে, পর্ন না দেখে এমন একটি দিনও যায়নি। আমি বলব না যে আমি মরিয়া, তবে মরিয়া হওয়ার আগে, আমি চাই এটি এখনই"&amp;" বন্ধ হোক।")</f>
        <v>আমার পর্ন আসক্তি আধা-পঙ্গু করে দিচ্ছে। আমার বয়স ১৮ বছরের কম এবং আমি দিনে ৫-৭ বার পর্ন দেখি এবং হস্তমৈথুন করি। তাছাড়া, আমি নিজের চোখে দেখেছি যে যেকোনো আসক্তি কী করতে পারে, তা যাই হোক না কেন। আমি শুধু এই পরিমাণ কমাতে বা অন্তত নিয়ন্ত্রণে থাকার জন্য কিছু সাহায্য খুঁজছি। ধন্যবাদ। সম্পাদনা: এটি শুরু হয়েছিল যখন আমি ১১ বছর বয়সে ছিলাম এবং একটি ফ্ল্যাশ গেম ওয়েবসাইটে দুর্ঘটনাক্রমে পর্ন দেখতে পাই এবং তারপর থেকে, পর্ন না দেখে এমন একটি দিনও যায়নি। আমি বলব না যে আমি মরিয়া, তবে মরিয়া হওয়ার আগে, আমি চাই এটি এখনই বন্ধ হোক।</v>
      </c>
    </row>
    <row r="923" spans="1:3" ht="15" x14ac:dyDescent="0.25">
      <c r="A923" s="3" t="s">
        <v>919</v>
      </c>
      <c r="B923" s="3" t="s">
        <v>4</v>
      </c>
      <c r="C923" s="4" t="str">
        <f ca="1">IFERROR(__xludf.DUMMYFUNCTION("GOOGLETRANSLATE(A923, ""auto"", ""bn"")"),"আমার মায়েরও এই সমস্যা ছিল। ৬ বছর বয়স থেকেই আমি ডায়েট কোক পানের প্রতি আসক্ত। ডায়েট কোক ছাড়া আমার একটা দিনও চলে না। আমি দিনে গড়ে ৫/৬ ক্যান পান করি। আমি ভাবছি এটা আমার স্বাস্থ্যের উপর কী প্রভাব ফেলে। আর থামানোর জন্য কোন পরামর্শ আছে?")</f>
        <v>আমার মায়েরও এই সমস্যা ছিল। ৬ বছর বয়স থেকেই আমি ডায়েট কোক পানের প্রতি আসক্ত। ডায়েট কোক ছাড়া আমার একটা দিনও চলে না। আমি দিনে গড়ে ৫/৬ ক্যান পান করি। আমি ভাবছি এটা আমার স্বাস্থ্যের উপর কী প্রভাব ফেলে। আর থামানোর জন্য কোন পরামর্শ আছে?</v>
      </c>
    </row>
    <row r="924" spans="1:3" ht="15" x14ac:dyDescent="0.25">
      <c r="A924" s="3" t="s">
        <v>920</v>
      </c>
      <c r="B924" s="3" t="s">
        <v>4</v>
      </c>
      <c r="C924" s="4" t="str">
        <f ca="1">IFERROR(__xludf.DUMMYFUNCTION("GOOGLETRANSLATE(A924, ""auto"", ""bn"")"),"আমার বয়ফ্রেন্ড কেটামিনের আসক্তির সাথে লড়াই করছে এবং বর্তমানে তার মূত্রাশয়ের ক্ষতির কারণে তার অস্ত্রোপচারের অপেক্ষায় আছে। আমি তার বাড়িতে কেটামিন পাচ্ছি বলে সে এখনও সেবন করছে। তার মা আমাকে জিজ্ঞাসা করেন যে আমি কি তার বাড়িতে কখনও কোনও ওষুধ খুঁজে পেয়েছ"&amp;"ি যা ফেলে দিতে হবে। আমি এটি করতে অস্বস্তি বোধ করছি কারণ আমার মনে হয় যে সে এটি ফেলে দিতে চায় কিনা তা তাকে নিজেই বেছে নিতে হবে। যদি আমি এটি করি, তবে এটি তাকে পরিবর্তন করতে সাহায্য করবে না কারণ আমি তার জন্য পরিবর্তন জোর করে করছি (পদার্থটি সরিয়ে দিয়ে)। আম"&amp;"ি তার ব্যবহার নিয়ন্ত্রণ করতে চাই না কারণ আমি জানি আমি তা করতে পারছি না। তদুপরি, আমি আমার বয়ফ্রেন্ড এবং তার মায়ের সাথে এটি নিয়ে আলোচনা করার পরিকল্পনা করছি কিন্তু ভাবছি যে এখানে কেউ আমাকে কোন অন্তর্দৃষ্টি দিতে পারে কিনা? এই বিশেষ পরিস্থিতি সম্পর্কে আমি "&amp;"অনলাইনে খুব কম তথ্য পাচ্ছি, এবং আমি চিন্তিত যে তার ব্যবহার এই আসন্ন অস্ত্রোপচারকে প্রভাবিত করবে এবং আমি শেষ যে কাজটি করতে চাই তা হল তাকে আরও বেশি ব্যবহার করতে উৎসাহিত করা, ইঙ্গিত দেওয়া যে এটি তার বাড়িতে থাকা ঠিক আছে। আমি কি সঠিক কাজ করছি? আমার কী করা উচ"&amp;"িত?")</f>
        <v>আমার বয়ফ্রেন্ড কেটামিনের আসক্তির সাথে লড়াই করছে এবং বর্তমানে তার মূত্রাশয়ের ক্ষতির কারণে তার অস্ত্রোপচারের অপেক্ষায় আছে। আমি তার বাড়িতে কেটামিন পাচ্ছি বলে সে এখনও সেবন করছে। তার মা আমাকে জিজ্ঞাসা করেন যে আমি কি তার বাড়িতে কখনও কোনও ওষুধ খুঁজে পেয়েছি যা ফেলে দিতে হবে। আমি এটি করতে অস্বস্তি বোধ করছি কারণ আমার মনে হয় যে সে এটি ফেলে দিতে চায় কিনা তা তাকে নিজেই বেছে নিতে হবে। যদি আমি এটি করি, তবে এটি তাকে পরিবর্তন করতে সাহায্য করবে না কারণ আমি তার জন্য পরিবর্তন জোর করে করছি (পদার্থটি সরিয়ে দিয়ে)। আমি তার ব্যবহার নিয়ন্ত্রণ করতে চাই না কারণ আমি জানি আমি তা করতে পারছি না। তদুপরি, আমি আমার বয়ফ্রেন্ড এবং তার মায়ের সাথে এটি নিয়ে আলোচনা করার পরিকল্পনা করছি কিন্তু ভাবছি যে এখানে কেউ আমাকে কোন অন্তর্দৃষ্টি দিতে পারে কিনা? এই বিশেষ পরিস্থিতি সম্পর্কে আমি অনলাইনে খুব কম তথ্য পাচ্ছি, এবং আমি চিন্তিত যে তার ব্যবহার এই আসন্ন অস্ত্রোপচারকে প্রভাবিত করবে এবং আমি শেষ যে কাজটি করতে চাই তা হল তাকে আরও বেশি ব্যবহার করতে উৎসাহিত করা, ইঙ্গিত দেওয়া যে এটি তার বাড়িতে থাকা ঠিক আছে। আমি কি সঠিক কাজ করছি? আমার কী করা উচিত?</v>
      </c>
    </row>
    <row r="925" spans="1:3" ht="15" x14ac:dyDescent="0.25">
      <c r="A925" s="3" t="s">
        <v>921</v>
      </c>
      <c r="B925" s="3" t="s">
        <v>4</v>
      </c>
      <c r="C925" s="4" t="str">
        <f ca="1">IFERROR(__xludf.DUMMYFUNCTION("GOOGLETRANSLATE(A925, ""auto"", ""bn"")"),"আমার একজন বাবা-মা আছেন যাদের সবসময় মদ্যপানের সমস্যা ছিল যা মাদক ব্যবহারের দিকে পরিচালিত করেছিল। এখন এমন একটা পর্যায়ে এসেছে যে তারা বলে যে তারা পরিষ্কার-পরিচ্ছন্ন কিন্তু আমি তাদের সংযম নিয়ে প্রশ্ন তুলি। আমি জানি আমার তাদের সন্দেহের সুবিধা দেওয়া উচিত..."&amp;"কিন্তু যতবারই আমি করেছি সত্যের সাথে আমাকে আরও বেশি আঘাত করা হয়েছে। এটা অনেক। আমার মনে হয় আমি বাবা-মায়ের মতো এবং তারাই সন্তান। আমি সবসময় তাদের বাঁচাই, তারা যে গর্তটি খনন করেছে তা বের করে আনি। শেষটি পরিবারের উপর খুব কঠিন ছিল, কারণ তারা অতিরিক্ত মাত্রায়"&amp;" মদ্যপান করেছিল এবং হাসপাতালে ভর্তি হয়েছিল। আমি বোকা হতে পছন্দ করি না। তবে আমি তাদের পরিষ্কার থাকার লড়াইকে স্বীকার করতে চাই। যদি তারা হয়। মাদক ব্যবহারের দিকে ইঙ্গিত করে এমন আচরণ হয়েছে। এবং তারা অবশ্যই মদ্যপান করেছে। আমি এটা বিশ্বাস করতে পারছি না। এটি "&amp;"একটি দ্বি-ধারী তরবারির মতো। এবং আমি তাদের জীবনে আর একজন বিচারক হতে চাই না।")</f>
        <v>আমার একজন বাবা-মা আছেন যাদের সবসময় মদ্যপানের সমস্যা ছিল যা মাদক ব্যবহারের দিকে পরিচালিত করেছিল। এখন এমন একটা পর্যায়ে এসেছে যে তারা বলে যে তারা পরিষ্কার-পরিচ্ছন্ন কিন্তু আমি তাদের সংযম নিয়ে প্রশ্ন তুলি। আমি জানি আমার তাদের সন্দেহের সুবিধা দেওয়া উচিত...কিন্তু যতবারই আমি করেছি সত্যের সাথে আমাকে আরও বেশি আঘাত করা হয়েছে। এটা অনেক। আমার মনে হয় আমি বাবা-মায়ের মতো এবং তারাই সন্তান। আমি সবসময় তাদের বাঁচাই, তারা যে গর্তটি খনন করেছে তা বের করে আনি। শেষটি পরিবারের উপর খুব কঠিন ছিল, কারণ তারা অতিরিক্ত মাত্রায় মদ্যপান করেছিল এবং হাসপাতালে ভর্তি হয়েছিল। আমি বোকা হতে পছন্দ করি না। তবে আমি তাদের পরিষ্কার থাকার লড়াইকে স্বীকার করতে চাই। যদি তারা হয়। মাদক ব্যবহারের দিকে ইঙ্গিত করে এমন আচরণ হয়েছে। এবং তারা অবশ্যই মদ্যপান করেছে। আমি এটা বিশ্বাস করতে পারছি না। এটি একটি দ্বি-ধারী তরবারির মতো। এবং আমি তাদের জীবনে আর একজন বিচারক হতে চাই না।</v>
      </c>
    </row>
    <row r="926" spans="1:3" ht="15" x14ac:dyDescent="0.25">
      <c r="A926" s="3" t="s">
        <v>922</v>
      </c>
      <c r="B926" s="3" t="s">
        <v>4</v>
      </c>
      <c r="C926" s="4" t="str">
        <f ca="1">IFERROR(__xludf.DUMMYFUNCTION("GOOGLETRANSLATE(A926, ""auto"", ""bn"")"),"আমি একজন কিশোর। আমি মাদক সেবন করেছি, কিন্তু পরে আমার মস্তিষ্কের কতটা ক্ষতি হবে তা না জেনেই। তাছাড়া, আমি মনোযোগ দিতে পারছি না, মনে হচ্ছে আমি পুরোপুরি বেঁচে নেই, সবসময় একধরনের প্রলাপ। তাছাড়া, আমার ১৮ মাসের পুনরুদ্ধার প্রক্রিয়া দ্রুত করার জন্য আমার একটি "&amp;"ডিটক্সের প্রয়োজন। প্রায় ছয় মাসের মধ্যে আমি একবার কোকেন, দুবার MDMA, দুবার GHB, দুবার প্রেসক্রিপশনের বড়ি, বহুবার আগাছা, পাঁচবার মাশরুম, দুবার অ্যাসিড, একাধিকবার Kr অ্যাটম, একাধিকবার অ্যালকোহল এবং সারা জীবন ধরে সিগারেট সেবন করেছি। আমি আমার পুরো জীবনে আর"&amp;" কখনও একটিও অবৈধ পদার্থ গ্রহণ করতে প্রস্তুত নই। আমার মনকে স্বাভাবিক অবস্থায় ফিরিয়ে আনতে হবে যাতে আমি আবার খুশি হতে পারি। তাছাড়া, আমার মস্তিষ্ককে ডিটক্স এবং সুস্থ করতে হবে।")</f>
        <v>আমি একজন কিশোর। আমি মাদক সেবন করেছি, কিন্তু পরে আমার মস্তিষ্কের কতটা ক্ষতি হবে তা না জেনেই। তাছাড়া, আমি মনোযোগ দিতে পারছি না, মনে হচ্ছে আমি পুরোপুরি বেঁচে নেই, সবসময় একধরনের প্রলাপ। তাছাড়া, আমার ১৮ মাসের পুনরুদ্ধার প্রক্রিয়া দ্রুত করার জন্য আমার একটি ডিটক্সের প্রয়োজন। প্রায় ছয় মাসের মধ্যে আমি একবার কোকেন, দুবার MDMA, দুবার GHB, দুবার প্রেসক্রিপশনের বড়ি, বহুবার আগাছা, পাঁচবার মাশরুম, দুবার অ্যাসিড, একাধিকবার Kr অ্যাটম, একাধিকবার অ্যালকোহল এবং সারা জীবন ধরে সিগারেট সেবন করেছি। আমি আমার পুরো জীবনে আর কখনও একটিও অবৈধ পদার্থ গ্রহণ করতে প্রস্তুত নই। আমার মনকে স্বাভাবিক অবস্থায় ফিরিয়ে আনতে হবে যাতে আমি আবার খুশি হতে পারি। তাছাড়া, আমার মস্তিষ্ককে ডিটক্স এবং সুস্থ করতে হবে।</v>
      </c>
    </row>
    <row r="927" spans="1:3" ht="15" x14ac:dyDescent="0.25">
      <c r="A927" s="3" t="s">
        <v>923</v>
      </c>
      <c r="B927" s="3" t="s">
        <v>4</v>
      </c>
      <c r="C927" s="4" t="str">
        <f ca="1">IFERROR(__xludf.DUMMYFUNCTION("GOOGLETRANSLATE(A927, ""auto"", ""bn"")"),"আমার দাদী দ্বিগুণ অঙ্গহীন এবং হুইলচেয়ার ব্যবহার করেন। হাসপাতাল থেকে ছাড়া পাওয়ার পর থেকেই তিনি গত এক মাস ধরে ব্যথানাশক ওষুধের খারাপ অভ্যাসের সাথে লড়াই করছেন। আমি এবং আমার দাদু সিদ্ধান্ত নিয়েছি যে আমরা তার ওষুধের দোকান থেকে সরিয়ে নেব এবং এটি নিয়ন্ত্র"&amp;"ণ করব, যখন তাকে একটি বড়ি খাওয়ার প্রয়োজন হবে তখন তাকে স্বাক্ষর করে দেব। আমরা দুজনেই তার স্বাস্থ্য নিয়ে চিন্তিত, এবং আমি জানতে চাই যে আমরা যা করছি তা ভুল কিনা, এবং আমি আমার দাদুর সাথে কিছু সহায়ক টিপস শেয়ার করতে চাই যাতে আমরা তাকে তার আসক্তি থেকে মুক্ত"&amp;"ি দিতে পারি। যদি আপনার কোন প্রশ্ন থাকে, তাহলে দয়া করে জিজ্ঞাসা করুন।")</f>
        <v>আমার দাদী দ্বিগুণ অঙ্গহীন এবং হুইলচেয়ার ব্যবহার করেন। হাসপাতাল থেকে ছাড়া পাওয়ার পর থেকেই তিনি গত এক মাস ধরে ব্যথানাশক ওষুধের খারাপ অভ্যাসের সাথে লড়াই করছেন। আমি এবং আমার দাদু সিদ্ধান্ত নিয়েছি যে আমরা তার ওষুধের দোকান থেকে সরিয়ে নেব এবং এটি নিয়ন্ত্রণ করব, যখন তাকে একটি বড়ি খাওয়ার প্রয়োজন হবে তখন তাকে স্বাক্ষর করে দেব। আমরা দুজনেই তার স্বাস্থ্য নিয়ে চিন্তিত, এবং আমি জানতে চাই যে আমরা যা করছি তা ভুল কিনা, এবং আমি আমার দাদুর সাথে কিছু সহায়ক টিপস শেয়ার করতে চাই যাতে আমরা তাকে তার আসক্তি থেকে মুক্তি দিতে পারি। যদি আপনার কোন প্রশ্ন থাকে, তাহলে দয়া করে জিজ্ঞাসা করুন।</v>
      </c>
    </row>
    <row r="928" spans="1:3" ht="15" x14ac:dyDescent="0.25">
      <c r="A928" s="3" t="s">
        <v>924</v>
      </c>
      <c r="B928" s="3" t="s">
        <v>4</v>
      </c>
      <c r="C928" s="4" t="str">
        <f ca="1">IFERROR(__xludf.DUMMYFUNCTION("GOOGLETRANSLATE(A928, ""auto"", ""bn"")"),"আমি নিজে নিজে নিজেকে বিষমুক্ত করার চেষ্টা করছি। এই মুহূর্তে আমি নিজেকে ডিটক্সিফাই করছি, তাই এই মুহূর্তে প্রত্যাহার করাটা খুব একটা খারাপ। তাছাড়া, যখন আমি আবার আসক্ত হয়ে পড়ি তখন আমি ক্রস-আসক্ত হয়ে পড়ি... তাই অ্যালকোহল আমার সমস্যা হওয়ার পরিবর্তে আমার প"&amp;"্রাক্তন প্রেমিক 2 মাস আগে যখন আমাদের দেখা হয়েছিল তখন আমাকে মেথের সাথে পরিচয় করিয়ে দেয়... তাছাড়া, আমি কেবল মানিয়ে নেওয়ার জন্য এটি করছিলাম, আমি উচ্চাকাঙ্ক্ষার পরোয়া করিনি... যতক্ষণ না আমার শরীর এটি চাইছিল... এমনকি আমার মনও চাইছিল যে এটি ঘটছে এমন অপব"&amp;"্যবহারকে স্তব্ধ করে দেয়। এখন সে যা করেছে তার জন্য সে জেলে গেছে এবং আমি এই সমস্ত জগাখিচুড়ি, আঘাত এবং আসক্তির সাথে রয়েছি... আমি দুঃখিত যদি এটি এর জন্য উপযুক্ত না হয় তবে আমার কেবল কিছু পরামর্শ, ইতিবাচক কথা বা অন্য কিছুর প্রয়োজন। আমি নিজেকে এত মিস করি যে"&amp;" এটি আমার হৃদয়কে কষ্ট দেয়। আমাকে আগে কখনও মেথ থেকে নামতে হয়নি, আমি আমার বিছানা থেকে খুব কমই উঠেছি, আমার ঘর নোংরা, আমি নোংরা। তাছাড়া, আমি পৃথিবীকে ঘৃণা করি। আমি আমার ছিলাম তা হারিয়ে ফেলেছি।")</f>
        <v>আমি নিজে নিজে নিজেকে বিষমুক্ত করার চেষ্টা করছি। এই মুহূর্তে আমি নিজেকে ডিটক্সিফাই করছি, তাই এই মুহূর্তে প্রত্যাহার করাটা খুব একটা খারাপ। তাছাড়া, যখন আমি আবার আসক্ত হয়ে পড়ি তখন আমি ক্রস-আসক্ত হয়ে পড়ি... তাই অ্যালকোহল আমার সমস্যা হওয়ার পরিবর্তে আমার প্রাক্তন প্রেমিক 2 মাস আগে যখন আমাদের দেখা হয়েছিল তখন আমাকে মেথের সাথে পরিচয় করিয়ে দেয়... তাছাড়া, আমি কেবল মানিয়ে নেওয়ার জন্য এটি করছিলাম, আমি উচ্চাকাঙ্ক্ষার পরোয়া করিনি... যতক্ষণ না আমার শরীর এটি চাইছিল... এমনকি আমার মনও চাইছিল যে এটি ঘটছে এমন অপব্যবহারকে স্তব্ধ করে দেয়। এখন সে যা করেছে তার জন্য সে জেলে গেছে এবং আমি এই সমস্ত জগাখিচুড়ি, আঘাত এবং আসক্তির সাথে রয়েছি... আমি দুঃখিত যদি এটি এর জন্য উপযুক্ত না হয় তবে আমার কেবল কিছু পরামর্শ, ইতিবাচক কথা বা অন্য কিছুর প্রয়োজন। আমি নিজেকে এত মিস করি যে এটি আমার হৃদয়কে কষ্ট দেয়। আমাকে আগে কখনও মেথ থেকে নামতে হয়নি, আমি আমার বিছানা থেকে খুব কমই উঠেছি, আমার ঘর নোংরা, আমি নোংরা। তাছাড়া, আমি পৃথিবীকে ঘৃণা করি। আমি আমার ছিলাম তা হারিয়ে ফেলেছি।</v>
      </c>
    </row>
    <row r="929" spans="1:3" ht="15" x14ac:dyDescent="0.25">
      <c r="A929" s="3" t="s">
        <v>925</v>
      </c>
      <c r="B929" s="3" t="s">
        <v>4</v>
      </c>
      <c r="C929" s="4" t="str">
        <f ca="1">IFERROR(__xludf.DUMMYFUNCTION("GOOGLETRANSLATE(A929, ""auto"", ""bn"")"),"আমি জানতে চাইছি এখানে কেউ কি PTSD-তে বিশেষজ্ঞ এমন কোনও আসক্তির চিকিৎসার কথা জানেন, এমনকি PTSD সেন্টারের ইনপেশেন্টও... ডিসেম্বরে পারিবারিক সহিংসতা আমার জীবন এবং এ সম্পর্কে আমার দৃষ্টিভঙ্গি ধ্বংস করে দিয়েছে, আমি আগামীকাল আমার ভুক্তভোগীর বিবৃতি জমা দিচ্ছি এ"&amp;"বং তাকে একটি মারাত্মক অস্ত্র দিয়ে আক্রমণ করা হবে। জেলের জন্য তৃতীয়বারের মতো আবেদন, তাই সে অনেক দিন ধরে চলে যাবে... কিন্তু সে আমাকে মেথের নেশায় ফেলেছিল এবং আমাকে বশীভূত করার জন্য এটি ব্যবহার করেছিল, কিন্তু এখন আমার একটি সমস্যা আছে... কারণ আমি ঘৃণা করি য"&amp;"ে আমি এই ব্যক্তিকে আমার জীবনে প্রবেশ করতে দিয়েছি...")</f>
        <v>আমি জানতে চাইছি এখানে কেউ কি PTSD-তে বিশেষজ্ঞ এমন কোনও আসক্তির চিকিৎসার কথা জানেন, এমনকি PTSD সেন্টারের ইনপেশেন্টও... ডিসেম্বরে পারিবারিক সহিংসতা আমার জীবন এবং এ সম্পর্কে আমার দৃষ্টিভঙ্গি ধ্বংস করে দিয়েছে, আমি আগামীকাল আমার ভুক্তভোগীর বিবৃতি জমা দিচ্ছি এবং তাকে একটি মারাত্মক অস্ত্র দিয়ে আক্রমণ করা হবে। জেলের জন্য তৃতীয়বারের মতো আবেদন, তাই সে অনেক দিন ধরে চলে যাবে... কিন্তু সে আমাকে মেথের নেশায় ফেলেছিল এবং আমাকে বশীভূত করার জন্য এটি ব্যবহার করেছিল, কিন্তু এখন আমার একটি সমস্যা আছে... কারণ আমি ঘৃণা করি যে আমি এই ব্যক্তিকে আমার জীবনে প্রবেশ করতে দিয়েছি...</v>
      </c>
    </row>
    <row r="930" spans="1:3" ht="15" x14ac:dyDescent="0.25">
      <c r="A930" s="3" t="s">
        <v>926</v>
      </c>
      <c r="B930" s="3" t="s">
        <v>4</v>
      </c>
      <c r="C930" s="4" t="str">
        <f ca="1">IFERROR(__xludf.DUMMYFUNCTION("GOOGLETRANSLATE(A930, ""auto"", ""bn"")"),"আমার প্রেমিক (৩২) কোকেনের প্রতি আসক্ত। গত জানুয়ারিতে সে কোকেন নেশা করা বন্ধ করে দিয়েছিল এবং সেপ্টেম্বর পর্যন্ত সে সুস্থ ছিল। পরিস্থিতি এতটাই খারাপ হয়ে গিয়েছিল যে সে কাজ থেকে তাড়াতাড়ি বাড়ি ফিরছিল কারণ সে ওখানকার এক ছেলের কাছ থেকে কোকেন নিচ্ছিল। অক্টোবরে "&amp;"আমার ছেলের জন্ম হয়েছিল এবং যেদিন আমরা বাড়ি ফিরেছিলাম, সেদিনই সে গিয়ে কোকেন নিয়েছিল, আমাদের ছেলের জন্মের পর প্রথম ৪ সপ্তাহ ধরে সে একটা দিনও কোকেন ছাড়া থাকতে পারত না। তার একটা বড় টাকার জন্য ঋণ আছে, আর আমি এটা জানতে পেরে আমাদের মধ্যে প্রচণ্ড ঝগড়া হয়েছিল, আর "&amp;"আমাদের মধ্যে হৃদয়স্পর্শী কথা হয়েছিল, আর সে আবারও কাজ বন্ধ করতে চায় বলে দুঃখিত, আর সে দুঃখিত যে এটা ঠিক করে ফেলবে। সে তার চাকরি ছেড়ে দিয়েছে আরেকটি কোকেন নিয়েছে এবং নভেম্বরের শুরু থেকে এখনও পর্যন্ত তা পরিশোধ করেনি। আমি প্রায় এক ঘন্টা আগে ঘুম থেকে উঠে তাকে ক"&amp;"োকেন নেওয়ার খবর পেয়েছি, আমি খুবই বিরক্ত এবং হতাশ এবং বিশ্বাসঘাতকতা বোধ করছি। তার এখনও ৬০০ টাকা পাওনা আছে এবং সে আরও যোগ করেছে, সে বলেছে মাত্র ৩০ টাকা কিন্তু এভাবেই শুরু হয়। আমি আর কি করব জানি না। আমি এতে ক্লান্ত এবং আমি তাকে বিশ্বাস করি না, কিন্তু তাকে সা"&amp;"হায্য করার চেষ্টা না করার জন্য আমি অপরাধী বোধ করছি।")</f>
        <v>আমার প্রেমিক (৩২) কোকেনের প্রতি আসক্ত। গত জানুয়ারিতে সে কোকেন নেশা করা বন্ধ করে দিয়েছিল এবং সেপ্টেম্বর পর্যন্ত সে সুস্থ ছিল। পরিস্থিতি এতটাই খারাপ হয়ে গিয়েছিল যে সে কাজ থেকে তাড়াতাড়ি বাড়ি ফিরছিল কারণ সে ওখানকার এক ছেলের কাছ থেকে কোকেন নিচ্ছিল। অক্টোবরে আমার ছেলের জন্ম হয়েছিল এবং যেদিন আমরা বাড়ি ফিরেছিলাম, সেদিনই সে গিয়ে কোকেন নিয়েছিল, আমাদের ছেলের জন্মের পর প্রথম ৪ সপ্তাহ ধরে সে একটা দিনও কোকেন ছাড়া থাকতে পারত না। তার একটা বড় টাকার জন্য ঋণ আছে, আর আমি এটা জানতে পেরে আমাদের মধ্যে প্রচণ্ড ঝগড়া হয়েছিল, আর আমাদের মধ্যে হৃদয়স্পর্শী কথা হয়েছিল, আর সে আবারও কাজ বন্ধ করতে চায় বলে দুঃখিত, আর সে দুঃখিত যে এটা ঠিক করে ফেলবে। সে তার চাকরি ছেড়ে দিয়েছে আরেকটি কোকেন নিয়েছে এবং নভেম্বরের শুরু থেকে এখনও পর্যন্ত তা পরিশোধ করেনি। আমি প্রায় এক ঘন্টা আগে ঘুম থেকে উঠে তাকে কোকেন নেওয়ার খবর পেয়েছি, আমি খুবই বিরক্ত এবং হতাশ এবং বিশ্বাসঘাতকতা বোধ করছি। তার এখনও ৬০০ টাকা পাওনা আছে এবং সে আরও যোগ করেছে, সে বলেছে মাত্র ৩০ টাকা কিন্তু এভাবেই শুরু হয়। আমি আর কি করব জানি না। আমি এতে ক্লান্ত এবং আমি তাকে বিশ্বাস করি না, কিন্তু তাকে সাহায্য করার চেষ্টা না করার জন্য আমি অপরাধী বোধ করছি।</v>
      </c>
    </row>
    <row r="931" spans="1:3" ht="15" x14ac:dyDescent="0.25">
      <c r="A931" s="3" t="s">
        <v>927</v>
      </c>
      <c r="B931" s="3" t="s">
        <v>4</v>
      </c>
      <c r="C931" s="4" t="str">
        <f ca="1">IFERROR(__xludf.DUMMYFUNCTION("GOOGLETRANSLATE(A931, ""auto"", ""bn"")"),"আমার বাস্তব জীবনের তথ্য দরকার, ""তোমার কিশোরী মেথ নিচ্ছে কিনা তার লক্ষণ?"" গুগল সার্চ রেজাল্ট, হা হা। আমার প্রশ্ন হল, একজন আসক্ত ব্যক্তি কি বিভিন্ন সময় বিভিন্ন মাদক ব্যবহার করবে, নাকি তারা সব সময় একই মাদক ব্যবহার করবে? যেমন AM এবং H-তে মেথ, অথবা ঘুমাতে "&amp;"যাওয়ার জন্য অথবা পরিবারের আশেপাশে ওপিওয়েড? এটা কি তাদের হাতে যা পাওয়া যায় তার উপর নির্ভর করে? আমার ছোট বোন এবং তার স্বামীকে পুলিশ রাস্তার পাশে একটি গ্যাস স্টেশনের কাছে বা অন্য কিছুতে অজ্ঞান অবস্থায় খুঁজে পেয়েছিল। পুলিশ বলেছিল যে তাদের একটি ম্যাগিতে "&amp;"মেথ ছিল, তাদের বাহুতে দাগ ছিল এবং ক্যান ভেঙে গিয়েছিল। স্বামীর বাবা-মা হেরোইন ব্যবহার করেন, এবং আমার বোন উভয়েরই সাথে ইতিহাস ছিল এবং সামগ্রিকভাবে সে একজন আসক্ত। কিন্তু অজ্ঞান হয়ে যাওয়া এবং পরিবারের চারপাশে ""টুইক"" হওয়ার খুব বেশি লক্ষণ না দেখা অদ্ভুত। "&amp;"সে সবসময় Xanax এবং ওপিওয়েডে আসক্ত। মেথ কয়েক বছর আগে ছবিতে এসেছিল, এবং আমার ধারণা নায়িকাও। তার এখন একটি বাচ্চা আছে, প্রায় ২ বছর বয়সী, আর আমার পরিবার এখন হতবাক এবং কীভাবে এটা সামলাবো এবং কতটা এগিয়ে গেছে তা বুঝতে পারছি না।")</f>
        <v>আমার বাস্তব জীবনের তথ্য দরকার, "তোমার কিশোরী মেথ নিচ্ছে কিনা তার লক্ষণ?" গুগল সার্চ রেজাল্ট, হা হা। আমার প্রশ্ন হল, একজন আসক্ত ব্যক্তি কি বিভিন্ন সময় বিভিন্ন মাদক ব্যবহার করবে, নাকি তারা সব সময় একই মাদক ব্যবহার করবে? যেমন AM এবং H-তে মেথ, অথবা ঘুমাতে যাওয়ার জন্য অথবা পরিবারের আশেপাশে ওপিওয়েড? এটা কি তাদের হাতে যা পাওয়া যায় তার উপর নির্ভর করে? আমার ছোট বোন এবং তার স্বামীকে পুলিশ রাস্তার পাশে একটি গ্যাস স্টেশনের কাছে বা অন্য কিছুতে অজ্ঞান অবস্থায় খুঁজে পেয়েছিল। পুলিশ বলেছিল যে তাদের একটি ম্যাগিতে মেথ ছিল, তাদের বাহুতে দাগ ছিল এবং ক্যান ভেঙে গিয়েছিল। স্বামীর বাবা-মা হেরোইন ব্যবহার করেন, এবং আমার বোন উভয়েরই সাথে ইতিহাস ছিল এবং সামগ্রিকভাবে সে একজন আসক্ত। কিন্তু অজ্ঞান হয়ে যাওয়া এবং পরিবারের চারপাশে "টুইক" হওয়ার খুব বেশি লক্ষণ না দেখা অদ্ভুত। সে সবসময় Xanax এবং ওপিওয়েডে আসক্ত। মেথ কয়েক বছর আগে ছবিতে এসেছিল, এবং আমার ধারণা নায়িকাও। তার এখন একটি বাচ্চা আছে, প্রায় ২ বছর বয়সী, আর আমার পরিবার এখন হতবাক এবং কীভাবে এটা সামলাবো এবং কতটা এগিয়ে গেছে তা বুঝতে পারছি না।</v>
      </c>
    </row>
    <row r="932" spans="1:3" ht="15" x14ac:dyDescent="0.25">
      <c r="A932" s="3" t="s">
        <v>928</v>
      </c>
      <c r="B932" s="3" t="s">
        <v>4</v>
      </c>
      <c r="C932" s="4" t="str">
        <f ca="1">IFERROR(__xludf.DUMMYFUNCTION("GOOGLETRANSLATE(A932, ""auto"", ""bn"")"),"তাহলে এটা ভুল জায়গা, খারাপ প্রশ্ন, এমনকি ভয়াবহভাবে বোকামিও হতে পারে। আমি ৪০ মিটার লম্বা - ঘন ঘন সামাজিকভাবে মদ্যপান করি (সপ্তাহে ১-২ বার) এবং মাঝে মাঝে সামাজিকভাবে মাদক সেবন করি (খাবার, মাশরুম কদাচিৎ, এবং মাঝে মাঝে বাম্প/পার্টি নাইট ওরফে কোক)। আমি কল্পনা "&amp;"করি আমি একা নই, কিন্তু কোভিড পরিস্থিতি বেশ নাটকীয়ভাবে বদলে দিয়েছে। তাছাড়া, আমার রোগ প্রতিরোধ ক্ষমতা কমে গেছে, তাই আমি ফেব্রুয়ারী/মার্চ থেকে (প্রায় এক বছর ধরে) স্ব-বিচ্ছিন্নতায় ভুগছি। তাছাড়া, আমি প্রায় ৪ বছর ধরে উদ্বেগ এবং বিষণ্ণতায় ভুগছি - যা আমি ও"&amp;"ষুধ খাচ্ছি (কিন্তু নিয়মিতভাবে নিতে হিমশিম খাচ্ছি, কেন জানি না...) এখন আমি বুঝতে পারছি রোগ নির্ণয়ের আগে আমি কেবল মানুষের আশেপাশে থাকার জন্য এবং ""আমার দুঃখ ডুবিয়ে দেওয়ার জন্য"" স্ব-ওষুধ খাচ্ছিলাম। তাছাড়া, আমার বুদবুদে ৪ জন লোক আছে যাদের আমি মাসে একবার"&amp;" দেখি। এর কোনটিই অজুহাত বা সহানুভূতি খোঁজার জন্য নয় - আমি কেবল একটু পটভূমি দেওয়ার চেষ্টা করছি। সম্প্রতি আমার মাদক এবং অ্যালকোহলের ব্যবহার উল্লেখযোগ্যভাবে বৃদ্ধি পেয়েছে। আমি সপ্তাহে মাঝে মাঝে ৩ বার খাবার খাই। আমি মাতাল হওয়ার জন্য পান করি (আমার আর কোনও "&amp;"সামাজিক জীবন নেই) সাধারণত সপ্তাহে ৩ বার। আর এখন আমি প্রতিবার পান করার সময় - আগের চেয়ে অনেক বেশি - কোক ব্যবহার করি। একই রাতে ৩ বার। একা। আর প্রতিটি পানীয়ের পরিমাণ বৃদ্ধি পাচ্ছে কারণ আমি আমার মাথার সেই কণ্ঠস্বর, হতাশা, উদ্বেগ, একাকীত্ব এড়াতে চেষ্টা করছি"&amp;"। এই রাতের মাঝখানে সাধারণত অন্তত একদিন থাকে। হ্যাংওভারের দিনগুলিতে আমি ডুবে যাই। এমন পর্যায়ে যে আমি আত্মহত্যা করতে চাই (ইদানীং আরও খারাপ হচ্ছে)। আমি নিজেকে ঘৃণা করি এবং পৃথিবী থেকে লুকিয়ে থাকি। আমি আমার নিয়মিত সময় কাজ করি না। (ভাগ্যবান যে আমি বাড়ি থে"&amp;"কে কাজ করতে পারি - এবং সর্বদা আমার কাজ করি তবে প্রায়শই ঘন্টার পর ঘন্টা)। আমি নিজেকে বলি যে আমার পরিবর্তন করা দরকার। এবং আমি পরিবর্তন করতে যাচ্ছি। কিন্তু তারপর একদিন পরে - আমি কাজ শুরু করি এবং ভালো বোধ করি এবং তারপর পান করার সিদ্ধান্ত নিই, এবং তারপর আমি ন"&amp;"েশাগ্রস্ত হয়ে পড়ি এবং চক্রটি পুনরাবৃত্তি হয়। কীভাবে কমাতে হবে সে সম্পর্কে কারও কি কোন পরামর্শ আছে? আমি আবারও একজন সাধারণ মদ্যপানকারী/ব্যবহারকারী হতে চাই। আমি জানি বেশিরভাগ মানুষ বলবে যে ব্যবহারের কোনও ""নিরাপদ"" পরিমাণ নেই। কিন্তু আমি কেবল চাই যে সবকিছ"&amp;"ু আগের মতো হয়ে যাক। (আমি বুঝতে পারছি কোভিড শেষ হতে অনেক দূরে)। আমি যদি মদ্যপান না করি তবে আমি মাদক সেবন করতে চাই না। একবারও চেষ্টা করিনি। কিন্তু আমি এই ভেবে বিভ্রান্ত যে আমি আবার স্বাভাবিক অবস্থায় ফিরে যেতে পারব? আমার কি মদ্যপান এবং ব্যবহার বন্ধ করা উচি"&amp;"ত? এটা কি খারাপ যে আমি চাই না? সাধারণত, বছরে একবার বা দু'বার আমি কোনও সমস্যা ছাড়াই এক বা দুই মাস ছুটি নিই - স্বাস্থ্যের দিকে মনোনিবেশ করার জন্য (OL 'সৈকত' ফিরে পেতে) অথবা যদি আমার কোনও বড় কাজের প্রকল্প থাকে। কোনও বড় লোভ নেই - তবে আমি পানীয়ের সাথে জড়ি"&amp;"ত সামাজিক পরিস্থিতি থেকেও নিজেকে বিচ্ছিন্ন করি। আমি এতে FOMO পাই কিন্তু মদ্যপান বা মাদকের জন্য কোনও প্রকৃত লোভ নেই। আমি লোকেদের জানতে ভয় পাই। তদুপরি, আমি ভয় পাই যে তারা যদি তা করে তবে আমি কী করব। তদুপরি, আমি পুনর্বাসনের চেষ্টা করব যদি আমি কাউকে না জানিয"&amp;"়ে এটি করতে পারি। কিন্তু শেষ পর্যন্ত আমার মনে একটা কথা আছে যে আমি পুরোপুরি থামাতে চাই না। আমার বেশিরভাগ সেরা স্মৃতিই মদ্যপান এবং বন্ধুবান্ধব এবং পরিবারের সাথে ব্যবহারের ফলে (অধিকাংশই ব্যবহার করে না - বেশিরভাগই জানে না যে আমিও জানি, আমি বেশ বিচ্ছিন্ন)। আমা"&amp;"র বাবার সাথে আমার সম্পর্ক মূলত ওয়াইনের প্রতি আমাদের ভালোবাসার উপর ভিত্তি করে। (ওয়াইনারি, স্বাদ গ্রহণ, আবিষ্কার ভাগ করে নেওয়া) কেউ কি কমাতে পেরেছে? যদি তাই হয়, কোন টিপস? নাকি আমি বোকা এবং চিরকালের জন্য এই সমস্ত বাজে কথা বাদ দিতে হবে? আমি কোনও মতামত বা "&amp;"অন্তর্দৃষ্টি দ্বারা বিরক্ত হব না। এটি একটি নতুন তৈরি অ্যাকাউন্ট কারণ - যেমনটি আমি বলেছি - আমি লোকেদের জানতে ভয় পাই। এবং এখনও কোনওভাবে এটিকে এলোমেলো ইন্টারনেট লোকেদের কাছ থেকে লুকিয়ে রাখতে চাই যারা আমাকে চেনে না - আমি জানি এটি দুঃখজনক। আপনি যদি এতদূর পৌঁ"&amp;"ছেছেন তবে পড়ার জন্য ধন্যবাদ। এমনকি যদি আপনার কিছু বলার না থাকে। কেবল এটি টাইপ করা আমার কিছুটা ভালো লাগছে এবং ভাবছি যে কেউ এটি পড়ে থাকতে পারে।")</f>
        <v>তাহলে এটা ভুল জায়গা, খারাপ প্রশ্ন, এমনকি ভয়াবহভাবে বোকামিও হতে পারে। আমি ৪০ মিটার লম্বা - ঘন ঘন সামাজিকভাবে মদ্যপান করি (সপ্তাহে ১-২ বার) এবং মাঝে মাঝে সামাজিকভাবে মাদক সেবন করি (খাবার, মাশরুম কদাচিৎ, এবং মাঝে মাঝে বাম্প/পার্টি নাইট ওরফে কোক)। আমি কল্পনা করি আমি একা নই, কিন্তু কোভিড পরিস্থিতি বেশ নাটকীয়ভাবে বদলে দিয়েছে। তাছাড়া, আমার রোগ প্রতিরোধ ক্ষমতা কমে গেছে, তাই আমি ফেব্রুয়ারী/মার্চ থেকে (প্রায় এক বছর ধরে) স্ব-বিচ্ছিন্নতায় ভুগছি। তাছাড়া, আমি প্রায় ৪ বছর ধরে উদ্বেগ এবং বিষণ্ণতায় ভুগছি - যা আমি ওষুধ খাচ্ছি (কিন্তু নিয়মিতভাবে নিতে হিমশিম খাচ্ছি, কেন জানি না...) এখন আমি বুঝতে পারছি রোগ নির্ণয়ের আগে আমি কেবল মানুষের আশেপাশে থাকার জন্য এবং "আমার দুঃখ ডুবিয়ে দেওয়ার জন্য" স্ব-ওষুধ খাচ্ছিলাম। তাছাড়া, আমার বুদবুদে ৪ জন লোক আছে যাদের আমি মাসে একবার দেখি। এর কোনটিই অজুহাত বা সহানুভূতি খোঁজার জন্য নয় - আমি কেবল একটু পটভূমি দেওয়ার চেষ্টা করছি। সম্প্রতি আমার মাদক এবং অ্যালকোহলের ব্যবহার উল্লেখযোগ্যভাবে বৃদ্ধি পেয়েছে। আমি সপ্তাহে মাঝে মাঝে ৩ বার খাবার খাই। আমি মাতাল হওয়ার জন্য পান করি (আমার আর কোনও সামাজিক জীবন নেই) সাধারণত সপ্তাহে ৩ বার। আর এখন আমি প্রতিবার পান করার সময় - আগের চেয়ে অনেক বেশি - কোক ব্যবহার করি। একই রাতে ৩ বার। একা। আর প্রতিটি পানীয়ের পরিমাণ বৃদ্ধি পাচ্ছে কারণ আমি আমার মাথার সেই কণ্ঠস্বর, হতাশা, উদ্বেগ, একাকীত্ব এড়াতে চেষ্টা করছি। এই রাতের মাঝখানে সাধারণত অন্তত একদিন থাকে। হ্যাংওভারের দিনগুলিতে আমি ডুবে যাই। এমন পর্যায়ে যে আমি আত্মহত্যা করতে চাই (ইদানীং আরও খারাপ হচ্ছে)। আমি নিজেকে ঘৃণা করি এবং পৃথিবী থেকে লুকিয়ে থাকি। আমি আমার নিয়মিত সময় কাজ করি না। (ভাগ্যবান যে আমি বাড়ি থেকে কাজ করতে পারি - এবং সর্বদা আমার কাজ করি তবে প্রায়শই ঘন্টার পর ঘন্টা)। আমি নিজেকে বলি যে আমার পরিবর্তন করা দরকার। এবং আমি পরিবর্তন করতে যাচ্ছি। কিন্তু তারপর একদিন পরে - আমি কাজ শুরু করি এবং ভালো বোধ করি এবং তারপর পান করার সিদ্ধান্ত নিই, এবং তারপর আমি নেশাগ্রস্ত হয়ে পড়ি এবং চক্রটি পুনরাবৃত্তি হয়। কীভাবে কমাতে হবে সে সম্পর্কে কারও কি কোন পরামর্শ আছে? আমি আবারও একজন সাধারণ মদ্যপানকারী/ব্যবহারকারী হতে চাই। আমি জানি বেশিরভাগ মানুষ বলবে যে ব্যবহারের কোনও "নিরাপদ" পরিমাণ নেই। কিন্তু আমি কেবল চাই যে সবকিছু আগের মতো হয়ে যাক। (আমি বুঝতে পারছি কোভিড শেষ হতে অনেক দূরে)। আমি যদি মদ্যপান না করি তবে আমি মাদক সেবন করতে চাই না। একবারও চেষ্টা করিনি। কিন্তু আমি এই ভেবে বিভ্রান্ত যে আমি আবার স্বাভাবিক অবস্থায় ফিরে যেতে পারব? আমার কি মদ্যপান এবং ব্যবহার বন্ধ করা উচিত? এটা কি খারাপ যে আমি চাই না? সাধারণত, বছরে একবার বা দু'বার আমি কোনও সমস্যা ছাড়াই এক বা দুই মাস ছুটি নিই - স্বাস্থ্যের দিকে মনোনিবেশ করার জন্য (OL 'সৈকত' ফিরে পেতে) অথবা যদি আমার কোনও বড় কাজের প্রকল্প থাকে। কোনও বড় লোভ নেই - তবে আমি পানীয়ের সাথে জড়িত সামাজিক পরিস্থিতি থেকেও নিজেকে বিচ্ছিন্ন করি। আমি এতে FOMO পাই কিন্তু মদ্যপান বা মাদকের জন্য কোনও প্রকৃত লোভ নেই। আমি লোকেদের জানতে ভয় পাই। তদুপরি, আমি ভয় পাই যে তারা যদি তা করে তবে আমি কী করব। তদুপরি, আমি পুনর্বাসনের চেষ্টা করব যদি আমি কাউকে না জানিয়ে এটি করতে পারি। কিন্তু শেষ পর্যন্ত আমার মনে একটা কথা আছে যে আমি পুরোপুরি থামাতে চাই না। আমার বেশিরভাগ সেরা স্মৃতিই মদ্যপান এবং বন্ধুবান্ধব এবং পরিবারের সাথে ব্যবহারের ফলে (অধিকাংশই ব্যবহার করে না - বেশিরভাগই জানে না যে আমিও জানি, আমি বেশ বিচ্ছিন্ন)। আমার বাবার সাথে আমার সম্পর্ক মূলত ওয়াইনের প্রতি আমাদের ভালোবাসার উপর ভিত্তি করে। (ওয়াইনারি, স্বাদ গ্রহণ, আবিষ্কার ভাগ করে নেওয়া) কেউ কি কমাতে পেরেছে? যদি তাই হয়, কোন টিপস? নাকি আমি বোকা এবং চিরকালের জন্য এই সমস্ত বাজে কথা বাদ দিতে হবে? আমি কোনও মতামত বা অন্তর্দৃষ্টি দ্বারা বিরক্ত হব না। এটি একটি নতুন তৈরি অ্যাকাউন্ট কারণ - যেমনটি আমি বলেছি - আমি লোকেদের জানতে ভয় পাই। এবং এখনও কোনওভাবে এটিকে এলোমেলো ইন্টারনেট লোকেদের কাছ থেকে লুকিয়ে রাখতে চাই যারা আমাকে চেনে না - আমি জানি এটি দুঃখজনক। আপনি যদি এতদূর পৌঁছেছেন তবে পড়ার জন্য ধন্যবাদ। এমনকি যদি আপনার কিছু বলার না থাকে। কেবল এটি টাইপ করা আমার কিছুটা ভালো লাগছে এবং ভাবছি যে কেউ এটি পড়ে থাকতে পারে।</v>
      </c>
    </row>
    <row r="933" spans="1:3" ht="15" x14ac:dyDescent="0.25">
      <c r="A933" s="3" t="s">
        <v>929</v>
      </c>
      <c r="B933" s="3" t="s">
        <v>4</v>
      </c>
      <c r="C933" s="4" t="str">
        <f ca="1">IFERROR(__xludf.DUMMYFUNCTION("GOOGLETRANSLATE(A933, ""auto"", ""bn"")"),"আমি প্রতিদিন একটি করে জয়েন্ট ধূমপান করি, সাধারণত সন্ধ্যায় যখন আমার মলত্যাগ শেষ হয়ে যায়। আমি আমার জয়েন্টগুলোতে তামাক সেবন করি এবং আমার মনে হয় আমি এখন নিকোটিনে আসক্ত। যখন আমি গাঁজা ধূমপান ছেড়ে দেওয়ার চেষ্টা করি তখন আমি এটি লক্ষ্য করি। আমার নেশা করার"&amp;" তাগিদ ছিল না বরং আমি সিগারেট খেতে চেয়েছিলাম। এবং আমি সত্যিই ধূমপান করতে চাই না।")</f>
        <v>আমি প্রতিদিন একটি করে জয়েন্ট ধূমপান করি, সাধারণত সন্ধ্যায় যখন আমার মলত্যাগ শেষ হয়ে যায়। আমি আমার জয়েন্টগুলোতে তামাক সেবন করি এবং আমার মনে হয় আমি এখন নিকোটিনে আসক্ত। যখন আমি গাঁজা ধূমপান ছেড়ে দেওয়ার চেষ্টা করি তখন আমি এটি লক্ষ্য করি। আমার নেশা করার তাগিদ ছিল না বরং আমি সিগারেট খেতে চেয়েছিলাম। এবং আমি সত্যিই ধূমপান করতে চাই না।</v>
      </c>
    </row>
    <row r="934" spans="1:3" ht="15" x14ac:dyDescent="0.25">
      <c r="A934" s="3" t="s">
        <v>930</v>
      </c>
      <c r="B934" s="3" t="s">
        <v>4</v>
      </c>
      <c r="C934" s="4" t="str">
        <f ca="1">IFERROR(__xludf.DUMMYFUNCTION("GOOGLETRANSLATE(A934, ""auto"", ""bn"")"),"মাদকাসক্তরা যখন এত চেষ্টা করেও মাদকাসক্ত হয়ে ওঠে, তখন তারা কীভাবে তাদের সেরাটা দিচ্ছে? তাদের পরিবার এবং বন্ধুরা আবার ফিরে আসছে, পরিস্থিতি আসলে আগের মতোই চলছে... তারা আবার অতীতের চেয়েও খারাপ অবস্থায় ফিরে যায় এবং নিজেদেরকে আবার সেই অবস্থায় ফিরিয়ে দেয়"&amp;" যেখানে আবার সবকিছু নতুন করে শুরু করতে হয়। আমি জানি না কেন আমি এটা করি, বড়ি খেয়ে আমি সুস্থ ছিলাম। ৮ মাস")</f>
        <v>মাদকাসক্তরা যখন এত চেষ্টা করেও মাদকাসক্ত হয়ে ওঠে, তখন তারা কীভাবে তাদের সেরাটা দিচ্ছে? তাদের পরিবার এবং বন্ধুরা আবার ফিরে আসছে, পরিস্থিতি আসলে আগের মতোই চলছে... তারা আবার অতীতের চেয়েও খারাপ অবস্থায় ফিরে যায় এবং নিজেদেরকে আবার সেই অবস্থায় ফিরিয়ে দেয় যেখানে আবার সবকিছু নতুন করে শুরু করতে হয়। আমি জানি না কেন আমি এটা করি, বড়ি খেয়ে আমি সুস্থ ছিলাম। ৮ মাস</v>
      </c>
    </row>
    <row r="935" spans="1:3" ht="15" x14ac:dyDescent="0.25">
      <c r="A935" s="3" t="s">
        <v>931</v>
      </c>
      <c r="B935" s="3" t="s">
        <v>4</v>
      </c>
      <c r="C935" s="4" t="str">
        <f ca="1">IFERROR(__xludf.DUMMYFUNCTION("GOOGLETRANSLATE(A935, ""auto"", ""bn"")"),"কেউ কি পরামর্শ দিতে পারবে কিনা ভাবছি... আমার ভাই (৩০) মদ্যপানের সমস্যায় ভুগছিল। সে হঠাৎ করেই চলে গেল, পরিবারকে ভয় দেখিয়ে দিল এবং তারপর পুনর্বাসনে গেল। সম্ভবত এক বছর ধরে সে সুস্থ আছে কিন্তু যখনই সে অস্বাভাবিক কিছু করে তখন তা এত ভয়ঙ্কর... আমার মনে হয় য"&amp;"ে আমি যেকোনো মুহূর্তে তাকে হারাতে পারি, কিন্তু আমি ইতিমধ্যেই বুঝতে পারছি যে এইসব চিন্তাভাবনা আমার শরীরের উপর কতটা প্রভাব ফেলছে। তার সাথে কী ঘটতে পারে এই ভয়ঙ্কর চিন্তাভাবনা ছাড়া আমি কীভাবে বাঁচতে পারি? সে একজন প্রাপ্তবয়স্ক, কিন্তু আমি ভাবতে পারছি না যে "&amp;"সে ঠিক আছে নাকি এটাই? শুধু অন্তর্দৃষ্টি এবং চিন্তাভাবনা সহায়ক হবে... আপনার কি কোন প্রিয়জন এমন কিছুর মধ্য দিয়ে গেছে যার উপর আপনার কোন নিয়ন্ত্রণ নেই?")</f>
        <v>কেউ কি পরামর্শ দিতে পারবে কিনা ভাবছি... আমার ভাই (৩০) মদ্যপানের সমস্যায় ভুগছিল। সে হঠাৎ করেই চলে গেল, পরিবারকে ভয় দেখিয়ে দিল এবং তারপর পুনর্বাসনে গেল। সম্ভবত এক বছর ধরে সে সুস্থ আছে কিন্তু যখনই সে অস্বাভাবিক কিছু করে তখন তা এত ভয়ঙ্কর... আমার মনে হয় যে আমি যেকোনো মুহূর্তে তাকে হারাতে পারি, কিন্তু আমি ইতিমধ্যেই বুঝতে পারছি যে এইসব চিন্তাভাবনা আমার শরীরের উপর কতটা প্রভাব ফেলছে। তার সাথে কী ঘটতে পারে এই ভয়ঙ্কর চিন্তাভাবনা ছাড়া আমি কীভাবে বাঁচতে পারি? সে একজন প্রাপ্তবয়স্ক, কিন্তু আমি ভাবতে পারছি না যে সে ঠিক আছে নাকি এটাই? শুধু অন্তর্দৃষ্টি এবং চিন্তাভাবনা সহায়ক হবে... আপনার কি কোন প্রিয়জন এমন কিছুর মধ্য দিয়ে গেছে যার উপর আপনার কোন নিয়ন্ত্রণ নেই?</v>
      </c>
    </row>
    <row r="936" spans="1:3" ht="15" x14ac:dyDescent="0.25">
      <c r="A936" s="3" t="s">
        <v>932</v>
      </c>
      <c r="B936" s="3" t="s">
        <v>4</v>
      </c>
      <c r="C936" s="4" t="str">
        <f ca="1">IFERROR(__xludf.DUMMYFUNCTION("GOOGLETRANSLATE(A936, ""auto"", ""bn"")"),"কেউ এইমাত্র এটা পড়েছে, আমার সন্দেহ আছে যে কেউ এটা দেখবে, কিন্তু আমি খারাপ জায়গায় আছি, বিষণ্ণতা, PTSD হ্যাঁ, উদ্বেগ হ্যাঁ। আমি মাদক গ্রহণ বন্ধ করতে পারছি না, এটা শুধু কোকেন আমি ব্যবহার করি, কিন্তু আমি প্রচুর পরিমাণে মাদক গ্রহণ করি, এমন নয় যে আমি অনেক বেশি "&amp;"মাদক গ্রহণ করি, কিন্তু যখনই আমার কিছু নেওয়া হয়, তখনই আমি ঘুমাতে যাব না যতক্ষণ না আমি যথেষ্ট শক্তিশালী কিছু পান করি যা আমাকে ঘায় ফেলে অথবা 100000 ধূমপান করে যা আমাকে ঘায় ফেলে। আমি সাধারণত 2-3 দিন জেগে থাকি, অ্যালকোহল ছাড়া আর কিছু খাই না বা পান করি না। আমি "&amp;"আমার শরীরের কষ্ট অনুভব করতে পারি এবং সম্ভবত বেশি দিন স্থায়ী হবে না, কিন্তু যদিও আমি এটা জানি, তবুও আমি যেকোনো সুযোগে এটি চালিয়ে যাচ্ছি।")</f>
        <v>কেউ এইমাত্র এটা পড়েছে, আমার সন্দেহ আছে যে কেউ এটা দেখবে, কিন্তু আমি খারাপ জায়গায় আছি, বিষণ্ণতা, PTSD হ্যাঁ, উদ্বেগ হ্যাঁ। আমি মাদক গ্রহণ বন্ধ করতে পারছি না, এটা শুধু কোকেন আমি ব্যবহার করি, কিন্তু আমি প্রচুর পরিমাণে মাদক গ্রহণ করি, এমন নয় যে আমি অনেক বেশি মাদক গ্রহণ করি, কিন্তু যখনই আমার কিছু নেওয়া হয়, তখনই আমি ঘুমাতে যাব না যতক্ষণ না আমি যথেষ্ট শক্তিশালী কিছু পান করি যা আমাকে ঘায় ফেলে অথবা 100000 ধূমপান করে যা আমাকে ঘায় ফেলে। আমি সাধারণত 2-3 দিন জেগে থাকি, অ্যালকোহল ছাড়া আর কিছু খাই না বা পান করি না। আমি আমার শরীরের কষ্ট অনুভব করতে পারি এবং সম্ভবত বেশি দিন স্থায়ী হবে না, কিন্তু যদিও আমি এটা জানি, তবুও আমি যেকোনো সুযোগে এটি চালিয়ে যাচ্ছি।</v>
      </c>
    </row>
    <row r="937" spans="1:3" ht="15" x14ac:dyDescent="0.25">
      <c r="A937" s="3" t="s">
        <v>933</v>
      </c>
      <c r="B937" s="3" t="s">
        <v>4</v>
      </c>
      <c r="C937" s="4" t="str">
        <f ca="1">IFERROR(__xludf.DUMMYFUNCTION("GOOGLETRANSLATE(A937, ""auto"", ""bn"")"),"যখনই আমি আমার আসক্তির সমস্যা নিয়ে কারো সাথে কথা বলতে চাই, তারা মনে করে আমি ১৭ বছর বয়সী এক তেজি ছেলে যে মজা করার জন্য XNA করে। এটা খুবই হতাশাজনক। আসক্তি যেকোনো ব্যক্তির উপর প্রভাব ফেলতে পারে, আক্ষরিক অর্থেই যেকোনো ব্যক্তির উপর। হ্যাঁ, আপনার শৈশবের কোনও ম"&amp;"ানসিক আঘাত থাকতে পারে না এবং তবুও আপনি আসক্তির ঝুঁকিতে থাকতে পারেন। আমার মনে হয় কুকুর এবং আসক্তি সম্পর্কে কথা বলা এতটাই কলঙ্কজনক যে আমি বুঝতে পারছি না কেন। এছাড়াও, লোকেরা কেবল কোক এবং হিরোইনের মতো হার্ডকোর ডক্টর*জিএস করার কথাই ভাবে। কিন্তু তারা খুব কমই "&amp;"জানে যে আসক্তি যেকোনো কিছু হতে পারে। আপনার অনুভূতি বৈধ।")</f>
        <v>যখনই আমি আমার আসক্তির সমস্যা নিয়ে কারো সাথে কথা বলতে চাই, তারা মনে করে আমি ১৭ বছর বয়সী এক তেজি ছেলে যে মজা করার জন্য XNA করে। এটা খুবই হতাশাজনক। আসক্তি যেকোনো ব্যক্তির উপর প্রভাব ফেলতে পারে, আক্ষরিক অর্থেই যেকোনো ব্যক্তির উপর। হ্যাঁ, আপনার শৈশবের কোনও মানসিক আঘাত থাকতে পারে না এবং তবুও আপনি আসক্তির ঝুঁকিতে থাকতে পারেন। আমার মনে হয় কুকুর এবং আসক্তি সম্পর্কে কথা বলা এতটাই কলঙ্কজনক যে আমি বুঝতে পারছি না কেন। এছাড়াও, লোকেরা কেবল কোক এবং হিরোইনের মতো হার্ডকোর ডক্টর*জিএস করার কথাই ভাবে। কিন্তু তারা খুব কমই জানে যে আসক্তি যেকোনো কিছু হতে পারে। আপনার অনুভূতি বৈধ।</v>
      </c>
    </row>
    <row r="938" spans="1:3" ht="15" x14ac:dyDescent="0.25">
      <c r="A938" s="3" t="s">
        <v>934</v>
      </c>
      <c r="B938" s="3" t="s">
        <v>4</v>
      </c>
      <c r="C938" s="4" t="str">
        <f ca="1">IFERROR(__xludf.DUMMYFUNCTION("GOOGLETRANSLATE(A938, ""auto"", ""bn"")"),"আমার ৩৭ বছর বয়সী ৪ বছরের প্রেমিক (আমার বয়স ৪৫ বছর) জুয়ায় সমস্যায় ভুগছে এবং আমি মনে করছি এটা এখন একটা নেশা যা সে আর নিয়ন্ত্রণ করতে পারছে না। সে মুখে বলেছে যে সে ""কাটা কমাতে"" চায়? কিন্তু সে কখনোই পুরোপুরি ছেড়ে দিতে চায় না বা তার বুকির অ্যাকাউন্ট বন্ধ করার"&amp;" চেষ্টা করেনি। সে এই বছর প্রায় $৭০০০ হেরেছে (যা আমি জানি) এবং সে এখনও কিছু ফেরত পাওয়ার জন্য বাজির পেছনে ছুটছে। অবশ্যই কোনটি কাজ করে না এবং আবার বুকির কাছে তার ঋণ কীভাবে। আমরা যখন ডেটিং শুরু করি তখন আমি বাজির ব্যাপারে সচেতন ছিলাম (সে মূলত ফুটবলে বাজি ধরে) "&amp;"কিন্তু সেই সময় তার একটি নিখুঁত চাকরি এবং প্রচুর খরচযোগ্য আয় ছিল তাই এটি আসলে কোনও প্রভাব ফেলেনি বলে মনে হয়। এই বছর তার আয় উল্লেখযোগ্যভাবে কমেছে, যেমন ৪০% হ্রাস পেয়েছে এবং সে জীবনযাপন করতে হিমশিম খাচ্ছে। আমরা একসাথে থাকি কিন্তু কোনও আর্থিক লেনদেন করি না। "&amp;"আমি খুব সাধারণ এবং একজন সঞ্চয়ী।")</f>
        <v>আমার ৩৭ বছর বয়সী ৪ বছরের প্রেমিক (আমার বয়স ৪৫ বছর) জুয়ায় সমস্যায় ভুগছে এবং আমি মনে করছি এটা এখন একটা নেশা যা সে আর নিয়ন্ত্রণ করতে পারছে না। সে মুখে বলেছে যে সে "কাটা কমাতে" চায়? কিন্তু সে কখনোই পুরোপুরি ছেড়ে দিতে চায় না বা তার বুকির অ্যাকাউন্ট বন্ধ করার চেষ্টা করেনি। সে এই বছর প্রায় $৭০০০ হেরেছে (যা আমি জানি) এবং সে এখনও কিছু ফেরত পাওয়ার জন্য বাজির পেছনে ছুটছে। অবশ্যই কোনটি কাজ করে না এবং আবার বুকির কাছে তার ঋণ কীভাবে। আমরা যখন ডেটিং শুরু করি তখন আমি বাজির ব্যাপারে সচেতন ছিলাম (সে মূলত ফুটবলে বাজি ধরে) কিন্তু সেই সময় তার একটি নিখুঁত চাকরি এবং প্রচুর খরচযোগ্য আয় ছিল তাই এটি আসলে কোনও প্রভাব ফেলেনি বলে মনে হয়। এই বছর তার আয় উল্লেখযোগ্যভাবে কমেছে, যেমন ৪০% হ্রাস পেয়েছে এবং সে জীবনযাপন করতে হিমশিম খাচ্ছে। আমরা একসাথে থাকি কিন্তু কোনও আর্থিক লেনদেন করি না। আমি খুব সাধারণ এবং একজন সঞ্চয়ী।</v>
      </c>
    </row>
    <row r="939" spans="1:3" ht="15" x14ac:dyDescent="0.25">
      <c r="A939" s="3" t="s">
        <v>935</v>
      </c>
      <c r="B939" s="3" t="s">
        <v>4</v>
      </c>
      <c r="C939" s="4" t="str">
        <f ca="1">IFERROR(__xludf.DUMMYFUNCTION("GOOGLETRANSLATE(A939, ""auto"", ""bn"")"),"আমার ২৬ বছর বয়সী সৎ ছেলে গত রাতে (বড়দিনের আগের দিন) ঘুড়ির মতো উত্তেজিত ছিল। তার ভাই তাকে তার মেয়েকে নিতে নিয়ে গিয়েছিল, তাই আমরা তার ঘর তল্লাশি করে তার ভাঁজ করা সোফার নীচে প্রচুর পরিমাণে পোড়া ফয়েল, স্ট্র, লাইটার, ব্যাগ, বড়ি এবং খালি জেলটিন ক্যাপসু"&amp;"ল পেয়েছি। চেহারা এবং মনোভাবের আমূল পরিবর্তনের কারণে আমরা সম্প্রতি তাকে চাপ দিচ্ছিলাম, কিন্তু সে শপথ করেছে যে সে পরিষ্কার। সে শপথ করেছে যে সে হেরোইন খেয়েছে। আমরা স্পষ্টতই হৃদয় ভেঙে পড়েছি এবং আমাদের ক্রিসমাস এত আনন্দের নয়।")</f>
        <v>আমার ২৬ বছর বয়সী সৎ ছেলে গত রাতে (বড়দিনের আগের দিন) ঘুড়ির মতো উত্তেজিত ছিল। তার ভাই তাকে তার মেয়েকে নিতে নিয়ে গিয়েছিল, তাই আমরা তার ঘর তল্লাশি করে তার ভাঁজ করা সোফার নীচে প্রচুর পরিমাণে পোড়া ফয়েল, স্ট্র, লাইটার, ব্যাগ, বড়ি এবং খালি জেলটিন ক্যাপসুল পেয়েছি। চেহারা এবং মনোভাবের আমূল পরিবর্তনের কারণে আমরা সম্প্রতি তাকে চাপ দিচ্ছিলাম, কিন্তু সে শপথ করেছে যে সে পরিষ্কার। সে শপথ করেছে যে সে হেরোইন খেয়েছে। আমরা স্পষ্টতই হৃদয় ভেঙে পড়েছি এবং আমাদের ক্রিসমাস এত আনন্দের নয়।</v>
      </c>
    </row>
    <row r="940" spans="1:3" ht="15" x14ac:dyDescent="0.25">
      <c r="A940" s="3" t="s">
        <v>936</v>
      </c>
      <c r="B940" s="3" t="s">
        <v>4</v>
      </c>
      <c r="C940" s="4" t="str">
        <f ca="1">IFERROR(__xludf.DUMMYFUNCTION("GOOGLETRANSLATE(A940, ""auto"", ""bn"")"),"...টুইটারে #JoinIn হ্যাশট্যাগটি কোম্পানির জন্য খুবই কার্যকর। আসক্তির সহায়তার জন্য #RecoveryPosse আছে, এবং আমি ছুটির দিনে Reddit পরীক্ষা করব। আপনাকে কখনই একা সমস্যার মুখোমুখি হতে হবে না।")</f>
        <v>...টুইটারে #JoinIn হ্যাশট্যাগটি কোম্পানির জন্য খুবই কার্যকর। আসক্তির সহায়তার জন্য #RecoveryPosse আছে, এবং আমি ছুটির দিনে Reddit পরীক্ষা করব। আপনাকে কখনই একা সমস্যার মুখোমুখি হতে হবে না।</v>
      </c>
    </row>
    <row r="941" spans="1:3" ht="15" x14ac:dyDescent="0.25">
      <c r="A941" s="3" t="s">
        <v>937</v>
      </c>
      <c r="B941" s="3" t="s">
        <v>4</v>
      </c>
      <c r="C941" s="4" t="str">
        <f ca="1">IFERROR(__xludf.DUMMYFUNCTION("GOOGLETRANSLATE(A941, ""auto"", ""bn"")"),"আমি এই পোস্টটি লিখছি কারণ আমার এক ছোট ভাই আছে যে সবেমাত্র ১৬ বছর বয়সী, এবং সে কিছু ভারী দানবদের সাথে লড়াই করছে এবং আমার কী করা উচিত সে সম্পর্কে পরামর্শের প্রয়োজন। সে অনেক কষ্ট পায়, ওজন বৃদ্ধির বিষয়ে পরিবার এবং বন্ধুদের দ্বারা ধমক দেওয়া হচ্ছে, একজন ব"&amp;"াবা যিনি আমার ভাইবোনদের সাথে কথা বলেন/সম্পর্ক রাখেন, তার আত্মসম্মান কম, এবং আমি নিশ্চিতভাবে আরও অনেক কিছু সম্পর্কে জানি না। যাই হোক, সে প্রচুর পরিমাণে মদ্যপান করত... প্রায় প্রতি রাতেই মাতাল হয়ে, এবং মাদক গ্রহণ করত, যা আমি জানি তার সুবিধা থেকে, মাঝে মাঝে"&amp;" অ্যাসিড, এবং হয়তো আরও কিছু সম্পর্কে আমি জানি না। সে সম্প্রতি মদ্যপান ছেড়ে দিয়েছে, কিন্তু সে এখনও মাদক ব্যবহার করে। আমি এটি লিখছি কারণ সে ব্যথা করছে, এবং গতকাল আমি যা জেনেছি তা থেকে সে ৩ বার আত্মহত্যা করার চেষ্টা করেছে, এবং মাঝে মাঝে সে নৈমিত্তিক কথোপক"&amp;"থনে খারাপ মন্তব্য করে। আমি জানি এখানে সম্ভবত দুটি সম্পূর্ণ ভিন্ন সমস্যা আছে, মাদক এবং আর বেঁচে থাকতে চাই না..... কিন্তু আমি শুধু তোমাদের সকলের সাথে যোগাযোগ করতে চেয়েছিলাম, এবং দেখতে চেয়েছিলাম যে এই দলে এমন কেউ আছে কিনা যে হয়তো আগে খুব খারাপ অবস্থায় ছি"&amp;"ল এবং সম্ভবত আর বাঁচতে চাইনি, যে এটা থেকে বেরিয়ে এসেছে। তাছাড়া, আমি শুনতে চাই তুমি কী অনুভব করছো, তুমি কী চেয়েছিলে বা চেয়েছিলে যে কেউ তোমার জন্য কী করতো, তোমাকে দেখাতো, অথবা তুমি যখন কষ্ট পাচ্ছো তখন তোমাকে কী বলতো। আমার ভাই একজন কৌতুকাভিনেতা, কিন্তু য"&amp;"দি সে খুব বেশি সিরিয়াস হয়ে যায় তবে সে খুব আক্রমণাত্মক এবং প্রতিকূল হতে পারে, তাই আমি পুরোপুরি নিশ্চিত নই যে কীভাবে এই বিষয়টির সাথে মোকাবিলা করব। এবং শুধু এই সত্য যে আমি জানি না সে কেমন অনুভব করে, আমি জানি না সে কী মধ্য দিয়ে যাচ্ছে, তাই আমি পরামর্শ চা"&amp;"ই যে অন্যরা যারা সংগ্রাম করেছিল তাদের সেই সময়ের মধ্য দিয়ে যাওয়ার সময় যাদের তারা ভালোবাসত তাদের কাছ থেকে কী প্রয়োজন ছিল।")</f>
        <v>আমি এই পোস্টটি লিখছি কারণ আমার এক ছোট ভাই আছে যে সবেমাত্র ১৬ বছর বয়সী, এবং সে কিছু ভারী দানবদের সাথে লড়াই করছে এবং আমার কী করা উচিত সে সম্পর্কে পরামর্শের প্রয়োজন। সে অনেক কষ্ট পায়, ওজন বৃদ্ধির বিষয়ে পরিবার এবং বন্ধুদের দ্বারা ধমক দেওয়া হচ্ছে, একজন বাবা যিনি আমার ভাইবোনদের সাথে কথা বলেন/সম্পর্ক রাখেন, তার আত্মসম্মান কম, এবং আমি নিশ্চিতভাবে আরও অনেক কিছু সম্পর্কে জানি না। যাই হোক, সে প্রচুর পরিমাণে মদ্যপান করত... প্রায় প্রতি রাতেই মাতাল হয়ে, এবং মাদক গ্রহণ করত, যা আমি জানি তার সুবিধা থেকে, মাঝে মাঝে অ্যাসিড, এবং হয়তো আরও কিছু সম্পর্কে আমি জানি না। সে সম্প্রতি মদ্যপান ছেড়ে দিয়েছে, কিন্তু সে এখনও মাদক ব্যবহার করে। আমি এটি লিখছি কারণ সে ব্যথা করছে, এবং গতকাল আমি যা জেনেছি তা থেকে সে ৩ বার আত্মহত্যা করার চেষ্টা করেছে, এবং মাঝে মাঝে সে নৈমিত্তিক কথোপকথনে খারাপ মন্তব্য করে। আমি জানি এখানে সম্ভবত দুটি সম্পূর্ণ ভিন্ন সমস্যা আছে, মাদক এবং আর বেঁচে থাকতে চাই না..... কিন্তু আমি শুধু তোমাদের সকলের সাথে যোগাযোগ করতে চেয়েছিলাম, এবং দেখতে চেয়েছিলাম যে এই দলে এমন কেউ আছে কিনা যে হয়তো আগে খুব খারাপ অবস্থায় ছিল এবং সম্ভবত আর বাঁচতে চাইনি, যে এটা থেকে বেরিয়ে এসেছে। তাছাড়া, আমি শুনতে চাই তুমি কী অনুভব করছো, তুমি কী চেয়েছিলে বা চেয়েছিলে যে কেউ তোমার জন্য কী করতো, তোমাকে দেখাতো, অথবা তুমি যখন কষ্ট পাচ্ছো তখন তোমাকে কী বলতো। আমার ভাই একজন কৌতুকাভিনেতা, কিন্তু যদি সে খুব বেশি সিরিয়াস হয়ে যায় তবে সে খুব আক্রমণাত্মক এবং প্রতিকূল হতে পারে, তাই আমি পুরোপুরি নিশ্চিত নই যে কীভাবে এই বিষয়টির সাথে মোকাবিলা করব। এবং শুধু এই সত্য যে আমি জানি না সে কেমন অনুভব করে, আমি জানি না সে কী মধ্য দিয়ে যাচ্ছে, তাই আমি পরামর্শ চাই যে অন্যরা যারা সংগ্রাম করেছিল তাদের সেই সময়ের মধ্য দিয়ে যাওয়ার সময় যাদের তারা ভালোবাসত তাদের কাছ থেকে কী প্রয়োজন ছিল।</v>
      </c>
    </row>
    <row r="942" spans="1:3" ht="15" x14ac:dyDescent="0.25">
      <c r="A942" s="3" t="s">
        <v>938</v>
      </c>
      <c r="B942" s="3" t="s">
        <v>4</v>
      </c>
      <c r="C942" s="4" t="str">
        <f ca="1">IFERROR(__xludf.DUMMYFUNCTION("GOOGLETRANSLATE(A942, ""auto"", ""bn"")"),"আমার মনে হয় আমার হাসপাতালে চিকিৎসার প্রয়োজন। আমি ক্রস-নেশায় ভুগছিলাম এবং অ্যালকোহলের পরিবর্তে আমি আবার মেথের সাথে যুক্ত হয়ে পড়ি, আমার বর্তমান প্রেমিক আমাকে পরিচয় করিয়ে দেয়। বর্তমানে আমি একসাথে কাজ বন্ধ করে দিচ্ছি, কিন্তু আমার মনে হয় সে শেষ পর্যন্ত সেবন ক"&amp;"রবে অথবা আবার হিংস্র হয়ে উঠবে। আমি আজ রাতে চিকিৎসা কেন্দ্রের সাথে যোগাযোগ করেছি এবং আমি কী করব তা কাউকে বলিনি। আমি এই মাদক গ্রহণ করেছি মাত্র দুই মাস হয়েছে এবং ইতিমধ্যেই আমার মুখে বন্দুক ঢুকিয়ে দেওয়া হয়েছে, তাই আমি এই জগৎ থেকে বেরিয়ে এসেছি যেখানে আমি বাস "&amp;"করি না, এটি আমাকে জীবন্তভাবে গ্রাস করে। তাহলে চিকিৎসা করা ভালো আইডিয়া? শুধু এটার জন্য যাও?")</f>
        <v>আমার মনে হয় আমার হাসপাতালে চিকিৎসার প্রয়োজন। আমি ক্রস-নেশায় ভুগছিলাম এবং অ্যালকোহলের পরিবর্তে আমি আবার মেথের সাথে যুক্ত হয়ে পড়ি, আমার বর্তমান প্রেমিক আমাকে পরিচয় করিয়ে দেয়। বর্তমানে আমি একসাথে কাজ বন্ধ করে দিচ্ছি, কিন্তু আমার মনে হয় সে শেষ পর্যন্ত সেবন করবে অথবা আবার হিংস্র হয়ে উঠবে। আমি আজ রাতে চিকিৎসা কেন্দ্রের সাথে যোগাযোগ করেছি এবং আমি কী করব তা কাউকে বলিনি। আমি এই মাদক গ্রহণ করেছি মাত্র দুই মাস হয়েছে এবং ইতিমধ্যেই আমার মুখে বন্দুক ঢুকিয়ে দেওয়া হয়েছে, তাই আমি এই জগৎ থেকে বেরিয়ে এসেছি যেখানে আমি বাস করি না, এটি আমাকে জীবন্তভাবে গ্রাস করে। তাহলে চিকিৎসা করা ভালো আইডিয়া? শুধু এটার জন্য যাও?</v>
      </c>
    </row>
    <row r="943" spans="1:3" ht="15" x14ac:dyDescent="0.25">
      <c r="A943" s="3" t="s">
        <v>939</v>
      </c>
      <c r="B943" s="3" t="s">
        <v>4</v>
      </c>
      <c r="C943" s="4" t="str">
        <f ca="1">IFERROR(__xludf.DUMMYFUNCTION("GOOGLETRANSLATE(A943, ""auto"", ""bn"")"),"আমি এমন ১ বা ২ জনকে খুঁজছি যারা স্বেচ্ছাসেবক হিসেবে মডারেটর হিসেবে কাজ করতে চান। আমাদের এখন ৯৬৮ জন সদস্য আছে, যা অসাধারণ, এবং আমি কৃতজ্ঞ, কিন্তু এটা আমার নিজের পক্ষে অনেক কিছু পরিচালনা করা। আমি একজন সুস্থ হয়ে ওঠা মদ্যপ এবং আমি এখন আসক্তি পুনরুদ্ধারের ক্ষ"&amp;"েত্রে কাজ করি এবং সেই সাথে সহকর্মীদের সহায়তাও করি, তাই আমি চাই না যে মাঝে মাঝে আমার কয়েকদিনের ছুটির প্রয়োজন হলে সম্প্রদায়টি ক্ষতিগ্রস্ত হোক। আমি কিছু শান্ত ""চিভি"" পছন্দ করব যাতে এই জায়গাটি নিরাপদ, বিচার-বিবেচনাহীন, মুক্তমনা এবং বিক্রয়-জাতীয় প্রচা"&amp;"রণা থেকে মুক্ত থাকে। আপনি যদি মডারেটর হতে চান, তাহলে দয়া করে আমাকে মেসেজ করুন এবং আপনার সম্পর্কে কিছু বলুন। ধন্যবাদ। এবং এখানে থাকা সকলকে ধন্যবাদ।")</f>
        <v>আমি এমন ১ বা ২ জনকে খুঁজছি যারা স্বেচ্ছাসেবক হিসেবে মডারেটর হিসেবে কাজ করতে চান। আমাদের এখন ৯৬৮ জন সদস্য আছে, যা অসাধারণ, এবং আমি কৃতজ্ঞ, কিন্তু এটা আমার নিজের পক্ষে অনেক কিছু পরিচালনা করা। আমি একজন সুস্থ হয়ে ওঠা মদ্যপ এবং আমি এখন আসক্তি পুনরুদ্ধারের ক্ষেত্রে কাজ করি এবং সেই সাথে সহকর্মীদের সহায়তাও করি, তাই আমি চাই না যে মাঝে মাঝে আমার কয়েকদিনের ছুটির প্রয়োজন হলে সম্প্রদায়টি ক্ষতিগ্রস্ত হোক। আমি কিছু শান্ত "চিভি" পছন্দ করব যাতে এই জায়গাটি নিরাপদ, বিচার-বিবেচনাহীন, মুক্তমনা এবং বিক্রয়-জাতীয় প্রচারণা থেকে মুক্ত থাকে। আপনি যদি মডারেটর হতে চান, তাহলে দয়া করে আমাকে মেসেজ করুন এবং আপনার সম্পর্কে কিছু বলুন। ধন্যবাদ। এবং এখানে থাকা সকলকে ধন্যবাদ।</v>
      </c>
    </row>
    <row r="944" spans="1:3" ht="15" x14ac:dyDescent="0.25">
      <c r="A944" s="3" t="s">
        <v>940</v>
      </c>
      <c r="B944" s="3" t="s">
        <v>4</v>
      </c>
      <c r="C944" s="4" t="str">
        <f ca="1">IFERROR(__xludf.DUMMYFUNCTION("GOOGLETRANSLATE(A944, ""auto"", ""bn"")"),"দীর্ঘ পোস্ট সতর্কতা: আমি কোকেন সেবনের প্রায় ২-৩ মাস ধরে অস্থির, এবং বর্তমানে আমি মাতাল/পাথরযুক্ত এবং আমার কি তীব্র আকাঙ্ক্ষা হচ্ছে? আংশিকভাবে সম্প্রতি কোক স্বপ্ন দেখেছিলাম এবং আংশিকভাবে আমার সঙ্গী বর্তমানে ব্যবহার করছে কিনা তা নিয়ে আমার উদ্বেগ রয়েছে। আ"&amp;"মরা একসাথে ব্যবহার করতাম কিন্তু পরিষ্কার হওয়ার জন্য একটি চুক্তি করেছিলাম, এবং কিছু ভুল হয়েছে যেখানে সে আমাকে না জানিয়ে ব্যবহার করেছে। এখন জটিল অংশ হল যে আমার আকাঙ্ক্ষা ঠিক কোনও আবেগপ্রবণ জিনিস নয়, যেখানে আমি আমার সংযোগটি টেক্সট করি এবং তাৎক্ষণিকভাবে ব"&amp;"্যবহার করতে পারি, বরং এমন কিছু যেখানে আমি গোপনে ব্যবহার করার উপায়গুলি তৈরি করি, আমার সঙ্গীকে না জানিয়ে কোথায় এবং কখন ব্যবহার করতে পারি তা নিয়ে চিন্তা করি কারণ যদি আমি জানতে পারি যে আমার সন্দেহ সত্য, আমি...প্রায় স্কোর সমান করতে চাই? আমি এমন ব্যক্তিদের"&amp;" মতো অনুভব করি যারা আমি ব্যবহার করতে চাই তাই আমি ব্যবহারের কারণ খুঁজছি, কারণ আমার সঙ্গী আমার ছাড়াই ব্যবহার করছে, অথবা ঘরে কোক আছে। এখনই নির্দিষ্ট করে বলতে গেলে, আমার প্রথম অন্তর্দৃষ্টির ধারণাগুলো মূলত আমার সঙ্গী দ্বারাই মিথ্যা প্রমাণিত হয়েছে, কিন্তু যেট"&amp;"া আমাকে পাগল করে তুলছে তা হল একটি সম্ভাব্য অনুপস্থিতি, আমি আবারও বলতে চাই কারণ আমি জানি না যে এটি অনুপস্থিত কিনা বা অস্তিত্বহীন কিনা, এই রাতে আমার উদ্বেগ কতটা তীব্র। এবং আমি সত্যিই বিশ্বাস করতে চাই যে সে আমাকে বলছে যে আমি পাগল, সে এখন ব্যবহার করছে না, এবং"&amp;" আমার চিন্তা করার কিছু নেই। এবং তবুও আমার উদ্বিগ্ন মস্তিষ্ক এবং আসক্ত মস্তিষ্ক একত্রিত হয়ে গেছে যাতে আমি তাকে বিশ্বাস না করতে চাই এই আশায় যে আমি আবার সেই বোকা দুষ্ট তাড়না অনুভব করার জন্য একটি সামান্য ধাক্কাও পেতে পারি। কোকেনকে ধোকা দাও এবং আমার মনকে ধো"&amp;"কা দাও আমি একেবারেই ক্লান্ত। কেউ আমাকে বলুন এটি সহজ হয়ে যায়, এমনকি যদি আমি জানি যে এটি আছে, আমার কেবল এটি শুনতে হবে।")</f>
        <v>দীর্ঘ পোস্ট সতর্কতা: আমি কোকেন সেবনের প্রায় ২-৩ মাস ধরে অস্থির, এবং বর্তমানে আমি মাতাল/পাথরযুক্ত এবং আমার কি তীব্র আকাঙ্ক্ষা হচ্ছে? আংশিকভাবে সম্প্রতি কোক স্বপ্ন দেখেছিলাম এবং আংশিকভাবে আমার সঙ্গী বর্তমানে ব্যবহার করছে কিনা তা নিয়ে আমার উদ্বেগ রয়েছে। আমরা একসাথে ব্যবহার করতাম কিন্তু পরিষ্কার হওয়ার জন্য একটি চুক্তি করেছিলাম, এবং কিছু ভুল হয়েছে যেখানে সে আমাকে না জানিয়ে ব্যবহার করেছে। এখন জটিল অংশ হল যে আমার আকাঙ্ক্ষা ঠিক কোনও আবেগপ্রবণ জিনিস নয়, যেখানে আমি আমার সংযোগটি টেক্সট করি এবং তাৎক্ষণিকভাবে ব্যবহার করতে পারি, বরং এমন কিছু যেখানে আমি গোপনে ব্যবহার করার উপায়গুলি তৈরি করি, আমার সঙ্গীকে না জানিয়ে কোথায় এবং কখন ব্যবহার করতে পারি তা নিয়ে চিন্তা করি কারণ যদি আমি জানতে পারি যে আমার সন্দেহ সত্য, আমি...প্রায় স্কোর সমান করতে চাই? আমি এমন ব্যক্তিদের মতো অনুভব করি যারা আমি ব্যবহার করতে চাই তাই আমি ব্যবহারের কারণ খুঁজছি, কারণ আমার সঙ্গী আমার ছাড়াই ব্যবহার করছে, অথবা ঘরে কোক আছে। এখনই নির্দিষ্ট করে বলতে গেলে, আমার প্রথম অন্তর্দৃষ্টির ধারণাগুলো মূলত আমার সঙ্গী দ্বারাই মিথ্যা প্রমাণিত হয়েছে, কিন্তু যেটা আমাকে পাগল করে তুলছে তা হল একটি সম্ভাব্য অনুপস্থিতি, আমি আবারও বলতে চাই কারণ আমি জানি না যে এটি অনুপস্থিত কিনা বা অস্তিত্বহীন কিনা, এই রাতে আমার উদ্বেগ কতটা তীব্র। এবং আমি সত্যিই বিশ্বাস করতে চাই যে সে আমাকে বলছে যে আমি পাগল, সে এখন ব্যবহার করছে না, এবং আমার চিন্তা করার কিছু নেই। এবং তবুও আমার উদ্বিগ্ন মস্তিষ্ক এবং আসক্ত মস্তিষ্ক একত্রিত হয়ে গেছে যাতে আমি তাকে বিশ্বাস না করতে চাই এই আশায় যে আমি আবার সেই বোকা দুষ্ট তাড়না অনুভব করার জন্য একটি সামান্য ধাক্কাও পেতে পারি। কোকেনকে ধোকা দাও এবং আমার মনকে ধোকা দাও আমি একেবারেই ক্লান্ত। কেউ আমাকে বলুন এটি সহজ হয়ে যায়, এমনকি যদি আমি জানি যে এটি আছে, আমার কেবল এটি শুনতে হবে।</v>
      </c>
    </row>
    <row r="945" spans="1:3" ht="15" x14ac:dyDescent="0.25">
      <c r="A945" s="3" t="s">
        <v>941</v>
      </c>
      <c r="B945" s="3" t="s">
        <v>4</v>
      </c>
      <c r="C945" s="4" t="str">
        <f ca="1">IFERROR(__xludf.DUMMYFUNCTION("GOOGLETRANSLATE(A945, ""auto"", ""bn"")"),"শুনতে খারাপ না লাগলেও, আমার খুব খারাপ লাগছে। আমার বয়স ১৮ এবং আমি বুঝতে পারছি যে আমি ক্যাফিনের আসক্তির সাথে লড়াই করছি। প্রথমেই আমার কিছু জিনিস ভাবা উচিত ছিল, প্রধানটি হল ক্যাফিন / সত্যিই একটি গুরুতর আসক্তি হতে পারে / এবং এতে ভয়াবহ প্রত্যাহার হতে পারে। দ"&amp;"্বিতীয়ত, আমি বলতে চাই যে আমার পরিবারে আসক্তি রয়েছে, MDD এবং BPD এর সাথে, যা আমাকে প্রায়শই বলা হয়েছে যে লোকেরা মাদক এবং/অথবা অ্যালকোহলের অপব্যবহার করে। আমি ইতিমধ্যেই ক্রাইসিস ইউনিটে গিয়েছি এবং আমি বছরের পর বছর ধরে ওষুধ খাচ্ছি, ডোজ এবং ওষুধের প্রেসক্রি"&amp;"পশনের মাধ্যমে সেগুলি পরিবর্তন করা হচ্ছে, এবং কিছুই কাজ করছে বলে মনে হচ্ছে না। আমি এই বিষয়টি তুলে ধরার কারণ হল আমার মানসিক স্বাস্থ্য কখনও উন্নত হয়নি, তাই আমি এমন কিছু খুঁজে বের করার চেষ্টা করছি যা সহজেই অ্যাক্সেস করা যায় এবং নিজেকে কিছুটা হারিয়ে ফেলা য"&amp;"ায়। আমি জানি না কেন আমি একদিনে এত বেশি ক্যাফিন পান করা কতটা খারাপ তা নিয়ে ভাবিনি। আমি এটি কতটা খারাপ তা সম্পর্কে পুরোপুরি সচেতন, আমি সপ্তাহে প্রায় ২,৮০০ মিলিগ্রাম পান করি এবং আমার কেবল বিরক্তিকর বোধ হয়। যদি এক বা দুই দিনের মধ্যে আমি ক্যাফিন না খাই, তা"&amp;"হলে আমার তীব্র প্রত্যাহারের সমস্যা হয় এবং আমি স্কুলে যাই, যা আমার কাঁপুনি এবং মনোযোগ এবং উদ্বেগ আরও বেড়ে গেলে পরিস্থিতি আরও খারাপ করে তোলে। আমি অনেক মদ্যপান বন্ধ করার চেষ্টা করেছি, কিন্তু প্রত্যাহারের কারণে আমি বৈধভাবেই পারছি না। আমার বাবা-মা জানেন না, "&amp;"এবং তারা কখনও আমার মানসিক বা শারীরিক স্বাস্থ্যের বিষয়ে খুব বেশি চিন্তা করেননি, তাই আমি নিশ্চিতভাবে জানি যে তারা এটি কতটা গুরুতর হতে পারে তা বিবেচনা করবেন না। এখন আমার যে পরামর্শটি সত্যিই প্রয়োজন তা হল কীভাবে নিজেকে এত বেশি মদ্যপান না করতে বাধ্য করা যায়"&amp;", অথবা হয়তো কীভাবে কম পান করা যায়। আমি চেষ্টা করেছি কিন্তু প্রত্যাহার যখন আঘাত করে তখন এটি এত খারাপ হয়ে যায় এবং আমি ভয় পাই যে আমি সত্যিই অসুস্থ হয়ে পড়ব। আমি অতীতে আমার বাবাকে অ্যালকোহল এবং মাদক প্রত্যাহারের মধ্য দিয়ে যেতে দেখেছি, খিঁচুনি, খিঁচুনি "&amp;"এবং বমি সহ এবং আমি তা চাই না। যদি কারো কাছে এই বিষয়ে পরামর্শ থাকে যে আমি কীভাবে নিজেকে এই সমস্যা থেকে মুক্তি দিতে পারি দয়া করে আমাকে জানান।")</f>
        <v>শুনতে খারাপ না লাগলেও, আমার খুব খারাপ লাগছে। আমার বয়স ১৮ এবং আমি বুঝতে পারছি যে আমি ক্যাফিনের আসক্তির সাথে লড়াই করছি। প্রথমেই আমার কিছু জিনিস ভাবা উচিত ছিল, প্রধানটি হল ক্যাফিন / সত্যিই একটি গুরুতর আসক্তি হতে পারে / এবং এতে ভয়াবহ প্রত্যাহার হতে পারে। দ্বিতীয়ত, আমি বলতে চাই যে আমার পরিবারে আসক্তি রয়েছে, MDD এবং BPD এর সাথে, যা আমাকে প্রায়শই বলা হয়েছে যে লোকেরা মাদক এবং/অথবা অ্যালকোহলের অপব্যবহার করে। আমি ইতিমধ্যেই ক্রাইসিস ইউনিটে গিয়েছি এবং আমি বছরের পর বছর ধরে ওষুধ খাচ্ছি, ডোজ এবং ওষুধের প্রেসক্রিপশনের মাধ্যমে সেগুলি পরিবর্তন করা হচ্ছে, এবং কিছুই কাজ করছে বলে মনে হচ্ছে না। আমি এই বিষয়টি তুলে ধরার কারণ হল আমার মানসিক স্বাস্থ্য কখনও উন্নত হয়নি, তাই আমি এমন কিছু খুঁজে বের করার চেষ্টা করছি যা সহজেই অ্যাক্সেস করা যায় এবং নিজেকে কিছুটা হারিয়ে ফেলা যায়। আমি জানি না কেন আমি একদিনে এত বেশি ক্যাফিন পান করা কতটা খারাপ তা নিয়ে ভাবিনি। আমি এটি কতটা খারাপ তা সম্পর্কে পুরোপুরি সচেতন, আমি সপ্তাহে প্রায় ২,৮০০ মিলিগ্রাম পান করি এবং আমার কেবল বিরক্তিকর বোধ হয়। যদি এক বা দুই দিনের মধ্যে আমি ক্যাফিন না খাই, তাহলে আমার তীব্র প্রত্যাহারের সমস্যা হয় এবং আমি স্কুলে যাই, যা আমার কাঁপুনি এবং মনোযোগ এবং উদ্বেগ আরও বেড়ে গেলে পরিস্থিতি আরও খারাপ করে তোলে। আমি অনেক মদ্যপান বন্ধ করার চেষ্টা করেছি, কিন্তু প্রত্যাহারের কারণে আমি বৈধভাবেই পারছি না। আমার বাবা-মা জানেন না, এবং তারা কখনও আমার মানসিক বা শারীরিক স্বাস্থ্যের বিষয়ে খুব বেশি চিন্তা করেননি, তাই আমি নিশ্চিতভাবে জানি যে তারা এটি কতটা গুরুতর হতে পারে তা বিবেচনা করবেন না। এখন আমার যে পরামর্শটি সত্যিই প্রয়োজন তা হল কীভাবে নিজেকে এত বেশি মদ্যপান না করতে বাধ্য করা যায়, অথবা হয়তো কীভাবে কম পান করা যায়। আমি চেষ্টা করেছি কিন্তু প্রত্যাহার যখন আঘাত করে তখন এটি এত খারাপ হয়ে যায় এবং আমি ভয় পাই যে আমি সত্যিই অসুস্থ হয়ে পড়ব। আমি অতীতে আমার বাবাকে অ্যালকোহল এবং মাদক প্রত্যাহারের মধ্য দিয়ে যেতে দেখেছি, খিঁচুনি, খিঁচুনি এবং বমি সহ এবং আমি তা চাই না। যদি কারো কাছে এই বিষয়ে পরামর্শ থাকে যে আমি কীভাবে নিজেকে এই সমস্যা থেকে মুক্তি দিতে পারি দয়া করে আমাকে জানান।</v>
      </c>
    </row>
    <row r="946" spans="1:3" ht="15" x14ac:dyDescent="0.25">
      <c r="A946" s="3" t="s">
        <v>942</v>
      </c>
      <c r="B946" s="3" t="s">
        <v>4</v>
      </c>
      <c r="C946" s="4" t="str">
        <f ca="1">IFERROR(__xludf.DUMMYFUNCTION("GOOGLETRANSLATE(A946, ""auto"", ""bn"")"),"যখন আমি শান্ত থাকি, তখন আমার অতীতের ভুলগুলো নিয়ে আমার তীব্র উদ্বেগ থাকে এবং আমি সেগুলো কাটিয়ে উঠতে এবং তা কাটিয়ে উঠতে পারি না। এটি আমাকে প্রতিদিন জীবন্তভাবে গ্রাস করে। আমি ওয়েলবুট্রিন খাচ্ছি এবং সম্প্রতি আমার ডোজ বেড়ে গেছে এবং লক্ষ্য করেছি যে সকাল থে"&amp;"কে বিছানা পর্যন্ত আমার উদ্বেগ ছাদ ছাড়িয়ে যায়, কখনও কখনও আমি এর কারণে ঘুমাতে পারি না। (এখনকার মতো) আমি একজন মাদকাসক্ত এবং মদ্যপ এবং প্রথমবারের মতো তাদের থেকে দূরে থাকার চেষ্টা করছি এবং এখন আসলে ""অনুভূতি"" করতে হচ্ছে আমার অনুভূতি যা আমাকে ভয় দেখায় এবং"&amp;" সবকিছুকে আরও কঠিন করে তোলে। আমি আমার ডাক্তারের সাথে কথা বলেছি, এবং তিনি আমার ওষুধের তালিকায় পেলকে যুক্ত করার চেষ্টা করছেন এবং পর্যালোচনা করার পরে, আমি এটি চাই না। মনে হচ্ছে কিছুই এই উদ্বেগ থামাতে যাচ্ছে না এবং থেরাপিস্ট এবং গোষ্ঠীগুলি আমার কোনও উপকার কর"&amp;"ছে না। আমি আগে কখনও রেডিট দেখিনি এবং এখন আমি এখানে আছি তাই স্পষ্টতই এটি আমার জীবনকে প্রভাবিত করছে।")</f>
        <v>যখন আমি শান্ত থাকি, তখন আমার অতীতের ভুলগুলো নিয়ে আমার তীব্র উদ্বেগ থাকে এবং আমি সেগুলো কাটিয়ে উঠতে এবং তা কাটিয়ে উঠতে পারি না। এটি আমাকে প্রতিদিন জীবন্তভাবে গ্রাস করে। আমি ওয়েলবুট্রিন খাচ্ছি এবং সম্প্রতি আমার ডোজ বেড়ে গেছে এবং লক্ষ্য করেছি যে সকাল থেকে বিছানা পর্যন্ত আমার উদ্বেগ ছাদ ছাড়িয়ে যায়, কখনও কখনও আমি এর কারণে ঘুমাতে পারি না। (এখনকার মতো) আমি একজন মাদকাসক্ত এবং মদ্যপ এবং প্রথমবারের মতো তাদের থেকে দূরে থাকার চেষ্টা করছি এবং এখন আসলে "অনুভূতি" করতে হচ্ছে আমার অনুভূতি যা আমাকে ভয় দেখায় এবং সবকিছুকে আরও কঠিন করে তোলে। আমি আমার ডাক্তারের সাথে কথা বলেছি, এবং তিনি আমার ওষুধের তালিকায় পেলকে যুক্ত করার চেষ্টা করছেন এবং পর্যালোচনা করার পরে, আমি এটি চাই না। মনে হচ্ছে কিছুই এই উদ্বেগ থামাতে যাচ্ছে না এবং থেরাপিস্ট এবং গোষ্ঠীগুলি আমার কোনও উপকার করছে না। আমি আগে কখনও রেডিট দেখিনি এবং এখন আমি এখানে আছি তাই স্পষ্টতই এটি আমার জীবনকে প্রভাবিত করছে।</v>
      </c>
    </row>
    <row r="947" spans="1:3" ht="15" x14ac:dyDescent="0.25">
      <c r="A947" s="3" t="s">
        <v>943</v>
      </c>
      <c r="B947" s="3" t="s">
        <v>4</v>
      </c>
      <c r="C947" s="4" t="str">
        <f ca="1">IFERROR(__xludf.DUMMYFUNCTION("GOOGLETRANSLATE(A947, ""auto"", ""bn"")"),"কয়েক রাত আগে আমি (F18) জানতে পারি যে আমার ১০ মাসের বয়ফ্রেন্ড (M18) আবারও মাদকাসক্ত হয়ে পড়েছে এবং ৭ মাস ধরে প্রতিদিন ১-৫ শতাংশ ধূমপান করছে। বুকে একটা বড় আঘাত। সে নিজেই আমাকে বলেছিল এবং নিজেই পুনর্বাসনে যেতে চেয়েছিল। সবাই বলে যে সে খুব খারাপ অবস্থায় "&amp;"পৌঁছেছে এবং সে এর জন্য প্রস্তুত, কিন্তু আমি ইতিমধ্যেই আমার জীবনে তিনজনকে এই একই মাদকাসক্তির কারণে মারা যেতে দেখেছি। তাদের বেশিরভাগই পুনর্বাসন থেকে ফিরে আসার পরে মারা যায়। আমি তাকে হারাতে পারি না। আমি অনেক আবেগ, অনেক দুঃখ, অপরাধবোধ, বিভ্রান্তি, ভয় অনুভব "&amp;"করছি। তাছাড়া, আমি তার পাশে থাকতে চাই, কিন্তু আমি নিজের যত্নও নিতে চাই। একই সাথে দুটো কীভাবে করতে পারি সে সম্পর্কে কারো কি কোন পরামর্শ আছে? আমি তাকে দেখাতে চাই না যে আমি কতটা কষ্ট পাচ্ছি, আমি আমার সম্পর্কে এই পরিস্থিতি তৈরি করতে চাই না। আমি এখনও অনেক ছোট,"&amp;" এটি বাস্তব জীবনের একটি নতুন অভিজ্ঞতা। এটি নরকের মতো ব্যথা করে। মিথ্যাচার এবং বিশ্বাসঘাতকতাই কষ্ট দেয়, আসক্তি নয়। ২৯ দিনের মধ্যে তার চিকিৎসা শেষ হয়ে যায়। এই পরিস্থিতি থেকে তাকে সাহায্য করার জন্য যদি আপনার কোন জীবন পরামর্শ বা পরামর্শ থাকে, তাহলে দয়া ক"&amp;"রে মন্তব্য করতে দ্বিধা করবেন না। আমার যতটা সম্ভব সাহায্যের প্রয়োজন।")</f>
        <v>কয়েক রাত আগে আমি (F18) জানতে পারি যে আমার ১০ মাসের বয়ফ্রেন্ড (M18) আবারও মাদকাসক্ত হয়ে পড়েছে এবং ৭ মাস ধরে প্রতিদিন ১-৫ শতাংশ ধূমপান করছে। বুকে একটা বড় আঘাত। সে নিজেই আমাকে বলেছিল এবং নিজেই পুনর্বাসনে যেতে চেয়েছিল। সবাই বলে যে সে খুব খারাপ অবস্থায় পৌঁছেছে এবং সে এর জন্য প্রস্তুত, কিন্তু আমি ইতিমধ্যেই আমার জীবনে তিনজনকে এই একই মাদকাসক্তির কারণে মারা যেতে দেখেছি। তাদের বেশিরভাগই পুনর্বাসন থেকে ফিরে আসার পরে মারা যায়। আমি তাকে হারাতে পারি না। আমি অনেক আবেগ, অনেক দুঃখ, অপরাধবোধ, বিভ্রান্তি, ভয় অনুভব করছি। তাছাড়া, আমি তার পাশে থাকতে চাই, কিন্তু আমি নিজের যত্নও নিতে চাই। একই সাথে দুটো কীভাবে করতে পারি সে সম্পর্কে কারো কি কোন পরামর্শ আছে? আমি তাকে দেখাতে চাই না যে আমি কতটা কষ্ট পাচ্ছি, আমি আমার সম্পর্কে এই পরিস্থিতি তৈরি করতে চাই না। আমি এখনও অনেক ছোট, এটি বাস্তব জীবনের একটি নতুন অভিজ্ঞতা। এটি নরকের মতো ব্যথা করে। মিথ্যাচার এবং বিশ্বাসঘাতকতাই কষ্ট দেয়, আসক্তি নয়। ২৯ দিনের মধ্যে তার চিকিৎসা শেষ হয়ে যায়। এই পরিস্থিতি থেকে তাকে সাহায্য করার জন্য যদি আপনার কোন জীবন পরামর্শ বা পরামর্শ থাকে, তাহলে দয়া করে মন্তব্য করতে দ্বিধা করবেন না। আমার যতটা সম্ভব সাহায্যের প্রয়োজন।</v>
      </c>
    </row>
    <row r="948" spans="1:3" ht="15" x14ac:dyDescent="0.25">
      <c r="A948" s="3" t="s">
        <v>944</v>
      </c>
      <c r="B948" s="3" t="s">
        <v>4</v>
      </c>
      <c r="C948" s="4" t="str">
        <f ca="1">IFERROR(__xludf.DUMMYFUNCTION("GOOGLETRANSLATE(A948, ""auto"", ""bn"")"),"আমি কীভাবে থামাবো? মেথের বিকৃত আনন্দের জন্য আমি এতে আসক্ত। এই মাদকের কোনও ভালো দিক নেই। আমি আমার বান্ধবীর সাথে প্রতারণা করি না। আমি কেবল হস্তমৈথুন করার জন্য মেথ ব্যবহার করি। কেউ কি কখনও এই অভিজ্ঞতার সম্মুখীন হয়েছে?")</f>
        <v>আমি কীভাবে থামাবো? মেথের বিকৃত আনন্দের জন্য আমি এতে আসক্ত। এই মাদকের কোনও ভালো দিক নেই। আমি আমার বান্ধবীর সাথে প্রতারণা করি না। আমি কেবল হস্তমৈথুন করার জন্য মেথ ব্যবহার করি। কেউ কি কখনও এই অভিজ্ঞতার সম্মুখীন হয়েছে?</v>
      </c>
    </row>
    <row r="949" spans="1:3" ht="15" x14ac:dyDescent="0.25">
      <c r="A949" s="3" t="s">
        <v>945</v>
      </c>
      <c r="B949" s="3" t="s">
        <v>4</v>
      </c>
      <c r="C949" s="4" t="str">
        <f ca="1">IFERROR(__xludf.DUMMYFUNCTION("GOOGLETRANSLATE(A949, ""auto"", ""bn"")"),"বেনজোডিয়াজেপাইন কি ওপিওয়েড প্রত্যাহারে সাহায্য করতে পারে? বর্তমানে প্রতিদিন ২০ মিলিগ্রাম নরকোর মাত্রা কমানোর চেষ্টা করছি। আমি আসলে অসুস্থ বোধ করতে চাই না কারণ আমি আমার বৃদ্ধ বাবার যত্ন নিই। ২৬ বছর বয়সে বাবা-মায়ের বীমা থেকে বাদ পড়ার পর থেকে ডাক্তারের "&amp;"কাছে যাওয়া কোনও বিকল্প নয়। যে কারণে আমি এই পরিস্থিতিতে আছি। যেকোনো পরামর্শ পেলে উপকৃত হব।")</f>
        <v>বেনজোডিয়াজেপাইন কি ওপিওয়েড প্রত্যাহারে সাহায্য করতে পারে? বর্তমানে প্রতিদিন ২০ মিলিগ্রাম নরকোর মাত্রা কমানোর চেষ্টা করছি। আমি আসলে অসুস্থ বোধ করতে চাই না কারণ আমি আমার বৃদ্ধ বাবার যত্ন নিই। ২৬ বছর বয়সে বাবা-মায়ের বীমা থেকে বাদ পড়ার পর থেকে ডাক্তারের কাছে যাওয়া কোনও বিকল্প নয়। যে কারণে আমি এই পরিস্থিতিতে আছি। যেকোনো পরামর্শ পেলে উপকৃত হব।</v>
      </c>
    </row>
    <row r="950" spans="1:3" ht="15" x14ac:dyDescent="0.25">
      <c r="A950" s="3" t="s">
        <v>946</v>
      </c>
      <c r="B950" s="3" t="s">
        <v>4</v>
      </c>
      <c r="C950" s="4" t="str">
        <f ca="1">IFERROR(__xludf.DUMMYFUNCTION("GOOGLETRANSLATE(A950, ""auto"", ""bn"")"),"এটা একটা অপ্রচলিত গল্প। কেউ উদ্দীপকের প্রতি আসক্ত কিনা তা কীভাবে বুঝবেন? আমাকে বলা হয়েছে যে আমি সুস্থ এবং সরল, কিন্তু আমার মনে হয় আমার সাম্প্রতিক অনলাইন ডেট মেথের উপর হতে পারে? আমি অনলাইনে দেখেছি এবং বলতে পারছি না। তাছাড়া, আমার পরামর্শের প্রয়োজন। এখান"&amp;"ে সূত্রগুলি দেওয়া হল: দাঁতগুলি খারাপ, বিশেষ করে পিছনে কালো জিনিস। সামনের দিকে একটি ভেঙে গেছে। আমরা তরুণ নই, তাই নিশ্চিত নই যে এটি কেবল বয়স বাড়ছে কিনা? যদিও আমার দাঁতগুলি বেশ সুন্দর। মাঝে মাঝে সারা রাত জেগে থাকে কিন্তু ঘুমিয়ে পড়ে। একজন শিল্পী, তাই হয়"&amp;"তো এটাই কাজ করার সেরা সময়? যখন আমি বললাম যে আমার অ্যাডেরাল আছে তখন খুব আগ্রহী হয়ে উঠলাম। বললো তাদের নিজস্ব ADD-তে সাহায্য করতে পারে। আমি একটি অফার করেছি, তারপর তারা দুটি চেয়েছে। ঠিক আছে। তারপর বললো তারা একটি হারিয়েছে। ত্বকে কোনও পিক মার্ক নেই। আমি পড়"&amp;"ছি কিন্তু যথেষ্ট জানি না")</f>
        <v>এটা একটা অপ্রচলিত গল্প। কেউ উদ্দীপকের প্রতি আসক্ত কিনা তা কীভাবে বুঝবেন? আমাকে বলা হয়েছে যে আমি সুস্থ এবং সরল, কিন্তু আমার মনে হয় আমার সাম্প্রতিক অনলাইন ডেট মেথের উপর হতে পারে? আমি অনলাইনে দেখেছি এবং বলতে পারছি না। তাছাড়া, আমার পরামর্শের প্রয়োজন। এখানে সূত্রগুলি দেওয়া হল: দাঁতগুলি খারাপ, বিশেষ করে পিছনে কালো জিনিস। সামনের দিকে একটি ভেঙে গেছে। আমরা তরুণ নই, তাই নিশ্চিত নই যে এটি কেবল বয়স বাড়ছে কিনা? যদিও আমার দাঁতগুলি বেশ সুন্দর। মাঝে মাঝে সারা রাত জেগে থাকে কিন্তু ঘুমিয়ে পড়ে। একজন শিল্পী, তাই হয়তো এটাই কাজ করার সেরা সময়? যখন আমি বললাম যে আমার অ্যাডেরাল আছে তখন খুব আগ্রহী হয়ে উঠলাম। বললো তাদের নিজস্ব ADD-তে সাহায্য করতে পারে। আমি একটি অফার করেছি, তারপর তারা দুটি চেয়েছে। ঠিক আছে। তারপর বললো তারা একটি হারিয়েছে। ত্বকে কোনও পিক মার্ক নেই। আমি পড়ছি কিন্তু যথেষ্ট জানি না</v>
      </c>
    </row>
    <row r="951" spans="1:3" ht="15" x14ac:dyDescent="0.25">
      <c r="A951" s="3" t="s">
        <v>947</v>
      </c>
      <c r="B951" s="3" t="s">
        <v>4</v>
      </c>
      <c r="C951" s="4" t="str">
        <f ca="1">IFERROR(__xludf.DUMMYFUNCTION("GOOGLETRANSLATE(A951, ""auto"", ""bn"")"),"আমার বিষণ্ণতা আমার আসক্তিকে আরও বাড়িয়ে তোলে। আমার সাহায্যের প্রয়োজন। গত রাতে আমার বন্ধু ও.ডি.। আগুনে পুড়ে যাওয়ার আরেকটি কারণ। আমি নেতিবাচক চিন্তাভাবনা ঝেড়ে ফেলতে পারছি না, তাই আমি আমার নতুন প্রেমের সূত্রপাত করি। সে ব্যথা দূর করে। পরিস্থিতি আরও খারাপ"&amp;" হচ্ছে.... আমি শুনি এবং সমস্ত পরামর্শ গ্রহণ করি। আমি আপনার মতো লোকদের কাছ থেকে শিখি। আপনি যদি এটি পড়ছেন তবে আমার আপনার চিন্তাভাবনা প্রয়োজন। আপনি কীভাবে নিজেকে এই পুরো থেকে বের করে আনবেন? দয়া করে।")</f>
        <v>আমার বিষণ্ণতা আমার আসক্তিকে আরও বাড়িয়ে তোলে। আমার সাহায্যের প্রয়োজন। গত রাতে আমার বন্ধু ও.ডি.। আগুনে পুড়ে যাওয়ার আরেকটি কারণ। আমি নেতিবাচক চিন্তাভাবনা ঝেড়ে ফেলতে পারছি না, তাই আমি আমার নতুন প্রেমের সূত্রপাত করি। সে ব্যথা দূর করে। পরিস্থিতি আরও খারাপ হচ্ছে.... আমি শুনি এবং সমস্ত পরামর্শ গ্রহণ করি। আমি আপনার মতো লোকদের কাছ থেকে শিখি। আপনি যদি এটি পড়ছেন তবে আমার আপনার চিন্তাভাবনা প্রয়োজন। আপনি কীভাবে নিজেকে এই পুরো থেকে বের করে আনবেন? দয়া করে।</v>
      </c>
    </row>
    <row r="952" spans="1:3" ht="15" x14ac:dyDescent="0.25">
      <c r="A952" s="3" t="s">
        <v>948</v>
      </c>
      <c r="B952" s="3" t="s">
        <v>4</v>
      </c>
      <c r="C952" s="4" t="str">
        <f ca="1">IFERROR(__xludf.DUMMYFUNCTION("GOOGLETRANSLATE(A952, ""auto"", ""bn"")"),"আমার সঙ্গী বর্তমানে ওপিওয়েড ব্যবহার থেকে বিরত থাকার জন্য সাবক্সোন নিচ্ছে। আমার প্রশ্ন হল, সে কি Kr atom গ্রহণ করলে সাবক্সোনের উপর কোন প্রভাব পড়বে? যেকোনো সাহায্যের জন্য কৃতজ্ঞ থাকবো। ধন্যবাদ।")</f>
        <v>আমার সঙ্গী বর্তমানে ওপিওয়েড ব্যবহার থেকে বিরত থাকার জন্য সাবক্সোন নিচ্ছে। আমার প্রশ্ন হল, সে কি Kr atom গ্রহণ করলে সাবক্সোনের উপর কোন প্রভাব পড়বে? যেকোনো সাহায্যের জন্য কৃতজ্ঞ থাকবো। ধন্যবাদ।</v>
      </c>
    </row>
    <row r="953" spans="1:3" ht="15" x14ac:dyDescent="0.25">
      <c r="A953" s="3" t="s">
        <v>949</v>
      </c>
      <c r="B953" s="3" t="s">
        <v>4</v>
      </c>
      <c r="C953" s="4" t="str">
        <f ca="1">IFERROR(__xludf.DUMMYFUNCTION("GOOGLETRANSLATE(A953, ""auto"", ""bn"")"),"আমি কখনো এরকম কিছুর সম্মুখীন হইনি, এবং আমি সম্পূর্ণ অসহায়। স্বীকার করতেই হবে যে আমি কিছুটা আশ্রয় পেয়েছি, তাই বেশিরভাগ আসক্তি সম্পর্কে আমি কিছুই জানি না। আমার স্বামী ৩ বছর ধরে অফ হিরোইন (আমি খুব গর্বিত!) কিন্তু সম্প্রতি আমি তাকে ব্যবহার করতে দেখেছিলাম। "&amp;"সে পরিষ্কার হয়ে গেল এবং ভেঙে পড়ল এবং আমাকে বলল যে সে পরিষ্কার থাকতে চায়। সে একজন মৌসুমী কর্মী তাই এখন সে অফ আছে এবং তার কিছুই করার নেই, এবং এটি পরিস্থিতি আরও খারাপ করে তুলছে! এর বাইরে, আমি ব্যক্তিগতভাবে মনে করি না যে আমি তাকে বিশ্বাস করতে পারি। আমি এতট"&amp;"াই চাপে আছি যে আমার মনে হয় আমাকে সবসময় তার সাথে থাকতে হবে। তবে, আমার মনে হয় আমি তার জন্য পরিষ্কার থাকতে চাই না। আমরা মানসিক স্বাস্থ্য সহায়তা বহন করতে পারি না, আমি কেবল সম্পূর্ণরূপে হারিয়ে গেছি। আমি এতটাই ভয় পেয়ে গেছি যে আমি তার ফোন চেক করছি (যা আমরা "&amp;"দুজনেই প্রথমে ঠিক বলেছিলাম, এবং যখনই/যদিও আমার এটা করা উচিত বলে মনে হয়, সে আমার ফোনে ১০০% অ্যাক্সেসের অনুমতি দিয়েছে) এবং এখন আমি দেখতে পাচ্ছি যে সে না ধোয়া পোস্ত বীজের খোঁজ করছে।")</f>
        <v>আমি কখনো এরকম কিছুর সম্মুখীন হইনি, এবং আমি সম্পূর্ণ অসহায়। স্বীকার করতেই হবে যে আমি কিছুটা আশ্রয় পেয়েছি, তাই বেশিরভাগ আসক্তি সম্পর্কে আমি কিছুই জানি না। আমার স্বামী ৩ বছর ধরে অফ হিরোইন (আমি খুব গর্বিত!) কিন্তু সম্প্রতি আমি তাকে ব্যবহার করতে দেখেছিলাম। সে পরিষ্কার হয়ে গেল এবং ভেঙে পড়ল এবং আমাকে বলল যে সে পরিষ্কার থাকতে চায়। সে একজন মৌসুমী কর্মী তাই এখন সে অফ আছে এবং তার কিছুই করার নেই, এবং এটি পরিস্থিতি আরও খারাপ করে তুলছে! এর বাইরে, আমি ব্যক্তিগতভাবে মনে করি না যে আমি তাকে বিশ্বাস করতে পারি। আমি এতটাই চাপে আছি যে আমার মনে হয় আমাকে সবসময় তার সাথে থাকতে হবে। তবে, আমার মনে হয় আমি তার জন্য পরিষ্কার থাকতে চাই না। আমরা মানসিক স্বাস্থ্য সহায়তা বহন করতে পারি না, আমি কেবল সম্পূর্ণরূপে হারিয়ে গেছি। আমি এতটাই ভয় পেয়ে গেছি যে আমি তার ফোন চেক করছি (যা আমরা দুজনেই প্রথমে ঠিক বলেছিলাম, এবং যখনই/যদিও আমার এটা করা উচিত বলে মনে হয়, সে আমার ফোনে ১০০% অ্যাক্সেসের অনুমতি দিয়েছে) এবং এখন আমি দেখতে পাচ্ছি যে সে না ধোয়া পোস্ত বীজের খোঁজ করছে।</v>
      </c>
    </row>
    <row r="954" spans="1:3" ht="15" x14ac:dyDescent="0.25">
      <c r="A954" s="3" t="s">
        <v>950</v>
      </c>
      <c r="B954" s="3" t="s">
        <v>4</v>
      </c>
      <c r="C954" s="4" t="str">
        <f ca="1">IFERROR(__xludf.DUMMYFUNCTION("GOOGLETRANSLATE(A954, ""auto"", ""bn"")"),"আমার নাম ড্যারেন, আমি ১৫ বছর বয়সী হাই স্কুলের ছাত্র, সম্প্রতি এমন কিছু দেখেছি, যা আমি কখনও ভাবিনি, আমার নিজের বাবা আবারও কঠোর মাদক ব্যবহার করবেন। ছোটবেলা থেকেই আমার চারপাশে এমন মানুষ থাকত যারা বিভিন্ন ধরণের নেশাজাতীয় দ্রব্য ব্যবহার করত, এবং সেই কারণে, আ"&amp;"মার নিজের অভ্যাসের মধ্যে (আমি গাঁজা ধূমপান করতাম), আমি তাৎক্ষণিকভাবে বলতে পারতাম যে এটি গাঁজা ফুলের জন্য জলের পাইপ নয়, বরং এটি একটি তেল পোড়ানোর পাইপ ছিল, যা সাধারণত মেথামফেটামিন বা ক্র্যাক কোকেন ধূমপানের অনুশীলনে ব্যবহৃত হয়। যাইহোক, আমি তার মুখোমুখি হব"&amp;" কিনা তা নিয়ে দ্বিধাগ্রস্ত, কারণ আমি পুলিশকে জড়িত করতে চাই না, এবং আমি কেবল তার বান্ধবীকে সেই সময় এটি করতে দেখেছি, সে ঘুমিয়ে ছিল। ক্র্যাক এবং মেথের ভিন্ন মানসিক উচ্চতার কারণে, আমি সিদ্ধান্ত নিয়েছিলাম যে এটি সম্ভবত মেথ ছিল, কারণ সে মোচড় দিত না, বা (ট"&amp;"ুইকিং) যা সাধারণত বলা হয়, আমি এর জন্য অন্য কোনও শব্দ খুঁজে পাচ্ছি না। আমি একই রকম অবস্থানে থাকা কারও কাছ থেকে প্রতিক্রিয়া পেতে চাই, আমি চাই আমার বাবা আমার ধারণার চেয়ে বেশি দিন বেঁচে থাকুক।")</f>
        <v>আমার নাম ড্যারেন, আমি ১৫ বছর বয়সী হাই স্কুলের ছাত্র, সম্প্রতি এমন কিছু দেখেছি, যা আমি কখনও ভাবিনি, আমার নিজের বাবা আবারও কঠোর মাদক ব্যবহার করবেন। ছোটবেলা থেকেই আমার চারপাশে এমন মানুষ থাকত যারা বিভিন্ন ধরণের নেশাজাতীয় দ্রব্য ব্যবহার করত, এবং সেই কারণে, আমার নিজের অভ্যাসের মধ্যে (আমি গাঁজা ধূমপান করতাম), আমি তাৎক্ষণিকভাবে বলতে পারতাম যে এটি গাঁজা ফুলের জন্য জলের পাইপ নয়, বরং এটি একটি তেল পোড়ানোর পাইপ ছিল, যা সাধারণত মেথামফেটামিন বা ক্র্যাক কোকেন ধূমপানের অনুশীলনে ব্যবহৃত হয়। যাইহোক, আমি তার মুখোমুখি হব কিনা তা নিয়ে দ্বিধাগ্রস্ত, কারণ আমি পুলিশকে জড়িত করতে চাই না, এবং আমি কেবল তার বান্ধবীকে সেই সময় এটি করতে দেখেছি, সে ঘুমিয়ে ছিল। ক্র্যাক এবং মেথের ভিন্ন মানসিক উচ্চতার কারণে, আমি সিদ্ধান্ত নিয়েছিলাম যে এটি সম্ভবত মেথ ছিল, কারণ সে মোচড় দিত না, বা (টুইকিং) যা সাধারণত বলা হয়, আমি এর জন্য অন্য কোনও শব্দ খুঁজে পাচ্ছি না। আমি একই রকম অবস্থানে থাকা কারও কাছ থেকে প্রতিক্রিয়া পেতে চাই, আমি চাই আমার বাবা আমার ধারণার চেয়ে বেশি দিন বেঁচে থাকুক।</v>
      </c>
    </row>
    <row r="955" spans="1:3" ht="15" x14ac:dyDescent="0.25">
      <c r="A955" s="3" t="s">
        <v>951</v>
      </c>
      <c r="B955" s="3" t="s">
        <v>4</v>
      </c>
      <c r="C955" s="4" t="str">
        <f ca="1">IFERROR(__xludf.DUMMYFUNCTION("GOOGLETRANSLATE(A955, ""auto"", ""bn"")"),"আমি সত্যিই এমন কারো কাছ থেকে পরামর্শ চাই যিনি আগে এখানে এসেছেন। আমি প্রায় এক বছর আগে 7.5 মিলিগ্রাম অক্সিকোডোন খাওয়া শুরু করেছিলাম। তাছাড়া, আমি দীর্ঘস্থায়ী ব্যথার জন্য এটি গ্রহণ করেছি। আমার একটি দীর্ঘস্থায়ী অসুস্থতা আছে এবং আমি কষ্ট পেতে করতে ক্লান্ত "&amp;"হয়ে পড়েছি। তাছাড়া, আমি কখনও এটির অপব্যবহার করিনি। আমি সেদিন ব্যথার মাত্রার উপর নির্ভর করে প্রতিদিন 15-30 মিলিগ্রাম পর্যন্ত খেয়েছিলাম। তাছাড়া, আমি 11 দিন আগে ঠান্ডা টার্কি খাওয়া বন্ধ করে দিয়েছিলাম, এবং আমি মানসিকভাবে বেশ খারাপ বোধ করছি। মেজাজ খারাপ "&amp;"এবং খারাপ, ভয়ানক উদ্বেগ। আমার উদ্বেগ হল আমি একটি আসক্তি তৈরি করেছি অথবা এমন কিছু যা আমাকে চিরকালের জন্য মোকাবেলা করতে হবে অথবা এমন কিছু যা আমি সত্যিই ভয় পাই কারণ আমার সুস্থ বোধ করার জন্য এটি গ্রহণ করার তীব্র আকাঙ্ক্ষা আছে। আমি কি অবশেষে সুস্থ হয়ে উঠব এ"&amp;"বং স্বাভাবিক জীবনে ফিরে আসব?")</f>
        <v>আমি সত্যিই এমন কারো কাছ থেকে পরামর্শ চাই যিনি আগে এখানে এসেছেন। আমি প্রায় এক বছর আগে 7.5 মিলিগ্রাম অক্সিকোডোন খাওয়া শুরু করেছিলাম। তাছাড়া, আমি দীর্ঘস্থায়ী ব্যথার জন্য এটি গ্রহণ করেছি। আমার একটি দীর্ঘস্থায়ী অসুস্থতা আছে এবং আমি কষ্ট পেতে করতে ক্লান্ত হয়ে পড়েছি। তাছাড়া, আমি কখনও এটির অপব্যবহার করিনি। আমি সেদিন ব্যথার মাত্রার উপর নির্ভর করে প্রতিদিন 15-30 মিলিগ্রাম পর্যন্ত খেয়েছিলাম। তাছাড়া, আমি 11 দিন আগে ঠান্ডা টার্কি খাওয়া বন্ধ করে দিয়েছিলাম, এবং আমি মানসিকভাবে বেশ খারাপ বোধ করছি। মেজাজ খারাপ এবং খারাপ, ভয়ানক উদ্বেগ। আমার উদ্বেগ হল আমি একটি আসক্তি তৈরি করেছি অথবা এমন কিছু যা আমাকে চিরকালের জন্য মোকাবেলা করতে হবে অথবা এমন কিছু যা আমি সত্যিই ভয় পাই কারণ আমার সুস্থ বোধ করার জন্য এটি গ্রহণ করার তীব্র আকাঙ্ক্ষা আছে। আমি কি অবশেষে সুস্থ হয়ে উঠব এবং স্বাভাবিক জীবনে ফিরে আসব?</v>
      </c>
    </row>
    <row r="956" spans="1:3" ht="15" x14ac:dyDescent="0.25">
      <c r="A956" s="3" t="s">
        <v>952</v>
      </c>
      <c r="B956" s="3" t="s">
        <v>4</v>
      </c>
      <c r="C956" s="4" t="str">
        <f ca="1">IFERROR(__xludf.DUMMYFUNCTION("GOOGLETRANSLATE(A956, ""auto"", ""bn"")"),"৪-৫ মাস আগে যখন সে প্রতিদিন কোডিন খাওয়া শুরু করেছিল, তখন তার মাত্রা ছিল মাত্র ১০০-২০০ মিলিগ্রাম, কিন্তু কয়েক সপ্তাহ আগে তার মাত্রা বেড়ে যাওয়ার মতো অবস্থা হয়েছিল, প্রায় ৪০০-৫০০ মিলিগ্রাম। আমি তাকে ছেড়ে দেওয়ার অনেক কারণ বলেছিলাম, অথবা ছেড়ে দেওয়া শ"&amp;"ুরু করেছিলাম। সে আবার প্রতিদিন ১০০-২০০ মিলিগ্রাম কোডিন খেতে শুরু করে, কিন্তু আবারও খারাপ হচ্ছে। তাকে সাহায্য করার জন্য আমার কোন ধারণা নেই। সে শুরু করার কারণ হল, তার বান্ধবী তাকে প্রচুর নিয়ন্ত্রণ করতে শুরু করেছিল, কিন্তু সে শীঘ্রই মদ্যপান করছিল, সে সত্যিই"&amp;" রেগে গিয়েছিল এবং এখন সে তার কাছ থেকে এটি লুকিয়ে রেখেছে। দয়া করে রেডিটরস, আমার কিছু পরামর্শ দরকার, আমার কোন ধারণা নেই তবে আমি সত্যিই তাকে ছেড়ে দিতে সাহায্য করতে চাই (যদি সেও ছাড়তে চায়)।")</f>
        <v>৪-৫ মাস আগে যখন সে প্রতিদিন কোডিন খাওয়া শুরু করেছিল, তখন তার মাত্রা ছিল মাত্র ১০০-২০০ মিলিগ্রাম, কিন্তু কয়েক সপ্তাহ আগে তার মাত্রা বেড়ে যাওয়ার মতো অবস্থা হয়েছিল, প্রায় ৪০০-৫০০ মিলিগ্রাম। আমি তাকে ছেড়ে দেওয়ার অনেক কারণ বলেছিলাম, অথবা ছেড়ে দেওয়া শুরু করেছিলাম। সে আবার প্রতিদিন ১০০-২০০ মিলিগ্রাম কোডিন খেতে শুরু করে, কিন্তু আবারও খারাপ হচ্ছে। তাকে সাহায্য করার জন্য আমার কোন ধারণা নেই। সে শুরু করার কারণ হল, তার বান্ধবী তাকে প্রচুর নিয়ন্ত্রণ করতে শুরু করেছিল, কিন্তু সে শীঘ্রই মদ্যপান করছিল, সে সত্যিই রেগে গিয়েছিল এবং এখন সে তার কাছ থেকে এটি লুকিয়ে রেখেছে। দয়া করে রেডিটরস, আমার কিছু পরামর্শ দরকার, আমার কোন ধারণা নেই তবে আমি সত্যিই তাকে ছেড়ে দিতে সাহায্য করতে চাই (যদি সেও ছাড়তে চায়)।</v>
      </c>
    </row>
    <row r="957" spans="1:3" ht="15" x14ac:dyDescent="0.25">
      <c r="A957" s="3" t="s">
        <v>953</v>
      </c>
      <c r="B957" s="3" t="s">
        <v>4</v>
      </c>
      <c r="C957" s="4" t="str">
        <f ca="1">IFERROR(__xludf.DUMMYFUNCTION("GOOGLETRANSLATE(A957, ""auto"", ""bn"")"),"আমি ট্রামাডল ম্যাক্স ৮ মাস এবং সম্প্রতি এক মাস ধরে দু'বার সেরে উঠেছি। আমি আবারও ট্রামাডল ৫০০ মিলিগ্রাম ব্যবহার করছি, প্রায় ১২ দিন ধরে। তাছাড়া, আমি জানতে চাই যে আমি বন্ধ করলে কি প্রত্যাহার হবে এবং কীভাবে এটি আরও কঠোর করা যায়। রাগ/অপরাধবোধ/বিষণ্ণতা সামলা"&amp;"নোর কোন কৌশল আছে, সাধারণত অন্যদের কাছ থেকে (এবং আমি যা করেছি তার জন্য আমি তাদের দোষ দিচ্ছি না)। এবং আমি একটি অ্যান্টিসাইকোটিকও নিচ্ছি এবং স্ট্রেস ওসিডি পরিচালনার জন্য যদি এটি সাহায্য করে। এবং শেষ কথা হল ট্রামাডল ব্যবহার থেকে আমারও টিক্স তৈরি হয়েছে এবং আম"&amp;"ি জানি না কী করব।")</f>
        <v>আমি ট্রামাডল ম্যাক্স ৮ মাস এবং সম্প্রতি এক মাস ধরে দু'বার সেরে উঠেছি। আমি আবারও ট্রামাডল ৫০০ মিলিগ্রাম ব্যবহার করছি, প্রায় ১২ দিন ধরে। তাছাড়া, আমি জানতে চাই যে আমি বন্ধ করলে কি প্রত্যাহার হবে এবং কীভাবে এটি আরও কঠোর করা যায়। রাগ/অপরাধবোধ/বিষণ্ণতা সামলানোর কোন কৌশল আছে, সাধারণত অন্যদের কাছ থেকে (এবং আমি যা করেছি তার জন্য আমি তাদের দোষ দিচ্ছি না)। এবং আমি একটি অ্যান্টিসাইকোটিকও নিচ্ছি এবং স্ট্রেস ওসিডি পরিচালনার জন্য যদি এটি সাহায্য করে। এবং শেষ কথা হল ট্রামাডল ব্যবহার থেকে আমারও টিক্স তৈরি হয়েছে এবং আমি জানি না কী করব।</v>
      </c>
    </row>
    <row r="958" spans="1:3" ht="15" x14ac:dyDescent="0.25">
      <c r="A958" s="3" t="s">
        <v>954</v>
      </c>
      <c r="B958" s="3" t="s">
        <v>4</v>
      </c>
      <c r="C958" s="4" t="str">
        <f ca="1">IFERROR(__xludf.DUMMYFUNCTION("GOOGLETRANSLATE(A958, ""auto"", ""bn"")"),"আমার সবচেয়ে ভালো বন্ধু এখন একটা জটিল বিবাহবিচ্ছেদের মধ্য দিয়ে যাচ্ছে এবং বলছে যে সে এত চাপের মধ্যে আছে যে ঘুমাতে পারছে না তাই সে জ্যানাক্স খাচ্ছে। বছরের পর বছর ধরে, তাকে ওষুধটি প্রেসক্রিপশনে দেওয়া হয়েছিল, কিন্তু সে প্রায় কখনোই খায়নি। বরং, সে অনেক বছর ধর"&amp;"ে জ্যানাক্স মজুদ করে রেখেছিল - যদি আমার কখনও প্রয়োজন হয়? আমি জানি তার কাছে কিছু প্রেসক্রিপশন বোতল ছিল যা কমপক্ষে সাত বছরের পুরনো। আমি জানি না তার কাছে কত ছিল, তবে মনে হচ্ছে অনেক বেশি। যে ডাক্তার এগুলো লিখে দিচ্ছিলেন তিনি অবসর নিয়েছেন (আমি নিশ্চিত নই কখন।"&amp;" যদি আমার মনে হয় সম্প্রতি না)। এখন যেহেতু আমার বন্ধু বিবাহবিচ্ছেদের কারণে এত চাপের মধ্যে আছে, সে সেগুলো খেতে শুরু করেছে কারণ সে বলে যে তার ঘুমের জন্য এগুলো দরকার। সে এগুলো থেকে মুক্তি পেয়েছে, এবং সে এমন কোনও ডাক্তার খুঁজে পাচ্ছে না যিনি আরও বেশি ওষুধ লিখ"&amp;"ে দেবেন। ডাক্তাররা বারবার অন্যান্য জিনিসের পরামর্শ দিচ্ছেন এবং এটি তাকে রেগে যায়। সে বলে যে সে জানে জ্যানাক্স কাজ করে এবং সে বিভিন্ন জিনিস চেষ্টা করে এলোমেলো করতে চায় না যার পার্শ্বপ্রতিক্রিয়া হতে পারে যখন সে জানে যে এমন কিছু আছে যা কাজ করে। এই ডাক্তারর"&amp;"া বুঝতে পারছেন না, সে বলে। তারা অযৌক্তিক আচরণ করছে, সে বলে। তার এগুলো দরকার।")</f>
        <v>আমার সবচেয়ে ভালো বন্ধু এখন একটা জটিল বিবাহবিচ্ছেদের মধ্য দিয়ে যাচ্ছে এবং বলছে যে সে এত চাপের মধ্যে আছে যে ঘুমাতে পারছে না তাই সে জ্যানাক্স খাচ্ছে। বছরের পর বছর ধরে, তাকে ওষুধটি প্রেসক্রিপশনে দেওয়া হয়েছিল, কিন্তু সে প্রায় কখনোই খায়নি। বরং, সে অনেক বছর ধরে জ্যানাক্স মজুদ করে রেখেছিল - যদি আমার কখনও প্রয়োজন হয়? আমি জানি তার কাছে কিছু প্রেসক্রিপশন বোতল ছিল যা কমপক্ষে সাত বছরের পুরনো। আমি জানি না তার কাছে কত ছিল, তবে মনে হচ্ছে অনেক বেশি। যে ডাক্তার এগুলো লিখে দিচ্ছিলেন তিনি অবসর নিয়েছেন (আমি নিশ্চিত নই কখন। যদি আমার মনে হয় সম্প্রতি না)। এখন যেহেতু আমার বন্ধু বিবাহবিচ্ছেদের কারণে এত চাপের মধ্যে আছে, সে সেগুলো খেতে শুরু করেছে কারণ সে বলে যে তার ঘুমের জন্য এগুলো দরকার। সে এগুলো থেকে মুক্তি পেয়েছে, এবং সে এমন কোনও ডাক্তার খুঁজে পাচ্ছে না যিনি আরও বেশি ওষুধ লিখে দেবেন। ডাক্তাররা বারবার অন্যান্য জিনিসের পরামর্শ দিচ্ছেন এবং এটি তাকে রেগে যায়। সে বলে যে সে জানে জ্যানাক্স কাজ করে এবং সে বিভিন্ন জিনিস চেষ্টা করে এলোমেলো করতে চায় না যার পার্শ্বপ্রতিক্রিয়া হতে পারে যখন সে জানে যে এমন কিছু আছে যা কাজ করে। এই ডাক্তাররা বুঝতে পারছেন না, সে বলে। তারা অযৌক্তিক আচরণ করছে, সে বলে। তার এগুলো দরকার।</v>
      </c>
    </row>
    <row r="959" spans="1:3" ht="15" x14ac:dyDescent="0.25">
      <c r="A959" s="3" t="s">
        <v>955</v>
      </c>
      <c r="B959" s="3" t="s">
        <v>4</v>
      </c>
      <c r="C959" s="4" t="str">
        <f ca="1">IFERROR(__xludf.DUMMYFUNCTION("GOOGLETRANSLATE(A959, ""auto"", ""bn"")"),"এটা এখানকার কিছু লোকের মতো খারাপ কিছু নয়, এবং এখানে আসার জন্য আমার নিজেকে খুব বোকা এবং অতিরঞ্জিত মনে হচ্ছে, কিন্তু আমার কেবল মুখ খুলে বলা দরকার, এবং আমার পরামর্শের প্রয়োজন। আমার প্রথম শঙ্কু থেকে আমি এক মাসও সুস্থ থাকিনি, আমি নভেম্বর ২০১৭ সালে ধূমপান শুর"&amp;"ু করি এবং এপ্রিল ২০১৮ সাল থেকে প্রায় প্রতিদিনই মাঝে মাঝে ১ বা ২ সপ্তাহের বিরতি নিয়ে ছেড়ে দেওয়ার চেষ্টা করেছি। আমি আগস্ট ২০১৮ সাল থেকে ছেড়ে দিতে চেয়েছিলাম কিন্তু তারপর থেকে দুই সপ্তাহের বেশি সময় ধরে ছাড়তে পারিনি। আমি অনেক কিছু হারিয়েছি এবং ধ্বংস ক"&amp;"রেছি, অনেক বন্ধুত্ব নষ্ট হয়ে গেছে, আমার পরিবারের সাথে আমার সম্পর্ক ভয়াবহ হয়েছে, আমার প্রেমিক এবং আমার সম্পর্ক (আমরা জানুয়ারী ২০১৮ সালে দেখা করেছিলাম) সুন্দর এবং জাদুকরী কিছু থেকে বিষ্ঠায় পরিণত হয়েছে, আমি খুব শান্ত হতে চাই, কিন্তু আমি কখনই তা করতে পা"&amp;"রি না। তাছাড়া, আমি আত্মহত্যা করতে চাই, খুব খারাপভাবে, আমি ভালো ভবিষ্যৎ দেখতে পাচ্ছি না। আমার প্রেমিক তার আসক্তির কারণে তার চাকরি হারিয়েছে এবং এর ফলে আমি সত্যিই বিশ্বাস করতে শুরু করেছি যে ভবিষ্যতে আমরা কতটা খারাপ হতে যাচ্ছি, আমার আসক্তির কারণে আমি যতবারই"&amp;" কাঁদি, নিজেকে কেটে ফেলি বা নিজেকে আঘাত করি না কেন, সবকিছুকে অসাড় করে দেওয়ার জন্য কোনও শঙ্কু থাকা থেকে আমাকে কিছুই থামাতে পারে না, এবং আমার প্রেমিককে শঙ্কু হওয়া থেকেও কিছুই থামাতে পারে না, এমনকি আমি তাকে বলি যে শঙ্কুর কারণে আমি কতটা আত্মহত্যা করতে চাই।"&amp;" তাছাড়া, আজ আমি এত কাছে এসেছি, আমি লিরিকস (ড্রাগের আসল নাম জানি না) ওভারডোজ করতে যাচ্ছিলাম কিন্তু থামিয়ে দিয়েছি কারণ আমার প্রেমিক আমাকে তৈরি করেছে। তাছাড়া, আমি জানি না কী করব, আমি এতটাই হারিয়ে গেছি এবং অসহায় বোধ করছি এবং আমি আর জানি না, আমার মনে হচ্"&amp;"ছে আমি যতবার চেষ্টা করেছি ব্যর্থ হয়েছি তা বিবেচনা করার আর কোনও অর্থ নেই। এবং একজন আসক্ত হওয়া আমাকে এত অকেজো বোধ করে, এবং আমি কেবল আত্মহত্যা করতে চাই, আমি এর থেকে বেরিয়ে আসার কোনও উপায় দেখতে পাচ্ছি না। আমি কীভাবে শান্ত হব? যারা মাদকাসক্ত হয়ে পড়েছে তা"&amp;"দের কাছ থেকে কি এটা মূল্যবান? এটা শুধু সময়ের অপচয় বলে মনে হচ্ছে কারণ আমার মানসিক স্বাস্থ্যের অবস্থা এতটাই খারাপ হয়ে যায় যে, আমি যখন সুস্থ থাকি, তখন আমি কী করব? সম্প্রতি আমি খুব চেষ্টা করছি এবং প্রতিদিন ১৫টি শঙ্কু থেকে সপ্তাহে ৩-৪ বার ১০টি শঙ্কুতে নামি"&amp;"য়ে এনেছি, কিন্তু যে দিনগুলিতে আমি সুস্থ থাকি, সেগুলি বেশিরভাগ সময়ই আত্মঘাতী, মদ্যপান, কান্নাকাটি এবং আত্মহত্যার চিন্তায় ভরা থাকে। আমার মানসিক স্বাস্থ্য এতটাই খারাপ যে, আমি কীভাবে এটা করব.... আমি দুঃখিত যদি এটি এই উপ-অংশে না আসে, আমি জানি না কী করব, এবং"&amp;" আমি কেবল ভয় পাচ্ছি। আমার মনে হচ্ছে আমি সবকিছু হারাচ্ছি এবং এটি ঠিক করার জন্য আমি যা করতে পারি (শুদ্ধ থাকা) তা আমার নাগালের বাইরে। দয়া করে, যেকোনো পরামর্শ সহায়ক হবে।")</f>
        <v>এটা এখানকার কিছু লোকের মতো খারাপ কিছু নয়, এবং এখানে আসার জন্য আমার নিজেকে খুব বোকা এবং অতিরঞ্জিত মনে হচ্ছে, কিন্তু আমার কেবল মুখ খুলে বলা দরকার, এবং আমার পরামর্শের প্রয়োজন। আমার প্রথম শঙ্কু থেকে আমি এক মাসও সুস্থ থাকিনি, আমি নভেম্বর ২০১৭ সালে ধূমপান শুরু করি এবং এপ্রিল ২০১৮ সাল থেকে প্রায় প্রতিদিনই মাঝে মাঝে ১ বা ২ সপ্তাহের বিরতি নিয়ে ছেড়ে দেওয়ার চেষ্টা করেছি। আমি আগস্ট ২০১৮ সাল থেকে ছেড়ে দিতে চেয়েছিলাম কিন্তু তারপর থেকে দুই সপ্তাহের বেশি সময় ধরে ছাড়তে পারিনি। আমি অনেক কিছু হারিয়েছি এবং ধ্বংস করেছি, অনেক বন্ধুত্ব নষ্ট হয়ে গেছে, আমার পরিবারের সাথে আমার সম্পর্ক ভয়াবহ হয়েছে, আমার প্রেমিক এবং আমার সম্পর্ক (আমরা জানুয়ারী ২০১৮ সালে দেখা করেছিলাম) সুন্দর এবং জাদুকরী কিছু থেকে বিষ্ঠায় পরিণত হয়েছে, আমি খুব শান্ত হতে চাই, কিন্তু আমি কখনই তা করতে পারি না। তাছাড়া, আমি আত্মহত্যা করতে চাই, খুব খারাপভাবে, আমি ভালো ভবিষ্যৎ দেখতে পাচ্ছি না। আমার প্রেমিক তার আসক্তির কারণে তার চাকরি হারিয়েছে এবং এর ফলে আমি সত্যিই বিশ্বাস করতে শুরু করেছি যে ভবিষ্যতে আমরা কতটা খারাপ হতে যাচ্ছি, আমার আসক্তির কারণে আমি যতবারই কাঁদি, নিজেকে কেটে ফেলি বা নিজেকে আঘাত করি না কেন, সবকিছুকে অসাড় করে দেওয়ার জন্য কোনও শঙ্কু থাকা থেকে আমাকে কিছুই থামাতে পারে না, এবং আমার প্রেমিককে শঙ্কু হওয়া থেকেও কিছুই থামাতে পারে না, এমনকি আমি তাকে বলি যে শঙ্কুর কারণে আমি কতটা আত্মহত্যা করতে চাই। তাছাড়া, আজ আমি এত কাছে এসেছি, আমি লিরিকস (ড্রাগের আসল নাম জানি না) ওভারডোজ করতে যাচ্ছিলাম কিন্তু থামিয়ে দিয়েছি কারণ আমার প্রেমিক আমাকে তৈরি করেছে। তাছাড়া, আমি জানি না কী করব, আমি এতটাই হারিয়ে গেছি এবং অসহায় বোধ করছি এবং আমি আর জানি না, আমার মনে হচ্ছে আমি যতবার চেষ্টা করেছি ব্যর্থ হয়েছি তা বিবেচনা করার আর কোনও অর্থ নেই। এবং একজন আসক্ত হওয়া আমাকে এত অকেজো বোধ করে, এবং আমি কেবল আত্মহত্যা করতে চাই, আমি এর থেকে বেরিয়ে আসার কোনও উপায় দেখতে পাচ্ছি না। আমি কীভাবে শান্ত হব? যারা মাদকাসক্ত হয়ে পড়েছে তাদের কাছ থেকে কি এটা মূল্যবান? এটা শুধু সময়ের অপচয় বলে মনে হচ্ছে কারণ আমার মানসিক স্বাস্থ্যের অবস্থা এতটাই খারাপ হয়ে যায় যে, আমি যখন সুস্থ থাকি, তখন আমি কী করব? সম্প্রতি আমি খুব চেষ্টা করছি এবং প্রতিদিন ১৫টি শঙ্কু থেকে সপ্তাহে ৩-৪ বার ১০টি শঙ্কুতে নামিয়ে এনেছি, কিন্তু যে দিনগুলিতে আমি সুস্থ থাকি, সেগুলি বেশিরভাগ সময়ই আত্মঘাতী, মদ্যপান, কান্নাকাটি এবং আত্মহত্যার চিন্তায় ভরা থাকে। আমার মানসিক স্বাস্থ্য এতটাই খারাপ যে, আমি কীভাবে এটা করব.... আমি দুঃখিত যদি এটি এই উপ-অংশে না আসে, আমি জানি না কী করব, এবং আমি কেবল ভয় পাচ্ছি। আমার মনে হচ্ছে আমি সবকিছু হারাচ্ছি এবং এটি ঠিক করার জন্য আমি যা করতে পারি (শুদ্ধ থাকা) তা আমার নাগালের বাইরে। দয়া করে, যেকোনো পরামর্শ সহায়ক হবে।</v>
      </c>
    </row>
    <row r="960" spans="1:3" ht="15" x14ac:dyDescent="0.25">
      <c r="A960" s="3" t="s">
        <v>956</v>
      </c>
      <c r="B960" s="3" t="s">
        <v>4</v>
      </c>
      <c r="C960" s="4" t="str">
        <f ca="1">IFERROR(__xludf.DUMMYFUNCTION("GOOGLETRANSLATE(A960, ""auto"", ""bn"")"),"হাই, আমার বয়স ৩৪। আর আমার আসলেই নেশামুক্ত থাকতে খুব কষ্ট হচ্ছে। আমার এলোমেলো পরীক্ষা করানোর কথা। আর করিনি। আমি আমার বাগদত্তা ৪০ বছর বয়সী এবং তার চাচাতো ভাইয়ের সাথে থাকি। তারা ব্যবহার করে। আমি জানি আমার আরও শক্তিশালী হওয়া উচিত এবং থামানো উচিত। আমি ২ সপ্"&amp;"তাহ সময় নিই এবং তারপর আবার নেশামুক্ত হই। তাছাড়া, আমি আমার বাগদত্তার সাথে কথা বলার চেষ্টা করেছি। নেশামুক্ত থাকা আমার জন্য নেশামুক্ত থাকা কতটা কঠিন করে তুলছে তা নিয়ে। কিন্তু এটি সম্পূর্ণ ভিন্ন এক অগ্নিপরীক্ষায় পরিণত হয়। এটি আমার জন্য অনিরাপদ হয়ে ওঠে। "&amp;"আমি বিষণ্ণ হয়ে পড়ছি, এবং আমার সাথে কথা বলার মতো কেউ নেই। আমাকে সহ্য করার জন্য ধন্যবাদ।")</f>
        <v>হাই, আমার বয়স ৩৪। আর আমার আসলেই নেশামুক্ত থাকতে খুব কষ্ট হচ্ছে। আমার এলোমেলো পরীক্ষা করানোর কথা। আর করিনি। আমি আমার বাগদত্তা ৪০ বছর বয়সী এবং তার চাচাতো ভাইয়ের সাথে থাকি। তারা ব্যবহার করে। আমি জানি আমার আরও শক্তিশালী হওয়া উচিত এবং থামানো উচিত। আমি ২ সপ্তাহ সময় নিই এবং তারপর আবার নেশামুক্ত হই। তাছাড়া, আমি আমার বাগদত্তার সাথে কথা বলার চেষ্টা করেছি। নেশামুক্ত থাকা আমার জন্য নেশামুক্ত থাকা কতটা কঠিন করে তুলছে তা নিয়ে। কিন্তু এটি সম্পূর্ণ ভিন্ন এক অগ্নিপরীক্ষায় পরিণত হয়। এটি আমার জন্য অনিরাপদ হয়ে ওঠে। আমি বিষণ্ণ হয়ে পড়ছি, এবং আমার সাথে কথা বলার মতো কেউ নেই। আমাকে সহ্য করার জন্য ধন্যবাদ।</v>
      </c>
    </row>
    <row r="961" spans="1:3" ht="15" x14ac:dyDescent="0.25">
      <c r="A961" s="3" t="s">
        <v>957</v>
      </c>
      <c r="B961" s="3" t="s">
        <v>4</v>
      </c>
      <c r="C961" s="4" t="str">
        <f ca="1">IFERROR(__xludf.DUMMYFUNCTION("GOOGLETRANSLATE(A961, ""auto"", ""bn"")"),"আমার একটা বড় সমস্যা আছে, আমার একটা ভয়াবহ পর্ন আসক্তি আছে। আমাকে থামাতে হবে। এটা আমার দিনের সময় নষ্ট করে দিচ্ছে। আমি কাজে মনোযোগ দিতে পারছি না। দয়া করে। আমি আন্তরিকভাবে আপনার সাহায্য চাইছি। ধন্যবাদ।")</f>
        <v>আমার একটা বড় সমস্যা আছে, আমার একটা ভয়াবহ পর্ন আসক্তি আছে। আমাকে থামাতে হবে। এটা আমার দিনের সময় নষ্ট করে দিচ্ছে। আমি কাজে মনোযোগ দিতে পারছি না। দয়া করে। আমি আন্তরিকভাবে আপনার সাহায্য চাইছি। ধন্যবাদ।</v>
      </c>
    </row>
    <row r="962" spans="1:3" ht="15" x14ac:dyDescent="0.25">
      <c r="A962" s="3" t="s">
        <v>958</v>
      </c>
      <c r="B962" s="3" t="s">
        <v>4</v>
      </c>
      <c r="C962" s="4" t="str">
        <f ca="1">IFERROR(__xludf.DUMMYFUNCTION("GOOGLETRANSLATE(A962, ""auto"", ""bn"")"),"আমার এক বন্ধু আছে, তার ভিডিও গেমিংয়ের নেশা আছে, আর সে ইউটিউব, রেডিট, গেম, ইন্টারনেট ইত্যাদি জিনিসের প্রতি আসক্ত হয়ে পড়ে। আর ঘন্টার পর ঘন্টা এটার পেছনেই লেগে থাকে। এটা সত্যিই খারাপ হয়ে যাচ্ছে, আর সে কিছুদিনের জন্য থেমে গেছে এবং উৎপাদনশীল ছিল, আর সে অনেকদিন"&amp;" ধরে খুব খুশি ছিল, কিন্তু প্রায়ই আবার ফিরে আসে। প্রতিবারই যখনই সে আবার ফিরে আসে তখন সে অপরাধবোধে ভুগতে থাকে যেন তাকে হাল ছেড়ে দিতে হবে, সে হতাশ এবং বিষণ্ণ বোধ করে। পুনরায় খেলাধুলার অপরাধবোধ/লজ্জা মোকাবেলা করার কিছু উপায় কী? আমি তাকে বলেছিলাম যে তার নিজ"&amp;"ের সাথে ধৈর্য ধরতে হবে এবং এর জন্য নিজেকে দোষী সাব্যস্ত করতে হবে না। কিন্তু আমার মনে হচ্ছে, সে এখন ""ধৈর্য"" কে অজুহাত হিসেবে ব্যবহার করছে। সে সত্যিই সাহায্য চায়!")</f>
        <v>আমার এক বন্ধু আছে, তার ভিডিও গেমিংয়ের নেশা আছে, আর সে ইউটিউব, রেডিট, গেম, ইন্টারনেট ইত্যাদি জিনিসের প্রতি আসক্ত হয়ে পড়ে। আর ঘন্টার পর ঘন্টা এটার পেছনেই লেগে থাকে। এটা সত্যিই খারাপ হয়ে যাচ্ছে, আর সে কিছুদিনের জন্য থেমে গেছে এবং উৎপাদনশীল ছিল, আর সে অনেকদিন ধরে খুব খুশি ছিল, কিন্তু প্রায়ই আবার ফিরে আসে। প্রতিবারই যখনই সে আবার ফিরে আসে তখন সে অপরাধবোধে ভুগতে থাকে যেন তাকে হাল ছেড়ে দিতে হবে, সে হতাশ এবং বিষণ্ণ বোধ করে। পুনরায় খেলাধুলার অপরাধবোধ/লজ্জা মোকাবেলা করার কিছু উপায় কী? আমি তাকে বলেছিলাম যে তার নিজের সাথে ধৈর্য ধরতে হবে এবং এর জন্য নিজেকে দোষী সাব্যস্ত করতে হবে না। কিন্তু আমার মনে হচ্ছে, সে এখন "ধৈর্য" কে অজুহাত হিসেবে ব্যবহার করছে। সে সত্যিই সাহায্য চায়!</v>
      </c>
    </row>
    <row r="963" spans="1:3" ht="15" x14ac:dyDescent="0.25">
      <c r="A963" s="3" t="s">
        <v>959</v>
      </c>
      <c r="B963" s="3" t="s">
        <v>4</v>
      </c>
      <c r="C963" s="4" t="str">
        <f ca="1">IFERROR(__xludf.DUMMYFUNCTION("GOOGLETRANSLATE(A963, ""auto"", ""bn"")"),"আমি এইমাত্র খবর পেলাম যে আমার ছোট চাচাতো ভাই গত ৪ বছর ধরে মেথ ব্যবহার করছে। সে এক বছর আগে আমাকে বলেছিল যে সে এটি ব্যবহার করেছে এবং বুঝতে পেরেছে যে এটি মানুষের জন্য কতটা সমস্যা হতে পারে। সে আমাকে কোনও ইঙ্গিত দেয়নি যে সে এখনও এটি ব্যবহার করছে বা সে দিনে এক"&amp;"াধিকবার এটি ব্যবহার করে (ধূমপান করে)। কী করা যেতে পারে এবং পরিস্থিতি কতটা ভয়াবহ? বাস্তবতা কী?")</f>
        <v>আমি এইমাত্র খবর পেলাম যে আমার ছোট চাচাতো ভাই গত ৪ বছর ধরে মেথ ব্যবহার করছে। সে এক বছর আগে আমাকে বলেছিল যে সে এটি ব্যবহার করেছে এবং বুঝতে পেরেছে যে এটি মানুষের জন্য কতটা সমস্যা হতে পারে। সে আমাকে কোনও ইঙ্গিত দেয়নি যে সে এখনও এটি ব্যবহার করছে বা সে দিনে একাধিকবার এটি ব্যবহার করে (ধূমপান করে)। কী করা যেতে পারে এবং পরিস্থিতি কতটা ভয়াবহ? বাস্তবতা কী?</v>
      </c>
    </row>
    <row r="964" spans="1:3" ht="15" x14ac:dyDescent="0.25">
      <c r="A964" s="3" t="s">
        <v>960</v>
      </c>
      <c r="B964" s="3" t="s">
        <v>4</v>
      </c>
      <c r="C964" s="4" t="str">
        <f ca="1">IFERROR(__xludf.DUMMYFUNCTION("GOOGLETRANSLATE(A964, ""auto"", ""bn"")"),"আমার বন্ধু মাদকাসক্তি কাটিয়ে উঠতে চায়। সমস্যা হলো সে এমন একটি দেশে থাকে যেখানে আসক্তির জন্য সাহায্য পাওয়া কঠিন এবং আমার মনে হয় না সে পুনর্বাসন কেন্দ্রের খরচ বহন করতে পারবে। তাহলে এখানে প্রশ্নগুলো হল: আগে কি কেউ এই পরিস্থিতিতে পড়েছেন, এবং কী আপনাকে এট"&amp;"ি মোকাবেলায় সাহায্য করেছে? এছাড়াও কি এমন কোন অনলাইন কোর্স আছে যা সাহায্য করতে পারে?")</f>
        <v>আমার বন্ধু মাদকাসক্তি কাটিয়ে উঠতে চায়। সমস্যা হলো সে এমন একটি দেশে থাকে যেখানে আসক্তির জন্য সাহায্য পাওয়া কঠিন এবং আমার মনে হয় না সে পুনর্বাসন কেন্দ্রের খরচ বহন করতে পারবে। তাহলে এখানে প্রশ্নগুলো হল: আগে কি কেউ এই পরিস্থিতিতে পড়েছেন, এবং কী আপনাকে এটি মোকাবেলায় সাহায্য করেছে? এছাড়াও কি এমন কোন অনলাইন কোর্স আছে যা সাহায্য করতে পারে?</v>
      </c>
    </row>
    <row r="965" spans="1:3" ht="15" x14ac:dyDescent="0.25">
      <c r="A965" s="3" t="s">
        <v>961</v>
      </c>
      <c r="B965" s="3" t="s">
        <v>4</v>
      </c>
      <c r="C965" s="4" t="str">
        <f ca="1">IFERROR(__xludf.DUMMYFUNCTION("GOOGLETRANSLATE(A965, ""auto"", ""bn"")"),"আমি নিজের ক্ষতি করছি এবং আমি ভয় পাচ্ছি আমি সত্যিই এটা বন্ধ করতে চাই খারাপ লাগছে এটা ব্যাথা করছে আমি আবার ছোট হাতা বা হাফপ্যান্ট পরতে চাই আমি সত্যিই থামতে চাই আমি আমার বাবা-মাকে বলিনি এবং আশা করি এটি আমাকে রিপোর্ট করবে না।")</f>
        <v>আমি নিজের ক্ষতি করছি এবং আমি ভয় পাচ্ছি আমি সত্যিই এটা বন্ধ করতে চাই খারাপ লাগছে এটা ব্যাথা করছে আমি আবার ছোট হাতা বা হাফপ্যান্ট পরতে চাই আমি সত্যিই থামতে চাই আমি আমার বাবা-মাকে বলিনি এবং আশা করি এটি আমাকে রিপোর্ট করবে না।</v>
      </c>
    </row>
    <row r="966" spans="1:3" ht="15" x14ac:dyDescent="0.25">
      <c r="A966" s="3" t="s">
        <v>962</v>
      </c>
      <c r="B966" s="3" t="s">
        <v>4</v>
      </c>
      <c r="C966" s="4" t="str">
        <f ca="1">IFERROR(__xludf.DUMMYFUNCTION("GOOGLETRANSLATE(A966, ""auto"", ""bn"")"),"তাই আমার প্রেমিক আর আমি একসাথে মেথ সেবন শুরু করলাম। আমি ২০ বছর ধরে মাঝে মাঝে এটা ব্যবহার করে আসছি এবং যখন তার সাথে দেখা হয়েছিল তখন আমি তা বন্ধ করে দিয়েছিলাম। সে মদ্যপান বন্ধ করার চেষ্টা করছিল এবং থামাতে চাইছিল, আর সে মদ্যপান বন্ধ করার জন্য মেথ ব্যবহার কর"&amp;"তে চাইছিল। আমি তার সাথে কথা বলার চেষ্টা করেছিলাম। কোন লাভ হয়নি। আমরা প্রায় ৩ মাস আগে শুরু করেছিলাম। এর পার্শ্বপ্রতিক্রিয়া এবং কমে যাওয়া আমার জন্য হাজার গুণ খারাপ। আমি কয়েক সপ্তাহ ধরে অস্থির, এবং সে এখনও শক্তিশালী। আমি রেগে আছি, আমি এটা আমার চারপাশে চ"&amp;"াই না, এটা আমার ঘরে আছে জেনে আমার খারাপ লাগে, যখন সে অতিরিক্ত মেজাজে থাকে তখন অন্য ঘরে যেতে আমার খারাপ লাগে। কিন্তু আমি তাকে থামাতেও বলতে চাই না কারণ সে চায় না।")</f>
        <v>তাই আমার প্রেমিক আর আমি একসাথে মেথ সেবন শুরু করলাম। আমি ২০ বছর ধরে মাঝে মাঝে এটা ব্যবহার করে আসছি এবং যখন তার সাথে দেখা হয়েছিল তখন আমি তা বন্ধ করে দিয়েছিলাম। সে মদ্যপান বন্ধ করার চেষ্টা করছিল এবং থামাতে চাইছিল, আর সে মদ্যপান বন্ধ করার জন্য মেথ ব্যবহার করতে চাইছিল। আমি তার সাথে কথা বলার চেষ্টা করেছিলাম। কোন লাভ হয়নি। আমরা প্রায় ৩ মাস আগে শুরু করেছিলাম। এর পার্শ্বপ্রতিক্রিয়া এবং কমে যাওয়া আমার জন্য হাজার গুণ খারাপ। আমি কয়েক সপ্তাহ ধরে অস্থির, এবং সে এখনও শক্তিশালী। আমি রেগে আছি, আমি এটা আমার চারপাশে চাই না, এটা আমার ঘরে আছে জেনে আমার খারাপ লাগে, যখন সে অতিরিক্ত মেজাজে থাকে তখন অন্য ঘরে যেতে আমার খারাপ লাগে। কিন্তু আমি তাকে থামাতেও বলতে চাই না কারণ সে চায় না।</v>
      </c>
    </row>
    <row r="967" spans="1:3" ht="15" x14ac:dyDescent="0.25">
      <c r="A967" s="3" t="s">
        <v>963</v>
      </c>
      <c r="B967" s="3" t="s">
        <v>4</v>
      </c>
      <c r="C967" s="4" t="str">
        <f ca="1">IFERROR(__xludf.DUMMYFUNCTION("GOOGLETRANSLATE(A967, ""auto"", ""bn"")"),"গতকাল পর্যন্ত, আমি সিদ্ধান্ত নিয়েছিলাম যে আমি আসক্ত হব না, এবং অবশেষে আমার ছাত্রজীবনে মনোনিবেশ করব, কিন্তু একা এটা সহজ নয় (আমার বাবা-মা আসলে এতে কিছু মনে করেন না)। আমার একটি পিসি আছে, যা আমাকে কাজে ব্যবহার করতে হয়, কিন্তু গেমগুলির দ্বারা আমি সহজেই বিভ্"&amp;"রান্ত হই, আমি কেবল সেগুলি আনইনস্টল করতে পারি, কিন্তু সেগুলি কেটে ফেলা খুব কঠিন হবে, এটি খুব হঠাৎ করেই, তাই আমি সিদ্ধান্ত নিয়েছি যে প্রতি সপ্তাহে, আমি 1 ঘন্টা কম খেলব, যতক্ষণ না প্রতিদিন 1-2 ঘন্টা অনুমোদিত হয়, এই বিষয়ে কোন পরামর্শ আছে?")</f>
        <v>গতকাল পর্যন্ত, আমি সিদ্ধান্ত নিয়েছিলাম যে আমি আসক্ত হব না, এবং অবশেষে আমার ছাত্রজীবনে মনোনিবেশ করব, কিন্তু একা এটা সহজ নয় (আমার বাবা-মা আসলে এতে কিছু মনে করেন না)। আমার একটি পিসি আছে, যা আমাকে কাজে ব্যবহার করতে হয়, কিন্তু গেমগুলির দ্বারা আমি সহজেই বিভ্রান্ত হই, আমি কেবল সেগুলি আনইনস্টল করতে পারি, কিন্তু সেগুলি কেটে ফেলা খুব কঠিন হবে, এটি খুব হঠাৎ করেই, তাই আমি সিদ্ধান্ত নিয়েছি যে প্রতি সপ্তাহে, আমি 1 ঘন্টা কম খেলব, যতক্ষণ না প্রতিদিন 1-2 ঘন্টা অনুমোদিত হয়, এই বিষয়ে কোন পরামর্শ আছে?</v>
      </c>
    </row>
    <row r="968" spans="1:3" ht="15" x14ac:dyDescent="0.25">
      <c r="A968" s="3" t="s">
        <v>964</v>
      </c>
      <c r="B968" s="3" t="s">
        <v>4</v>
      </c>
      <c r="C968" s="4" t="str">
        <f ca="1">IFERROR(__xludf.DUMMYFUNCTION("GOOGLETRANSLATE(A968, ""auto"", ""bn"")"),"যখন আমি ছোট ছিলাম, তখন আমি নির্দয়ভাবে নষ্ট হয়ে গিয়েছিলাম, এবং একজন প্রাপ্তবয়স্ক হিসেবে, আমার প্রচুর সম্পদ ছিল। এই বছর আমি একটি নতুন দেশে অভিবাসিত হয়েছি, এবং এখানে জিনিসপত্র পরিচালনা করা কি আমার কাছে অবিশ্বাস্যরকম চ্যালেঞ্জিং মনে হচ্ছে? আমাকে মাসিক বে"&amp;"তন দেওয়া হচ্ছে, এবং আমার টাকা ধরে রাখা খুব কঠিন হয়ে পড়ছে। তাছাড়া, আমি তাৎক্ষণিকভাবে সবকিছু খরচ করে ফেলছি এবং পরবর্তী বেতন পর্যন্ত লড়াই করে যাচ্ছি। তাছাড়া, আমি ভাবছিলাম যে অন্য কেউ কি আমাকে বুঝতে সাহায্য করতে পারে যে আমি কীভাবে দীর্ঘ সময় ধরে আমার টাকা"&amp;" ধরে রাখতে শিখতে পারি এবং অবশেষে খরচ না করেই বড় অঙ্কের সঞ্চয় শুরু করতে শিখতে পারি।")</f>
        <v>যখন আমি ছোট ছিলাম, তখন আমি নির্দয়ভাবে নষ্ট হয়ে গিয়েছিলাম, এবং একজন প্রাপ্তবয়স্ক হিসেবে, আমার প্রচুর সম্পদ ছিল। এই বছর আমি একটি নতুন দেশে অভিবাসিত হয়েছি, এবং এখানে জিনিসপত্র পরিচালনা করা কি আমার কাছে অবিশ্বাস্যরকম চ্যালেঞ্জিং মনে হচ্ছে? আমাকে মাসিক বেতন দেওয়া হচ্ছে, এবং আমার টাকা ধরে রাখা খুব কঠিন হয়ে পড়ছে। তাছাড়া, আমি তাৎক্ষণিকভাবে সবকিছু খরচ করে ফেলছি এবং পরবর্তী বেতন পর্যন্ত লড়াই করে যাচ্ছি। তাছাড়া, আমি ভাবছিলাম যে অন্য কেউ কি আমাকে বুঝতে সাহায্য করতে পারে যে আমি কীভাবে দীর্ঘ সময় ধরে আমার টাকা ধরে রাখতে শিখতে পারি এবং অবশেষে খরচ না করেই বড় অঙ্কের সঞ্চয় শুরু করতে শিখতে পারি।</v>
      </c>
    </row>
    <row r="969" spans="1:3" ht="15" x14ac:dyDescent="0.25">
      <c r="A969" s="3" t="s">
        <v>965</v>
      </c>
      <c r="B969" s="3" t="s">
        <v>4</v>
      </c>
      <c r="C969" s="4" t="str">
        <f ca="1">IFERROR(__xludf.DUMMYFUNCTION("GOOGLETRANSLATE(A969, ""auto"", ""bn"")"),"সবাই আমাকে বলেছিল MDMA আসক্তিকর নয় এবং আমি তাদের বিশ্বাস করেছিলাম। প্রথমবার যখন আমি এটি করেছিলাম তখন আমি আধা গ্রাম পেয়েছিলাম এবং আমি পুরো জিনিসটি পরীক্ষা করেছিলাম। এরপর আমি যতটা সম্ভব কিনেছিলাম এবং টানা ৬ দিন পর্যন্ত খাওয়া শুরু করেছিলাম। আমি এটি ধূমপান"&amp;" করতাম, নাক ডাকতাম, জলে মিশিয়ে পান করতাম। এমনকি জিভে পাথর লাগিয়েছিলাম যাতে এটি অসাড় হয়ে যায়। তাছাড়া, এক মাসে প্রায় ৯-১০ গ্রাম করে আমি এটির জন্য ১,০০০ ডলার খরচ করেছি। এখন ৩ মাসেরও বেশি সময় হয়ে গেছে এবং এখনও আমার মনে হচ্ছে আমি মানসিকভাবে অসুস্থ। আমি"&amp;" আগের মতো কিছুই উপভোগ করতে পারছি না। মনে হচ্ছে আমার লক্ষ্য আমার কাছ থেকে কেড়ে নেওয়া হয়েছে এবং আমি এটি সম্পর্কে কথা বলতে পারছি না কারণ ""MDMA আসক্তিকর নয়?""। তারা মনে করে আমি এটি জাল করছি। আরেকটি বিষয় যোগ করার জন্য আমি কখনও এটি পরীক্ষা করিনি এবং এক সপ"&amp;"্তাহ ধরে আমার ভয়াবহ শারীরিক প্রত্যাহার হয়েছে। MDMA দিয়ে আমার বোধগম্যতা এমন হওয়ার কথা নয়। যদি আপনার এই গর্ত থেকে আমাকে বের করে আনার জন্য কোনও ধারণা থাকে তবে দয়া করে আমাকে জানান।")</f>
        <v>সবাই আমাকে বলেছিল MDMA আসক্তিকর নয় এবং আমি তাদের বিশ্বাস করেছিলাম। প্রথমবার যখন আমি এটি করেছিলাম তখন আমি আধা গ্রাম পেয়েছিলাম এবং আমি পুরো জিনিসটি পরীক্ষা করেছিলাম। এরপর আমি যতটা সম্ভব কিনেছিলাম এবং টানা ৬ দিন পর্যন্ত খাওয়া শুরু করেছিলাম। আমি এটি ধূমপান করতাম, নাক ডাকতাম, জলে মিশিয়ে পান করতাম। এমনকি জিভে পাথর লাগিয়েছিলাম যাতে এটি অসাড় হয়ে যায়। তাছাড়া, এক মাসে প্রায় ৯-১০ গ্রাম করে আমি এটির জন্য ১,০০০ ডলার খরচ করেছি। এখন ৩ মাসেরও বেশি সময় হয়ে গেছে এবং এখনও আমার মনে হচ্ছে আমি মানসিকভাবে অসুস্থ। আমি আগের মতো কিছুই উপভোগ করতে পারছি না। মনে হচ্ছে আমার লক্ষ্য আমার কাছ থেকে কেড়ে নেওয়া হয়েছে এবং আমি এটি সম্পর্কে কথা বলতে পারছি না কারণ "MDMA আসক্তিকর নয়?"। তারা মনে করে আমি এটি জাল করছি। আরেকটি বিষয় যোগ করার জন্য আমি কখনও এটি পরীক্ষা করিনি এবং এক সপ্তাহ ধরে আমার ভয়াবহ শারীরিক প্রত্যাহার হয়েছে। MDMA দিয়ে আমার বোধগম্যতা এমন হওয়ার কথা নয়। যদি আপনার এই গর্ত থেকে আমাকে বের করে আনার জন্য কোনও ধারণা থাকে তবে দয়া করে আমাকে জানান।</v>
      </c>
    </row>
    <row r="970" spans="1:3" ht="15" x14ac:dyDescent="0.25">
      <c r="A970" s="3" t="s">
        <v>966</v>
      </c>
      <c r="B970" s="3" t="s">
        <v>4</v>
      </c>
      <c r="C970" s="4" t="str">
        <f ca="1">IFERROR(__xludf.DUMMYFUNCTION("GOOGLETRANSLATE(A970, ""auto"", ""bn"")"),"আমিও একজন মাদকাসক্ত, আমি ১১ বছর ধরে মাদকাসক্ত। সম্প্রতি আমার এক দূর সম্পর্কের আত্মীয় মাদকাসক্ত জীবনে জড়িয়ে পড়েছে এবং আমি তাকে এই সব থেকে বাঁচাতে চাই। আমি জানি আমি পারব না, তবে আমি জানি আমি অন্তত কিছু উৎসাহমূলক কথা বলতে পারি। সে একজন সুন্দরী তরুণী যার "&amp;"বয়স মাত্র ২০ বছর। আমি কিছু বাদ দিতে চাই না তাই তাকে কী বলব তার পরামর্শ আমার প্রয়োজন।")</f>
        <v>আমিও একজন মাদকাসক্ত, আমি ১১ বছর ধরে মাদকাসক্ত। সম্প্রতি আমার এক দূর সম্পর্কের আত্মীয় মাদকাসক্ত জীবনে জড়িয়ে পড়েছে এবং আমি তাকে এই সব থেকে বাঁচাতে চাই। আমি জানি আমি পারব না, তবে আমি জানি আমি অন্তত কিছু উৎসাহমূলক কথা বলতে পারি। সে একজন সুন্দরী তরুণী যার বয়স মাত্র ২০ বছর। আমি কিছু বাদ দিতে চাই না তাই তাকে কী বলব তার পরামর্শ আমার প্রয়োজন।</v>
      </c>
    </row>
    <row r="971" spans="1:3" ht="15" x14ac:dyDescent="0.25">
      <c r="A971" s="3" t="s">
        <v>967</v>
      </c>
      <c r="B971" s="3" t="s">
        <v>4</v>
      </c>
      <c r="C971" s="4" t="str">
        <f ca="1">IFERROR(__xludf.DUMMYFUNCTION("GOOGLETRANSLATE(A971, ""auto"", ""bn"")"),"এটা হয়তো কারো কারো কাছে মজার মনে হতে পারে, কিন্তু আমার ADD ঔষধের প্রতি একটা ভয়াবহ আসক্তি আছে। আমি ৯ বছর বয়স থেকেই উত্তেজক (Adderall, Vyvanse, Ritalin) খেয়ে আসছি এবং এখন আমার বয়স ২৪ বছর। যেহেতু আমি আমার শহর থেকে চলে এসেছি এবং নিজের জন্য একটা জায়গা করে ন"&amp;"িয়েছি, তাই আমার ওষুধের প্রতি একটা ভয়াবহ আসক্তি তৈরি হয়েছে কারণ আমার উপর নতুন নতুন দায়িত্ব এসে পড়েছে। আমি নিজেকে বিশ্বাস করতে পারছি না এবং ৩০ মিলিগ্রাম প্রেসক্রিপশন দেওয়া হলেও আমি শেষ পর্যন্ত ১৩০ মিলিগ্রাম পর্যন্ত খেয়ে ফেলি। আমি এটা ছাড়ার চেষ্টা করেছিলাম, "&amp;"এবং আমি ৪ মাস ধরে সফল হয়েছিলাম, কিন্তু ৩০ পাউন্ড ওজন বাড়ানোর পর এবং কিছু করার জন্য কোনও উৎসাহ না পাওয়ার পর আমি আবার আমার ডাক্তারের কাছে যাই, এবং তিনি আমাকে একটি প্রেসক্রিপশন লিখে দেন। তাছাড়া, আমি দেড় সপ্তাহ ধরে এটি গ্রহণের পর আমার সমস্ত প্রেসক্রিপশন গ্"&amp;"রহণ করি। আমি মানসিকভাবে খুব ক্লান্ত এবং আমি প্রতিদিন শুধু এই চিন্তা করি যে আমার ওজন শেষ হওয়ার পর আমি কীভাবে আরও বেশি কিছু পাবো। তাছাড়া, আমি এটা ছাড়তে চাই এবং আমি চাই এবার এটা সফল হোক। তাছাড়া, আমার সাহায্যের প্রয়োজন, কিন্তু কোথায় যাবো বুঝতে পারছি না। আমি "&amp;"নিজের উপর এতটাই হতাশ যে আমি আমার প্রেমিককে (যার সাথে আমি থাকি) এর তীব্রতা এবং তাৎপর্য প্রকাশ করতেও বাধ্য করতে পারছি না।")</f>
        <v>এটা হয়তো কারো কারো কাছে মজার মনে হতে পারে, কিন্তু আমার ADD ঔষধের প্রতি একটা ভয়াবহ আসক্তি আছে। আমি ৯ বছর বয়স থেকেই উত্তেজক (Adderall, Vyvanse, Ritalin) খেয়ে আসছি এবং এখন আমার বয়স ২৪ বছর। যেহেতু আমি আমার শহর থেকে চলে এসেছি এবং নিজের জন্য একটা জায়গা করে নিয়েছি, তাই আমার ওষুধের প্রতি একটা ভয়াবহ আসক্তি তৈরি হয়েছে কারণ আমার উপর নতুন নতুন দায়িত্ব এসে পড়েছে। আমি নিজেকে বিশ্বাস করতে পারছি না এবং ৩০ মিলিগ্রাম প্রেসক্রিপশন দেওয়া হলেও আমি শেষ পর্যন্ত ১৩০ মিলিগ্রাম পর্যন্ত খেয়ে ফেলি। আমি এটা ছাড়ার চেষ্টা করেছিলাম, এবং আমি ৪ মাস ধরে সফল হয়েছিলাম, কিন্তু ৩০ পাউন্ড ওজন বাড়ানোর পর এবং কিছু করার জন্য কোনও উৎসাহ না পাওয়ার পর আমি আবার আমার ডাক্তারের কাছে যাই, এবং তিনি আমাকে একটি প্রেসক্রিপশন লিখে দেন। তাছাড়া, আমি দেড় সপ্তাহ ধরে এটি গ্রহণের পর আমার সমস্ত প্রেসক্রিপশন গ্রহণ করি। আমি মানসিকভাবে খুব ক্লান্ত এবং আমি প্রতিদিন শুধু এই চিন্তা করি যে আমার ওজন শেষ হওয়ার পর আমি কীভাবে আরও বেশি কিছু পাবো। তাছাড়া, আমি এটা ছাড়তে চাই এবং আমি চাই এবার এটা সফল হোক। তাছাড়া, আমার সাহায্যের প্রয়োজন, কিন্তু কোথায় যাবো বুঝতে পারছি না। আমি নিজের উপর এতটাই হতাশ যে আমি আমার প্রেমিককে (যার সাথে আমি থাকি) এর তীব্রতা এবং তাৎপর্য প্রকাশ করতেও বাধ্য করতে পারছি না।</v>
      </c>
    </row>
    <row r="972" spans="1:3" ht="15" x14ac:dyDescent="0.25">
      <c r="A972" s="3" t="s">
        <v>968</v>
      </c>
      <c r="B972" s="3" t="s">
        <v>4</v>
      </c>
      <c r="C972" s="4" t="str">
        <f ca="1">IFERROR(__xludf.DUMMYFUNCTION("GOOGLETRANSLATE(A972, ""auto"", ""bn"")"),"যদি এটা পোস্ট করার ভুল জায়গা হয়, তাহলে আমি দুঃখিত কারণ আমি জানি কিছু মানুষ গাঁজার আসক্তিতে বিশ্বাস করে না। আমার বয়স ১৮ এবং আমি ১৪ বছর বয়স থেকেই ধূমপান করে আসছি। ১৬ বছর বয়স থেকে প্রতিদিনই ধূমপান করি এবং খারাপ কারো সাথে জড়িয়ে পড়ি। আমি এখন দিনে ৩ বার পর্যন্ত"&amp;" ধূমপান করি, এমনকি কার্টের ব্যবহারও গণনা করি না (যা আমি প্রায় এক বছর ধরে কিছুটা সফলভাবে ত্যাগ করার চেষ্টা করছি)। আমি কখনোই ভাবিনি যে এটি একটি সমস্যা, কিন্তু আজ আমি সহনশীলতা বিরতি শুরু করার চেষ্টা করেছি এবং আমার মনে হচ্ছে আমি খুঁজে পাচ্ছি। তাছাড়া, আমি জান"&amp;"ি না কী করব। তাছাড়া, আমি গাঁজা ধূমপান ছাড়া একদিনও যেতে পারি না। কেউ কি জানেন কিভাবে কমানো যায় এবং অবশেষে বন্ধ করা যায়? আমার সত্যিই সাহায্যের প্রয়োজন।")</f>
        <v>যদি এটা পোস্ট করার ভুল জায়গা হয়, তাহলে আমি দুঃখিত কারণ আমি জানি কিছু মানুষ গাঁজার আসক্তিতে বিশ্বাস করে না। আমার বয়স ১৮ এবং আমি ১৪ বছর বয়স থেকেই ধূমপান করে আসছি। ১৬ বছর বয়স থেকে প্রতিদিনই ধূমপান করি এবং খারাপ কারো সাথে জড়িয়ে পড়ি। আমি এখন দিনে ৩ বার পর্যন্ত ধূমপান করি, এমনকি কার্টের ব্যবহারও গণনা করি না (যা আমি প্রায় এক বছর ধরে কিছুটা সফলভাবে ত্যাগ করার চেষ্টা করছি)। আমি কখনোই ভাবিনি যে এটি একটি সমস্যা, কিন্তু আজ আমি সহনশীলতা বিরতি শুরু করার চেষ্টা করেছি এবং আমার মনে হচ্ছে আমি খুঁজে পাচ্ছি। তাছাড়া, আমি জানি না কী করব। তাছাড়া, আমি গাঁজা ধূমপান ছাড়া একদিনও যেতে পারি না। কেউ কি জানেন কিভাবে কমানো যায় এবং অবশেষে বন্ধ করা যায়? আমার সত্যিই সাহায্যের প্রয়োজন।</v>
      </c>
    </row>
    <row r="973" spans="1:3" ht="15" x14ac:dyDescent="0.25">
      <c r="A973" s="3" t="s">
        <v>969</v>
      </c>
      <c r="B973" s="3" t="s">
        <v>4</v>
      </c>
      <c r="C973" s="4" t="str">
        <f ca="1">IFERROR(__xludf.DUMMYFUNCTION("GOOGLETRANSLATE(A973, ""auto"", ""bn"")"),"মার্চ মাস থেকে আমি কোক পরিত্যাগ করেছি এবং তখন থেকে আমি অনেক স্বাস্থ্যকর সিদ্ধান্ত নিয়েছি। আমি আমার পুরানো পার্স পরিষ্কার করছিলাম এবং একটি পুরানো ম্যাগিতে প্রায় 2 টি বাম্প অবশিষ্ট দেখতে পেলাম। আমি কয়েক দিন ধরে এটি উপেক্ষা করতে সক্ষম হয়েছি, কিন্তু আমি ব"&amp;"ারবার এটিতে ফিরে যাওয়ার কথা ভাবছি, আমি জানি যদি আমি এটিতে ফিরে যাই তবে আমার আরও বেশি কিছু চাইবে, এবং আমি জানি না কী করব। তাছাড়া, আমি মনে করি না যে এটি ফেলে দেওয়ার মতো যথেষ্ট শক্তিশালী। এর সাথে মোকাবিলা করার জন্য আমি কী করতে পারি? এমন কোন প্রাকৃতিক পরিপূ"&amp;"রক যা কোকের মতো একই অনুভূতি দিতে পারে, যাতে আমি এটি করতে প্রলুব্ধ না হই? আমি প্রাক-ওয়ার্কআউট প্রায়শই গ্রহণ করি (স্পষ্টতই আমি ওয়ার্কআউট করার আগে) যাতে কখনও কখনও ক্ষুধা মেটাতে সাহায্য করে।")</f>
        <v>মার্চ মাস থেকে আমি কোক পরিত্যাগ করেছি এবং তখন থেকে আমি অনেক স্বাস্থ্যকর সিদ্ধান্ত নিয়েছি। আমি আমার পুরানো পার্স পরিষ্কার করছিলাম এবং একটি পুরানো ম্যাগিতে প্রায় 2 টি বাম্প অবশিষ্ট দেখতে পেলাম। আমি কয়েক দিন ধরে এটি উপেক্ষা করতে সক্ষম হয়েছি, কিন্তু আমি বারবার এটিতে ফিরে যাওয়ার কথা ভাবছি, আমি জানি যদি আমি এটিতে ফিরে যাই তবে আমার আরও বেশি কিছু চাইবে, এবং আমি জানি না কী করব। তাছাড়া, আমি মনে করি না যে এটি ফেলে দেওয়ার মতো যথেষ্ট শক্তিশালী। এর সাথে মোকাবিলা করার জন্য আমি কী করতে পারি? এমন কোন প্রাকৃতিক পরিপূরক যা কোকের মতো একই অনুভূতি দিতে পারে, যাতে আমি এটি করতে প্রলুব্ধ না হই? আমি প্রাক-ওয়ার্কআউট প্রায়শই গ্রহণ করি (স্পষ্টতই আমি ওয়ার্কআউট করার আগে) যাতে কখনও কখনও ক্ষুধা মেটাতে সাহায্য করে।</v>
      </c>
    </row>
    <row r="974" spans="1:3" ht="15" x14ac:dyDescent="0.25">
      <c r="A974" s="3" t="s">
        <v>970</v>
      </c>
      <c r="B974" s="3" t="s">
        <v>4</v>
      </c>
      <c r="C974" s="4" t="str">
        <f ca="1">IFERROR(__xludf.DUMMYFUNCTION("GOOGLETRANSLATE(A974, ""auto"", ""bn"")"),"আমি লিখছি এখানে কেউ প্রাক্তন কোক আসক্ত আছে কিনা তা দেখার জন্য। সম্প্রতি এটি থেকে মুক্তি পাওয়ার চেষ্টা করছি এবং ভাবছি যে অন্যদের সুস্থ থাকতে কতক্ষণ সময় লেগেছে। আপনার মস্তিষ্কে কতবার পুনরায় সংক্রমণের লক্ষণ দেখা দিয়েছে যে এটি আর কখনও ঘটবে না? নাকি আপনি ক"&amp;"েবল একদিন পর পর এটি গ্রহণ করেন এবং পরিষ্কার থাকার আশা করেন? কোন পরামর্শ/গল্প স্বাগত!")</f>
        <v>আমি লিখছি এখানে কেউ প্রাক্তন কোক আসক্ত আছে কিনা তা দেখার জন্য। সম্প্রতি এটি থেকে মুক্তি পাওয়ার চেষ্টা করছি এবং ভাবছি যে অন্যদের সুস্থ থাকতে কতক্ষণ সময় লেগেছে। আপনার মস্তিষ্কে কতবার পুনরায় সংক্রমণের লক্ষণ দেখা দিয়েছে যে এটি আর কখনও ঘটবে না? নাকি আপনি কেবল একদিন পর পর এটি গ্রহণ করেন এবং পরিষ্কার থাকার আশা করেন? কোন পরামর্শ/গল্প স্বাগত!</v>
      </c>
    </row>
    <row r="975" spans="1:3" ht="15" x14ac:dyDescent="0.25">
      <c r="A975" s="3" t="s">
        <v>971</v>
      </c>
      <c r="B975" s="3" t="s">
        <v>4</v>
      </c>
      <c r="C975" s="4" t="str">
        <f ca="1">IFERROR(__xludf.DUMMYFUNCTION("GOOGLETRANSLATE(A975, ""auto"", ""bn"")"),"আমার বয়ফ্রেন্ডদের আসক্তি সামলাতে আমার খুব কষ্ট হচ্ছে। দুই সপ্তাহেরও বেশি সময় ধরে আমি গাঁজার নেশায় আসক্ত এবং এখন আমি বুঝতে পারছি যে মন পরিবর্তনকারী পদার্থ থেকে বিরত থাকা কতটা গুরুত্বপূর্ণ। আমার বয়ফ্রেন্ড আমার চেয়ে অনেক বেশি সময় ধরে গাঁজার প্রতি আসক্ত। সে ত"&amp;"ার সেবন কমিয়ে দিয়েছে কিন্তু শুধু গাঁজা সেবনই নয়। সে সবসময় এমন কিছু খুঁজে বের করার চেষ্টা করে যাতে তার আবেগ সামলাতে না হয়। গত রাতে সে জ্যানাক্স খেয়েছিল এবং মদ্যপান করেছিল এবং বাড়ি ফিরে সে যেভাবে ছিল তাতে আমি খুব রেগে গিয়েছিলাম এবং পেট খারাপ করেছিলাম। এই ম"&amp;"ুহূর্তে আমি তার উপর খুব রেগে গেছি এবং বিরক্ত। আমি এভাবে আমার জীবন কাটাতে চাইনি। তাছাড়া, আমি আমার সন্তানের জন্য এটা চাইনি। তাছাড়া, আমি এর চেয়ে অনেক বেশি কিছু চাই, এবং তাকে থামাতে চেষ্টা করা সময়ের অপচয়ের মতো মনে হয়। তাছাড়া, এই মুহূর্তে আমার চলে যাওয়ার ম"&amp;"তো আর্থিক সামর্থ্য নেই, এবং আমি সত্যিই আমার সন্তানের বাবার উপর হাল ছেড়ে দিতে চাই না, কিন্তু যদি সে আসলে কখনও বদলাতে না পারে, তাহলে এই বাজে কথা বলার জন্য আমার কাছে সময় নেই।")</f>
        <v>আমার বয়ফ্রেন্ডদের আসক্তি সামলাতে আমার খুব কষ্ট হচ্ছে। দুই সপ্তাহেরও বেশি সময় ধরে আমি গাঁজার নেশায় আসক্ত এবং এখন আমি বুঝতে পারছি যে মন পরিবর্তনকারী পদার্থ থেকে বিরত থাকা কতটা গুরুত্বপূর্ণ। আমার বয়ফ্রেন্ড আমার চেয়ে অনেক বেশি সময় ধরে গাঁজার প্রতি আসক্ত। সে তার সেবন কমিয়ে দিয়েছে কিন্তু শুধু গাঁজা সেবনই নয়। সে সবসময় এমন কিছু খুঁজে বের করার চেষ্টা করে যাতে তার আবেগ সামলাতে না হয়। গত রাতে সে জ্যানাক্স খেয়েছিল এবং মদ্যপান করেছিল এবং বাড়ি ফিরে সে যেভাবে ছিল তাতে আমি খুব রেগে গিয়েছিলাম এবং পেট খারাপ করেছিলাম। এই মুহূর্তে আমি তার উপর খুব রেগে গেছি এবং বিরক্ত। আমি এভাবে আমার জীবন কাটাতে চাইনি। তাছাড়া, আমি আমার সন্তানের জন্য এটা চাইনি। তাছাড়া, আমি এর চেয়ে অনেক বেশি কিছু চাই, এবং তাকে থামাতে চেষ্টা করা সময়ের অপচয়ের মতো মনে হয়। তাছাড়া, এই মুহূর্তে আমার চলে যাওয়ার মতো আর্থিক সামর্থ্য নেই, এবং আমি সত্যিই আমার সন্তানের বাবার উপর হাল ছেড়ে দিতে চাই না, কিন্তু যদি সে আসলে কখনও বদলাতে না পারে, তাহলে এই বাজে কথা বলার জন্য আমার কাছে সময় নেই।</v>
      </c>
    </row>
    <row r="976" spans="1:3" ht="15" x14ac:dyDescent="0.25">
      <c r="A976" s="3" t="s">
        <v>972</v>
      </c>
      <c r="B976" s="3" t="s">
        <v>4</v>
      </c>
      <c r="C976" s="4" t="str">
        <f ca="1">IFERROR(__xludf.DUMMYFUNCTION("GOOGLETRANSLATE(A976, ""auto"", ""bn"")"),"আমার এক বন্ধু আছে যে দুই বছর ধরে সুস্থ হয়ে উঠছে। সম্প্রতি আমি লক্ষ্য করেছি যে তার কিছু কাজ অস্বাভাবিক বলে মনে হচ্ছে। কিন্তু গতকাল পর্যন্ত আমি খুব বেশি ভাবিনি যে তার পা অত্যন্ত ফুলে গেছে এবং থেঁতলে গেছে। আমি জানতে চাইছিলাম যে যারা পায়ে ব্যথা করে তাদের ক্"&amp;"ষেত্রে এটা স্বাভাবিক কিনা। এটা যুক্তিসঙ্গত কারণ সে একটি পুনর্বাসন কেন্দ্রে কাজ করে, তাই কেউ কেবল তার পাতেই লক্ষ্য করবে। যখন আমি জিজ্ঞাসা করলাম কেন তার পা ফুলে গেছে, সে আমাকে কোন উত্তর দেয়নি। তাদের পা মারাত্মকভাবে থেঁতলে গেছে, পায়ের আঙ্গুলের মাঝখানে নয়,"&amp;" বরং পায়ের পুরো পাশ জুড়ে।")</f>
        <v>আমার এক বন্ধু আছে যে দুই বছর ধরে সুস্থ হয়ে উঠছে। সম্প্রতি আমি লক্ষ্য করেছি যে তার কিছু কাজ অস্বাভাবিক বলে মনে হচ্ছে। কিন্তু গতকাল পর্যন্ত আমি খুব বেশি ভাবিনি যে তার পা অত্যন্ত ফুলে গেছে এবং থেঁতলে গেছে। আমি জানতে চাইছিলাম যে যারা পায়ে ব্যথা করে তাদের ক্ষেত্রে এটা স্বাভাবিক কিনা। এটা যুক্তিসঙ্গত কারণ সে একটি পুনর্বাসন কেন্দ্রে কাজ করে, তাই কেউ কেবল তার পাতেই লক্ষ্য করবে। যখন আমি জিজ্ঞাসা করলাম কেন তার পা ফুলে গেছে, সে আমাকে কোন উত্তর দেয়নি। তাদের পা মারাত্মকভাবে থেঁতলে গেছে, পায়ের আঙ্গুলের মাঝখানে নয়, বরং পায়ের পুরো পাশ জুড়ে।</v>
      </c>
    </row>
    <row r="977" spans="1:3" ht="15" x14ac:dyDescent="0.25">
      <c r="A977" s="3" t="s">
        <v>973</v>
      </c>
      <c r="B977" s="3" t="s">
        <v>4</v>
      </c>
      <c r="C977" s="4" t="str">
        <f ca="1">IFERROR(__xludf.DUMMYFUNCTION("GOOGLETRANSLATE(A977, ""auto"", ""bn"")"),"মোবাইল এবং সমাজে নতুন। যদি আমি ভুল/ভুল শব্দ ব্যবহার করি, তাহলে আমি ক্ষমা চাইছি। আমি এর আগে কখনও এই ধরণের কথা বলিনি। আমার এক বন্ধু আমাকে বলেছে যে তারা মাদকাসক্ত, কিন্তু সে আবারও বলেছে যে এটি তেমন খারাপ নয়। আমি তাদের এমন কিছু বলতে পারি যা তাদের বুঝতে সাহায"&amp;"্য করবে যে এটি একটি সমস্যা? আমি তাদের ছেড়ে দেওয়ার জন্য এমন কিছু বলতে পারি? তারা একটু দূরে থাকে, এবং আমি তাদের প্রায়শই দেখি না। কিন্তু আমরা এখনও অনেক কথা বলি।")</f>
        <v>মোবাইল এবং সমাজে নতুন। যদি আমি ভুল/ভুল শব্দ ব্যবহার করি, তাহলে আমি ক্ষমা চাইছি। আমি এর আগে কখনও এই ধরণের কথা বলিনি। আমার এক বন্ধু আমাকে বলেছে যে তারা মাদকাসক্ত, কিন্তু সে আবারও বলেছে যে এটি তেমন খারাপ নয়। আমি তাদের এমন কিছু বলতে পারি যা তাদের বুঝতে সাহায্য করবে যে এটি একটি সমস্যা? আমি তাদের ছেড়ে দেওয়ার জন্য এমন কিছু বলতে পারি? তারা একটু দূরে থাকে, এবং আমি তাদের প্রায়শই দেখি না। কিন্তু আমরা এখনও অনেক কথা বলি।</v>
      </c>
    </row>
    <row r="978" spans="1:3" ht="15" x14ac:dyDescent="0.25">
      <c r="A978" s="3" t="s">
        <v>974</v>
      </c>
      <c r="B978" s="3" t="s">
        <v>4</v>
      </c>
      <c r="C978" s="4" t="str">
        <f ca="1">IFERROR(__xludf.DUMMYFUNCTION("GOOGLETRANSLATE(A978, ""auto"", ""bn"")"),"আমার ছেলে আমার সাথেই থাকে। সে ১৫ বছরেরও বেশি সময় ধরে নেশাগ্রস্ত। আমার পছন্দের মাদক হলো হেরোইন। সে আমার সাথে মিথ্যা বলে। আমার ক্রেডিট কার্ড এবং ব্যাংক অ্যাকাউন্টের অপব্যবহার করে হাজার হাজার ডলার চুরি করেছে। প্রায় ছয় বছর আগে সে পুনর্বাসনে ছিল, সে নেয়নি। "&amp;"সম্প্রতি তার বান্ধবী অতিরিক্ত মাত্রায় মারা গেছে। আমি আমার ছেলেকে খুব ভালোবাসি। আমি তাকে গৃহহীন দেখতে চাই না। সে অনেকবার অতিরিক্ত মাত্রায় নেয়। আমি কী করব? সে এই পথেই চলতে থাকে, সে মারা গেছে। আমি তাকে চলে যেতে বলি, সে মারা গেছে। আমি আটকা পড়ে আছি এবং আশাহীন"&amp;" বোধ করছি। আমি কীভাবে তাকে সর্বোত্তম সাহায্য করতে পারি?")</f>
        <v>আমার ছেলে আমার সাথেই থাকে। সে ১৫ বছরেরও বেশি সময় ধরে নেশাগ্রস্ত। আমার পছন্দের মাদক হলো হেরোইন। সে আমার সাথে মিথ্যা বলে। আমার ক্রেডিট কার্ড এবং ব্যাংক অ্যাকাউন্টের অপব্যবহার করে হাজার হাজার ডলার চুরি করেছে। প্রায় ছয় বছর আগে সে পুনর্বাসনে ছিল, সে নেয়নি। সম্প্রতি তার বান্ধবী অতিরিক্ত মাত্রায় মারা গেছে। আমি আমার ছেলেকে খুব ভালোবাসি। আমি তাকে গৃহহীন দেখতে চাই না। সে অনেকবার অতিরিক্ত মাত্রায় নেয়। আমি কী করব? সে এই পথেই চলতে থাকে, সে মারা গেছে। আমি তাকে চলে যেতে বলি, সে মারা গেছে। আমি আটকা পড়ে আছি এবং আশাহীন বোধ করছি। আমি কীভাবে তাকে সর্বোত্তম সাহায্য করতে পারি?</v>
      </c>
    </row>
    <row r="979" spans="1:3" ht="15" x14ac:dyDescent="0.25">
      <c r="A979" s="3" t="s">
        <v>975</v>
      </c>
      <c r="B979" s="3" t="s">
        <v>4</v>
      </c>
      <c r="C979" s="4" t="str">
        <f ca="1">IFERROR(__xludf.DUMMYFUNCTION("GOOGLETRANSLATE(A979, ""auto"", ""bn"")"),"একজন উচ্চ বিদ্যালয়ের শিক্ষক আসক্তিতে আটকে আছেন এবং মরিয়া হয়ে সাহায্যের জন্য অপেক্ষা করছেন। তিনি ধূমপান ত্যাগের অনেক বিকল্প চেষ্টা করেছেন, যার মধ্যে স্বল্পমেয়াদী ডিটক্স ভর্তি রোগীও রয়েছে। মনে হচ্ছে সবচেয়ে সহায়ক জিনিসটি হবে 30 বা 60 দিনের পুনর্বাসন। "&amp;"তিনি কীভাবে এত দীর্ঘ সময়ের জন্য স্কুল থেকে দূরে থাকতে পারেন? কেউ কি মেডিকেল ছুটি সম্পর্কে জানেন এবং তার চাকরি এবং ক্যারিয়ার নষ্ট না করে কীভাবে এটি অর্জন করবেন?")</f>
        <v>একজন উচ্চ বিদ্যালয়ের শিক্ষক আসক্তিতে আটকে আছেন এবং মরিয়া হয়ে সাহায্যের জন্য অপেক্ষা করছেন। তিনি ধূমপান ত্যাগের অনেক বিকল্প চেষ্টা করেছেন, যার মধ্যে স্বল্পমেয়াদী ডিটক্স ভর্তি রোগীও রয়েছে। মনে হচ্ছে সবচেয়ে সহায়ক জিনিসটি হবে 30 বা 60 দিনের পুনর্বাসন। তিনি কীভাবে এত দীর্ঘ সময়ের জন্য স্কুল থেকে দূরে থাকতে পারেন? কেউ কি মেডিকেল ছুটি সম্পর্কে জানেন এবং তার চাকরি এবং ক্যারিয়ার নষ্ট না করে কীভাবে এটি অর্জন করবেন?</v>
      </c>
    </row>
    <row r="980" spans="1:3" ht="15" x14ac:dyDescent="0.25">
      <c r="A980" s="3" t="s">
        <v>976</v>
      </c>
      <c r="B980" s="3" t="s">
        <v>4</v>
      </c>
      <c r="C980" s="4" t="str">
        <f ca="1">IFERROR(__xludf.DUMMYFUNCTION("GOOGLETRANSLATE(A980, ""auto"", ""bn"")"),"কোভিড-১৯ চলাকালীন আসক্তির উপর সাক্ষাৎকার আমি একজন কলেজ ছাত্র, আসক্তির সাথে লড়াই করা বা পুনরুদ্ধারের প্রক্রিয়ায় থাকা ব্যক্তিদের উপর মহামারী কীভাবে প্রভাব ফেলেছে তা নিয়ে গবেষণা করছি। আপনার অভিজ্ঞতা এবং গত কয়েক মাস ধরে আপনি কেমন করছেন তা নিয়ে আলোচনা কর"&amp;"তে আমি আগ্রহী। যদি আপনি শেয়ার করতে চান তবে দয়া করে আমাকে পিএম করুন। আপনাকে অনেক ধন্যবাদ।")</f>
        <v>কোভিড-১৯ চলাকালীন আসক্তির উপর সাক্ষাৎকার আমি একজন কলেজ ছাত্র, আসক্তির সাথে লড়াই করা বা পুনরুদ্ধারের প্রক্রিয়ায় থাকা ব্যক্তিদের উপর মহামারী কীভাবে প্রভাব ফেলেছে তা নিয়ে গবেষণা করছি। আপনার অভিজ্ঞতা এবং গত কয়েক মাস ধরে আপনি কেমন করছেন তা নিয়ে আলোচনা করতে আমি আগ্রহী। যদি আপনি শেয়ার করতে চান তবে দয়া করে আমাকে পিএম করুন। আপনাকে অনেক ধন্যবাদ।</v>
      </c>
    </row>
    <row r="981" spans="1:3" ht="15" x14ac:dyDescent="0.25">
      <c r="A981" s="3" t="s">
        <v>977</v>
      </c>
      <c r="B981" s="3" t="s">
        <v>4</v>
      </c>
      <c r="C981" s="4" t="str">
        <f ca="1">IFERROR(__xludf.DUMMYFUNCTION("GOOGLETRANSLATE(A981, ""auto"", ""bn"")"),"আমার পিঠের (আমি T# ভুলে গেছি) বক্ষদেশে একটি ফুলে যাওয়া ডিস্ক আছে, এবং আমি এর জন্য একজন ব্যথা ব্যবস্থাপনা ডাক্তারের কাছে যাই... কিন্তু আমার সমস্যা হল, আমি প্রতিদিন 3 টির বেশি বড়ি খেতে পারি না যা তিনি আমাকে দেন। বৈধ, আমার স্বামী আমাকে সাহায্য করার চেষ্টা "&amp;"করছেন, কিন্তু আমি নিজেকে এবং তাকে প্রতি মাসে হতাশ করি। আমি বুধবার ডাক্তারের কাছে ফিরে যাচ্ছি কারণ আমার তাড়াতাড়ি শ্বাসকষ্ট হওয়ার পর থেকে আমি ঠান্ডা হয়ে গেছি.... সমস্যা #1 গত মাসে আমার (RFA) অ্যাবলেশনের সময় কিছু ঘটেছিল এবং সংক্ষেপে আমার একটি অদ্ভুত প্র"&amp;"তিক্রিয়া হয়েছিল এবং আমার বাম দিকে তীব্র ব্যথা হয়েছিল। ডাক্তার এটি সম্পর্কে জানেন এবং যতক্ষণ না আমার ওষুধ শেষ হয়ে যায় ততক্ষণ পর্যন্ত আমি তাকে নিয়ন্ত্রণে রেখেছিলাম। আমি নিজেকে বলার চেষ্টা করেছি ঠিক আছে, আসুন আইবুপ্রোফেন ইত্যাদি চেষ্টা করি... সমস্যা #2"&amp;" আমার পাশ আবার ব্যথা করছে যেমনটি প্রাথমিক RFA এর পরে ছিল... তাই আমি এবং আমার স্বামী বারবার ব্যথা করছি কারণ আমি খুব রেগে ছিলাম।")</f>
        <v>আমার পিঠের (আমি T# ভুলে গেছি) বক্ষদেশে একটি ফুলে যাওয়া ডিস্ক আছে, এবং আমি এর জন্য একজন ব্যথা ব্যবস্থাপনা ডাক্তারের কাছে যাই... কিন্তু আমার সমস্যা হল, আমি প্রতিদিন 3 টির বেশি বড়ি খেতে পারি না যা তিনি আমাকে দেন। বৈধ, আমার স্বামী আমাকে সাহায্য করার চেষ্টা করছেন, কিন্তু আমি নিজেকে এবং তাকে প্রতি মাসে হতাশ করি। আমি বুধবার ডাক্তারের কাছে ফিরে যাচ্ছি কারণ আমার তাড়াতাড়ি শ্বাসকষ্ট হওয়ার পর থেকে আমি ঠান্ডা হয়ে গেছি.... সমস্যা #1 গত মাসে আমার (RFA) অ্যাবলেশনের সময় কিছু ঘটেছিল এবং সংক্ষেপে আমার একটি অদ্ভুত প্রতিক্রিয়া হয়েছিল এবং আমার বাম দিকে তীব্র ব্যথা হয়েছিল। ডাক্তার এটি সম্পর্কে জানেন এবং যতক্ষণ না আমার ওষুধ শেষ হয়ে যায় ততক্ষণ পর্যন্ত আমি তাকে নিয়ন্ত্রণে রেখেছিলাম। আমি নিজেকে বলার চেষ্টা করেছি ঠিক আছে, আসুন আইবুপ্রোফেন ইত্যাদি চেষ্টা করি... সমস্যা #2 আমার পাশ আবার ব্যথা করছে যেমনটি প্রাথমিক RFA এর পরে ছিল... তাই আমি এবং আমার স্বামী বারবার ব্যথা করছি কারণ আমি খুব রেগে ছিলাম।</v>
      </c>
    </row>
    <row r="982" spans="1:3" ht="15" x14ac:dyDescent="0.25">
      <c r="A982" s="3" t="s">
        <v>978</v>
      </c>
      <c r="B982" s="3" t="s">
        <v>4</v>
      </c>
      <c r="C982" s="4" t="str">
        <f ca="1">IFERROR(__xludf.DUMMYFUNCTION("GOOGLETRANSLATE(A982, ""auto"", ""bn"")"),"আমি হাই স্কুল থেকে এখন পর্যন্ত (বর্তমানে ২২ বছর বয়সী) মাদকের উপর পরীক্ষা-নিরীক্ষা করেছি। আমি দীর্ঘদিন ধরে অ্যালকোহল এবং মাদকের সাথে লড়াই করেছি। আমার পরিবার মনে করে আমার পুনর্বাসনের প্রয়োজন কারণ আমি ৬ মাস ধরে কাজ করিনি কারণ আমি আমার চাকরি হারিয়েছি এবং "&amp;"মাদক সেবন করছি ... আমি পরিষ্কার থাকতে চাই কিন্তু আমি রোগীর যত্ন নিতে চাই, এবং তারা আমাকে যথেষ্ট বিশ্বাস করে না। আমার বয়স ২২, কিন্তু যদি তারা আমাকে জোর করে তবে আমি চলে যেতে চাই এবং আমাকে বিশ্বাস করতে আমার আরও জায়গা আছে। আমি কী করব? আমি কেবল চিকিৎসা করতে "&amp;"পারি না, এটি আমি নই, তবে আমি প্রমাণ করতে চাই যে আমি একসাথে আমার জীবন কাটাতে চাই। আমি যার সাথে আছি তার সাথে অনেক কিছু করার আছে। তারও আসক্তি আছে যা আমরা উভয়ই একে অপরকে সাহায্য করতে এবং পরিষ্কার হতে চাই। আমি জানি আমাদের উভয়কেই নিজের উপর মনোযোগ দিতে হবে যার"&amp;" কারণে সে ২ ঘন্টা দূরে থাকে এবং আমরা এখন কেবল ফোনে যোগাযোগ করি। আমার পরিবার তাকে ঘৃণা করে, কিন্তু আমি তাকে ভালোবাসি এবং যাই হোক না কেন আমি তাকে ছেড়ে যাচ্ছি না। তাহলে আমি কী করব?")</f>
        <v>আমি হাই স্কুল থেকে এখন পর্যন্ত (বর্তমানে ২২ বছর বয়সী) মাদকের উপর পরীক্ষা-নিরীক্ষা করেছি। আমি দীর্ঘদিন ধরে অ্যালকোহল এবং মাদকের সাথে লড়াই করেছি। আমার পরিবার মনে করে আমার পুনর্বাসনের প্রয়োজন কারণ আমি ৬ মাস ধরে কাজ করিনি কারণ আমি আমার চাকরি হারিয়েছি এবং মাদক সেবন করছি ... আমি পরিষ্কার থাকতে চাই কিন্তু আমি রোগীর যত্ন নিতে চাই, এবং তারা আমাকে যথেষ্ট বিশ্বাস করে না। আমার বয়স ২২, কিন্তু যদি তারা আমাকে জোর করে তবে আমি চলে যেতে চাই এবং আমাকে বিশ্বাস করতে আমার আরও জায়গা আছে। আমি কী করব? আমি কেবল চিকিৎসা করতে পারি না, এটি আমি নই, তবে আমি প্রমাণ করতে চাই যে আমি একসাথে আমার জীবন কাটাতে চাই। আমি যার সাথে আছি তার সাথে অনেক কিছু করার আছে। তারও আসক্তি আছে যা আমরা উভয়ই একে অপরকে সাহায্য করতে এবং পরিষ্কার হতে চাই। আমি জানি আমাদের উভয়কেই নিজের উপর মনোযোগ দিতে হবে যার কারণে সে ২ ঘন্টা দূরে থাকে এবং আমরা এখন কেবল ফোনে যোগাযোগ করি। আমার পরিবার তাকে ঘৃণা করে, কিন্তু আমি তাকে ভালোবাসি এবং যাই হোক না কেন আমি তাকে ছেড়ে যাচ্ছি না। তাহলে আমি কী করব?</v>
      </c>
    </row>
    <row r="983" spans="1:3" ht="15" x14ac:dyDescent="0.25">
      <c r="A983" s="3" t="s">
        <v>979</v>
      </c>
      <c r="B983" s="3" t="s">
        <v>4</v>
      </c>
      <c r="C983" s="4" t="str">
        <f ca="1">IFERROR(__xludf.DUMMYFUNCTION("GOOGLETRANSLATE(A983, ""auto"", ""bn"")"),"আমার বয়ফ্রেন্ডের কিছু সমস্যা আছে, শুধু বলতেই হবে, কিন্তু কে না করে। তাই আমি তাকে ঘৃণা করি না, বরং এটা আমার হৃদয় ভেঙে দেয়। এই মানুষটি সব দিক থেকেই সুন্দর, ধূমপানের ক্ষেত্রে ছাড়া। আগাছা, নিকোটিন, যেকোনো কিছু। সে আমার কাছে স্বীকার করেছে যে সে আসক্তির সাথে "&amp;"লড়াই করছে। আর আমি তার বাবাকে তার প্রেসক্রিপশনের ওষুধের সাথে লড়াই করতে দেখেছি। তাই পরিবারে আসক্তি চলে, এবং দুঃখের বিষয় হল এটি আমার বয়ফ্রেন্ডের মধ্যেও চলে গেছে। সে অনেক গাঁজা ধূমপান করে, এবং ২ সপ্তাহ আগে সে এক সপ্তাহের জন্য শান্ত ছিল। তারপর আমরা বন্ধুদে"&amp;"র সাথে আড্ডা দিতে গেলাম, এবং সে হাল ছেড়ে দিল, আমি স্বীকার করছি যে আমি তাকে আবার ধূমপান করতে সাহায্য করেছি। এবং এটা কঠিন ছিল, কিন্তু আমি জানি ধূমপান তাকে শান্ত করতে সাহায্য করে। কিন্তু এখন, আমরা একটি অবৈধ অবস্থায় বাস করি, যেখানে গাঁজা ধূমপান, বিশেষ করে ম"&amp;"োম, অত্যন্ত অবৈধ। ধরা পড়লে সে গুরুতর অপরাধের শিকার হতে পারে, এবং আমার বয়ফ্রেন্ড গাড়ির ডিলারশিপে কাজ করে, তার অনেক ঝুঁকি আছে। আমরা এখন তার পরিবারের সাথে থাকি, আমি সম্প্রতি আমার প্রথম গাড়ি কিনেছি, এবং আমি কি একা চলে যাওয়ার জন্য খুব বেশি আগ্রহী? আমি তাক"&amp;"ে ছেড়ে যেতে চাই না, কারণ সে দাবি করে যে সে ১৮ বছর বয়স থেকেই চলে যেতে চেয়েছিল, কিন্তু এখনও করেনি,")</f>
        <v>আমার বয়ফ্রেন্ডের কিছু সমস্যা আছে, শুধু বলতেই হবে, কিন্তু কে না করে। তাই আমি তাকে ঘৃণা করি না, বরং এটা আমার হৃদয় ভেঙে দেয়। এই মানুষটি সব দিক থেকেই সুন্দর, ধূমপানের ক্ষেত্রে ছাড়া। আগাছা, নিকোটিন, যেকোনো কিছু। সে আমার কাছে স্বীকার করেছে যে সে আসক্তির সাথে লড়াই করছে। আর আমি তার বাবাকে তার প্রেসক্রিপশনের ওষুধের সাথে লড়াই করতে দেখেছি। তাই পরিবারে আসক্তি চলে, এবং দুঃখের বিষয় হল এটি আমার বয়ফ্রেন্ডের মধ্যেও চলে গেছে। সে অনেক গাঁজা ধূমপান করে, এবং ২ সপ্তাহ আগে সে এক সপ্তাহের জন্য শান্ত ছিল। তারপর আমরা বন্ধুদের সাথে আড্ডা দিতে গেলাম, এবং সে হাল ছেড়ে দিল, আমি স্বীকার করছি যে আমি তাকে আবার ধূমপান করতে সাহায্য করেছি। এবং এটা কঠিন ছিল, কিন্তু আমি জানি ধূমপান তাকে শান্ত করতে সাহায্য করে। কিন্তু এখন, আমরা একটি অবৈধ অবস্থায় বাস করি, যেখানে গাঁজা ধূমপান, বিশেষ করে মোম, অত্যন্ত অবৈধ। ধরা পড়লে সে গুরুতর অপরাধের শিকার হতে পারে, এবং আমার বয়ফ্রেন্ড গাড়ির ডিলারশিপে কাজ করে, তার অনেক ঝুঁকি আছে। আমরা এখন তার পরিবারের সাথে থাকি, আমি সম্প্রতি আমার প্রথম গাড়ি কিনেছি, এবং আমি কি একা চলে যাওয়ার জন্য খুব বেশি আগ্রহী? আমি তাকে ছেড়ে যেতে চাই না, কারণ সে দাবি করে যে সে ১৮ বছর বয়স থেকেই চলে যেতে চেয়েছিল, কিন্তু এখনও করেনি,</v>
      </c>
    </row>
    <row r="984" spans="1:3" ht="15" x14ac:dyDescent="0.25">
      <c r="A984" s="3" t="s">
        <v>980</v>
      </c>
      <c r="B984" s="3" t="s">
        <v>4</v>
      </c>
      <c r="C984" s="4" t="str">
        <f ca="1">IFERROR(__xludf.DUMMYFUNCTION("GOOGLETRANSLATE(A984, ""auto"", ""bn"")"),"আমার বয়স ১৬ বছর এবং আমার অনেক মানসিক স্বাস্থ্য সমস্যা আছে এবং আমি উদ্বেগ, বিষণ্ণতা এবং আসক্তির সাথে লড়াই করি। আমি একজন পলি-আসক্ত যার মানে আমি মূলত যেকোনো কিছুতে আসক্ত হতে পারি। হ্যাঁ, বিশেষ করে আগাছা, যখন আমি খুশি বা স্বস্তি বোধ করি তখনই যখন আমি Xanax বা"&amp;" আগাছা বেশি নেশা করি, কিন্তু এটি কেবল এক ঘন্টারও বেশি সময় স্থায়ী হয়, তারপর আমি আবার নেশায় আসক্ত হতে চাই। আমি শুধু নিজেকে বলব, ""ওহ, আমি যখন মাদক ছেড়ে দেব তখনই আত্মহত্যা করব?"" কিন্তু এখন আমি মরতে ভয় পাচ্ছি কারণ বেশিরভাগ সময়ই আমি স্পষ্টতই মারা যাই না"&amp;" LMAO (আমি আত্মহত্যা করার চেষ্টা করেছি হয়তো ১৫ বারেরও কম, তাই আমি স্পষ্টতই বলি) এখন আমার পেটে গর্ত আছে, আরে, আমি কী করব, আমার পরিকল্পনা কী এবং আমার কোনও পরিকল্পনা নেই। আমি এতটাই হতাশ যে আমি আমার আসক্তি থেকে মুক্তি পেতে চাই, কিন্তু যদি তুমি এতদূর এসে পৌঁছ"&amp;"াও, তাহলে মাদক আমাকে যে সুখ এনে দেয় তা আমি ছেড়ে দিতে চাই না। আমি শুধু চাই, দিনের বেলা সময় বের করে এটি পড়ার জন্য আপনাকে ধন্যবাদ। আপনাকে আমাকে সাহায্য করতে হবে না, তবে যদি আপনি চান তবেই আমার কেবল পরামর্শের প্রয়োজন।")</f>
        <v>আমার বয়স ১৬ বছর এবং আমার অনেক মানসিক স্বাস্থ্য সমস্যা আছে এবং আমি উদ্বেগ, বিষণ্ণতা এবং আসক্তির সাথে লড়াই করি। আমি একজন পলি-আসক্ত যার মানে আমি মূলত যেকোনো কিছুতে আসক্ত হতে পারি। হ্যাঁ, বিশেষ করে আগাছা, যখন আমি খুশি বা স্বস্তি বোধ করি তখনই যখন আমি Xanax বা আগাছা বেশি নেশা করি, কিন্তু এটি কেবল এক ঘন্টারও বেশি সময় স্থায়ী হয়, তারপর আমি আবার নেশায় আসক্ত হতে চাই। আমি শুধু নিজেকে বলব, "ওহ, আমি যখন মাদক ছেড়ে দেব তখনই আত্মহত্যা করব?" কিন্তু এখন আমি মরতে ভয় পাচ্ছি কারণ বেশিরভাগ সময়ই আমি স্পষ্টতই মারা যাই না LMAO (আমি আত্মহত্যা করার চেষ্টা করেছি হয়তো ১৫ বারেরও কম, তাই আমি স্পষ্টতই বলি) এখন আমার পেটে গর্ত আছে, আরে, আমি কী করব, আমার পরিকল্পনা কী এবং আমার কোনও পরিকল্পনা নেই। আমি এতটাই হতাশ যে আমি আমার আসক্তি থেকে মুক্তি পেতে চাই, কিন্তু যদি তুমি এতদূর এসে পৌঁছাও, তাহলে মাদক আমাকে যে সুখ এনে দেয় তা আমি ছেড়ে দিতে চাই না। আমি শুধু চাই, দিনের বেলা সময় বের করে এটি পড়ার জন্য আপনাকে ধন্যবাদ। আপনাকে আমাকে সাহায্য করতে হবে না, তবে যদি আপনি চান তবেই আমার কেবল পরামর্শের প্রয়োজন।</v>
      </c>
    </row>
    <row r="985" spans="1:3" ht="15" x14ac:dyDescent="0.25">
      <c r="A985" s="3" t="s">
        <v>981</v>
      </c>
      <c r="B985" s="3" t="s">
        <v>4</v>
      </c>
      <c r="C985" s="4" t="str">
        <f ca="1">IFERROR(__xludf.DUMMYFUNCTION("GOOGLETRANSLATE(A985, ""auto"", ""bn"")"),"আমার প্রেমিক আর আমি এক বছর ধরে ডেটিং করছি, আর সম্প্রতি সে আবারও ডেটিং শুরু করেছে। আমি তাকে ধরে ফেললাম এবং তাকে সমর্থন করে বললাম। সে কতটা রিল্যাপস করেছে তার তীব্রতা সম্পর্কে সে আগে থেকে কিছু বলতে চাইছিল না কিন্তু থেরাপি নিতে এবং তার মিটিংয়ে ফিরে যেতে ইচ্ছ"&amp;"ুক ছিল। আমার একটা দীর্ঘস্থায়ী অনুভূতি হচ্ছে যে এখনও কিছু ঠিক নেই, এবং আমি ঠিক বুঝতে পারছি না যে আমি কি প্যারানয়েড করছি নাকি সে কেবল এই ভ্রান্ত ধারণা পোষণ করছে যে সে ঠিক কাজ করছে কিন্তু মনের ভেতরে তা নয়। যখন আমি কথাবার্তায় এই বিষয়টি নিয়ে কথা বলি তখন "&amp;"সে কিছুটা রক্ষণাত্মক হয়ে ওঠে এবং আমাকে মনে করিয়ে দেয় যে সে ঠিক কাজ করছে। সে আমাকে বলে যে আমি যখন এই উদ্বেগের কথা বলি তখন এটি তাকে বিরক্ত করে কারণ যখন সে ভুল করে তখন তাকে এমন মনে হয় যে সে কিছু ভুল করছে। যখন আমার মনে হয় কিছু একটা খারাপ হচ্ছে কিন্তু আমা"&amp;"র ১০০% গর্ব নেই তখন আমি কীভাবে এগিয়ে যাব তা নিয়ে আমি লড়াই করছি। তার ঘুমের ধরণ আগের মতো ছিল না, সে স্বাভাবিকের চেয়ে বেশি রক্ষণাত্মক হয়ে ওঠে, এবং তার আচরণ সম্পর্কে কিছু খুব গোপনীয় বলে মনে হয়। এই পরিস্থিতি মোকাবেলা করার সবচেয়ে ভালো উপায় কী হবে?")</f>
        <v>আমার প্রেমিক আর আমি এক বছর ধরে ডেটিং করছি, আর সম্প্রতি সে আবারও ডেটিং শুরু করেছে। আমি তাকে ধরে ফেললাম এবং তাকে সমর্থন করে বললাম। সে কতটা রিল্যাপস করেছে তার তীব্রতা সম্পর্কে সে আগে থেকে কিছু বলতে চাইছিল না কিন্তু থেরাপি নিতে এবং তার মিটিংয়ে ফিরে যেতে ইচ্ছুক ছিল। আমার একটা দীর্ঘস্থায়ী অনুভূতি হচ্ছে যে এখনও কিছু ঠিক নেই, এবং আমি ঠিক বুঝতে পারছি না যে আমি কি প্যারানয়েড করছি নাকি সে কেবল এই ভ্রান্ত ধারণা পোষণ করছে যে সে ঠিক কাজ করছে কিন্তু মনের ভেতরে তা নয়। যখন আমি কথাবার্তায় এই বিষয়টি নিয়ে কথা বলি তখন সে কিছুটা রক্ষণাত্মক হয়ে ওঠে এবং আমাকে মনে করিয়ে দেয় যে সে ঠিক কাজ করছে। সে আমাকে বলে যে আমি যখন এই উদ্বেগের কথা বলি তখন এটি তাকে বিরক্ত করে কারণ যখন সে ভুল করে তখন তাকে এমন মনে হয় যে সে কিছু ভুল করছে। যখন আমার মনে হয় কিছু একটা খারাপ হচ্ছে কিন্তু আমার ১০০% গর্ব নেই তখন আমি কীভাবে এগিয়ে যাব তা নিয়ে আমি লড়াই করছি। তার ঘুমের ধরণ আগের মতো ছিল না, সে স্বাভাবিকের চেয়ে বেশি রক্ষণাত্মক হয়ে ওঠে, এবং তার আচরণ সম্পর্কে কিছু খুব গোপনীয় বলে মনে হয়। এই পরিস্থিতি মোকাবেলা করার সবচেয়ে ভালো উপায় কী হবে?</v>
      </c>
    </row>
    <row r="986" spans="1:3" ht="15" x14ac:dyDescent="0.25">
      <c r="A986" s="3" t="s">
        <v>982</v>
      </c>
      <c r="B986" s="3" t="s">
        <v>4</v>
      </c>
      <c r="C986" s="4" t="str">
        <f ca="1">IFERROR(__xludf.DUMMYFUNCTION("GOOGLETRANSLATE(A986, ""auto"", ""bn"")"),"পটভূমি: পুরুষ[19] আমি জানি আমার বয়স কারো কারো কাছে এটা একটু অযৌক্তিক মনে হতে পারে, কিন্তু আসক্তির কোন সীমা নেই। এটিই একমাত্র জায়গা যেখানে আমি জিজ্ঞাসা করা সবচেয়ে ভালো বলে মনে করেছি এবং আমি নিশ্চিত নই যে এটি সঠিক জায়গা। আমি প্রতিদিন 10+ মিলিগ্রাম Xanax"&amp;", 150mg+ MDMA সাপ্তাহিক, 1g+ কোকাকোলা সাপ্তাহিক, 200ug LSD সাপ্তাহিক/পাক্ষিক আসক্ত। কিছু আলাদা, কিছু মিলিত, কিন্তু সবগুলোই কাটিয়ে উঠেছি) আমি প্রতিদিন আগাছা এবং সিগারেটও ধূমপান করেছি আমি কতটা পান করি তার কারণে এটি সত্যিই আমাকে একজন মানুষ হিসাবে কম মনে করছ"&amp;"ে তাই আমি জানতে চাই যে এটি কি কোনও কারণেই হোক, এত কিছুর পরেও, আমার কি ঐ ওষুধগুলি না করে প্রচুর পরিমাণে পান করা উচিত? (গড় 27 পানীয়/সপ্তাহ) এখনও আগাছা এবং সিগারেট")</f>
        <v>পটভূমি: পুরুষ[19] আমি জানি আমার বয়স কারো কারো কাছে এটা একটু অযৌক্তিক মনে হতে পারে, কিন্তু আসক্তির কোন সীমা নেই। এটিই একমাত্র জায়গা যেখানে আমি জিজ্ঞাসা করা সবচেয়ে ভালো বলে মনে করেছি এবং আমি নিশ্চিত নই যে এটি সঠিক জায়গা। আমি প্রতিদিন 10+ মিলিগ্রাম Xanax, 150mg+ MDMA সাপ্তাহিক, 1g+ কোকাকোলা সাপ্তাহিক, 200ug LSD সাপ্তাহিক/পাক্ষিক আসক্ত। কিছু আলাদা, কিছু মিলিত, কিন্তু সবগুলোই কাটিয়ে উঠেছি) আমি প্রতিদিন আগাছা এবং সিগারেটও ধূমপান করেছি আমি কতটা পান করি তার কারণে এটি সত্যিই আমাকে একজন মানুষ হিসাবে কম মনে করছে তাই আমি জানতে চাই যে এটি কি কোনও কারণেই হোক, এত কিছুর পরেও, আমার কি ঐ ওষুধগুলি না করে প্রচুর পরিমাণে পান করা উচিত? (গড় 27 পানীয়/সপ্তাহ) এখনও আগাছা এবং সিগারেট</v>
      </c>
    </row>
    <row r="987" spans="1:3" ht="15" x14ac:dyDescent="0.25">
      <c r="A987" s="3" t="s">
        <v>983</v>
      </c>
      <c r="B987" s="3" t="s">
        <v>4</v>
      </c>
      <c r="C987" s="4" t="str">
        <f ca="1">IFERROR(__xludf.DUMMYFUNCTION("GOOGLETRANSLATE(A987, ""auto"", ""bn"")"),"২০১৭ সাল থেকে প্রথম দিন ধূমপান ছাড়া, আমার খুব কষ্ট হচ্ছে। আজ আমার ছুটির দিন এবং এটা খুব ধীরে ধীরে যাচ্ছে! আমি এমন এক সময় ধূমপান শুরু করেছিলাম যখন আমি প্রচণ্ড হতাশাগ্রস্ত, উদ্বিগ্ন এবং অতিরিক্ত ওজনের ছিলাম, এবং এটি আমাকে আশ্চর্যজনকভাবে সাহায্য করেছে। আমি"&amp;" ৩০ কেজি ওজন কমিয়েছি। তাছাড়া, আমি অনেক বেশি আত্মবিশ্বাসী, তবে এটি এখন একটি আসক্তিতে পরিণত হয়েছে এবং আমার মনে হয় আমি এতটাই উদ্বিগ্ন যে আমি যদি ২০১৭ সালে ধূমপান ছেড়ে দেওয়ার আগে যেমন ছিলাম তেমনই হয়ে যাব। তাছাড়া, আমি এটি অনুভব করি কারণ আমি প্রতিদিন যা"&amp;" করি তার সাথে এটিকে একীভূত করেছি, এটি ছাড়া আমার কিছু করা কঠিন বলে মনে হয়। তাছাড়া, আমি বন্ধুদের সাথে নিজেকে বিভ্রান্তও করতে পারি না। তাছাড়া, আমার একজন বন্ধু আছে যে খুব বেশি ধূমপায়ী, শুধু তাই।")</f>
        <v>২০১৭ সাল থেকে প্রথম দিন ধূমপান ছাড়া, আমার খুব কষ্ট হচ্ছে। আজ আমার ছুটির দিন এবং এটা খুব ধীরে ধীরে যাচ্ছে! আমি এমন এক সময় ধূমপান শুরু করেছিলাম যখন আমি প্রচণ্ড হতাশাগ্রস্ত, উদ্বিগ্ন এবং অতিরিক্ত ওজনের ছিলাম, এবং এটি আমাকে আশ্চর্যজনকভাবে সাহায্য করেছে। আমি ৩০ কেজি ওজন কমিয়েছি। তাছাড়া, আমি অনেক বেশি আত্মবিশ্বাসী, তবে এটি এখন একটি আসক্তিতে পরিণত হয়েছে এবং আমার মনে হয় আমি এতটাই উদ্বিগ্ন যে আমি যদি ২০১৭ সালে ধূমপান ছেড়ে দেওয়ার আগে যেমন ছিলাম তেমনই হয়ে যাব। তাছাড়া, আমি এটি অনুভব করি কারণ আমি প্রতিদিন যা করি তার সাথে এটিকে একীভূত করেছি, এটি ছাড়া আমার কিছু করা কঠিন বলে মনে হয়। তাছাড়া, আমি বন্ধুদের সাথে নিজেকে বিভ্রান্তও করতে পারি না। তাছাড়া, আমার একজন বন্ধু আছে যে খুব বেশি ধূমপায়ী, শুধু তাই।</v>
      </c>
    </row>
    <row r="988" spans="1:3" ht="15" x14ac:dyDescent="0.25">
      <c r="A988" s="3" t="s">
        <v>984</v>
      </c>
      <c r="B988" s="3" t="s">
        <v>4</v>
      </c>
      <c r="C988" s="4" t="str">
        <f ca="1">IFERROR(__xludf.DUMMYFUNCTION("GOOGLETRANSLATE(A988, ""auto"", ""bn"")"),"দয়া করে আমাকে পরামর্শ দিন কিভাবে আমার একজন ঘনিষ্ঠ বন্ধুকে সাহায্য করতে পারি যে গত ৬ মাস ধরে মাদকমুক্ত ছিল (সম্ভবত তার জীবনের সবচেয়ে দীর্ঘ সময় ধরে...) এবং এখন আবার মাদকাসক্ত হয়ে পড়েছে। এটা খুবই বেদনাদায়ক। আমি তাকে সাহায্য করার জন্য কী বলতে পারি, এবং স্বীকা"&amp;"রও করতে পারি যে সে আবার মাদকাসক্ত হয়ে পড়েছে?")</f>
        <v>দয়া করে আমাকে পরামর্শ দিন কিভাবে আমার একজন ঘনিষ্ঠ বন্ধুকে সাহায্য করতে পারি যে গত ৬ মাস ধরে মাদকমুক্ত ছিল (সম্ভবত তার জীবনের সবচেয়ে দীর্ঘ সময় ধরে...) এবং এখন আবার মাদকাসক্ত হয়ে পড়েছে। এটা খুবই বেদনাদায়ক। আমি তাকে সাহায্য করার জন্য কী বলতে পারি, এবং স্বীকারও করতে পারি যে সে আবার মাদকাসক্ত হয়ে পড়েছে?</v>
      </c>
    </row>
    <row r="989" spans="1:3" ht="15" x14ac:dyDescent="0.25">
      <c r="A989" s="3" t="s">
        <v>985</v>
      </c>
      <c r="B989" s="3" t="s">
        <v>4</v>
      </c>
      <c r="C989" s="4" t="str">
        <f ca="1">IFERROR(__xludf.DUMMYFUNCTION("GOOGLETRANSLATE(A989, ""auto"", ""bn"")"),"কখনও কখনও সুস্থতা মানে হল আপনার স্ত্রীকে ধার্মিকতার চোখে মৃত দেখা, যখন আপনি কাপে প্রস্রাব করেন কারণ আপনি জানেন যে আপনি কয়েক মাস ধরে পরিষ্কার আছেন এবং তারপর একান্তে কাঁদেন কারণ আপনি জানেন যে আপনি বৈধ এবং এটিই আপনার শেষবারের মতো নয়...")</f>
        <v>কখনও কখনও সুস্থতা মানে হল আপনার স্ত্রীকে ধার্মিকতার চোখে মৃত দেখা, যখন আপনি কাপে প্রস্রাব করেন কারণ আপনি জানেন যে আপনি কয়েক মাস ধরে পরিষ্কার আছেন এবং তারপর একান্তে কাঁদেন কারণ আপনি জানেন যে আপনি বৈধ এবং এটিই আপনার শেষবারের মতো নয়...</v>
      </c>
    </row>
    <row r="990" spans="1:3" ht="15" x14ac:dyDescent="0.25">
      <c r="A990" s="3" t="s">
        <v>986</v>
      </c>
      <c r="B990" s="3" t="s">
        <v>4</v>
      </c>
      <c r="C990" s="4" t="str">
        <f ca="1">IFERROR(__xludf.DUMMYFUNCTION("GOOGLETRANSLATE(A990, ""auto"", ""bn"")"),"আমি (৩৭ মিলিয়ন) ১৪ বছর বয়স থেকেই মদ্যপান এবং বিনোদনমূলকভাবে গাঁজা ধূমপান করে আসছি। আমি আমার স্ত্রীর (৩৭ মিলিয়ন) সাথে ২০ বছর ধরে আছি এবং আমাদের বিবাহিত জীবন ১০ বছর। আমাদের দুটি সন্তান (৪ মিলিয়ন এবং ১ মিলিয়ন)। আমি একজন নিবেদিতপ্রাণ স্বামী এবং বাবা, কিন"&amp;"্তু বছরের পর বছর ধরে আমার মাদকাসক্তি এবং মিথ্যাচারের কারণে আমার বিশ্বাসের সমস্যা দেখা দিয়েছে। আমি পরিবর্তনের প্রতিশ্রুতি দিয়েছি এবং বারবার পিছিয়ে এসেছি। সম্প্রতি, আমার স্ত্রী এবং বাচ্চারা ঘুমাতে যাওয়ার পরে আমি গাঁজা ধূমপান শুরু করেছি যাতে আমি এটি লুকি"&amp;"য়ে রাখতে পারি। সম্প্রতি আমরা আরও পাঁচটি ছোট বাচ্চাদের পরিবার এবং একজন শিক্ষকের সাথে একটি যত্নের সম্পর্ক স্থাপন করেছি যারা আমাদের বাড়িতে একটি প্রি-স্কুল পড পরিচালনা করে। আমার স্ত্রী এবং আমি এখন বাড়িতে কাজ করছি। শিক্ষকের মধ্যাহ্নভোজের বিরতি বহন করা আমার "&amp;"দায়িত্ব। আজ আমি একটি বোকামি সিদ্ধান্ত নিয়েছি যে আমি কাজের দিনে আঘাত পেতে যাচ্ছি এবং আমার স্ত্রী আমার উপর চলে এসেছিল। আমি আমার মেয়ের শোবার ঘরে জানালা দিয়ে আঘাত করছিলাম।")</f>
        <v>আমি (৩৭ মিলিয়ন) ১৪ বছর বয়স থেকেই মদ্যপান এবং বিনোদনমূলকভাবে গাঁজা ধূমপান করে আসছি। আমি আমার স্ত্রীর (৩৭ মিলিয়ন) সাথে ২০ বছর ধরে আছি এবং আমাদের বিবাহিত জীবন ১০ বছর। আমাদের দুটি সন্তান (৪ মিলিয়ন এবং ১ মিলিয়ন)। আমি একজন নিবেদিতপ্রাণ স্বামী এবং বাবা, কিন্তু বছরের পর বছর ধরে আমার মাদকাসক্তি এবং মিথ্যাচারের কারণে আমার বিশ্বাসের সমস্যা দেখা দিয়েছে। আমি পরিবর্তনের প্রতিশ্রুতি দিয়েছি এবং বারবার পিছিয়ে এসেছি। সম্প্রতি, আমার স্ত্রী এবং বাচ্চারা ঘুমাতে যাওয়ার পরে আমি গাঁজা ধূমপান শুরু করেছি যাতে আমি এটি লুকিয়ে রাখতে পারি। সম্প্রতি আমরা আরও পাঁচটি ছোট বাচ্চাদের পরিবার এবং একজন শিক্ষকের সাথে একটি যত্নের সম্পর্ক স্থাপন করেছি যারা আমাদের বাড়িতে একটি প্রি-স্কুল পড পরিচালনা করে। আমার স্ত্রী এবং আমি এখন বাড়িতে কাজ করছি। শিক্ষকের মধ্যাহ্নভোজের বিরতি বহন করা আমার দায়িত্ব। আজ আমি একটি বোকামি সিদ্ধান্ত নিয়েছি যে আমি কাজের দিনে আঘাত পেতে যাচ্ছি এবং আমার স্ত্রী আমার উপর চলে এসেছিল। আমি আমার মেয়ের শোবার ঘরে জানালা দিয়ে আঘাত করছিলাম।</v>
      </c>
    </row>
    <row r="991" spans="1:3" ht="15" x14ac:dyDescent="0.25">
      <c r="A991" s="3" t="s">
        <v>987</v>
      </c>
      <c r="B991" s="3" t="s">
        <v>4</v>
      </c>
      <c r="C991" s="4" t="str">
        <f ca="1">IFERROR(__xludf.DUMMYFUNCTION("GOOGLETRANSLATE(A991, ""auto"", ""bn"")"),"আমি হস্তমৈথুনে আসক্ত। এটা প্রকাশ করতে অনেক সাহসের প্রয়োজন ছিল কিন্তু আমি আছি; এবং আমি খুব খারাপভাবে থামাতে চাই। কিছু দিন আমি দিনে ৪ বার ছুটি কাটাই, বছরের পর বছর ধরে হস্তমৈথুন ছাড়া আমার এমন একটি দিনও যায় না। আমার মনে হয় এটি আমাকে বোকা বানাচ্ছে এবং আরও "&amp;"ভুলে যাচ্ছে, এবং আমি এটি ঘৃণা করি কারণ আমি আর এটি থেকে আনন্দ পাই না, এটি আমাকে এতটাই সংবেদনশীল করে তুলেছে যে আমি হস্তমৈথুন করি এবং কোনও সুখ, কোনও অনুশোচনা এবং কোনও দুঃখ অনুভব করি না। আমি সুন্দর, তুমি জি কিন্তু আমি নিজেকে বিভ্রান্ত করার জন্য অন্যান্য জিনিস"&amp;"ের প্রতি আসক্ত হওয়ার চেষ্টা করেছি কিন্তু এর জন্য বা কথা বলার জন্য কারও কাছে অর্থ না থাকায়, এটি আমাকে ম্যাপিংয়ের প্রতি আরও বেশি মনোযোগী করে তুলেছে। দয়া করে সাহায্য করুন")</f>
        <v>আমি হস্তমৈথুনে আসক্ত। এটা প্রকাশ করতে অনেক সাহসের প্রয়োজন ছিল কিন্তু আমি আছি; এবং আমি খুব খারাপভাবে থামাতে চাই। কিছু দিন আমি দিনে ৪ বার ছুটি কাটাই, বছরের পর বছর ধরে হস্তমৈথুন ছাড়া আমার এমন একটি দিনও যায় না। আমার মনে হয় এটি আমাকে বোকা বানাচ্ছে এবং আরও ভুলে যাচ্ছে, এবং আমি এটি ঘৃণা করি কারণ আমি আর এটি থেকে আনন্দ পাই না, এটি আমাকে এতটাই সংবেদনশীল করে তুলেছে যে আমি হস্তমৈথুন করি এবং কোনও সুখ, কোনও অনুশোচনা এবং কোনও দুঃখ অনুভব করি না। আমি সুন্দর, তুমি জি কিন্তু আমি নিজেকে বিভ্রান্ত করার জন্য অন্যান্য জিনিসের প্রতি আসক্ত হওয়ার চেষ্টা করেছি কিন্তু এর জন্য বা কথা বলার জন্য কারও কাছে অর্থ না থাকায়, এটি আমাকে ম্যাপিংয়ের প্রতি আরও বেশি মনোযোগী করে তুলেছে। দয়া করে সাহায্য করুন</v>
      </c>
    </row>
    <row r="992" spans="1:3" ht="15" x14ac:dyDescent="0.25">
      <c r="A992" s="3" t="s">
        <v>988</v>
      </c>
      <c r="B992" s="3" t="s">
        <v>4</v>
      </c>
      <c r="C992" s="4" t="str">
        <f ca="1">IFERROR(__xludf.DUMMYFUNCTION("GOOGLETRANSLATE(A992, ""auto"", ""bn"")"),"আমি একজন সুস্থ হয়ে ওঠা মেথ আসক্তের সাথে ডেটিং করছি। ভ্যাপিং এবং অশ্লীল পরিমাণে কফি পান করা ছাড়া আমার মাদকাসক্তি এবং/অথবা আসক্তির কোনও অভিজ্ঞতা নেই। তাছাড়া, আমি তাকে যতটা সম্ভব সমর্থন এবং সাহায্য করতে চাই। আমাদের সম্পর্কের শুরুতে আমি বুঝতে পেরেছিলাম যে "&amp;"সে নিজের সম্পর্কে আমাকে কিছু বলছে না, তাই আমি আমার সমস্ত দুর্বলতা টেবিলে রেখেছিলাম এবং তাকে বলেছিলাম যে আমার জন্য চুক্তি ভঙ্গকারী হবে অসততা এবং যোগাযোগের অভাব। তখন সে সত্যিই ভয় পেয়ে গেল, কিন্তু তার আসক্তি এবং সম্প্রতি (প্রায় দুই মাস আগে) পুনরায় আসক্তি"&amp;"র কথা বলল। তারপর থেকে সে আরও অনেক কিছু খুলে বলেছে।")</f>
        <v>আমি একজন সুস্থ হয়ে ওঠা মেথ আসক্তের সাথে ডেটিং করছি। ভ্যাপিং এবং অশ্লীল পরিমাণে কফি পান করা ছাড়া আমার মাদকাসক্তি এবং/অথবা আসক্তির কোনও অভিজ্ঞতা নেই। তাছাড়া, আমি তাকে যতটা সম্ভব সমর্থন এবং সাহায্য করতে চাই। আমাদের সম্পর্কের শুরুতে আমি বুঝতে পেরেছিলাম যে সে নিজের সম্পর্কে আমাকে কিছু বলছে না, তাই আমি আমার সমস্ত দুর্বলতা টেবিলে রেখেছিলাম এবং তাকে বলেছিলাম যে আমার জন্য চুক্তি ভঙ্গকারী হবে অসততা এবং যোগাযোগের অভাব। তখন সে সত্যিই ভয় পেয়ে গেল, কিন্তু তার আসক্তি এবং সম্প্রতি (প্রায় দুই মাস আগে) পুনরায় আসক্তির কথা বলল। তারপর থেকে সে আরও অনেক কিছু খুলে বলেছে।</v>
      </c>
    </row>
    <row r="993" spans="1:3" ht="15" x14ac:dyDescent="0.25">
      <c r="A993" s="3" t="s">
        <v>989</v>
      </c>
      <c r="B993" s="3" t="s">
        <v>4</v>
      </c>
      <c r="C993" s="4" t="str">
        <f ca="1">IFERROR(__xludf.DUMMYFUNCTION("GOOGLETRANSLATE(A993, ""auto"", ""bn"")"),"আমি ম্যাটের সাথে ""দ্যম, দ্যাট এবং দিস"" শিরোনামে তার পর্নোগ্রাফির প্রতি আসক্তি সম্পর্কে সাক্ষাৎকার নিই। সে প্রথম ঝটকা, ছয় ঘন্টার পর্নহাব সেশন, সে যে ধরণের পর্ন পছন্দ করত এবং এর ফলে তার সম্পর্ক এবং জীবনের উপর যে ক্ষতি হয়েছিল সে সম্পর্কে কথা বলে। আজ অবধি"&amp;", ম্যাটের উপর পর্নের দখল উল্লেখযোগ্যভাবে হ্রাস পেয়েছে, কিন্তু আসন্ন হুমকি সর্বদা রয়েছে। এভাবেই সে তার ইচ্ছার বিরুদ্ধে লড়াই করতে শিখেছে।")</f>
        <v>আমি ম্যাটের সাথে "দ্যম, দ্যাট এবং দিস" শিরোনামে তার পর্নোগ্রাফির প্রতি আসক্তি সম্পর্কে সাক্ষাৎকার নিই। সে প্রথম ঝটকা, ছয় ঘন্টার পর্নহাব সেশন, সে যে ধরণের পর্ন পছন্দ করত এবং এর ফলে তার সম্পর্ক এবং জীবনের উপর যে ক্ষতি হয়েছিল সে সম্পর্কে কথা বলে। আজ অবধি, ম্যাটের উপর পর্নের দখল উল্লেখযোগ্যভাবে হ্রাস পেয়েছে, কিন্তু আসন্ন হুমকি সর্বদা রয়েছে। এভাবেই সে তার ইচ্ছার বিরুদ্ধে লড়াই করতে শিখেছে।</v>
      </c>
    </row>
    <row r="994" spans="1:3" ht="15" x14ac:dyDescent="0.25">
      <c r="A994" s="3" t="s">
        <v>990</v>
      </c>
      <c r="B994" s="3" t="s">
        <v>4</v>
      </c>
      <c r="C994" s="4" t="str">
        <f ca="1">IFERROR(__xludf.DUMMYFUNCTION("GOOGLETRANSLATE(A994, ""auto"", ""bn"")"),"আমার বয়ফ্রেন্ড যখন তৃতীয়বারের মতো রিহ্যাব ছেড়ে চলে আসে, তখন আমি ডেটিং শুরু করি। আমি এখনও কয়েক সপ্তাহ ধরে ব্যবহার করছিলাম কিন্তু আমি বন্ধ করে দিয়েছিলাম কারণ আমার মনে হয়েছিল যে আমি এটি করে পরিস্থিতি আরও খারাপ করছি, যদিও সে বলেছিল যে সে এতে ঠিক আছে। (আ"&amp;"মি এখন 3 মাস ধরে পরিষ্কার), কিন্তু যখনই তার ক্ষুধা লাগে, অথবা যদি একদিন, (ঈশ্বর না করুন) সে ​​আবার ব্যবহারের কথা বলতে শুরু করে? অথবা যদি সে আবার ব্যবহার শুরু করে? (আবারও, ঈশ্বর নিষেধ করেছেন)... আমি কি করতে পারি? আমি আগে কখনও এই ধরণের পরিস্থিতির মুখোমুখি হ"&amp;"ইনি তাই আমি এই সবের সাথে মোটামুটি নতুন, এবং এই পোস্টটি করার পিছনে চালিকা শক্তি আসলে কেবল ""কি যদি?"" এবং প্যারানোয়া। কিন্তু আমি সত্যিই জানতে চাই যখনই সে এমন কিছু শেয়ার করে যা আমি জানি না তখন কী করব এবং/অথবা বলব যার প্রতিক্রিয়া জানাব। আমি তার পাশে থাকতে"&amp;" চাই, আমি জানি না কিভাবে?")</f>
        <v>আমার বয়ফ্রেন্ড যখন তৃতীয়বারের মতো রিহ্যাব ছেড়ে চলে আসে, তখন আমি ডেটিং শুরু করি। আমি এখনও কয়েক সপ্তাহ ধরে ব্যবহার করছিলাম কিন্তু আমি বন্ধ করে দিয়েছিলাম কারণ আমার মনে হয়েছিল যে আমি এটি করে পরিস্থিতি আরও খারাপ করছি, যদিও সে বলেছিল যে সে এতে ঠিক আছে। (আমি এখন 3 মাস ধরে পরিষ্কার), কিন্তু যখনই তার ক্ষুধা লাগে, অথবা যদি একদিন, (ঈশ্বর না করুন) সে ​​আবার ব্যবহারের কথা বলতে শুরু করে? অথবা যদি সে আবার ব্যবহার শুরু করে? (আবারও, ঈশ্বর নিষেধ করেছেন)... আমি কি করতে পারি? আমি আগে কখনও এই ধরণের পরিস্থিতির মুখোমুখি হইনি তাই আমি এই সবের সাথে মোটামুটি নতুন, এবং এই পোস্টটি করার পিছনে চালিকা শক্তি আসলে কেবল "কি যদি?" এবং প্যারানোয়া। কিন্তু আমি সত্যিই জানতে চাই যখনই সে এমন কিছু শেয়ার করে যা আমি জানি না তখন কী করব এবং/অথবা বলব যার প্রতিক্রিয়া জানাব। আমি তার পাশে থাকতে চাই, আমি জানি না কিভাবে?</v>
      </c>
    </row>
    <row r="995" spans="1:3" ht="15" x14ac:dyDescent="0.25">
      <c r="A995" s="3" t="s">
        <v>991</v>
      </c>
      <c r="B995" s="3" t="s">
        <v>4</v>
      </c>
      <c r="C995" s="4" t="str">
        <f ca="1">IFERROR(__xludf.DUMMYFUNCTION("GOOGLETRANSLATE(A995, ""auto"", ""bn"")"),"আমার স্বামী একজন সুস্থ হয়ে ওঠা মদ্যপ, এখন সে টেসিন এবং আগাছায় আসক্ত। আমি টেসিনের মতো আগাছায় আপত্তি করি না। সে এতটাই মদ্যপান করে যে এটি কার্যক্ষম হয় না। যখন তার মুখোমুখি হয় তখন সে কোনও সমস্যা দেখতে পায় না। আমরা আগেও অ্যালকোহলের সাথে এই অভিজ্ঞতার মধ্য দিয়ে"&amp;" এসেছি এবং এর গন্ধ একই রকম। যদি সে বুঝতে পারে যে তাকে এটি বন্ধ করতে হবে, তাহলে আমি সাহায্য করব না। কারো কি টেসিনের গল্প আছে, এটি কাটিয়ে ওঠার উপায় আছে এবং যদি কেউ স্বাস্থ্যগতভাবে চালিয়ে যেতে চায় তবে কী হতে পারে। যারা কিছু আলোকপাত করতে পারেন তাদের ধন্যব"&amp;"াদ।")</f>
        <v>আমার স্বামী একজন সুস্থ হয়ে ওঠা মদ্যপ, এখন সে টেসিন এবং আগাছায় আসক্ত। আমি টেসিনের মতো আগাছায় আপত্তি করি না। সে এতটাই মদ্যপান করে যে এটি কার্যক্ষম হয় না। যখন তার মুখোমুখি হয় তখন সে কোনও সমস্যা দেখতে পায় না। আমরা আগেও অ্যালকোহলের সাথে এই অভিজ্ঞতার মধ্য দিয়ে এসেছি এবং এর গন্ধ একই রকম। যদি সে বুঝতে পারে যে তাকে এটি বন্ধ করতে হবে, তাহলে আমি সাহায্য করব না। কারো কি টেসিনের গল্প আছে, এটি কাটিয়ে ওঠার উপায় আছে এবং যদি কেউ স্বাস্থ্যগতভাবে চালিয়ে যেতে চায় তবে কী হতে পারে। যারা কিছু আলোকপাত করতে পারেন তাদের ধন্যবাদ।</v>
      </c>
    </row>
    <row r="996" spans="1:3" ht="15" x14ac:dyDescent="0.25">
      <c r="A996" s="3" t="s">
        <v>992</v>
      </c>
      <c r="B996" s="3" t="s">
        <v>4</v>
      </c>
      <c r="C996" s="4" t="str">
        <f ca="1">IFERROR(__xludf.DUMMYFUNCTION("GOOGLETRANSLATE(A996, ""auto"", ""bn"")"),"আমার বয়স ২৪ বছর এবং আমি যখন ২০ বছর বয়স তখন থেকেই ধূমপান শুরু করি। ধূমপানের আগে আমার জীবন ছিল দুর্বিষহ - আমি খুব একটা সুস্থ বা ভালোবাসার মানুষ নই, আমার কখনোই বন্ধু বা প্রেমিক ছিল না, কোন দক্ষতা, শখ বা আবেগ ছিল না... একমাত্র জিনিস যা আমাকে আগে চালিয়ে যেতে "&amp;"সাহায্য করেছিল তা হল শিক্ষা - একমাত্র জিনিস যা আমি ভালো ছিলাম এবং আমাকে সন্তুষ্টি দিয়েছিলাম (এমনকি নিজে পড়াশোনা করারও প্রয়োজন ছিল না, এটি আমার প্রাপ্ত ফলাফল এবং প্রতিক্রিয়া সম্পর্কে ছিল যা আমাকে খুশি করেছিল)। উপরন্তু, আমি সবসময় আমার মানসিক স্বাস্থ্যে"&amp;"র সাথে লড়াই করেছি এবং কিছু থেরাপির মধ্য দিয়ে গিয়েছিলাম, কিন্তু কিছুই সত্যিই কখনও সাহায্য করেনি। যখন আমি বিশ্ববিদ্যালয়ে ধূমপান শুরু করি তখন এটি আশ্চর্যজনক ছিল। সবকিছুই কেবল মজার ছিল এবং আমি খুশি বোধ করতাম। অবশ্যই, অবশেষে আমি অন্যান্য ওষুধ চেষ্টা করেছিল"&amp;"াম - এই একমাত্র সময় যখন আমি সত্যিই মজা করেছি। আমি এমন বন্ধুদের সাথেও দেখা করেছি যারা গাঁজা এবং অন্যান্য মাদকের প্রতি আগ্রহী ছিল। অবশেষে তাদের মধ্যে কেউ কেউ ছেড়ে দিয়েছে এবং আরও ভালো জীবন পেয়েছে এবং অন্যরা দূরে সরে গেছে, এবং আমরা আর যোগাযোগ রাখি না।")</f>
        <v>আমার বয়স ২৪ বছর এবং আমি যখন ২০ বছর বয়স তখন থেকেই ধূমপান শুরু করি। ধূমপানের আগে আমার জীবন ছিল দুর্বিষহ - আমি খুব একটা সুস্থ বা ভালোবাসার মানুষ নই, আমার কখনোই বন্ধু বা প্রেমিক ছিল না, কোন দক্ষতা, শখ বা আবেগ ছিল না... একমাত্র জিনিস যা আমাকে আগে চালিয়ে যেতে সাহায্য করেছিল তা হল শিক্ষা - একমাত্র জিনিস যা আমি ভালো ছিলাম এবং আমাকে সন্তুষ্টি দিয়েছিলাম (এমনকি নিজে পড়াশোনা করারও প্রয়োজন ছিল না, এটি আমার প্রাপ্ত ফলাফল এবং প্রতিক্রিয়া সম্পর্কে ছিল যা আমাকে খুশি করেছিল)। উপরন্তু, আমি সবসময় আমার মানসিক স্বাস্থ্যের সাথে লড়াই করেছি এবং কিছু থেরাপির মধ্য দিয়ে গিয়েছিলাম, কিন্তু কিছুই সত্যিই কখনও সাহায্য করেনি। যখন আমি বিশ্ববিদ্যালয়ে ধূমপান শুরু করি তখন এটি আশ্চর্যজনক ছিল। সবকিছুই কেবল মজার ছিল এবং আমি খুশি বোধ করতাম। অবশ্যই, অবশেষে আমি অন্যান্য ওষুধ চেষ্টা করেছিলাম - এই একমাত্র সময় যখন আমি সত্যিই মজা করেছি। আমি এমন বন্ধুদের সাথেও দেখা করেছি যারা গাঁজা এবং অন্যান্য মাদকের প্রতি আগ্রহী ছিল। অবশেষে তাদের মধ্যে কেউ কেউ ছেড়ে দিয়েছে এবং আরও ভালো জীবন পেয়েছে এবং অন্যরা দূরে সরে গেছে, এবং আমরা আর যোগাযোগ রাখি না।</v>
      </c>
    </row>
    <row r="997" spans="1:3" ht="15" x14ac:dyDescent="0.25">
      <c r="A997" s="3" t="s">
        <v>993</v>
      </c>
      <c r="B997" s="3" t="s">
        <v>4</v>
      </c>
      <c r="C997" s="4" t="str">
        <f ca="1">IFERROR(__xludf.DUMMYFUNCTION("GOOGLETRANSLATE(A997, ""auto"", ""bn"")"),"আমি তাদের সাথে যোগাযোগ করছি যারা ১২-পদক্ষেপ প্রোগ্রামে সফল হননি এবং আমার সাথে রেশনাল রিকভারি বইগুলি পড়তে আগ্রহী। দয়া করে আমার ভিডিওটি দেখুন এবং আপনার মতামত আমাকে জানান! এছাড়াও, আপনি যদি সাবস্ক্রাইব করতে চান তবে এটি দুর্দান্ত হবে!")</f>
        <v>আমি তাদের সাথে যোগাযোগ করছি যারা ১২-পদক্ষেপ প্রোগ্রামে সফল হননি এবং আমার সাথে রেশনাল রিকভারি বইগুলি পড়তে আগ্রহী। দয়া করে আমার ভিডিওটি দেখুন এবং আপনার মতামত আমাকে জানান! এছাড়াও, আপনি যদি সাবস্ক্রাইব করতে চান তবে এটি দুর্দান্ত হবে!</v>
      </c>
    </row>
    <row r="998" spans="1:3" ht="15" x14ac:dyDescent="0.25">
      <c r="A998" s="3" t="s">
        <v>994</v>
      </c>
      <c r="B998" s="3" t="s">
        <v>4</v>
      </c>
      <c r="C998" s="4" t="str">
        <f ca="1">IFERROR(__xludf.DUMMYFUNCTION("GOOGLETRANSLATE(A998, ""auto"", ""bn"")"),"তাই প্রতিদিন সকালে ঘুম থেকে উঠেই বাইরে গিয়ে ধূমপান করার এই ইচ্ছার সাথে আমি লড়াই করছি। আমি চেষ্টা করছি যত বেশি সময় ধরে ধূমপান না করি, তত বেশি সময় ধরে ধূমপান ভালো হয়ে যায়? এটা কি সহজ হয়ে যায়? আমি জানি কিছু লোক মনে করে যে আপনি গাঁজায় আসক্ত হতে পারবে"&amp;"ন না, কিন্তু আমি ৫ বছর আগেও হেরোইনের আসক্ত ছিলাম। আর প্রায় ২ বছর আগে পর্যন্ত আমি বড়িতে আসক্ত ছিলাম। এখন ধূমপান বন্ধ করা দরকার কারণ এটি আমাকে অলস করে তোলে এবং খেতে বাধ্য করে। আর আমি জানি না ড্যাব তেল কতটা নিরাপদ কারণ এখানে এগুলো নিয়ন্ত্রিত নয়। আর কেউ ক"&amp;"ি ধূমপান ছেড়ে দিয়েছে, আর তুমি কি তোমার গল্পটা আমাকে একটু বলতে পারো? এটা ছেড়ে দেওয়া অনেক কঠিন ছিল।")</f>
        <v>তাই প্রতিদিন সকালে ঘুম থেকে উঠেই বাইরে গিয়ে ধূমপান করার এই ইচ্ছার সাথে আমি লড়াই করছি। আমি চেষ্টা করছি যত বেশি সময় ধরে ধূমপান না করি, তত বেশি সময় ধরে ধূমপান ভালো হয়ে যায়? এটা কি সহজ হয়ে যায়? আমি জানি কিছু লোক মনে করে যে আপনি গাঁজায় আসক্ত হতে পারবেন না, কিন্তু আমি ৫ বছর আগেও হেরোইনের আসক্ত ছিলাম। আর প্রায় ২ বছর আগে পর্যন্ত আমি বড়িতে আসক্ত ছিলাম। এখন ধূমপান বন্ধ করা দরকার কারণ এটি আমাকে অলস করে তোলে এবং খেতে বাধ্য করে। আর আমি জানি না ড্যাব তেল কতটা নিরাপদ কারণ এখানে এগুলো নিয়ন্ত্রিত নয়। আর কেউ কি ধূমপান ছেড়ে দিয়েছে, আর তুমি কি তোমার গল্পটা আমাকে একটু বলতে পারো? এটা ছেড়ে দেওয়া অনেক কঠিন ছিল।</v>
      </c>
    </row>
    <row r="999" spans="1:3" ht="15" x14ac:dyDescent="0.25">
      <c r="A999" s="3" t="s">
        <v>995</v>
      </c>
      <c r="B999" s="3" t="s">
        <v>4</v>
      </c>
      <c r="C999" s="4" t="str">
        <f ca="1">IFERROR(__xludf.DUMMYFUNCTION("GOOGLETRANSLATE(A999, ""auto"", ""bn"")"),"আমার বান্ধবী আবারও অসুস্থ হয়ে পড়ে। সে আমাকে বারবার হাল ছেড়ে দিতে বলে, অন্যরাও তাই করে। সে বলে যে আমাকে কষ্ট পেতে দেখে সে ক্লান্ত এবং সে আমাকে ভালোবাসে। তাছাড়া, কয়েক বছরের ব্রেকআপের মধ্যে সে এইসব জিনিসের প্রতি আসক্ত হয়ে পড়েছিল। আসল কথা হল আমি তাকে ভ"&amp;"ালোবাসি এবং হাল ছেড়ে দিতে চাই না কিন্তু এটা আমাকে ভেতরে ভেতরে মেরে ফেলছে। কিন্তু যদি আমি হাল ছেড়ে দেই তাহলে আমিই শেষ ব্যক্তি যে তার জন্য লড়াই করছি। বাইপোলারের উপরে তার তীব্র PTSD আছে। সে মাত্র দুই মাস ধরে সুস্থ ছিল। আমার কি হাল ছেড়ে দেওয়া উচিত নাকি ত"&amp;"াকে বাড়িতে ফিরিয়ে আনার চেষ্টা চালিয়ে যাওয়া উচিত?")</f>
        <v>আমার বান্ধবী আবারও অসুস্থ হয়ে পড়ে। সে আমাকে বারবার হাল ছেড়ে দিতে বলে, অন্যরাও তাই করে। সে বলে যে আমাকে কষ্ট পেতে দেখে সে ক্লান্ত এবং সে আমাকে ভালোবাসে। তাছাড়া, কয়েক বছরের ব্রেকআপের মধ্যে সে এইসব জিনিসের প্রতি আসক্ত হয়ে পড়েছিল। আসল কথা হল আমি তাকে ভালোবাসি এবং হাল ছেড়ে দিতে চাই না কিন্তু এটা আমাকে ভেতরে ভেতরে মেরে ফেলছে। কিন্তু যদি আমি হাল ছেড়ে দেই তাহলে আমিই শেষ ব্যক্তি যে তার জন্য লড়াই করছি। বাইপোলারের উপরে তার তীব্র PTSD আছে। সে মাত্র দুই মাস ধরে সুস্থ ছিল। আমার কি হাল ছেড়ে দেওয়া উচিত নাকি তাকে বাড়িতে ফিরিয়ে আনার চেষ্টা চালিয়ে যাওয়া উচিত?</v>
      </c>
    </row>
    <row r="1000" spans="1:3" ht="15" x14ac:dyDescent="0.25">
      <c r="A1000" s="3" t="s">
        <v>996</v>
      </c>
      <c r="B1000" s="3" t="s">
        <v>997</v>
      </c>
      <c r="C1000" s="4" t="str">
        <f ca="1">IFERROR(__xludf.DUMMYFUNCTION("GOOGLETRANSLATE(A1000, ""auto"", ""bn"")"),"জীবনের বেশিরভাগ সময়ই আমি মদ্যপানের সাথে লড়াই করেছি, কিন্তু সৌভাগ্যক্রমে এখন আমি সুস্থ। আমার আসক্তি বুঝতে আমার যে বাধা ছিল তা হল আমাদের সমাজে মদ্যপান কতটা স্বাভাবিক। যখন আমি আমার বন্ধুদের বলতাম যে আমার মনে হত আমার মদ্যপানের সমস্যা আছে, তখন তারা আত্মরক্ষা"&amp;"মূলক হয়ে উঠত এবং আমি যে কোনও সমস্যা সম্পর্কে তাদের বলছিলাম তা ছোট করে দেখার চেষ্টা করত। পিছনে ফিরে তাকালে, আমার মনে হয় তারা জানত যে যদি আমি স্বীকার করি যে আমার সমস্যা আছে, তাহলে হয়তো তাদেরও সমস্যা ছিল। অ্যালকোহলের আসক্তির বিপরীতে থাকাটা আসলে একটা স্পেক"&amp;"ট্রাম। অ্যালকোহলের প্রতি আপনার আসক্তিকে আসক্তি হিসেবে ধরে রাখার জন্য সবচেয়ে খারাপ পরিস্থিতি হতে হবে না। হয়তো আপনি একজন কার্যকরী মদ্যপ যিনি এখনও সম্পর্ক রাখতে পারেন এবং চাকরি ধরে রাখতে পারেন, কিন্তু মদ্যপান করে আপনি আপনার নিজের কতটা সম্ভাবনা রেখে যাচ্ছেন"&amp;"? দিনের অর্ধেক বা পুরোটা সময় ক্ষুধার্ত থাকার এবং সপ্তাহের ৩-৫ রাত মাতাল থাকার মাধ্যমে আপনি কতটা সময় নষ্ট করছেন? এটি কি ছেড়ে দেওয়ার জন্য যথেষ্ট কারণ হওয়া উচিত নয়? অ্যালকোহল ব্যবহার সমস্যা হওয়ার জন্য অস্বাভাবিক হতে হবে না। সমস্যা হলো, আমরা এমন একটি অ"&amp;"সুস্থ সমাজে বাস করি যেখানে মূলত মদ্যপান সহ যেকোনো কিছুর উপর অস্বাস্থ্যকর নির্ভরতা স্বাভাবিক করা হয়। তাই, যারা জানেন যে তাদের মদ্যপানের সমস্যা আছে এবং তারা ত্যাগ করতে চান, অথবা কেবল তাদের জীবন থেকে আরও বেশি কিছু চান এবং জানেন যে মদ্যপান তাদের পিছনে ফেলে দ"&amp;"িচ্ছে, তাদের জন্য শুভকামনা। উভয় ক্ষেত্রেই, সমাজের অসুস্থ দৃষ্টিভঙ্গি আপনার নিজেকে নিরাময় করার এবং আপনার পূর্ণ সম্ভাবনা উপলব্ধি করার জন্য আসলে কী করা দরকার তা বিচার করার ক্ষমতাকে ম্লান করে দেবেন না।")</f>
        <v>জীবনের বেশিরভাগ সময়ই আমি মদ্যপানের সাথে লড়াই করেছি, কিন্তু সৌভাগ্যক্রমে এখন আমি সুস্থ। আমার আসক্তি বুঝতে আমার যে বাধা ছিল তা হল আমাদের সমাজে মদ্যপান কতটা স্বাভাবিক। যখন আমি আমার বন্ধুদের বলতাম যে আমার মনে হত আমার মদ্যপানের সমস্যা আছে, তখন তারা আত্মরক্ষামূলক হয়ে উঠত এবং আমি যে কোনও সমস্যা সম্পর্কে তাদের বলছিলাম তা ছোট করে দেখার চেষ্টা করত। পিছনে ফিরে তাকালে, আমার মনে হয় তারা জানত যে যদি আমি স্বীকার করি যে আমার সমস্যা আছে, তাহলে হয়তো তাদেরও সমস্যা ছিল। অ্যালকোহলের আসক্তির বিপরীতে থাকাটা আসলে একটা স্পেকট্রাম। অ্যালকোহলের প্রতি আপনার আসক্তিকে আসক্তি হিসেবে ধরে রাখার জন্য সবচেয়ে খারাপ পরিস্থিতি হতে হবে না। হয়তো আপনি একজন কার্যকরী মদ্যপ যিনি এখনও সম্পর্ক রাখতে পারেন এবং চাকরি ধরে রাখতে পারেন, কিন্তু মদ্যপান করে আপনি আপনার নিজের কতটা সম্ভাবনা রেখে যাচ্ছেন? দিনের অর্ধেক বা পুরোটা সময় ক্ষুধার্ত থাকার এবং সপ্তাহের ৩-৫ রাত মাতাল থাকার মাধ্যমে আপনি কতটা সময় নষ্ট করছেন? এটি কি ছেড়ে দেওয়ার জন্য যথেষ্ট কারণ হওয়া উচিত নয়? অ্যালকোহল ব্যবহার সমস্যা হওয়ার জন্য অস্বাভাবিক হতে হবে না। সমস্যা হলো, আমরা এমন একটি অসুস্থ সমাজে বাস করি যেখানে মূলত মদ্যপান সহ যেকোনো কিছুর উপর অস্বাস্থ্যকর নির্ভরতা স্বাভাবিক করা হয়। তাই, যারা জানেন যে তাদের মদ্যপানের সমস্যা আছে এবং তারা ত্যাগ করতে চান, অথবা কেবল তাদের জীবন থেকে আরও বেশি কিছু চান এবং জানেন যে মদ্যপান তাদের পিছনে ফেলে দিচ্ছে, তাদের জন্য শুভকামনা। উভয় ক্ষেত্রেই, সমাজের অসুস্থ দৃষ্টিভঙ্গি আপনার নিজেকে নিরাময় করার এবং আপনার পূর্ণ সম্ভাবনা উপলব্ধি করার জন্য আসলে কী করা দরকার তা বিচার করার ক্ষমতাকে ম্লান করে দেবেন না।</v>
      </c>
    </row>
    <row r="1001" spans="1:3" ht="15" x14ac:dyDescent="0.25">
      <c r="A1001" s="3" t="s">
        <v>998</v>
      </c>
      <c r="B1001" s="3" t="s">
        <v>997</v>
      </c>
      <c r="C1001" s="4" t="str">
        <f ca="1">IFERROR(__xludf.DUMMYFUNCTION("GOOGLETRANSLATE(A1001, ""auto"", ""bn"")"),"যখন আমি মদ্যপানে মত্ত ছিলাম, তখন অনেকবার থামতে চেষ্টা করেছিলাম। অবশেষে যখন সিদ্ধান্ত নিলাম যে এখনই থামার সময় এবং আমার জীবনযাত্রার পরিবেশ, বন্ধুবান্ধব, অভ্যাসের প্রভাব পরিবর্তন করার সময়, তখনই আমার খুব খারাপ মাইগ্রেনের সমস্যা দেখা দেয়। আমার খারাপ লাগছে ক"&amp;"ারণ আমার পরিচিত অনেকেই আমাকে একজন আদর্শ হিসেবে দেখে এবং মনে করে যে আমার মদ্যপান চলে গেছে। তারা জানে না যে আমি প্রতিদিন এটি নিয়ে ভাবি এবং আমি যে কারণে আবার শুরু করতে পারিনি তা হল আমার মাইগ্রেন এবং স্নায়বিক সমস্যা। আমি এমন একটি দিনের স্বপ্ন দেখি যখন সেগুল"&amp;"ি চলে যাবে যাতে আমি আবার মদ্যপান করতে পারি। আমি চলে যাওয়ার অনুভূতি মিস করি। অজ্ঞান হওয়ার অনুভূতি। সংযোগ বিচ্ছিন্নতা। হায়, আমি এখন পরেরটির দিকে এগিয়ে যাচ্ছি।")</f>
        <v>যখন আমি মদ্যপানে মত্ত ছিলাম, তখন অনেকবার থামতে চেষ্টা করেছিলাম। অবশেষে যখন সিদ্ধান্ত নিলাম যে এখনই থামার সময় এবং আমার জীবনযাত্রার পরিবেশ, বন্ধুবান্ধব, অভ্যাসের প্রভাব পরিবর্তন করার সময়, তখনই আমার খুব খারাপ মাইগ্রেনের সমস্যা দেখা দেয়। আমার খারাপ লাগছে কারণ আমার পরিচিত অনেকেই আমাকে একজন আদর্শ হিসেবে দেখে এবং মনে করে যে আমার মদ্যপান চলে গেছে। তারা জানে না যে আমি প্রতিদিন এটি নিয়ে ভাবি এবং আমি যে কারণে আবার শুরু করতে পারিনি তা হল আমার মাইগ্রেন এবং স্নায়বিক সমস্যা। আমি এমন একটি দিনের স্বপ্ন দেখি যখন সেগুলি চলে যাবে যাতে আমি আবার মদ্যপান করতে পারি। আমি চলে যাওয়ার অনুভূতি মিস করি। অজ্ঞান হওয়ার অনুভূতি। সংযোগ বিচ্ছিন্নতা। হায়, আমি এখন পরেরটির দিকে এগিয়ে যাচ্ছি।</v>
      </c>
    </row>
    <row r="1002" spans="1:3" ht="15" x14ac:dyDescent="0.25">
      <c r="A1002" s="3" t="s">
        <v>999</v>
      </c>
      <c r="B1002" s="3" t="s">
        <v>997</v>
      </c>
      <c r="C1002" s="4" t="str">
        <f ca="1">IFERROR(__xludf.DUMMYFUNCTION("GOOGLETRANSLATE(A1002, ""auto"", ""bn"")"),"এখানে আসতে শুরুটা বেশ কঠিন ছিল, কিন্তু এখন অনেক ভালো লাগছে। সুপার বোল, ভ্যালেন্টাইনস এবং এই সপ্তাহান্তে একটা স্থানান্তরের মধ্য দিয়ে এখন পর্যন্ত অনেক কিছু হয়েছে। সকলের সমর্থনের জন্য ধন্যবাদ! এটা চালিয়ে যাওয়ার পরিকল্পনা করুন!")</f>
        <v>এখানে আসতে শুরুটা বেশ কঠিন ছিল, কিন্তু এখন অনেক ভালো লাগছে। সুপার বোল, ভ্যালেন্টাইনস এবং এই সপ্তাহান্তে একটা স্থানান্তরের মধ্য দিয়ে এখন পর্যন্ত অনেক কিছু হয়েছে। সকলের সমর্থনের জন্য ধন্যবাদ! এটা চালিয়ে যাওয়ার পরিকল্পনা করুন!</v>
      </c>
    </row>
    <row r="1003" spans="1:3" ht="15" x14ac:dyDescent="0.25">
      <c r="A1003" s="3" t="s">
        <v>1000</v>
      </c>
      <c r="B1003" s="3" t="s">
        <v>997</v>
      </c>
      <c r="C1003" s="4" t="str">
        <f ca="1">IFERROR(__xludf.DUMMYFUNCTION("GOOGLETRANSLATE(A1003, ""auto"", ""bn"")"),"প্রিয়জনের জন্য চিন্তিত। মাতাল না হওয়া পর্যন্ত প্রতিদিন পান করে। কখনও এক বা দুটি বিয়ার পান করা যাবে না, সবসময় পুরো প্যাকটি থাকা দরকার।")</f>
        <v>প্রিয়জনের জন্য চিন্তিত। মাতাল না হওয়া পর্যন্ত প্রতিদিন পান করে। কখনও এক বা দুটি বিয়ার পান করা যাবে না, সবসময় পুরো প্যাকটি থাকা দরকার।</v>
      </c>
    </row>
    <row r="1004" spans="1:3" ht="15" x14ac:dyDescent="0.25">
      <c r="A1004" s="3" t="s">
        <v>1001</v>
      </c>
      <c r="B1004" s="3" t="s">
        <v>997</v>
      </c>
      <c r="C1004" s="4" t="str">
        <f ca="1">IFERROR(__xludf.DUMMYFUNCTION("GOOGLETRANSLATE(A1004, ""auto"", ""bn"")"),"আমি এখন আমার পুরো প্রাপ্তবয়স্ক জীবন (২৪ মিনিট) মদ্যপানের সাথে লড়াই করেছি এবং এটি কেবল আমার স্বাস্থ্যের উপরই নয়, অন্যদের সাথে আমার যোগাযোগের উপরও প্রভাব ফেলেছে। আমি সবসময় নিজেকে বলি যে আমি ছেড়ে দেব কিন্তু তা করার মতো কোনও ইচ্ছাশক্তি খুঁজে পাচ্ছি না। জ"&amp;"বাবদিহিতা সত্যিই আমার উপকার করবে। আমি যখন আমার রুমমেটকে বললাম যে আমি অক্টোবরে মদ্যপান করছি তখন আমি প্রায় পুরো এক মাস ধরে শান্ত ছিলাম। আমি খুব বেশি বিবরণ দিতে চাই না, তবে ব্যক্তিগত কারণে, আমি মিটিংয়ে যেতে প্রস্তুত নই (আমি একদিন যাব, তবে আমি এখনও প্রস্তুত"&amp;" নই।) এবং আমি আবার আমার রুমমেটের উপর নির্ভর করতে চাই না কারণ আমি জানি সে বুঝতে পারবে না। অনলাইনে কি এমন কোনও গ্রুপ বা অ্যাপ আছে যা আমাকে স্পনসরের সাথে সংযুক্ত করবে? আমার কেবল এমন কাউকে প্রয়োজন যে আমাকে জিজ্ঞাসা করবে যে আমি কাজটি করছি কিনা। দুঃখিত যদি এটি"&amp;" এই উপায়ের জন্য না হয় তবে আমি কিছুটা হতাশ।")</f>
        <v>আমি এখন আমার পুরো প্রাপ্তবয়স্ক জীবন (২৪ মিনিট) মদ্যপানের সাথে লড়াই করেছি এবং এটি কেবল আমার স্বাস্থ্যের উপরই নয়, অন্যদের সাথে আমার যোগাযোগের উপরও প্রভাব ফেলেছে। আমি সবসময় নিজেকে বলি যে আমি ছেড়ে দেব কিন্তু তা করার মতো কোনও ইচ্ছাশক্তি খুঁজে পাচ্ছি না। জবাবদিহিতা সত্যিই আমার উপকার করবে। আমি যখন আমার রুমমেটকে বললাম যে আমি অক্টোবরে মদ্যপান করছি তখন আমি প্রায় পুরো এক মাস ধরে শান্ত ছিলাম। আমি খুব বেশি বিবরণ দিতে চাই না, তবে ব্যক্তিগত কারণে, আমি মিটিংয়ে যেতে প্রস্তুত নই (আমি একদিন যাব, তবে আমি এখনও প্রস্তুত নই।) এবং আমি আবার আমার রুমমেটের উপর নির্ভর করতে চাই না কারণ আমি জানি সে বুঝতে পারবে না। অনলাইনে কি এমন কোনও গ্রুপ বা অ্যাপ আছে যা আমাকে স্পনসরের সাথে সংযুক্ত করবে? আমার কেবল এমন কাউকে প্রয়োজন যে আমাকে জিজ্ঞাসা করবে যে আমি কাজটি করছি কিনা। দুঃখিত যদি এটি এই উপায়ের জন্য না হয় তবে আমি কিছুটা হতাশ।</v>
      </c>
    </row>
    <row r="1005" spans="1:3" ht="15" x14ac:dyDescent="0.25">
      <c r="A1005" s="3" t="s">
        <v>1002</v>
      </c>
      <c r="B1005" s="3" t="s">
        <v>997</v>
      </c>
      <c r="C1005" s="4" t="str">
        <f ca="1">IFERROR(__xludf.DUMMYFUNCTION("GOOGLETRANSLATE(A1005, ""auto"", ""bn"")"),"৩০ বছর বয়সী পুরুষ। গত এক মাস ধরে প্রায় ৮টি ডোজ নিচ্ছি। অবশ্যই পার্শ্বপ্রতিক্রিয়া অনুভব করতে শুরু করেছি, পেট ফুলে গেছে, প্রচণ্ড উদ্বেগ আছে, লিভার বা পেটে ব্যথা নেই, তবে আমি আপনাকে বলতে পারি, এটা মজার নয়। আমার লিব্রিয়াম এবং এশিয়ান আছে (না, আমি এগুলো একস"&amp;"াথে ব্যবহার করি না) তাই হ্যাঁ, আগেও এখানে এসেছি, এবার আরও ক্লান্তিকর লাগছে। আমি কোনও সমস্যা ছাড়াই খাবার কম রাখতে পারছি। অন্ত্রের চলাচল ঠিক আছে বলে মনে হচ্ছে। এই উদ্বেগ-উৎকণ্ঠা, কুয়াশাচ্ছন্ন নরকগহ্বরে থাকতে থাকতে ক্লান্ত এবং ক্লান্ত!! অন্য কেউ যদি তাদের "&amp;"প্রথম ২৪ ঘন্টার মধ্যে ফিরে আসার চেষ্টা করে।")</f>
        <v>৩০ বছর বয়সী পুরুষ। গত এক মাস ধরে প্রায় ৮টি ডোজ নিচ্ছি। অবশ্যই পার্শ্বপ্রতিক্রিয়া অনুভব করতে শুরু করেছি, পেট ফুলে গেছে, প্রচণ্ড উদ্বেগ আছে, লিভার বা পেটে ব্যথা নেই, তবে আমি আপনাকে বলতে পারি, এটা মজার নয়। আমার লিব্রিয়াম এবং এশিয়ান আছে (না, আমি এগুলো একসাথে ব্যবহার করি না) তাই হ্যাঁ, আগেও এখানে এসেছি, এবার আরও ক্লান্তিকর লাগছে। আমি কোনও সমস্যা ছাড়াই খাবার কম রাখতে পারছি। অন্ত্রের চলাচল ঠিক আছে বলে মনে হচ্ছে। এই উদ্বেগ-উৎকণ্ঠা, কুয়াশাচ্ছন্ন নরকগহ্বরে থাকতে থাকতে ক্লান্ত এবং ক্লান্ত!! অন্য কেউ যদি তাদের প্রথম ২৪ ঘন্টার মধ্যে ফিরে আসার চেষ্টা করে।</v>
      </c>
    </row>
    <row r="1006" spans="1:3" ht="15" x14ac:dyDescent="0.25">
      <c r="A1006" s="3" t="s">
        <v>1003</v>
      </c>
      <c r="B1006" s="3" t="s">
        <v>997</v>
      </c>
      <c r="C1006" s="4" t="str">
        <f ca="1">IFERROR(__xludf.DUMMYFUNCTION("GOOGLETRANSLATE(A1006, ""auto"", ""bn"")"),"আমিই সাধারণত সন্দেহ করি। আমার বয়স ৩০ এর কোঠার গোড়া, কিশোর বয়স থেকেই মদ্যপান করছি। বিষণ্ণতা আর স্থূলতার সাথে লড়াই করছি। ১৬ বছর বয়স থেকেই মেরি জেনের সবচেয়ে ভালো বন্ধু। মনে হচ্ছে আমি এমন সময়ের মধ্য দিয়ে যাচ্ছি যেখানে আমি কয়েক সপ্তাহের জন্য মদ্যপান করি, তারপর"&amp;" কয়েক সপ্তাহের জন্য বিরতি নিই। তবে এই সপ্তাহগুলো আরও ঘন ঘন হয়ে আসছে। তুমি কীভাবে এই তাগিদ প্রতিহত করবে? আমি জানি আমার দুটোই ছেড়ে দেওয়া উচিত কিন্তু আমার তেমন কোনও ইচ্ছাশক্তি নেই, তাই মনে হচ্ছে। এর জন্য আমার খারাপ লাগছে।")</f>
        <v>আমিই সাধারণত সন্দেহ করি। আমার বয়স ৩০ এর কোঠার গোড়া, কিশোর বয়স থেকেই মদ্যপান করছি। বিষণ্ণতা আর স্থূলতার সাথে লড়াই করছি। ১৬ বছর বয়স থেকেই মেরি জেনের সবচেয়ে ভালো বন্ধু। মনে হচ্ছে আমি এমন সময়ের মধ্য দিয়ে যাচ্ছি যেখানে আমি কয়েক সপ্তাহের জন্য মদ্যপান করি, তারপর কয়েক সপ্তাহের জন্য বিরতি নিই। তবে এই সপ্তাহগুলো আরও ঘন ঘন হয়ে আসছে। তুমি কীভাবে এই তাগিদ প্রতিহত করবে? আমি জানি আমার দুটোই ছেড়ে দেওয়া উচিত কিন্তু আমার তেমন কোনও ইচ্ছাশক্তি নেই, তাই মনে হচ্ছে। এর জন্য আমার খারাপ লাগছে।</v>
      </c>
    </row>
    <row r="1007" spans="1:3" ht="15" x14ac:dyDescent="0.25">
      <c r="A1007" s="3" t="s">
        <v>1004</v>
      </c>
      <c r="B1007" s="3" t="s">
        <v>997</v>
      </c>
      <c r="C1007" s="4" t="str">
        <f ca="1">IFERROR(__xludf.DUMMYFUNCTION("GOOGLETRANSLATE(A1007, ""auto"", ""bn"")"),"আজ আমি যা করেছি তা এখানে। আমি আবর্জনা পরিষ্কার করেছি, পরিষ্কার লন্ড্রি, ঝুড়িতে ময়লা কাপড় রেখেছি, কিছুটা গুছিয়েছি, বিছানা গুছিয়েছি। কিন্তু মাদক/অ্যালকোহলের জিনিসপত্র জায়গায় রেখেছি। ফ্রিজেও তাকাইনি যে সেখানে কিছু আছে কিনা। আমি তাকে অনেক চিঠি লিখতে পছ"&amp;"ন্দ করি, এবং ছোট ছোট নোটও। এক বছর আগে আমি তাকে একটি ছোট বই দিয়েছিলাম যেখানে আমি ছোট ছোট নোট লিখে রাখি। আমি তাকে লিখেছিলাম যে আমি প্রথমে ভেবেছিলাম যে বাকি অ্যালকোহল ফেলে দেবো এবং খাবো, কিন্তু পরে বুঝতে পেরেছিলাম যে এটি দিয়ে কী করা উচিত তা সিদ্ধান্ত নেওয়"&amp;"া তার জন্য কতটা গুরুত্বপূর্ণ। এবং তাকে মনে করিয়ে দিয়েছি যে যদি তার সাহায্যের প্রয়োজন হয় তবে সে অবশ্যই আমার সাহায্য চাইতে পারে।")</f>
        <v>আজ আমি যা করেছি তা এখানে। আমি আবর্জনা পরিষ্কার করেছি, পরিষ্কার লন্ড্রি, ঝুড়িতে ময়লা কাপড় রেখেছি, কিছুটা গুছিয়েছি, বিছানা গুছিয়েছি। কিন্তু মাদক/অ্যালকোহলের জিনিসপত্র জায়গায় রেখেছি। ফ্রিজেও তাকাইনি যে সেখানে কিছু আছে কিনা। আমি তাকে অনেক চিঠি লিখতে পছন্দ করি, এবং ছোট ছোট নোটও। এক বছর আগে আমি তাকে একটি ছোট বই দিয়েছিলাম যেখানে আমি ছোট ছোট নোট লিখে রাখি। আমি তাকে লিখেছিলাম যে আমি প্রথমে ভেবেছিলাম যে বাকি অ্যালকোহল ফেলে দেবো এবং খাবো, কিন্তু পরে বুঝতে পেরেছিলাম যে এটি দিয়ে কী করা উচিত তা সিদ্ধান্ত নেওয়া তার জন্য কতটা গুরুত্বপূর্ণ। এবং তাকে মনে করিয়ে দিয়েছি যে যদি তার সাহায্যের প্রয়োজন হয় তবে সে অবশ্যই আমার সাহায্য চাইতে পারে।</v>
      </c>
    </row>
    <row r="1008" spans="1:3" ht="15" x14ac:dyDescent="0.25">
      <c r="A1008" s="3" t="s">
        <v>1005</v>
      </c>
      <c r="B1008" s="3" t="s">
        <v>997</v>
      </c>
      <c r="C1008" s="4" t="str">
        <f ca="1">IFERROR(__xludf.DUMMYFUNCTION("GOOGLETRANSLATE(A1008, ""auto"", ""bn"")"),"আমি জানি আমার SO-এর মদ্যপানের সমস্যা আছে। আমি তাকে মদ্যপ বলব না কারণ আমার মনে হয় না তার শারীরিক চাহিদা আছে। যা আমাকে ভয় পায় কারণ আমার মনে হয় যে সে বর্তমানে যে হারে মদ্যপান করছে তাতে সে শেষ পর্যন্ত সেই পথেই এগিয়ে যেতে পারবে। আমরা ১৬ বছর বয়স থেকে একসাথে আছ"&amp;"ি। এখন আমাদের বয়স ২২, আর দুটি বাচ্চা আছে। আমার SO-এর বয়স সারা জীবন মদ্যপানের আশেপাশেই। তার দিদিমা, যার সাথে তার খুব ঘনিষ্ঠ, তিনি একজন মদ্যপ এবং বহু বছর ধরেই আছেন। তার বাবা-মা, খালা, কাকা, বড় ভাইবোনেরাও খুব বেশি মদ্যপান করেন। প্রতিটি সমাবেশে, সবাই সবসময়ই"&amp;" বেশি মদ্যপান করে। আচ্ছা, আমার মনে হয় এটা অস্বাভাবিক। আমি আমার জীবনের পারিবারিক পার্টিতে অবশ্যই মদ্যপানের আশেপাশেই ছিলাম, (প্রেক্ষাপটে আমি মেক্সিকান আমেরিকান, তাই সাংস্কৃতিকভাবে, পার্টিতে সবসময় বিয়ার থাকে।) কিন্তু আমার মতে আমার SO-এর পরিবার বেশ বেশি মদ্"&amp;"যপান করে। আর আরেকটি বিষয়, যদি তুমি জানো আমি কী বলতে চাইছি, তাহলে রাতের শেষের দিকে তাকে বের করে আনা হচ্ছে। ও যখন ১৬ বছর বয়স থেকে আমাকে SO ড্রিংকস দিয়ে আসছিল এবং তখন থেকেই ওর সাথে মাতাল হয়ে যাচ্ছিল। আমরা যখন একসাথে ছিলাম, তখন আমি লক্ষ্য করেছি যে ও যখন মদ্যপ"&amp;"ান করে তখন এটা একটা সমস্যা। কিন্তু সম্প্রতি পরিস্থিতি আরও খারাপ হচ্ছে। ও কখনোই শুধু একবার পান করতে পারে না। এটা সবসময় পুরো বিয়ারের ক্ষেত্রে, অথবা পুরো বোতল টাকিলা, যখন সে বিয়ার কিনবে তখন এটা কখনোই একটা পানীয় নয়, এটা ৩ প্যাকেটের। মদ্যপান তাকে একাধিকবার "&amp;"পুলিশের সাথে ঝামেলায় ফেলেছে, উচ্ছৃঙ্খল আচরণের জন্য দুবার জেলে যেতে হয়েছে, টায়ার ভেঙে তার গাড়ির এক পাশ খুঁটিতে ধাক্কা খায়েছে, এবং গাড়ির নীচে কিছু একটা জগাখিচুড়ি করে ফেলেছে। শুধু তাই নয়, আমাদের সম্পর্ক এবং আমার পরিবারের সাথেও সমস্যা তৈরি করেছে। আমরা কয়"&amp;"েক বছর ধরে আমার পরিবারের সাথে থাকতাম, কিন্তু আমার পেটেন্টরা লক্ষ্য করতে শুরু করে যে ওর মদ্যপানের সমস্যা তাদের বাড়িতে সমস্যা তৈরি করবে। বন্ধুদের সাথে বাইরে মদ্যপান করার সময় বাড়ির বাইরে ঝগড়া করা, আমার সাথে তর্ক করা এবং আমার ভাইবোনদের সাথে ঝগড়া করা। এই "&amp;"সবকিছুর পরেও, আমার পরিবার তাকে ক্ষমা করে দিয়েছে এবং আমি তাকে ভালোবাসি কারণ আমি তাকে ভালোবাসি। কিন্তু আমি চাই না যে তারা আমার ব্যাপারে চিন্তিত হোক, তাই আমি তাদের বলি না যে তার এখনও মদ্যপানের সমস্যা আছে। এখন, আমার বাবা-মা আগেও তার মদ্যপানের বিষয়ে আমার সাথ"&amp;"ে কথা বলেছেন। তারা স্বীকার করে যে এটি একটি সমস্যা। কিন্তু তার পরিবার তা করে না। আমি একদিন তার মা, চাচাতো ভাই এবং খালার সাথে একসাথে কথা বলার চেষ্টা করেছিলাম কিন্তু তারা একরকম এড়িয়ে গিয়েছিল। তারা মূলত বলেছিল যে তার বয়স, সে কোথা থেকে এসেছে এবং সে কী দিয়"&amp;"ে গেছে তা বিবেচনা করে, সে দুর্দান্ত করছে। এবং ১৮ বছর বয়স থেকে তার একটি ভাল, স্থায়ী চাকরি রয়েছে, তার বয়সের অনেকেই কোনও সমস্যা দেখে না। তারা আরও বলেছিল, ""ওহ, আমার প্রাক্তন এত খারাপ মদ্যপান করেছে এবং খারাপ কাজ করেছে?"", অথবা ""কিন্তু সে এত ভালো বাবা যে "&amp;"সে তোমাদের ভালোবাসে, প্রতিদিন তোমাদের কাছে আসে।"" তাই। মূলত আমিই একমাত্র ব্যক্তি যে তার মদ্যপান সম্পর্কে তার সাথে কথা বলতে পারি। (আমার বাবা-মা মনে করেন না যে এটা তাদের জায়গা। আর যেহেতু আমরা চলে আসার কারণ ছিল আমার বোনের সাথে তার ঝগড়ার কারণে, সে এখন আর আমার"&amp;" পরিবারের সাথে আরামে থাকে না কারণ সে এখনও তার কথায় লজ্জা পায়।) আমি আগেও তার মদ্যপান নিয়ে কথা বলার চেষ্টা করেছি, কিন্তু সে খুব, খুব আত্মরক্ষামূলক হয়। সে নিজে থেকেই সতর্ক থাকে এবং আমাকে বলে যে সে মদ্যপ নয়, যখন আমি আগে কখনও তাকে ফোন করিনি। আমার মনে হয় তার দা"&amp;"দীর কারণে সে উত্তেজিত হয়। সে সারা জীবন তাকে আসক্তির সাথে লড়াই করতে দেখেছে, তারা সবসময় একসাথেই থেকেছে। যাই হোক, কীভাবে এটি তুলে ধরব সে সম্পর্কে আমার কোনও ধারণা নেই। কিন্তু এই মুহুর্তে, আমার বাচ্চাদের কীভাবে প্রভাবিত হবে তা নিয়ে আমি চিন্তিত। আমি তাকে অনে"&amp;"ক ভালোবাসি এবং সে একজন মহান বাবা, আমি চাই না যে সে আসক্তির কারণে নিজেকে হারিয়ে ফেলুক।")</f>
        <v>আমি জানি আমার SO-এর মদ্যপানের সমস্যা আছে। আমি তাকে মদ্যপ বলব না কারণ আমার মনে হয় না তার শারীরিক চাহিদা আছে। যা আমাকে ভয় পায় কারণ আমার মনে হয় যে সে বর্তমানে যে হারে মদ্যপান করছে তাতে সে শেষ পর্যন্ত সেই পথেই এগিয়ে যেতে পারবে। আমরা ১৬ বছর বয়স থেকে একসাথে আছি। এখন আমাদের বয়স ২২, আর দুটি বাচ্চা আছে। আমার SO-এর বয়স সারা জীবন মদ্যপানের আশেপাশেই। তার দিদিমা, যার সাথে তার খুব ঘনিষ্ঠ, তিনি একজন মদ্যপ এবং বহু বছর ধরেই আছেন। তার বাবা-মা, খালা, কাকা, বড় ভাইবোনেরাও খুব বেশি মদ্যপান করেন। প্রতিটি সমাবেশে, সবাই সবসময়ই বেশি মদ্যপান করে। আচ্ছা, আমার মনে হয় এটা অস্বাভাবিক। আমি আমার জীবনের পারিবারিক পার্টিতে অবশ্যই মদ্যপানের আশেপাশেই ছিলাম, (প্রেক্ষাপটে আমি মেক্সিকান আমেরিকান, তাই সাংস্কৃতিকভাবে, পার্টিতে সবসময় বিয়ার থাকে।) কিন্তু আমার মতে আমার SO-এর পরিবার বেশ বেশি মদ্যপান করে। আর আরেকটি বিষয়, যদি তুমি জানো আমি কী বলতে চাইছি, তাহলে রাতের শেষের দিকে তাকে বের করে আনা হচ্ছে। ও যখন ১৬ বছর বয়স থেকে আমাকে SO ড্রিংকস দিয়ে আসছিল এবং তখন থেকেই ওর সাথে মাতাল হয়ে যাচ্ছিল। আমরা যখন একসাথে ছিলাম, তখন আমি লক্ষ্য করেছি যে ও যখন মদ্যপান করে তখন এটা একটা সমস্যা। কিন্তু সম্প্রতি পরিস্থিতি আরও খারাপ হচ্ছে। ও কখনোই শুধু একবার পান করতে পারে না। এটা সবসময় পুরো বিয়ারের ক্ষেত্রে, অথবা পুরো বোতল টাকিলা, যখন সে বিয়ার কিনবে তখন এটা কখনোই একটা পানীয় নয়, এটা ৩ প্যাকেটের। মদ্যপান তাকে একাধিকবার পুলিশের সাথে ঝামেলায় ফেলেছে, উচ্ছৃঙ্খল আচরণের জন্য দুবার জেলে যেতে হয়েছে, টায়ার ভেঙে তার গাড়ির এক পাশ খুঁটিতে ধাক্কা খায়েছে, এবং গাড়ির নীচে কিছু একটা জগাখিচুড়ি করে ফেলেছে। শুধু তাই নয়, আমাদের সম্পর্ক এবং আমার পরিবারের সাথেও সমস্যা তৈরি করেছে। আমরা কয়েক বছর ধরে আমার পরিবারের সাথে থাকতাম, কিন্তু আমার পেটেন্টরা লক্ষ্য করতে শুরু করে যে ওর মদ্যপানের সমস্যা তাদের বাড়িতে সমস্যা তৈরি করবে। বন্ধুদের সাথে বাইরে মদ্যপান করার সময় বাড়ির বাইরে ঝগড়া করা, আমার সাথে তর্ক করা এবং আমার ভাইবোনদের সাথে ঝগড়া করা। এই সবকিছুর পরেও, আমার পরিবার তাকে ক্ষমা করে দিয়েছে এবং আমি তাকে ভালোবাসি কারণ আমি তাকে ভালোবাসি। কিন্তু আমি চাই না যে তারা আমার ব্যাপারে চিন্তিত হোক, তাই আমি তাদের বলি না যে তার এখনও মদ্যপানের সমস্যা আছে। এখন, আমার বাবা-মা আগেও তার মদ্যপানের বিষয়ে আমার সাথে কথা বলেছেন। তারা স্বীকার করে যে এটি একটি সমস্যা। কিন্তু তার পরিবার তা করে না। আমি একদিন তার মা, চাচাতো ভাই এবং খালার সাথে একসাথে কথা বলার চেষ্টা করেছিলাম কিন্তু তারা একরকম এড়িয়ে গিয়েছিল। তারা মূলত বলেছিল যে তার বয়স, সে কোথা থেকে এসেছে এবং সে কী দিয়ে গেছে তা বিবেচনা করে, সে দুর্দান্ত করছে। এবং ১৮ বছর বয়স থেকে তার একটি ভাল, স্থায়ী চাকরি রয়েছে, তার বয়সের অনেকেই কোনও সমস্যা দেখে না। তারা আরও বলেছিল, "ওহ, আমার প্রাক্তন এত খারাপ মদ্যপান করেছে এবং খারাপ কাজ করেছে?", অথবা "কিন্তু সে এত ভালো বাবা যে সে তোমাদের ভালোবাসে, প্রতিদিন তোমাদের কাছে আসে।" তাই। মূলত আমিই একমাত্র ব্যক্তি যে তার মদ্যপান সম্পর্কে তার সাথে কথা বলতে পারি। (আমার বাবা-মা মনে করেন না যে এটা তাদের জায়গা। আর যেহেতু আমরা চলে আসার কারণ ছিল আমার বোনের সাথে তার ঝগড়ার কারণে, সে এখন আর আমার পরিবারের সাথে আরামে থাকে না কারণ সে এখনও তার কথায় লজ্জা পায়।) আমি আগেও তার মদ্যপান নিয়ে কথা বলার চেষ্টা করেছি, কিন্তু সে খুব, খুব আত্মরক্ষামূলক হয়। সে নিজে থেকেই সতর্ক থাকে এবং আমাকে বলে যে সে মদ্যপ নয়, যখন আমি আগে কখনও তাকে ফোন করিনি। আমার মনে হয় তার দাদীর কারণে সে উত্তেজিত হয়। সে সারা জীবন তাকে আসক্তির সাথে লড়াই করতে দেখেছে, তারা সবসময় একসাথেই থেকেছে। যাই হোক, কীভাবে এটি তুলে ধরব সে সম্পর্কে আমার কোনও ধারণা নেই। কিন্তু এই মুহুর্তে, আমার বাচ্চাদের কীভাবে প্রভাবিত হবে তা নিয়ে আমি চিন্তিত। আমি তাকে অনেক ভালোবাসি এবং সে একজন মহান বাবা, আমি চাই না যে সে আসক্তির কারণে নিজেকে হারিয়ে ফেলুক।</v>
      </c>
    </row>
    <row r="1009" spans="1:3" ht="15" x14ac:dyDescent="0.25">
      <c r="A1009" s="3" t="s">
        <v>1006</v>
      </c>
      <c r="B1009" s="3" t="s">
        <v>997</v>
      </c>
      <c r="C1009" s="4" t="str">
        <f ca="1">IFERROR(__xludf.DUMMYFUNCTION("GOOGLETRANSLATE(A1009, ""auto"", ""bn"")"),"আমি একটু হতাশ। আমার বন্ধু একজন আকর্ষণীয় ব্যক্তি, তার অনেক অসাধারণ বৈশিষ্ট্য আছে, কিন্তু সম্প্রতি আমি তার মদ্যপানের কথা জানতে পেরেছি। আমি তার সাথে দেখা করতে এসেছি এবং সে যে পরিমাণ মদ্যপান করছে তা আমি আগে কখনও দেখিনি। গতকাল বিকেল ৪টায় সে অজ্ঞান হয়ে যায় "&amp;"এবং এখনও ঘুম থেকে ওঠেনি। স্বাভাবিক পদক্ষেপটি সমস্যাটি তুলে ধরা বলে মনে হচ্ছে, তবে আমি চিন্তিত যে সে আমাকে তার জীবন থেকে বাদ দেবে (যেমন সে তার পরিবারের সাথে করেছে)। সে গতকাল বারবার বলেছিল ""এটিই আমার জীবনের সবচেয়ে সুখী!""। এবং তার মনে হচ্ছে সে কোনও ভুল কর"&amp;"তে পারে না। যদি তোমাদের মধ্যে কেউ এই মানসিকতায় থাকত - জীবন নিখুঁত, আমি নিখুঁত, আমার সবকিছুই বের হয়ে গেছে - তবুও অতিরিক্ত মদ্যপান করলে তোমার কী হতো?")</f>
        <v>আমি একটু হতাশ। আমার বন্ধু একজন আকর্ষণীয় ব্যক্তি, তার অনেক অসাধারণ বৈশিষ্ট্য আছে, কিন্তু সম্প্রতি আমি তার মদ্যপানের কথা জানতে পেরেছি। আমি তার সাথে দেখা করতে এসেছি এবং সে যে পরিমাণ মদ্যপান করছে তা আমি আগে কখনও দেখিনি। গতকাল বিকেল ৪টায় সে অজ্ঞান হয়ে যায় এবং এখনও ঘুম থেকে ওঠেনি। স্বাভাবিক পদক্ষেপটি সমস্যাটি তুলে ধরা বলে মনে হচ্ছে, তবে আমি চিন্তিত যে সে আমাকে তার জীবন থেকে বাদ দেবে (যেমন সে তার পরিবারের সাথে করেছে)। সে গতকাল বারবার বলেছিল "এটিই আমার জীবনের সবচেয়ে সুখী!"। এবং তার মনে হচ্ছে সে কোনও ভুল করতে পারে না। যদি তোমাদের মধ্যে কেউ এই মানসিকতায় থাকত - জীবন নিখুঁত, আমি নিখুঁত, আমার সবকিছুই বের হয়ে গেছে - তবুও অতিরিক্ত মদ্যপান করলে তোমার কী হতো?</v>
      </c>
    </row>
    <row r="1010" spans="1:3" ht="15" x14ac:dyDescent="0.25">
      <c r="A1010" s="3" t="s">
        <v>1007</v>
      </c>
      <c r="B1010" s="3" t="s">
        <v>997</v>
      </c>
      <c r="C1010" s="4" t="str">
        <f ca="1">IFERROR(__xludf.DUMMYFUNCTION("GOOGLETRANSLATE(A1010, ""auto"", ""bn"")"),"আমি জানি আমার বান্ধবী অন্য ছেলেদের সাথে কথা বলছে, এবং খারাপভাবে মোকাবেলা করার পদ্ধতির সাথে এটি ভালো যায় না। গত বছর যখন আমাদের চাকরিচ্যুত করা হয়েছিল তখন আমরা দুজনেই কেবল বন্ধু ছিলাম, কিন্তু আমাদের খারাপ পরিস্থিতি আমাদের আরও কাছে এনেছে এবং তারপরে বাকিদেরও"&amp;"। আমার শান্ত জীবনযাপন করতে সমস্যা হচ্ছে কারণ আমি যে মেয়েটিকে খুব ভালোবাসি সে হয়তো অন্য ছেলেদের সাথে দেখা করছে।")</f>
        <v>আমি জানি আমার বান্ধবী অন্য ছেলেদের সাথে কথা বলছে, এবং খারাপভাবে মোকাবেলা করার পদ্ধতির সাথে এটি ভালো যায় না। গত বছর যখন আমাদের চাকরিচ্যুত করা হয়েছিল তখন আমরা দুজনেই কেবল বন্ধু ছিলাম, কিন্তু আমাদের খারাপ পরিস্থিতি আমাদের আরও কাছে এনেছে এবং তারপরে বাকিদেরও। আমার শান্ত জীবনযাপন করতে সমস্যা হচ্ছে কারণ আমি যে মেয়েটিকে খুব ভালোবাসি সে হয়তো অন্য ছেলেদের সাথে দেখা করছে।</v>
      </c>
    </row>
    <row r="1011" spans="1:3" ht="15" x14ac:dyDescent="0.25">
      <c r="A1011" s="3" t="s">
        <v>1008</v>
      </c>
      <c r="B1011" s="3" t="s">
        <v>997</v>
      </c>
      <c r="C1011" s="4" t="str">
        <f ca="1">IFERROR(__xludf.DUMMYFUNCTION("GOOGLETRANSLATE(A1011, ""auto"", ""bn"")"),"একজন মদ্যপ তাদের প্রথম পানীয় পান করার সময় আমাকে একবার বলেছিল যে তারা উচ্ছ্বাসিত বোধ করছে এবং এটি নিয়ে আর কথা বলতে চাইবে না। আমি এত মদ্যপান কখনও অনুভব করিনি। এখন আমি ভাবছি যে কিছু মদ্যপ কি অ্যালকোহল দ্বারা বেশি প্রভাবিত হয় এবং সে কারণেই তারা মদ্যপ হয়ে"&amp;" ওঠে?")</f>
        <v>একজন মদ্যপ তাদের প্রথম পানীয় পান করার সময় আমাকে একবার বলেছিল যে তারা উচ্ছ্বাসিত বোধ করছে এবং এটি নিয়ে আর কথা বলতে চাইবে না। আমি এত মদ্যপান কখনও অনুভব করিনি। এখন আমি ভাবছি যে কিছু মদ্যপ কি অ্যালকোহল দ্বারা বেশি প্রভাবিত হয় এবং সে কারণেই তারা মদ্যপ হয়ে ওঠে?</v>
      </c>
    </row>
    <row r="1012" spans="1:3" ht="15" x14ac:dyDescent="0.25">
      <c r="A1012" s="3" t="s">
        <v>1009</v>
      </c>
      <c r="B1012" s="3" t="s">
        <v>997</v>
      </c>
      <c r="C1012" s="4" t="str">
        <f ca="1">IFERROR(__xludf.DUMMYFUNCTION("GOOGLETRANSLATE(A1012, ""auto"", ""bn"")"),"""তিক্ত হওয়ার উদ্দেশ্য কোথায়? উদ্দেশ্য হলো ভালো থাকা।"" এই ৩০তম দিনে যখন আমি প্রস্রাব করছিলাম, তখন আমার মনে একটা ভাবনা এসে গেল, আমার শুভাকাঙ্ক্ষীরা আমাকে অনুরোধ করছিল যেন আমি কাঁচ ধরে না রাখি কারণ তারা আমাকে জীবিত দেখতে চেয়েছিল এবং আমি যা অর্জন করতে চে"&amp;"য়েছিলাম তা অর্জন করতে চেয়েছিল কিন্তু 'অনুভূতির' মোহের কাছে হার মেনেছে। মজার ব্যাপার হল, যতবার তুমি অনুভব করবে, ততবার তুমি পড়ে যাবে। যতবার তুমি ভাববে, ততবার তুমি গড়ে তুলবে। অনুশোচনার শেষ বুলেটটি আমার বুকে নেওয়ার পর, এটি ছিল কিউপিডের তীরের মতো, অথবা যে"&amp;" কেউ। এটি ছিল একটি বিশাল যান্ত্রিক সত্তার মতো যা অবশেষে শক্তির উৎস পেয়েছে, এক মুহূর্তও নষ্ট না করে ধীরে ধীরে উদ্ভাসিত হচ্ছে, নাটস অ্যান্ড বোল্টস ঝনঝন শব্দ করছে, লম্বা রশ্মিগুলি ক্র্যাঙ্ক করছে। এটি আমার ভিতরে ফুটে ওঠা একটি ফুলের মতো অনুভূত হয়েছিল। তদুপরি"&amp;", এটি প্রায় এমন ছিল যেন সেই প্রস্রাব আমার শেষ আত্ম-করুণাকে শুষে নিয়েছে। সেই মুহূর্তে, আমি আমার মাথার মধ্যে কোনও অস্থিরতা অনুভব করছিলাম না, এমনকি আমি আমার ফোনটি বন্ধ করে দিয়েছিলাম এবং চিন্তাভাবনার মধ্যে দ্রুত গতিতে এগিয়ে যাচ্ছিলাম, জীবনের গাণিতিক যন্ত্"&amp;"রের মতো নীতি এবং স্বতঃসিদ্ধ ধারণাগুলিকে একত্রিত করেছিলাম, যেমনটি আমি আগে করতাম। আমার আর পানীয়টির স্বাদ গ্রহণ বা আশা অনুভব করার প্রয়োজন ছিল না, এখন আমার দৃষ্টিভঙ্গি ছিল। মনে হচ্ছে সেই মুহূর্তে আমার মনে হয়েছিল যে আমার আর কখনও আর কোনও পানীয়ের প্রয়োজন নে"&amp;"ই, আমি হতাশ হয়ে পড়েছিলাম, কারণ আমি সেই আকাঙ্ক্ষা অনুভব করিনি, বরং সেই মুহূর্তে সম্ভাব্য সবকিছু করার সেই বিকৃত প্রয়োজন আমাকে ছেড়ে দিয়েছে, চরিত্রের ত্রুটি। আমার মনে হয় আমি এর জন্য উদ্দেশ্য বোঝার কারণ হতে পারি, যদি এখনও উদ্দেশ্য খুঁজে না পাই। আমার মনে "&amp;"হয়েছিল আমার কাছে থাকা সমস্ত টাকাও দান করে দেই কিন্তু, আমি এতটা হতাশ ছিলাম না, এই বিলগুলি নিজেরাই পরিশোধ করছে না। এটি সেই গল্প যখন আমি আমার অস্ত্র রেখেছিলাম, আমার সরঞ্জামগুলি তুলেছিলাম এবং নিজেকে বলেছিলাম, ""ছেড়ে দাও, ছেড়ে দাও""।")</f>
        <v>"তিক্ত হওয়ার উদ্দেশ্য কোথায়? উদ্দেশ্য হলো ভালো থাকা।" এই ৩০তম দিনে যখন আমি প্রস্রাব করছিলাম, তখন আমার মনে একটা ভাবনা এসে গেল, আমার শুভাকাঙ্ক্ষীরা আমাকে অনুরোধ করছিল যেন আমি কাঁচ ধরে না রাখি কারণ তারা আমাকে জীবিত দেখতে চেয়েছিল এবং আমি যা অর্জন করতে চেয়েছিলাম তা অর্জন করতে চেয়েছিল কিন্তু 'অনুভূতির' মোহের কাছে হার মেনেছে। মজার ব্যাপার হল, যতবার তুমি অনুভব করবে, ততবার তুমি পড়ে যাবে। যতবার তুমি ভাববে, ততবার তুমি গড়ে তুলবে। অনুশোচনার শেষ বুলেটটি আমার বুকে নেওয়ার পর, এটি ছিল কিউপিডের তীরের মতো, অথবা যে কেউ। এটি ছিল একটি বিশাল যান্ত্রিক সত্তার মতো যা অবশেষে শক্তির উৎস পেয়েছে, এক মুহূর্তও নষ্ট না করে ধীরে ধীরে উদ্ভাসিত হচ্ছে, নাটস অ্যান্ড বোল্টস ঝনঝন শব্দ করছে, লম্বা রশ্মিগুলি ক্র্যাঙ্ক করছে। এটি আমার ভিতরে ফুটে ওঠা একটি ফুলের মতো অনুভূত হয়েছিল। তদুপরি, এটি প্রায় এমন ছিল যেন সেই প্রস্রাব আমার শেষ আত্ম-করুণাকে শুষে নিয়েছে। সেই মুহূর্তে, আমি আমার মাথার মধ্যে কোনও অস্থিরতা অনুভব করছিলাম না, এমনকি আমি আমার ফোনটি বন্ধ করে দিয়েছিলাম এবং চিন্তাভাবনার মধ্যে দ্রুত গতিতে এগিয়ে যাচ্ছিলাম, জীবনের গাণিতিক যন্ত্রের মতো নীতি এবং স্বতঃসিদ্ধ ধারণাগুলিকে একত্রিত করেছিলাম, যেমনটি আমি আগে করতাম। আমার আর পানীয়টির স্বাদ গ্রহণ বা আশা অনুভব করার প্রয়োজন ছিল না, এখন আমার দৃষ্টিভঙ্গি ছিল। মনে হচ্ছে সেই মুহূর্তে আমার মনে হয়েছিল যে আমার আর কখনও আর কোনও পানীয়ের প্রয়োজন নেই, আমি হতাশ হয়ে পড়েছিলাম, কারণ আমি সেই আকাঙ্ক্ষা অনুভব করিনি, বরং সেই মুহূর্তে সম্ভাব্য সবকিছু করার সেই বিকৃত প্রয়োজন আমাকে ছেড়ে দিয়েছে, চরিত্রের ত্রুটি। আমার মনে হয় আমি এর জন্য উদ্দেশ্য বোঝার কারণ হতে পারি, যদি এখনও উদ্দেশ্য খুঁজে না পাই। আমার মনে হয়েছিল আমার কাছে থাকা সমস্ত টাকাও দান করে দেই কিন্তু, আমি এতটা হতাশ ছিলাম না, এই বিলগুলি নিজেরাই পরিশোধ করছে না। এটি সেই গল্প যখন আমি আমার অস্ত্র রেখেছিলাম, আমার সরঞ্জামগুলি তুলেছিলাম এবং নিজেকে বলেছিলাম, "ছেড়ে দাও, ছেড়ে দাও"।</v>
      </c>
    </row>
    <row r="1013" spans="1:3" ht="15" x14ac:dyDescent="0.25">
      <c r="A1013" s="3" t="s">
        <v>1010</v>
      </c>
      <c r="B1013" s="3" t="s">
        <v>997</v>
      </c>
      <c r="C1013" s="4" t="str">
        <f ca="1">IFERROR(__xludf.DUMMYFUNCTION("GOOGLETRANSLATE(A1013, ""auto"", ""bn"")"),"আমি অনেক শুনেছি যে তুমি না চাইলে তুমি ছাড়বে না। আমি বুঝতে পারছি। আমি অবশ্যই ছাড়তে চাই, আমি থামতে চাই, আমি এটাকে পেছনে ফেলে যেতে চাই। কিন্তু আমিও মদ চাই। আর আমি এটাকে ঘৃণা করি। আমি জানি না কিভাবে এটা চাওয়া বন্ধ করব।")</f>
        <v>আমি অনেক শুনেছি যে তুমি না চাইলে তুমি ছাড়বে না। আমি বুঝতে পারছি। আমি অবশ্যই ছাড়তে চাই, আমি থামতে চাই, আমি এটাকে পেছনে ফেলে যেতে চাই। কিন্তু আমিও মদ চাই। আর আমি এটাকে ঘৃণা করি। আমি জানি না কিভাবে এটা চাওয়া বন্ধ করব।</v>
      </c>
    </row>
    <row r="1014" spans="1:3" ht="15" x14ac:dyDescent="0.25">
      <c r="A1014" s="3" t="s">
        <v>1011</v>
      </c>
      <c r="B1014" s="3" t="s">
        <v>997</v>
      </c>
      <c r="C1014" s="4" t="str">
        <f ca="1">IFERROR(__xludf.DUMMYFUNCTION("GOOGLETRANSLATE(A1014, ""auto"", ""bn"")"),"আমি ২৫ বছর বয়সে আমার প্রথম সভায় গিয়েছিলাম, উচ্চ ক্ষমতার ধারণার কারণে আমি বেরিয়ে গিয়ে বোতলের দোকানে গিয়েছিলাম। এক দশক পরে আমি আবার গিয়েছিলাম এবং এটি ভেঙে ফেলেছিলাম, আমার প্রথম ৩ মাসে আমি দিনে ৩টি পর্যন্ত সভা করেছি। আমি AA-তে আচ্ছন্ন ছিলাম। আমি একজন "&amp;"ভালো পাবলিক স্পিকার হয়েছিলাম এবং এটি পছন্দ করতাম কিন্তু এখন আমি বিরক্ত, যারা ঐ কক্ষগুলিতে প্রবেশ করে তারা নিজেদেরকে শান্ত বলে কিন্তু নিকোটিন, ক্যাফেইন এবং চিনি এবং প্রায়শই অ্যান্টিডিপ্রেসেন্ট ওষুধের প্রতি আসক্ত, কিন্তু যদি আমি বলি যে আমি LSD ব্যবহার করি"&amp;"। DMT বা KETAMINE আমাকে খারাপ হিসাবে দেখা হয়। WTF মানুষ কি জানে না বিল উইলসন LSD অভিজ্ঞতা থেকে শান্ত হয়েছিলেন তিনি চেয়েছিলেন যে সমস্ত অ্যালকোয় আধ্যাত্মিক জাগরণ লাভ করুক, কিন্তু এটি খুব বেশি ছিল, তাই উচ্চ ক্ষমতার প্রবর্তন করা হয়েছিল। আমি এই সত্যটি সহ্"&amp;"য করতে পারি না যে যদি আমি বলি যে আমি সাইকেডেলিক ওষুধ ব্যবহার করি তবে আমি এড়িয়ে যাই, এটি একটি রসিকতা, যখন তারা সবাই এত কফি পান করে সেখানে সমস্ত চিনি খায় এবং চেইন-স্মোক করে এবং অনেকে গানের কথার মতো ওষুধ খায়, পার্থক্য কী? একটা AA এবং একটা সোজা AA TGE থাক"&amp;"া উচিত। যারা আমাকে বলতে চান যে আমি শান্ত নই কারণ আমার k সোজা AC থাকা উচিত এবং ক্যাফেইন এবং নিকোটিন ছেড়ে দেওয়া উচিত। আমার তো সব শেষ।")</f>
        <v>আমি ২৫ বছর বয়সে আমার প্রথম সভায় গিয়েছিলাম, উচ্চ ক্ষমতার ধারণার কারণে আমি বেরিয়ে গিয়ে বোতলের দোকানে গিয়েছিলাম। এক দশক পরে আমি আবার গিয়েছিলাম এবং এটি ভেঙে ফেলেছিলাম, আমার প্রথম ৩ মাসে আমি দিনে ৩টি পর্যন্ত সভা করেছি। আমি AA-তে আচ্ছন্ন ছিলাম। আমি একজন ভালো পাবলিক স্পিকার হয়েছিলাম এবং এটি পছন্দ করতাম কিন্তু এখন আমি বিরক্ত, যারা ঐ কক্ষগুলিতে প্রবেশ করে তারা নিজেদেরকে শান্ত বলে কিন্তু নিকোটিন, ক্যাফেইন এবং চিনি এবং প্রায়শই অ্যান্টিডিপ্রেসেন্ট ওষুধের প্রতি আসক্ত, কিন্তু যদি আমি বলি যে আমি LSD ব্যবহার করি। DMT বা KETAMINE আমাকে খারাপ হিসাবে দেখা হয়। WTF মানুষ কি জানে না বিল উইলসন LSD অভিজ্ঞতা থেকে শান্ত হয়েছিলেন তিনি চেয়েছিলেন যে সমস্ত অ্যালকোয় আধ্যাত্মিক জাগরণ লাভ করুক, কিন্তু এটি খুব বেশি ছিল, তাই উচ্চ ক্ষমতার প্রবর্তন করা হয়েছিল। আমি এই সত্যটি সহ্য করতে পারি না যে যদি আমি বলি যে আমি সাইকেডেলিক ওষুধ ব্যবহার করি তবে আমি এড়িয়ে যাই, এটি একটি রসিকতা, যখন তারা সবাই এত কফি পান করে সেখানে সমস্ত চিনি খায় এবং চেইন-স্মোক করে এবং অনেকে গানের কথার মতো ওষুধ খায়, পার্থক্য কী? একটা AA এবং একটা সোজা AA TGE থাকা উচিত। যারা আমাকে বলতে চান যে আমি শান্ত নই কারণ আমার k সোজা AC থাকা উচিত এবং ক্যাফেইন এবং নিকোটিন ছেড়ে দেওয়া উচিত। আমার তো সব শেষ।</v>
      </c>
    </row>
    <row r="1015" spans="1:3" ht="15" x14ac:dyDescent="0.25">
      <c r="A1015" s="3" t="s">
        <v>1012</v>
      </c>
      <c r="B1015" s="3" t="s">
        <v>997</v>
      </c>
      <c r="C1015" s="4" t="str">
        <f ca="1">IFERROR(__xludf.DUMMYFUNCTION("GOOGLETRANSLATE(A1015, ""auto"", ""bn"")"),"আমার MID আমার SO-কে কাজে নিয়ে যাচ্ছিল, কারণ আমি সাধারণত অনেক দেরি করে ঘুমাই/সকালে তাকে এত বেশি মদ্যপান করতে হয় যে আমি তাকে গাড়ি দিয়ে যেতে পারি না। গত পাঁচ দিন ধরে আমি অফিস থেকে ছুটি নিয়েছি এবং যখন ছুটি পাই তখন আমি দেরি করে ঘুমাই এবং পরে মদ্যপান করি। গত রা"&amp;"তে আমি সকাল নয়টার দিকে ঘুমাতে যাই, প্রায় ১৫টি ড্রিংক বেশি করে। আমার MID-কে আরেকজন ড্রাইভার ধাক্কা দেয় যে বাম দিকে ঘুরছিল। আমি অটো ইন্ডাস্ট্রিতে কাজ করতাম, তাই তারা চাইত আমি যেন শুধু তাদের তুলে না নিই, বরং তাদের কী করতে হবে সে সম্পর্কে পরামর্শও দেই। সৌভাগ্"&amp;"যক্রমে, সবাই ঠিক ছিল। আমাকে আমার SO-কে বলতে হয়েছিল যে আমি খুব বেশি মাতাল ছিলাম এবং সাহায্যের জন্য আসতে পারিনি। আমি আসলে না বলতে চাইনি। কিন্তু, বিকল্পটি স্পষ্টতই আরও খারাপ ছিল। A) আমার মদ্যপান করে গাড়ি চালানোর কোনও প্রয়োজন নেই, কিন্তু B) আমার চাকরির জন্"&amp;"য আমার লাইসেন্সের উপর নির্ভরশীল, এবং DUI-এর জন্য আমি তা হারাব। আমার SO এতে বিরক্তও নয়। কোন ধরণের কাজ পরিস্থিতি আরও খারাপ করে তোলে। স্পষ্টতই এখন আমার কাছ থেকে এটাই আশা করা হচ্ছে। সকাল ১১ টার দিকে খুব বেশি মাতাল হওয়া আমার পরিবারের প্রয়োজনের সময় সাহায্য ক"&amp;"রার জন্য।")</f>
        <v>আমার MID আমার SO-কে কাজে নিয়ে যাচ্ছিল, কারণ আমি সাধারণত অনেক দেরি করে ঘুমাই/সকালে তাকে এত বেশি মদ্যপান করতে হয় যে আমি তাকে গাড়ি দিয়ে যেতে পারি না। গত পাঁচ দিন ধরে আমি অফিস থেকে ছুটি নিয়েছি এবং যখন ছুটি পাই তখন আমি দেরি করে ঘুমাই এবং পরে মদ্যপান করি। গত রাতে আমি সকাল নয়টার দিকে ঘুমাতে যাই, প্রায় ১৫টি ড্রিংক বেশি করে। আমার MID-কে আরেকজন ড্রাইভার ধাক্কা দেয় যে বাম দিকে ঘুরছিল। আমি অটো ইন্ডাস্ট্রিতে কাজ করতাম, তাই তারা চাইত আমি যেন শুধু তাদের তুলে না নিই, বরং তাদের কী করতে হবে সে সম্পর্কে পরামর্শও দেই। সৌভাগ্যক্রমে, সবাই ঠিক ছিল। আমাকে আমার SO-কে বলতে হয়েছিল যে আমি খুব বেশি মাতাল ছিলাম এবং সাহায্যের জন্য আসতে পারিনি। আমি আসলে না বলতে চাইনি। কিন্তু, বিকল্পটি স্পষ্টতই আরও খারাপ ছিল। A) আমার মদ্যপান করে গাড়ি চালানোর কোনও প্রয়োজন নেই, কিন্তু B) আমার চাকরির জন্য আমার লাইসেন্সের উপর নির্ভরশীল, এবং DUI-এর জন্য আমি তা হারাব। আমার SO এতে বিরক্তও নয়। কোন ধরণের কাজ পরিস্থিতি আরও খারাপ করে তোলে। স্পষ্টতই এখন আমার কাছ থেকে এটাই আশা করা হচ্ছে। সকাল ১১ টার দিকে খুব বেশি মাতাল হওয়া আমার পরিবারের প্রয়োজনের সময় সাহায্য করার জন্য।</v>
      </c>
    </row>
    <row r="1016" spans="1:3" ht="15" x14ac:dyDescent="0.25">
      <c r="A1016" s="3" t="s">
        <v>1013</v>
      </c>
      <c r="B1016" s="3" t="s">
        <v>997</v>
      </c>
      <c r="C1016" s="4" t="str">
        <f ca="1">IFERROR(__xludf.DUMMYFUNCTION("GOOGLETRANSLATE(A1016, ""auto"", ""bn"")"),"আমি যখন এই লেখাটি লিখছি তখন ভাবছি যে যদি আমি সক্রিয়ভাবে এই সাব-ট্যাপটি খুঁজি তাহলে আমার অবশ্যই কোনও সমস্যা হবে। আমার তীব্র বিষণ্ণতা আছে, আমি ওষুধ খাই, কিন্তু আমার ভেতরে একটা ফাঁক আছে যা কখনোই পূরণ করা যায় না। তাছাড়া, আমি মাথা থেকে বেরিয়ে আসার জন্য আগা"&amp;"ছা ধূমপান করতাম এবং যখন তা যথেষ্ট ছিল না তখন আমি হুইস্কি পান করতে শুরু করি এবং উচ্চতর প্রভাবের জন্য কেবল পিছনের দিকে আগাছা ধূমপান করতে শুরু করি। তাছাড়া, আমি জানি আমার একটি সমস্যা আছে, কিন্তু আমি ছেড়ে দিতে ভয় পাই যদিও আমি জানি এটি দীর্ঘমেয়াদে আমার স্বা"&amp;"স্থ্যের ক্ষতি করবে। তাছাড়া, আমি জানি না কোথায় যাব, কী করব, কি করব, কি করব, কি করব? আমি কি AA মিটিং করার চেষ্টা করব? আমি কেবল একটি কঠিন চাকরি করছি যা আমাকে মানসিকভাবে মেরে ফেলছে এবং ছেড়ে দেওয়ার সামর্থ্য নেই। আমি ভাবছি যে কেউ কি আমার মতো করে যাচ্ছে এবং "&amp;"হয়তো আমাকে সাহায্য করতে পারে?")</f>
        <v>আমি যখন এই লেখাটি লিখছি তখন ভাবছি যে যদি আমি সক্রিয়ভাবে এই সাব-ট্যাপটি খুঁজি তাহলে আমার অবশ্যই কোনও সমস্যা হবে। আমার তীব্র বিষণ্ণতা আছে, আমি ওষুধ খাই, কিন্তু আমার ভেতরে একটা ফাঁক আছে যা কখনোই পূরণ করা যায় না। তাছাড়া, আমি মাথা থেকে বেরিয়ে আসার জন্য আগাছা ধূমপান করতাম এবং যখন তা যথেষ্ট ছিল না তখন আমি হুইস্কি পান করতে শুরু করি এবং উচ্চতর প্রভাবের জন্য কেবল পিছনের দিকে আগাছা ধূমপান করতে শুরু করি। তাছাড়া, আমি জানি আমার একটি সমস্যা আছে, কিন্তু আমি ছেড়ে দিতে ভয় পাই যদিও আমি জানি এটি দীর্ঘমেয়াদে আমার স্বাস্থ্যের ক্ষতি করবে। তাছাড়া, আমি জানি না কোথায় যাব, কী করব, কি করব, কি করব, কি করব? আমি কি AA মিটিং করার চেষ্টা করব? আমি কেবল একটি কঠিন চাকরি করছি যা আমাকে মানসিকভাবে মেরে ফেলছে এবং ছেড়ে দেওয়ার সামর্থ্য নেই। আমি ভাবছি যে কেউ কি আমার মতো করে যাচ্ছে এবং হয়তো আমাকে সাহায্য করতে পারে?</v>
      </c>
    </row>
    <row r="1017" spans="1:3" ht="15" x14ac:dyDescent="0.25">
      <c r="A1017" s="3" t="s">
        <v>1014</v>
      </c>
      <c r="B1017" s="3" t="s">
        <v>997</v>
      </c>
      <c r="C1017" s="4" t="str">
        <f ca="1">IFERROR(__xludf.DUMMYFUNCTION("GOOGLETRANSLATE(A1017, ""auto"", ""bn"")"),"আমার মদ্যপান বন্ধ করতে হবে। আমি এখন বিছানায় শুয়ে আছি এবং ভাবছি গত ৬ বছরে অনেক রাতে অর্ধেক ১.৭৫ থেকে পুরো ১.৭৫ পর্যন্ত মদ্যপান করে আমি আমার মস্তিষ্ক এবং শরীরকে কতটা খারাপ করেছি। তাছাড়া, আমার বয়স ২২ এবং গতকাল আমার পুরো শরীর কাঁপছিল, আমার দৃষ্টিশক্তি পাগলের"&amp;" মতো ছিল, আমি কথাও বলতে পারছিলাম না। দুটি ভিন্ন বন্ধুর দলের সামনে নিজেকে সম্পূর্ণ বোকা বানিয়েছিলাম। (আমি এক বোতল জিন পান করেছিলাম এবং তারপর দুই রাত আগে বন্ধুদের সাথে বাইরে গিয়েছিলাম, এবং তারপর গত রাতে আমি বিভিন্ন বন্ধুদের সাথে আড্ডা দিয়েছিলাম এবং মদ্যপা"&amp;"ন করছিলাম না, কিন্তু শেক থেকে মুক্তি পেতে আমি আরও কিছু জিন পান করেছি) আমার কি প্রত্যাহার নিয়ে চিন্তিত হওয়া উচিত? গত সপ্তাহে আমি প্রায় ৩-৪ দিন ধরে মদ্যপান করিনি এবং কোনও লক্ষণও দেখা যায়নি। আমি এমন সময় পার করেছি যখন আমি প্রায় এক বছর বা তার বেশি সময় ধর"&amp;"ে প্রতিদিন অনেক বেশি মদ্যপান করি, এবং অন্য সময় আমি সপ্তাহের ৪-৫ দিন মদ্যপান করি। আমি যখনই ৭-৮টির বেশি ""ড্রিঙ্কস"" পান করি, তখনই মূলত আমি ব্ল্যাক আউট হয়ে যাই, যা আগে কখনও হত না (আমি আগে অনেক বেশি পান করতে পারতাম এবং ব্ল্যাক আউট হতাম না)। তাছাড়া, আমার ক"&amp;"খনও প্রত্যাহারের লক্ষণ দেখা দেয়নি, তবে গতকাল (এবং আজ কিছুটা) প্রচণ্ড কাঁপুনি, মাথাব্যথা, দৃষ্টিশক্তি, ভারসাম্য ইত্যাদির সাথে আমাকে সত্যিই চিন্তিত করে তুলেছিল, তাই আমি জানি না কী হবে।")</f>
        <v>আমার মদ্যপান বন্ধ করতে হবে। আমি এখন বিছানায় শুয়ে আছি এবং ভাবছি গত ৬ বছরে অনেক রাতে অর্ধেক ১.৭৫ থেকে পুরো ১.৭৫ পর্যন্ত মদ্যপান করে আমি আমার মস্তিষ্ক এবং শরীরকে কতটা খারাপ করেছি। তাছাড়া, আমার বয়স ২২ এবং গতকাল আমার পুরো শরীর কাঁপছিল, আমার দৃষ্টিশক্তি পাগলের মতো ছিল, আমি কথাও বলতে পারছিলাম না। দুটি ভিন্ন বন্ধুর দলের সামনে নিজেকে সম্পূর্ণ বোকা বানিয়েছিলাম। (আমি এক বোতল জিন পান করেছিলাম এবং তারপর দুই রাত আগে বন্ধুদের সাথে বাইরে গিয়েছিলাম, এবং তারপর গত রাতে আমি বিভিন্ন বন্ধুদের সাথে আড্ডা দিয়েছিলাম এবং মদ্যপান করছিলাম না, কিন্তু শেক থেকে মুক্তি পেতে আমি আরও কিছু জিন পান করেছি) আমার কি প্রত্যাহার নিয়ে চিন্তিত হওয়া উচিত? গত সপ্তাহে আমি প্রায় ৩-৪ দিন ধরে মদ্যপান করিনি এবং কোনও লক্ষণও দেখা যায়নি। আমি এমন সময় পার করেছি যখন আমি প্রায় এক বছর বা তার বেশি সময় ধরে প্রতিদিন অনেক বেশি মদ্যপান করি, এবং অন্য সময় আমি সপ্তাহের ৪-৫ দিন মদ্যপান করি। আমি যখনই ৭-৮টির বেশি "ড্রিঙ্কস" পান করি, তখনই মূলত আমি ব্ল্যাক আউট হয়ে যাই, যা আগে কখনও হত না (আমি আগে অনেক বেশি পান করতে পারতাম এবং ব্ল্যাক আউট হতাম না)। তাছাড়া, আমার কখনও প্রত্যাহারের লক্ষণ দেখা দেয়নি, তবে গতকাল (এবং আজ কিছুটা) প্রচণ্ড কাঁপুনি, মাথাব্যথা, দৃষ্টিশক্তি, ভারসাম্য ইত্যাদির সাথে আমাকে সত্যিই চিন্তিত করে তুলেছিল, তাই আমি জানি না কী হবে।</v>
      </c>
    </row>
    <row r="1018" spans="1:3" ht="15" x14ac:dyDescent="0.25">
      <c r="A1018" s="3" t="s">
        <v>1015</v>
      </c>
      <c r="B1018" s="3" t="s">
        <v>997</v>
      </c>
      <c r="C1018" s="4" t="str">
        <f ca="1">IFERROR(__xludf.DUMMYFUNCTION("GOOGLETRANSLATE(A1018, ""auto"", ""bn"")"),"আমি গাড়ি চালাতে ভালোবাসতাম। তবে, গত কয়েক বছর ধরে, যখন আমি ক্ষুধার্ত ছিলাম, তখন গাড়ি চালাতে ভয় পেতাম, এমনকি অল্প দূরত্বেও। হাইওয়ে এবং লাল বাতি ছিল সবচেয়ে খারাপ, আমি রুট পরিকল্পনা করতাম, এমনকি এক মাইল দূরেও, এবং যদি সম্ভব হয় তবে গাড়ি চালানো এড়িয়ে "&amp;"চলতাম। আর যদি আমাকে গাড়ি চালাতে হয় তবে আমার কয়েকটি শট নিতে হবে। এখন, প্রায় ৭ সপ্তাহ বাইরে, আমার কয়েক সপ্তাহের মধ্যে কোনও সমস্যা হয়নি। আমি আবারও দীর্ঘ দূরত্ব (শত শত মাইল) গাড়ি চালিয়ে এমন জায়গায় যেতে পারি যেখানে আমি অপরিচিত এবং আবার উপভোগ করতে পার"&amp;"ি। অন্য কেউ কি ড্রাইভিং উদ্বেগ অনুভব করেছেন? আমি মাঝে মাঝে ভয়ে কাঁপতে কাঁপতে কথা বলছি।")</f>
        <v>আমি গাড়ি চালাতে ভালোবাসতাম। তবে, গত কয়েক বছর ধরে, যখন আমি ক্ষুধার্ত ছিলাম, তখন গাড়ি চালাতে ভয় পেতাম, এমনকি অল্প দূরত্বেও। হাইওয়ে এবং লাল বাতি ছিল সবচেয়ে খারাপ, আমি রুট পরিকল্পনা করতাম, এমনকি এক মাইল দূরেও, এবং যদি সম্ভব হয় তবে গাড়ি চালানো এড়িয়ে চলতাম। আর যদি আমাকে গাড়ি চালাতে হয় তবে আমার কয়েকটি শট নিতে হবে। এখন, প্রায় ৭ সপ্তাহ বাইরে, আমার কয়েক সপ্তাহের মধ্যে কোনও সমস্যা হয়নি। আমি আবারও দীর্ঘ দূরত্ব (শত শত মাইল) গাড়ি চালিয়ে এমন জায়গায় যেতে পারি যেখানে আমি অপরিচিত এবং আবার উপভোগ করতে পারি। অন্য কেউ কি ড্রাইভিং উদ্বেগ অনুভব করেছেন? আমি মাঝে মাঝে ভয়ে কাঁপতে কাঁপতে কথা বলছি।</v>
      </c>
    </row>
    <row r="1019" spans="1:3" ht="15" x14ac:dyDescent="0.25">
      <c r="A1019" s="3" t="s">
        <v>1016</v>
      </c>
      <c r="B1019" s="3" t="s">
        <v>997</v>
      </c>
      <c r="C1019" s="4" t="str">
        <f ca="1">IFERROR(__xludf.DUMMYFUNCTION("GOOGLETRANSLATE(A1019, ""auto"", ""bn"")"),"আমি একেবারে তলানিতে পৌঁছে গেছি এবং আমার ওজন কমতে শুরু করেছে, কিন্তু নিরাপদে তা করার জন্য আমার কতটা পান করার তা দেখতে হবে। গতকাল আমার একটি গড় সন্ধ্যা ছিল, আমি যথারীতি মাতাল হয়েছিলাম কিন্তু আমি ট্র্যাক রাখছিলাম বলে আমি সম্ভবত স্বাভাবিকের চেয়ে কম পান করেছ"&amp;"ি। তাছাড়া, গতকাল আমার ২৬.৯ ইউনিট গিনেস ছিল। তাছাড়া, আমি পরিমাণ নিরূপণ করেছি এবং আমি ৬ লিটারেরও বেশি গিনেস গ্রহণ করেছি। তাছাড়া, আমি কিছুটা হতবাক কিন্তু আগে কখনও এটি নিয়ে ভাবিনি। এছাড়াও ২০০০ ক্যালোরিরও বেশি, যা ব্যাখ্যা করে যে আমি আসলে খাই না তা আমার ওজন "&amp;"কমাতে সাহায্য করে না। আমি থামতে দৃঢ়প্রতিজ্ঞ, কিন্তু এটা ভীতিকর যে এটি আমার জন্য একটি গড় দিন। মনে হয় কমতে সম্ভবত অনেক সময় লাগবে। আশা করি এটি শেয়ার করলে কিছু লোক বুঝতে পারবে যে তারা বাস্তবে কতটা পান করছে। আমার সাথে এই পথে থাকা মানুষদের প্রতি ভালোবাসা এ"&amp;"বং শ্রদ্ধা ছাড়া আর কিছুই নয়।")</f>
        <v>আমি একেবারে তলানিতে পৌঁছে গেছি এবং আমার ওজন কমতে শুরু করেছে, কিন্তু নিরাপদে তা করার জন্য আমার কতটা পান করার তা দেখতে হবে। গতকাল আমার একটি গড় সন্ধ্যা ছিল, আমি যথারীতি মাতাল হয়েছিলাম কিন্তু আমি ট্র্যাক রাখছিলাম বলে আমি সম্ভবত স্বাভাবিকের চেয়ে কম পান করেছি। তাছাড়া, গতকাল আমার ২৬.৯ ইউনিট গিনেস ছিল। তাছাড়া, আমি পরিমাণ নিরূপণ করেছি এবং আমি ৬ লিটারেরও বেশি গিনেস গ্রহণ করেছি। তাছাড়া, আমি কিছুটা হতবাক কিন্তু আগে কখনও এটি নিয়ে ভাবিনি। এছাড়াও ২০০০ ক্যালোরিরও বেশি, যা ব্যাখ্যা করে যে আমি আসলে খাই না তা আমার ওজন কমাতে সাহায্য করে না। আমি থামতে দৃঢ়প্রতিজ্ঞ, কিন্তু এটা ভীতিকর যে এটি আমার জন্য একটি গড় দিন। মনে হয় কমতে সম্ভবত অনেক সময় লাগবে। আশা করি এটি শেয়ার করলে কিছু লোক বুঝতে পারবে যে তারা বাস্তবে কতটা পান করছে। আমার সাথে এই পথে থাকা মানুষদের প্রতি ভালোবাসা এবং শ্রদ্ধা ছাড়া আর কিছুই নয়।</v>
      </c>
    </row>
    <row r="1020" spans="1:3" ht="15" x14ac:dyDescent="0.25">
      <c r="A1020" s="3" t="s">
        <v>1017</v>
      </c>
      <c r="B1020" s="3" t="s">
        <v>997</v>
      </c>
      <c r="C1020" s="4" t="str">
        <f ca="1">IFERROR(__xludf.DUMMYFUNCTION("GOOGLETRANSLATE(A1020, ""auto"", ""bn"")"),"যদি তুমি আমাকে বলতে পারো যে তোমার চেয়ে বড় কোন শক্তি নেই, তাহলে এগিয়ে যাও এবং আমাকে দেখাও যে তুমি মাধ্যাকর্ষণকে অতিক্রম করে উড়তে পারো। এটার মুখোমুখি হও, মদ্যপ হিসেবে আমরা নিজেদেরই সবচেয়ে বড় শত্রু। ত্যাগ করার জন্য আমাদের নিজেদের চেয়েও বড় কিছুর প্রয়"&amp;"োজন। আমাদের বেশিরভাগই তা করতে চাই না, কিন্তু ত্যাগের ক্ষেত্রে কারো হতাশার মতো সাধারণ কিছুও আমাদের নিজস্ব ইচ্ছার চেয়ে বেশি শক্তি।")</f>
        <v>যদি তুমি আমাকে বলতে পারো যে তোমার চেয়ে বড় কোন শক্তি নেই, তাহলে এগিয়ে যাও এবং আমাকে দেখাও যে তুমি মাধ্যাকর্ষণকে অতিক্রম করে উড়তে পারো। এটার মুখোমুখি হও, মদ্যপ হিসেবে আমরা নিজেদেরই সবচেয়ে বড় শত্রু। ত্যাগ করার জন্য আমাদের নিজেদের চেয়েও বড় কিছুর প্রয়োজন। আমাদের বেশিরভাগই তা করতে চাই না, কিন্তু ত্যাগের ক্ষেত্রে কারো হতাশার মতো সাধারণ কিছুও আমাদের নিজস্ব ইচ্ছার চেয়ে বেশি শক্তি।</v>
      </c>
    </row>
    <row r="1021" spans="1:3" ht="15" x14ac:dyDescent="0.25">
      <c r="A1021" s="3" t="s">
        <v>1018</v>
      </c>
      <c r="B1021" s="3" t="s">
        <v>997</v>
      </c>
      <c r="C1021" s="4" t="str">
        <f ca="1">IFERROR(__xludf.DUMMYFUNCTION("GOOGLETRANSLATE(A1021, ""auto"", ""bn"")"),"আমি একজন ২২ বছর বয়সী যুবক এবং আমি অনেক বছর ধরে বিষণ্ণতার সাথে লড়াই করছি। ২ বছর আগে কোভিড আসার পর আমি বাড়িতে ভিডিও গেম খেলার সময় মনোযোগ নষ্ট করার জন্য অ্যালকোহল ব্যবহার শুরু করি। আমি মনোযোগ নষ্ট করার জন্য এটি করতাম। দেখা যাচ্ছে যে আমি এটি আরও বেশি করে "&amp;"করি। আমি সাধারণত সপ্তাহান্তে অতিরিক্ত মদ্যপান করি। কখনও কখনও প্রতি সপ্তাহান্তে বা প্রতি সপ্তাহে। তাই আমি ১-২ বছর ধরে এটি করছি, এবং আমি ভাবছিলাম যে কারও কি অভিজ্ঞতা আছে যে কত পরিমাণে এবং কতক্ষণ ধরে অ্যালকোহল লিভার বা কিডনির ক্ষতি করে (পরোক্ষভাবে)।")</f>
        <v>আমি একজন ২২ বছর বয়সী যুবক এবং আমি অনেক বছর ধরে বিষণ্ণতার সাথে লড়াই করছি। ২ বছর আগে কোভিড আসার পর আমি বাড়িতে ভিডিও গেম খেলার সময় মনোযোগ নষ্ট করার জন্য অ্যালকোহল ব্যবহার শুরু করি। আমি মনোযোগ নষ্ট করার জন্য এটি করতাম। দেখা যাচ্ছে যে আমি এটি আরও বেশি করে করি। আমি সাধারণত সপ্তাহান্তে অতিরিক্ত মদ্যপান করি। কখনও কখনও প্রতি সপ্তাহান্তে বা প্রতি সপ্তাহে। তাই আমি ১-২ বছর ধরে এটি করছি, এবং আমি ভাবছিলাম যে কারও কি অভিজ্ঞতা আছে যে কত পরিমাণে এবং কতক্ষণ ধরে অ্যালকোহল লিভার বা কিডনির ক্ষতি করে (পরোক্ষভাবে)।</v>
      </c>
    </row>
    <row r="1022" spans="1:3" ht="15" x14ac:dyDescent="0.25">
      <c r="A1022" s="3" t="s">
        <v>1019</v>
      </c>
      <c r="B1022" s="3" t="s">
        <v>997</v>
      </c>
      <c r="C1022" s="4" t="str">
        <f ca="1">IFERROR(__xludf.DUMMYFUNCTION("GOOGLETRANSLATE(A1022, ""auto"", ""bn"")"),"আমি কিশোর বয়স থেকেই নিয়মিত স্পিরিট ব্যবহার করে আসছি। কিছুদিন ধরে থামতে আমার কখনও সমস্যা হয়নি, এবং সবসময়ই অতিরিক্ত মদ্যপান ইত্যাদির উপর নির্ভর করে আসছি। এই মাসে আমার মনে হয় আমি একটু বেশিই নেশা করছি। প্রায় ৩ দিনের মধ্যে ২ বোতল ভদকা পান করেছি। কয়েকদিন"&amp;" আগে ঘুম থেকে উঠে খুব খারাপ লাগছিল। আমি সারাদিন আমার মেজাজের দিকে নজর রেখেছিলাম যতক্ষণ না আমি পান করি, এবং আমার মনে হয় যখন আমি পান করি তখন আমার ভালো লাগছিল, তাই পরের দিন সকালে ঘুম থেকে উঠে পুরো বোতলটি ঢেলে ফেলি। ২ দিন হয়ে গেছে এবং আমি খুব খারাপ বোধ করি,"&amp;" এবং মাঝে মাঝে একটু মাথা ঘোরা/বিচলিত বোধ করি। আমি কি প্রত্যাহার অনুভব করছি? দুঃখিত, আমি জানি এটি সম্ভবত পোস্ট করার জন্য একটি ভুল জায়গা, কিন্তু আমি আমার SO-এর সাথে এটি সম্পর্কে কথা বলতে পারছি না, কারণ সে চরম বিষণ্ণতায় ভুগছে এবং আমি তাকে চিন্তা করতে চাই ন"&amp;"া, এবং আমার বাবা-মা কেবল চিন্তা করবেন কারণ তারা ৪ হাজার মাইল দূরে, এবং এটি ন্যায্য নয়।")</f>
        <v>আমি কিশোর বয়স থেকেই নিয়মিত স্পিরিট ব্যবহার করে আসছি। কিছুদিন ধরে থামতে আমার কখনও সমস্যা হয়নি, এবং সবসময়ই অতিরিক্ত মদ্যপান ইত্যাদির উপর নির্ভর করে আসছি। এই মাসে আমার মনে হয় আমি একটু বেশিই নেশা করছি। প্রায় ৩ দিনের মধ্যে ২ বোতল ভদকা পান করেছি। কয়েকদিন আগে ঘুম থেকে উঠে খুব খারাপ লাগছিল। আমি সারাদিন আমার মেজাজের দিকে নজর রেখেছিলাম যতক্ষণ না আমি পান করি, এবং আমার মনে হয় যখন আমি পান করি তখন আমার ভালো লাগছিল, তাই পরের দিন সকালে ঘুম থেকে উঠে পুরো বোতলটি ঢেলে ফেলি। ২ দিন হয়ে গেছে এবং আমি খুব খারাপ বোধ করি, এবং মাঝে মাঝে একটু মাথা ঘোরা/বিচলিত বোধ করি। আমি কি প্রত্যাহার অনুভব করছি? দুঃখিত, আমি জানি এটি সম্ভবত পোস্ট করার জন্য একটি ভুল জায়গা, কিন্তু আমি আমার SO-এর সাথে এটি সম্পর্কে কথা বলতে পারছি না, কারণ সে চরম বিষণ্ণতায় ভুগছে এবং আমি তাকে চিন্তা করতে চাই না, এবং আমার বাবা-মা কেবল চিন্তা করবেন কারণ তারা ৪ হাজার মাইল দূরে, এবং এটি ন্যায্য নয়।</v>
      </c>
    </row>
    <row r="1023" spans="1:3" ht="15" x14ac:dyDescent="0.25">
      <c r="A1023" s="3" t="s">
        <v>1020</v>
      </c>
      <c r="B1023" s="3" t="s">
        <v>997</v>
      </c>
      <c r="C1023" s="4" t="str">
        <f ca="1">IFERROR(__xludf.DUMMYFUNCTION("GOOGLETRANSLATE(A1023, ""auto"", ""bn"")"),"আমি একজন অত্যন্ত কর্মক্ষম মদ্যপ। সম্প্রতি আমার বয়স ৩০ বছর পূর্ণ হয়েছে এবং আমি মদ্যপান ত্যাগ করতে চাই অথবা অন্তত মদ্যপান কমাতে চাই। সপ্তাহান্তে বা ছুটির দিনগুলি আমার জন্য সবচেয়ে কঠিন। আমি যা করতে চাই তা হল বসে বসে মদ্যপান করি। আমি নিজেকে সীমাবদ্ধ রাখার "&amp;"চেষ্টা করেছি কিন্তু তা করতে পারছি না। আমি হিংস্র মাতাল নই তাই সমস্যাটি নয়। সমস্যা হল এতে অনেক টাকা খরচ হয় এবং আমার পরিবার প্রায় ভেঙে পড়েছে। একাধিক ক্রেডিট কার্ডের অতিরিক্ত অর্থ। যখনই আমার মনে হয় আমরা ভালো আছি এবং একটু শ্বাস নেওয়ার জায়গা আছে, তখনই আ"&amp;"মি বিয়ারের জন্য টাকা খরচ করি। আমার পরিবারের সাথে এমন করার জন্য আমি নিজেকে ক্রমাগত ঘৃণা করি। আমি কেবল এমন কারো কাছ থেকে পরামর্শ চাইছি যে আমাকে ছেড়ে দিতে সাহায্য করবে।")</f>
        <v>আমি একজন অত্যন্ত কর্মক্ষম মদ্যপ। সম্প্রতি আমার বয়স ৩০ বছর পূর্ণ হয়েছে এবং আমি মদ্যপান ত্যাগ করতে চাই অথবা অন্তত মদ্যপান কমাতে চাই। সপ্তাহান্তে বা ছুটির দিনগুলি আমার জন্য সবচেয়ে কঠিন। আমি যা করতে চাই তা হল বসে বসে মদ্যপান করি। আমি নিজেকে সীমাবদ্ধ রাখার চেষ্টা করেছি কিন্তু তা করতে পারছি না। আমি হিংস্র মাতাল নই তাই সমস্যাটি নয়। সমস্যা হল এতে অনেক টাকা খরচ হয় এবং আমার পরিবার প্রায় ভেঙে পড়েছে। একাধিক ক্রেডিট কার্ডের অতিরিক্ত অর্থ। যখনই আমার মনে হয় আমরা ভালো আছি এবং একটু শ্বাস নেওয়ার জায়গা আছে, তখনই আমি বিয়ারের জন্য টাকা খরচ করি। আমার পরিবারের সাথে এমন করার জন্য আমি নিজেকে ক্রমাগত ঘৃণা করি। আমি কেবল এমন কারো কাছ থেকে পরামর্শ চাইছি যে আমাকে ছেড়ে দিতে সাহায্য করবে।</v>
      </c>
    </row>
    <row r="1024" spans="1:3" ht="15" x14ac:dyDescent="0.25">
      <c r="A1024" s="3" t="s">
        <v>1021</v>
      </c>
      <c r="B1024" s="3" t="s">
        <v>997</v>
      </c>
      <c r="C1024" s="4" t="str">
        <f ca="1">IFERROR(__xludf.DUMMYFUNCTION("GOOGLETRANSLATE(A1024, ""auto"", ""bn"")"),"আমার বয়স ২১, আমি ১৩ বছর বয়স থেকেই মদ্যপান করে আসছি। গত ৩ বছর ধরে এটা আমার মানসিক ও শারীরিক স্বাস্থ্যের উপর বিশেষভাবে প্রভাব ফেলেছে। আমি এটা করেছি, আমি ছেড়ে দিতে চাই কিন্তু এটা খুবই কঠিন। শুধু কিছু সাহায্য বা পরামর্শের প্রয়োজন।")</f>
        <v>আমার বয়স ২১, আমি ১৩ বছর বয়স থেকেই মদ্যপান করে আসছি। গত ৩ বছর ধরে এটা আমার মানসিক ও শারীরিক স্বাস্থ্যের উপর বিশেষভাবে প্রভাব ফেলেছে। আমি এটা করেছি, আমি ছেড়ে দিতে চাই কিন্তু এটা খুবই কঠিন। শুধু কিছু সাহায্য বা পরামর্শের প্রয়োজন।</v>
      </c>
    </row>
    <row r="1025" spans="1:3" ht="15" x14ac:dyDescent="0.25">
      <c r="A1025" s="3" t="s">
        <v>1022</v>
      </c>
      <c r="B1025" s="3" t="s">
        <v>997</v>
      </c>
      <c r="C1025" s="4" t="str">
        <f ca="1">IFERROR(__xludf.DUMMYFUNCTION("GOOGLETRANSLATE(A1025, ""auto"", ""bn"")"),"আমি মদ্যপান করি না এবং আমার পরিবারও তাই এই ব্যাপারে কিছু মনে করে না। গোপনীয়তার স্বার্থে আমরা আমার বন্ধুকে ""জ্যাক"" ডাকব। পটভূমি: আমি একটি বড় হ্যালোইন পার্টির আয়োজন করেছিলাম। জ্যাক বাস্কেটবল দলে ছিল, এবং স্কুলের অনেক লোক পার্টি নিয়ে কথা বলত, আমি জানতা"&amp;"ম যে আমার পুরো দলকে আমাকে আমন্ত্রণ জানাতে হবে। জ্যাক আমার চেয়ে এক শ্রেণীর ছোট, কিন্তু তার বয়সের তুলনায় বয়স্ক, তাই তার ক্লাসে বন্ধু তৈরি করতে তার সমস্যা হচ্ছিল। সে ছোটবেলা থেকেই একজন ধর্ষক এবং অদ্ভুত ছিল, তবে হাই স্কুলে পড়ার পর সবকিছু বদলে গেল। আমি সো"&amp;"জাসাপ্টা, কিন্তু সে বেশ আকর্ষণীয় ছেলে এবং সে লম্বা এবং একজন ক্রীড়াবিদ এবং এমন সব মেয়ে যারা কখনও জানত না যে আমার পার্টিতে তাকে কে স্পর্শ করেছে। সে খুব মাতাল ছিল, কিন্তু খারাপ কিছু নয়। কেবল একজন সাধারণ কিশোরী যে সত্যিই আঘাত পেয়েছিল। সেই সময়ে, গুজব ছিল"&amp;" যে জ্যাক মেয়েদের অনুপযুক্তভাবে স্পর্শ করছে কিন্তু এর থেকে কিছুই আসেনি। আমার পার্টিতে সে একটি সুন্দর এবং মিষ্টি মেয়ের সাথে দেখা করেছিল - আসলে এটি সেই মেয়ে যার প্রতি আমার শৈশবকাল থেকে আজ পর্যন্ত আমার ক্রাশ ছিল। যৌন নির্যাতনের গুজবের মধ্যে একটি উল্লেখ কর"&amp;"তে ভুলে গেছি যে এমা সম্পর্কে ছিল (বলেছিল যে জ্যাক তাকে আক্রমণ করেছে) কিন্তু তারা ডেটিং শুরু করেছিল তাই এটি বিশ্বাসযোগ্য ছিল না, এবং তারা দুজনেই মাতাল ছিল। এমার কথা মনে আছে কিন্তু জ্যাক সেই রাতের কথা খুব বেশি মনে রাখেনি। পরের সপ্তাহে, জ্যাক এমার সাথে কথা ব"&amp;"লতে খুব ভয় পায় (সম্ভবত সামাজিক সমস্যাগুলি নির্দেশ করে) এবং পুরো দলের সামনে তাদের মিথস্ক্রিয়া খুব অস্বস্তিকর ছিল। স্পষ্টতই তারা কথা বলতে এবং স্ন্যাপ চ্যাট করতে শুরু করে, এবং অবশেষে এই অদ্ভুত সাক্ষাতের পরেও তারা ডেটিং শুরু করে। এটি আমাদের সকলের কাছে অবাক"&amp;" করার মতো ছিল কারণ এমা স্কুলের সবচেয়ে জনপ্রিয় মেয়ে ছিল, এবং জ্যাক ছিল একজন নিম্ন শ্রেণীর এলোমেলো ছেলে, যাকে অদ্ভুত হিসাবে চিহ্নিত করা হয়েছিল। সাম্প্রতিক ঘটনা: পরবর্তী লাল পতাকাটি একটি এলোমেলো রবিবার ছিল। পরের দিন আমাদের একটি এলিমিনেশন প্লেঅফ খেলা ছিল,"&amp;" কিন্তু জ্যাক আমাদের গ্রুপ চ্যাটে স্ন্যাপচ্যাট ভিডিও পাঠাচ্ছিল, এবং সে স্পষ্টতই নষ্ট হয়ে গিয়েছিল। মনে রাখবেন এটি একটি স্কুল রাতও ছিল। এবং সে কেবল তার ভাইয়ের সাথে ছিল, এইটুকুই। সে আমাদের ভিডিওগুলো পাঠানোর পর, আমরা সবাই গ্রুপ চ্যাটে কথা বলছিলাম, এবং সে অ"&amp;"প্রয়োজনীয়ভাবে বর্ণবাদী গালিগালাজ ব্যবহার করতে শুরু করে, যার ফলে আমরা সবাই অস্বস্তি বোধ করছিলাম, যদিও গালিগালাজ আমাদের উপর কোন প্রভাব ফেলেনি। সে রাতে সাতজন মেয়েকে মারধর করার সিদ্ধান্তও নিয়েছিল। তার একজন বান্ধবী আছে যে খুব সুন্দরী, সুন্দরী এবং জনপ্রিয়,"&amp;" তবুও সে এটা করেছিল। আমি এখনও বুঝতে পারছি না যে সে এই বিষয়ে জানে কিনা। আমরা তাকে থামতে বলেছিলাম, কিন্তু তার কোনও অনুশোচনা ছিল না এবং পরের দিন কিছুই হয়নি এমন আচরণ করেছিল। কয়েক সপ্তাহ অনুশীলন, এবং প্লেঅফ খেলা শেষ হয়ে যায়, এবং আমাদের মরসুম শেষ হয়ে যায়"&amp;"। যাইহোক, আমাদের একজন সতীর্থ শনিবার (গতকাল) একটি পার্টির আয়োজন করছিল। আমি যখন পার্টিতে যাই, তখন দেখি জ্যাক একেবারেই আঘাতপ্রাপ্ত। আমি জানি না এটা অপমানজনক কিনা, তবে সে এমন আচরণ করছিল যেন সে মানসিকভাবে প্রতিবন্ধী / বিশেষ প্রয়োজনের জন্য প্রস্তুত। আমি আক্ষর"&amp;"িক অর্থেই কাউকে এভাবে মাতাল হতে দেখিনি, এবং সে এমনকি ট্রিগারও করত না। সে সম্পূর্ণরূপে অজ্ঞান ছিল, ইংরেজি বলতে পারছিল না, এবং খুব অদ্ভুত। প্রথমে এমার জন্য এটা খুবই লজ্জাজনক ছিল, কিন্তু সে ভেবেছিল সে খুব মাতাল। তারপর পার্টিতে লোকজন কথা বলতে শুরু করে, আর গুজ"&amp;"ব ছড়ায় যে সে আবার মেয়েদের স্পর্শ করছে। এই মুহুর্তে এটা কিছুটা যুক্তিসঙ্গত কারণ সে কতটা মাতাল। তাই আমি এবং আমার কিছু সতীর্থ তাকে বমি বমি ভাব করতে বাধ্য করার চেষ্টা করছি যাতে সে শান্ত হয়, কিন্তু সে তা করে না। আমরা গ্যারেজের দরজা দিয়ে বেরিয়ে যাই যাতে স"&amp;"ে বাইরে বমি বমি করতে পারে, কিন্তু সে আমাদের কথা শোনে না। সে খুব, খুব শক্তিশালী, তাই আমরা তাকে ধরে রাখার চেষ্টা করছিলাম যখন সে বমি বমি ভাব করত, এবং সে আমাদের ধাক্কা দিয়ে ঘরের দরজার দিকে ছুটে গেল। একবার সে দরজার কাছে পৌঁছালে, দরজাটি তালাবদ্ধ ছিল তাই সে ধাক"&amp;"্কা দিল এবং একটি মেয়ে দরজাটি খুলে দিল। আমি তোমাকে ধমক দিচ্ছি না, একজন প্রাণহীন মানুষের মতো, কোনও নিয়ন্ত্রণহীন, এই মেয়েটি দরজা খোলার সাথে সাথেই সে তার শঙ্খটি ধরে ফেলল। যেন আমার একটি নিখুঁত কোণ ছিল এবং আমি এটি নিজের চোখে দেখেছি। আমি এতটাই হতবাক হয়ে গিয়"&amp;"েছিলাম যে আমি কী করব বুঝতে পারছিলাম না, এবং তাকে রক্ষা না করার জন্য আমি অনেক অপরাধবোধ অনুভব করছিলাম, কিন্তু আমার কোনও ধারণা ছিল না যে এটি ঘটবে। সারা রাত ধরে সে এরকম কাজ করেই গেল, এবং অবশেষে কেউ তাকে তাদের গাড়িতে তুলে বাড়ি নিয়ে গেল। তাদের সম্পর্কের কথা "&amp;"ছড়িয়ে পড়ায় এবং অন্যান্য ব্যক্তিগত কারণে এমা ভেঙে পড়েছিল। জ্যাকের কি কোনও মানসিক ব্যাধি আছে? হয়তো মদের সাথে এর কোনও সম্পর্ক আছে? তার পুরো পরিবারটা একটু অদ্ভুত। বিশেষ করে তার বাবা। সে সাধারণত একজন বুদ্ধিমান এবং পরিশ্রমী ছেলে, তার সব A আছে এবং সে কঠোর "&amp;"ক্লাস এবং অন্যান্য জিনিসপত্র নেয়। কিন্তু সে খুব বিরক্ত হয়, মহিলাদের স্পর্শ করতে শুরু করে, ইংরেজিতে কথা বলা বন্ধ করে দেয় এবং কোনও অসম্মান করে না, কিন্তু সে এমন আচরণ করতে শুরু করে যেন তার বিশেষ চাহিদা আছে। আমার ধারণা এমা এবং জ্যাক এখন আলাদা হয়ে যাবে, তা"&amp;"ই মৌসুম শেষ হওয়ার পর থেকে আমি তাকে আর কোথাও দেখতে পাব না, এবং সে আর আমাদের পার্টিতে থাকবে না। কিন্তু আমি চিন্তিত কারণ আমি আগে কখনও এরকম কিছু দেখিনি। দয়া করে আমাকে জানান যে আপনারা তার সাথে কী ভুল মনে করেন কারণ আমরা সম্ভবত তার বাবা-মায়ের সাথে যোগাযোগ করব"&amp;"।")</f>
        <v>আমি মদ্যপান করি না এবং আমার পরিবারও তাই এই ব্যাপারে কিছু মনে করে না। গোপনীয়তার স্বার্থে আমরা আমার বন্ধুকে "জ্যাক" ডাকব। পটভূমি: আমি একটি বড় হ্যালোইন পার্টির আয়োজন করেছিলাম। জ্যাক বাস্কেটবল দলে ছিল, এবং স্কুলের অনেক লোক পার্টি নিয়ে কথা বলত, আমি জানতাম যে আমার পুরো দলকে আমাকে আমন্ত্রণ জানাতে হবে। জ্যাক আমার চেয়ে এক শ্রেণীর ছোট, কিন্তু তার বয়সের তুলনায় বয়স্ক, তাই তার ক্লাসে বন্ধু তৈরি করতে তার সমস্যা হচ্ছিল। সে ছোটবেলা থেকেই একজন ধর্ষক এবং অদ্ভুত ছিল, তবে হাই স্কুলে পড়ার পর সবকিছু বদলে গেল। আমি সোজাসাপ্টা, কিন্তু সে বেশ আকর্ষণীয় ছেলে এবং সে লম্বা এবং একজন ক্রীড়াবিদ এবং এমন সব মেয়ে যারা কখনও জানত না যে আমার পার্টিতে তাকে কে স্পর্শ করেছে। সে খুব মাতাল ছিল, কিন্তু খারাপ কিছু নয়। কেবল একজন সাধারণ কিশোরী যে সত্যিই আঘাত পেয়েছিল। সেই সময়ে, গুজব ছিল যে জ্যাক মেয়েদের অনুপযুক্তভাবে স্পর্শ করছে কিন্তু এর থেকে কিছুই আসেনি। আমার পার্টিতে সে একটি সুন্দর এবং মিষ্টি মেয়ের সাথে দেখা করেছিল - আসলে এটি সেই মেয়ে যার প্রতি আমার শৈশবকাল থেকে আজ পর্যন্ত আমার ক্রাশ ছিল। যৌন নির্যাতনের গুজবের মধ্যে একটি উল্লেখ করতে ভুলে গেছি যে এমা সম্পর্কে ছিল (বলেছিল যে জ্যাক তাকে আক্রমণ করেছে) কিন্তু তারা ডেটিং শুরু করেছিল তাই এটি বিশ্বাসযোগ্য ছিল না, এবং তারা দুজনেই মাতাল ছিল। এমার কথা মনে আছে কিন্তু জ্যাক সেই রাতের কথা খুব বেশি মনে রাখেনি। পরের সপ্তাহে, জ্যাক এমার সাথে কথা বলতে খুব ভয় পায় (সম্ভবত সামাজিক সমস্যাগুলি নির্দেশ করে) এবং পুরো দলের সামনে তাদের মিথস্ক্রিয়া খুব অস্বস্তিকর ছিল। স্পষ্টতই তারা কথা বলতে এবং স্ন্যাপ চ্যাট করতে শুরু করে, এবং অবশেষে এই অদ্ভুত সাক্ষাতের পরেও তারা ডেটিং শুরু করে। এটি আমাদের সকলের কাছে অবাক করার মতো ছিল কারণ এমা স্কুলের সবচেয়ে জনপ্রিয় মেয়ে ছিল, এবং জ্যাক ছিল একজন নিম্ন শ্রেণীর এলোমেলো ছেলে, যাকে অদ্ভুত হিসাবে চিহ্নিত করা হয়েছিল। সাম্প্রতিক ঘটনা: পরবর্তী লাল পতাকাটি একটি এলোমেলো রবিবার ছিল। পরের দিন আমাদের একটি এলিমিনেশন প্লেঅফ খেলা ছিল, কিন্তু জ্যাক আমাদের গ্রুপ চ্যাটে স্ন্যাপচ্যাট ভিডিও পাঠাচ্ছিল, এবং সে স্পষ্টতই নষ্ট হয়ে গিয়েছিল। মনে রাখবেন এটি একটি স্কুল রাতও ছিল। এবং সে কেবল তার ভাইয়ের সাথে ছিল, এইটুকুই। সে আমাদের ভিডিওগুলো পাঠানোর পর, আমরা সবাই গ্রুপ চ্যাটে কথা বলছিলাম, এবং সে অপ্রয়োজনীয়ভাবে বর্ণবাদী গালিগালাজ ব্যবহার করতে শুরু করে, যার ফলে আমরা সবাই অস্বস্তি বোধ করছিলাম, যদিও গালিগালাজ আমাদের উপর কোন প্রভাব ফেলেনি। সে রাতে সাতজন মেয়েকে মারধর করার সিদ্ধান্তও নিয়েছিল। তার একজন বান্ধবী আছে যে খুব সুন্দরী, সুন্দরী এবং জনপ্রিয়, তবুও সে এটা করেছিল। আমি এখনও বুঝতে পারছি না যে সে এই বিষয়ে জানে কিনা। আমরা তাকে থামতে বলেছিলাম, কিন্তু তার কোনও অনুশোচনা ছিল না এবং পরের দিন কিছুই হয়নি এমন আচরণ করেছিল। কয়েক সপ্তাহ অনুশীলন, এবং প্লেঅফ খেলা শেষ হয়ে যায়, এবং আমাদের মরসুম শেষ হয়ে যায়। যাইহোক, আমাদের একজন সতীর্থ শনিবার (গতকাল) একটি পার্টির আয়োজন করছিল। আমি যখন পার্টিতে যাই, তখন দেখি জ্যাক একেবারেই আঘাতপ্রাপ্ত। আমি জানি না এটা অপমানজনক কিনা, তবে সে এমন আচরণ করছিল যেন সে মানসিকভাবে প্রতিবন্ধী / বিশেষ প্রয়োজনের জন্য প্রস্তুত। আমি আক্ষরিক অর্থেই কাউকে এভাবে মাতাল হতে দেখিনি, এবং সে এমনকি ট্রিগারও করত না। সে সম্পূর্ণরূপে অজ্ঞান ছিল, ইংরেজি বলতে পারছিল না, এবং খুব অদ্ভুত। প্রথমে এমার জন্য এটা খুবই লজ্জাজনক ছিল, কিন্তু সে ভেবেছিল সে খুব মাতাল। তারপর পার্টিতে লোকজন কথা বলতে শুরু করে, আর গুজব ছড়ায় যে সে আবার মেয়েদের স্পর্শ করছে। এই মুহুর্তে এটা কিছুটা যুক্তিসঙ্গত কারণ সে কতটা মাতাল। তাই আমি এবং আমার কিছু সতীর্থ তাকে বমি বমি ভাব করতে বাধ্য করার চেষ্টা করছি যাতে সে শান্ত হয়, কিন্তু সে তা করে না। আমরা গ্যারেজের দরজা দিয়ে বেরিয়ে যাই যাতে সে বাইরে বমি বমি করতে পারে, কিন্তু সে আমাদের কথা শোনে না। সে খুব, খুব শক্তিশালী, তাই আমরা তাকে ধরে রাখার চেষ্টা করছিলাম যখন সে বমি বমি ভাব করত, এবং সে আমাদের ধাক্কা দিয়ে ঘরের দরজার দিকে ছুটে গেল। একবার সে দরজার কাছে পৌঁছালে, দরজাটি তালাবদ্ধ ছিল তাই সে ধাক্কা দিল এবং একটি মেয়ে দরজাটি খুলে দিল। আমি তোমাকে ধমক দিচ্ছি না, একজন প্রাণহীন মানুষের মতো, কোনও নিয়ন্ত্রণহীন, এই মেয়েটি দরজা খোলার সাথে সাথেই সে তার শঙ্খটি ধরে ফেলল। যেন আমার একটি নিখুঁত কোণ ছিল এবং আমি এটি নিজের চোখে দেখেছি। আমি এতটাই হতবাক হয়ে গিয়েছিলাম যে আমি কী করব বুঝতে পারছিলাম না, এবং তাকে রক্ষা না করার জন্য আমি অনেক অপরাধবোধ অনুভব করছিলাম, কিন্তু আমার কোনও ধারণা ছিল না যে এটি ঘটবে। সারা রাত ধরে সে এরকম কাজ করেই গেল, এবং অবশেষে কেউ তাকে তাদের গাড়িতে তুলে বাড়ি নিয়ে গেল। তাদের সম্পর্কের কথা ছড়িয়ে পড়ায় এবং অন্যান্য ব্যক্তিগত কারণে এমা ভেঙে পড়েছিল। জ্যাকের কি কোনও মানসিক ব্যাধি আছে? হয়তো মদের সাথে এর কোনও সম্পর্ক আছে? তার পুরো পরিবারটা একটু অদ্ভুত। বিশেষ করে তার বাবা। সে সাধারণত একজন বুদ্ধিমান এবং পরিশ্রমী ছেলে, তার সব A আছে এবং সে কঠোর ক্লাস এবং অন্যান্য জিনিসপত্র নেয়। কিন্তু সে খুব বিরক্ত হয়, মহিলাদের স্পর্শ করতে শুরু করে, ইংরেজিতে কথা বলা বন্ধ করে দেয় এবং কোনও অসম্মান করে না, কিন্তু সে এমন আচরণ করতে শুরু করে যেন তার বিশেষ চাহিদা আছে। আমার ধারণা এমা এবং জ্যাক এখন আলাদা হয়ে যাবে, তাই মৌসুম শেষ হওয়ার পর থেকে আমি তাকে আর কোথাও দেখতে পাব না, এবং সে আর আমাদের পার্টিতে থাকবে না। কিন্তু আমি চিন্তিত কারণ আমি আগে কখনও এরকম কিছু দেখিনি। দয়া করে আমাকে জানান যে আপনারা তার সাথে কী ভুল মনে করেন কারণ আমরা সম্ভবত তার বাবা-মায়ের সাথে যোগাযোগ করব।</v>
      </c>
    </row>
    <row r="1026" spans="1:3" ht="15" x14ac:dyDescent="0.25">
      <c r="A1026" s="3" t="s">
        <v>1023</v>
      </c>
      <c r="B1026" s="3" t="s">
        <v>997</v>
      </c>
      <c r="C1026" s="4" t="str">
        <f ca="1">IFERROR(__xludf.DUMMYFUNCTION("GOOGLETRANSLATE(A1026, ""auto"", ""bn"")"),"তাই আমি মুদিখানার দোকানে গেলাম। আমার শেষ পানীয়টি ভোর ৩টার দিকে ছিল, আর বিকেল ৪টার পরে, তাই অদ্ভুত কিছু হওয়ার জন্য যথেষ্ট সময় ছিল। আমি (আমি ভেবেছিলাম) স্বাভাবিকভাবে কেনাকাটা করছিলাম, বাইরে থেকে অদ্ভুত কিছু করছিলাম না। আমি আমার ফোনে আমার কেনাকাটার তালিকা"&amp;"টি পরীক্ষা করছিলাম যে যখন দেখি কেউ আমার কাছে অন্যথায় খালি করিডোরে আসছে, তখন আমি সবকিছু পেয়েছি কিনা - এটি আমাকে অবিলম্বে বিরক্ত করে। এটা কেবল ভদ্রতা, বিশেষ করে মহামারীতে, কেউ যা চায় তা পেয়ে দূরে সরে যাওয়া পর্যন্ত অপেক্ষা করা, ব্যক্তিগত জায়গার জন্য খু"&amp;"ব কাছে গিয়ে তাদের সামনে পৌঁছানোর আগে। কিন্তু এটি ছিল একজন দোকানের কর্মচারী। সে আমার দিকে অদ্ভুতভাবে তাকিয়ে বলল, ""আরে, তুমি ঠিক আছো?"" আমার স্বাভাবিক বিচ্যুতির জন্য বিভ্রান্ত এবং খুব সতর্ক হয়ে, আমি বললাম ""উহ ... হ্যাঁ?"" সে তারপর বলল, ""একজন মহিলা এইম"&amp;"াত্র বলেছে যে এই করিডোরে কাউকে সাহায্যের প্রয়োজন।"" আমি বললাম ""আমি নই"" যদিও আমি সেখানে একমাত্র ছিলাম এবং চলে এসেছি। যদি আমি কোনও খারাপ কাজ করছি এবং এটি সম্পর্কে জানার জন্য এত দূরে সরে যাই। মদ্যপান হাস্যকর। এই বাজে কথা যত তাড়াতাড়ি সম্ভব বন্ধ করতে হবে।")</f>
        <v>তাই আমি মুদিখানার দোকানে গেলাম। আমার শেষ পানীয়টি ভোর ৩টার দিকে ছিল, আর বিকেল ৪টার পরে, তাই অদ্ভুত কিছু হওয়ার জন্য যথেষ্ট সময় ছিল। আমি (আমি ভেবেছিলাম) স্বাভাবিকভাবে কেনাকাটা করছিলাম, বাইরে থেকে অদ্ভুত কিছু করছিলাম না। আমি আমার ফোনে আমার কেনাকাটার তালিকাটি পরীক্ষা করছিলাম যে যখন দেখি কেউ আমার কাছে অন্যথায় খালি করিডোরে আসছে, তখন আমি সবকিছু পেয়েছি কিনা - এটি আমাকে অবিলম্বে বিরক্ত করে। এটা কেবল ভদ্রতা, বিশেষ করে মহামারীতে, কেউ যা চায় তা পেয়ে দূরে সরে যাওয়া পর্যন্ত অপেক্ষা করা, ব্যক্তিগত জায়গার জন্য খুব কাছে গিয়ে তাদের সামনে পৌঁছানোর আগে। কিন্তু এটি ছিল একজন দোকানের কর্মচারী। সে আমার দিকে অদ্ভুতভাবে তাকিয়ে বলল, "আরে, তুমি ঠিক আছো?" আমার স্বাভাবিক বিচ্যুতির জন্য বিভ্রান্ত এবং খুব সতর্ক হয়ে, আমি বললাম "উহ ... হ্যাঁ?" সে তারপর বলল, "একজন মহিলা এইমাত্র বলেছে যে এই করিডোরে কাউকে সাহায্যের প্রয়োজন।" আমি বললাম "আমি নই" যদিও আমি সেখানে একমাত্র ছিলাম এবং চলে এসেছি। যদি আমি কোনও খারাপ কাজ করছি এবং এটি সম্পর্কে জানার জন্য এত দূরে সরে যাই। মদ্যপান হাস্যকর। এই বাজে কথা যত তাড়াতাড়ি সম্ভব বন্ধ করতে হবে।</v>
      </c>
    </row>
    <row r="1027" spans="1:3" ht="15" x14ac:dyDescent="0.25">
      <c r="A1027" s="3" t="s">
        <v>1024</v>
      </c>
      <c r="B1027" s="3" t="s">
        <v>997</v>
      </c>
      <c r="C1027" s="4" t="str">
        <f ca="1">IFERROR(__xludf.DUMMYFUNCTION("GOOGLETRANSLATE(A1027, ""auto"", ""bn"")"),"কোনও সামাজিক অনুষ্ঠানে যেন ২-৩ বার অতিরিক্ত মদ্যপান করে ফেলেছি এবং একটু খারাপ কথা বলতে শুরু করেছি। ঘুম নষ্ট করার কিছু নেই, কিন্তু আমি নিজের উপর এতটাই বিরক্ত এবং দুঃখিত যে মাঝে মাঝে সম্পর্ক তৈরি করতে আমার খুব কষ্ট হয় কিন্তু মাতাল আমি একটু বেশিই নির্লজ্জ।")</f>
        <v>কোনও সামাজিক অনুষ্ঠানে যেন ২-৩ বার অতিরিক্ত মদ্যপান করে ফেলেছি এবং একটু খারাপ কথা বলতে শুরু করেছি। ঘুম নষ্ট করার কিছু নেই, কিন্তু আমি নিজের উপর এতটাই বিরক্ত এবং দুঃখিত যে মাঝে মাঝে সম্পর্ক তৈরি করতে আমার খুব কষ্ট হয় কিন্তু মাতাল আমি একটু বেশিই নির্লজ্জ।</v>
      </c>
    </row>
    <row r="1028" spans="1:3" ht="15" x14ac:dyDescent="0.25">
      <c r="A1028" s="3" t="s">
        <v>1025</v>
      </c>
      <c r="B1028" s="3" t="s">
        <v>997</v>
      </c>
      <c r="C1028" s="4" t="str">
        <f ca="1">IFERROR(__xludf.DUMMYFUNCTION("GOOGLETRANSLATE(A1028, ""auto"", ""bn"")"),"আমি সত্যিই জিজ্ঞাসা করছি। মদ্যপরা খালি বোতলগুলো কেন রাখে? কেন ফেলে দেয় না? আমার বাড়িতে এই সব খালি বোতলগুলো সর্বত্র লুকিয়ে রাখা আছে, আর আমি বারবার সেগুলো ফেলে দেই। আমি বুঝতে পারছি না তুমি যদি মদ্যপানের পরিমাণ গোপন করছো, তাহলে বিশাল বোতলগুলো কেন রাখো? আম"&amp;"ি যখন কাজে থাকি তখন তার কাছে ""প্রমাণ নষ্ট করার"" জন্য প্রচুর সময় থাকে। আমি জানি বেশিরভাগ মদ্যপ বোতলগুলো রেখে দেয়, তাই এটা মদ্যপ প্রবণতার অংশ বলে মনে হয়।")</f>
        <v>আমি সত্যিই জিজ্ঞাসা করছি। মদ্যপরা খালি বোতলগুলো কেন রাখে? কেন ফেলে দেয় না? আমার বাড়িতে এই সব খালি বোতলগুলো সর্বত্র লুকিয়ে রাখা আছে, আর আমি বারবার সেগুলো ফেলে দেই। আমি বুঝতে পারছি না তুমি যদি মদ্যপানের পরিমাণ গোপন করছো, তাহলে বিশাল বোতলগুলো কেন রাখো? আমি যখন কাজে থাকি তখন তার কাছে "প্রমাণ নষ্ট করার" জন্য প্রচুর সময় থাকে। আমি জানি বেশিরভাগ মদ্যপ বোতলগুলো রেখে দেয়, তাই এটা মদ্যপ প্রবণতার অংশ বলে মনে হয়।</v>
      </c>
    </row>
    <row r="1029" spans="1:3" ht="15" x14ac:dyDescent="0.25">
      <c r="A1029" s="3" t="s">
        <v>1026</v>
      </c>
      <c r="B1029" s="3" t="s">
        <v>997</v>
      </c>
      <c r="C1029" s="4" t="str">
        <f ca="1">IFERROR(__xludf.DUMMYFUNCTION("GOOGLETRANSLATE(A1029, ""auto"", ""bn"")"),"আমার একটা কাজ আছে যেখানে আমি সপ্তাহে ৫ দিন যাই; আমি সকাল বা বিকেলে মদ্যপান করি না। আমি প্রতি রাতে কেবল রাত ৯টা থেকে শুরু করে পান করি; এই সময়ে, আমি সাধারণত ৫-৬ তরল আউন্স পরিমাপ করে চার গ্লাস ওয়াইন পান করি। তবে, সম্প্রতি, আমি নিজেকে পাঁচটি পান করতে দেখেছি"&amp;", যা আমি সাধারণত পান করি তার চেয়ে বেশি, যদি আমি খারাপ হই তবে ছয়টিও হতে পারে। কয়েক মাস আগে, আমি মাত্র ৩ পান করতাম। এখন পর্যন্ত, আমি স্বাভাবিকভাবেই কাজ করছি। আমি কাজে যাই, রাতে আমার এমবিএ ক্লাসে যাই, দিনের বেলা রাত ৯ টায় ঘুম থেকে উঠি। আমার মনে হয় আমি ব"&amp;"িপজ্জনকভাবে জীবনযাপন করছি, কিন্তু আমি শীঘ্রই নিজেকে ওয়াইন ছেড়ে দেওয়ার কথা ভাবতে পারি না। এটি আমাকে আরাম করতে সাহায্য করে যদিও আমি সকালে ক্লান্ত এবং অপরাধী বোধ করছি। আমার শেলফে নালট্রেক্সোনের একটি বোতল আছে যা আমি সিনক্লেয়ার পদ্ধতি পর্যালোচনা করার পরে ক"&amp;"খনও গ্রহণ করিনি। অতীতে আমার বিষণ্ণতা, প্যানিক অ্যাটাক এবং উদ্বেগের সমস্যা ছিল এবং আমি একটি অ্যান্টিডিপ্রেসেন্ট গ্রহণ করছি। তাছাড়া, আমার কোনও পেশাগত, শিক্ষাগত বা সামাজিক সমস্যা নেই, কেবল অভ্যন্তরীণভাবে। আমার একাংশ চাকরি ছেড়ে দিতে চায়, আর একাংশ চায় না। কো"&amp;"ন পরামর্শ? সবকিছু কি খারাপ হয়ে যাওয়ার আগে আমি কি কেবল ধার করা সময়ের উপর নির্ভর করে বেঁচে আছি?")</f>
        <v>আমার একটা কাজ আছে যেখানে আমি সপ্তাহে ৫ দিন যাই; আমি সকাল বা বিকেলে মদ্যপান করি না। আমি প্রতি রাতে কেবল রাত ৯টা থেকে শুরু করে পান করি; এই সময়ে, আমি সাধারণত ৫-৬ তরল আউন্স পরিমাপ করে চার গ্লাস ওয়াইন পান করি। তবে, সম্প্রতি, আমি নিজেকে পাঁচটি পান করতে দেখেছি, যা আমি সাধারণত পান করি তার চেয়ে বেশি, যদি আমি খারাপ হই তবে ছয়টিও হতে পারে। কয়েক মাস আগে, আমি মাত্র ৩ পান করতাম। এখন পর্যন্ত, আমি স্বাভাবিকভাবেই কাজ করছি। আমি কাজে যাই, রাতে আমার এমবিএ ক্লাসে যাই, দিনের বেলা রাত ৯ টায় ঘুম থেকে উঠি। আমার মনে হয় আমি বিপজ্জনকভাবে জীবনযাপন করছি, কিন্তু আমি শীঘ্রই নিজেকে ওয়াইন ছেড়ে দেওয়ার কথা ভাবতে পারি না। এটি আমাকে আরাম করতে সাহায্য করে যদিও আমি সকালে ক্লান্ত এবং অপরাধী বোধ করছি। আমার শেলফে নালট্রেক্সোনের একটি বোতল আছে যা আমি সিনক্লেয়ার পদ্ধতি পর্যালোচনা করার পরে কখনও গ্রহণ করিনি। অতীতে আমার বিষণ্ণতা, প্যানিক অ্যাটাক এবং উদ্বেগের সমস্যা ছিল এবং আমি একটি অ্যান্টিডিপ্রেসেন্ট গ্রহণ করছি। তাছাড়া, আমার কোনও পেশাগত, শিক্ষাগত বা সামাজিক সমস্যা নেই, কেবল অভ্যন্তরীণভাবে। আমার একাংশ চাকরি ছেড়ে দিতে চায়, আর একাংশ চায় না। কোন পরামর্শ? সবকিছু কি খারাপ হয়ে যাওয়ার আগে আমি কি কেবল ধার করা সময়ের উপর নির্ভর করে বেঁচে আছি?</v>
      </c>
    </row>
    <row r="1030" spans="1:3" ht="15" x14ac:dyDescent="0.25">
      <c r="A1030" s="3" t="s">
        <v>1027</v>
      </c>
      <c r="B1030" s="3" t="s">
        <v>997</v>
      </c>
      <c r="C1030" s="4" t="str">
        <f ca="1">IFERROR(__xludf.DUMMYFUNCTION("GOOGLETRANSLATE(A1030, ""auto"", ""bn"")"),"অনেক বছর ধরে আমার এবং অ্যালকোহলের মধ্যে ভালো সম্পর্ক ছিল না। আমি ভাবছি AA-এর কোন বিকল্প আছে কিনা? যেমন সাপ্তাহিক জুম কল বা অন্য কিছু।")</f>
        <v>অনেক বছর ধরে আমার এবং অ্যালকোহলের মধ্যে ভালো সম্পর্ক ছিল না। আমি ভাবছি AA-এর কোন বিকল্প আছে কিনা? যেমন সাপ্তাহিক জুম কল বা অন্য কিছু।</v>
      </c>
    </row>
    <row r="1031" spans="1:3" ht="15" x14ac:dyDescent="0.25">
      <c r="A1031" s="3" t="s">
        <v>1028</v>
      </c>
      <c r="B1031" s="3" t="s">
        <v>997</v>
      </c>
      <c r="C1031" s="4" t="str">
        <f ca="1">IFERROR(__xludf.DUMMYFUNCTION("GOOGLETRANSLATE(A1031, ""auto"", ""bn"")"),"যখন তুমি প্রতিদিন বিষ খাবে, তখন এটা তোমাকে দুর্বল করে দেবে। এটা স্বস্তির মতো অনুভব করবে। তারপর এটা পানির মতো স্বাদ পেতে শুরু করবে - বেঁচে থাকার মতো, যতক্ষণ না এটি তোমাকে মেরে ফেলে। আর যাদের বন্ধুত্বের একমাত্র কারণ ছিল তারা শেষকৃত্যেও আসবে না। তুমি কিসের জ"&amp;"ন্য বাঁচছো? কার জন্য মরছো?")</f>
        <v>যখন তুমি প্রতিদিন বিষ খাবে, তখন এটা তোমাকে দুর্বল করে দেবে। এটা স্বস্তির মতো অনুভব করবে। তারপর এটা পানির মতো স্বাদ পেতে শুরু করবে - বেঁচে থাকার মতো, যতক্ষণ না এটি তোমাকে মেরে ফেলে। আর যাদের বন্ধুত্বের একমাত্র কারণ ছিল তারা শেষকৃত্যেও আসবে না। তুমি কিসের জন্য বাঁচছো? কার জন্য মরছো?</v>
      </c>
    </row>
    <row r="1032" spans="1:3" ht="15" x14ac:dyDescent="0.25">
      <c r="A1032" s="3" t="s">
        <v>1029</v>
      </c>
      <c r="B1032" s="3" t="s">
        <v>997</v>
      </c>
      <c r="C1032" s="4" t="str">
        <f ca="1">IFERROR(__xludf.DUMMYFUNCTION("GOOGLETRANSLATE(A1032, ""auto"", ""bn"")"),"আমি এখন পর্যন্ত গুনতে পারিনি। আমার জন্য, দিনের পর দিন যাওয়া সহজ ছিল। কিন্তু এখন ১৮৯ দিন হয়ে গেছে। যাই হোক, আমি লোকেদের কাছে বড় বার্তা পাঠাবো না যে এটি আমার জীবনকে কীভাবে আরও ভালো করেছে। আমি যা বলব তা হল এটি করা যেতে পারে। আপনি এটি করতে পারেন। অন্যদিকে "&amp;"ঘাস আরও সবুজ। সকলের জন্য আশীর্বাদ।")</f>
        <v>আমি এখন পর্যন্ত গুনতে পারিনি। আমার জন্য, দিনের পর দিন যাওয়া সহজ ছিল। কিন্তু এখন ১৮৯ দিন হয়ে গেছে। যাই হোক, আমি লোকেদের কাছে বড় বার্তা পাঠাবো না যে এটি আমার জীবনকে কীভাবে আরও ভালো করেছে। আমি যা বলব তা হল এটি করা যেতে পারে। আপনি এটি করতে পারেন। অন্যদিকে ঘাস আরও সবুজ। সকলের জন্য আশীর্বাদ।</v>
      </c>
    </row>
    <row r="1033" spans="1:3" ht="15" x14ac:dyDescent="0.25">
      <c r="A1033" s="3" t="s">
        <v>1030</v>
      </c>
      <c r="B1033" s="3" t="s">
        <v>997</v>
      </c>
      <c r="C1033" s="4" t="str">
        <f ca="1">IFERROR(__xludf.DUMMYFUNCTION("GOOGLETRANSLATE(A1033, ""auto"", ""bn"")"),"আমার মা অনেক বছর ধরে মদ্যপান পছন্দ করেছেন, আমার জন্মের পর থেকেই। তিনি অনেক দিন ধরে এটি লুকিয়ে রাখতে পারতেন, কিন্তু কিছুক্ষণ পরেই তা স্পষ্ট হয়ে ওঠে। তিনি গৃহহীনও। তিনি বন্ধুদের সোফায় ঘুমান। আমার ভাইবোনরা কেউই তাকে ঘরে রাখতে পারতেন না কারণ তার মদ্যপানের "&amp;"সমস্যা এত তীব্র ছিল। তিনি হিংস্র ছিলেন, মানুষের কাছ থেকে টাকা চুরি করতেন, অর্থের জন্য লোকেদের ব্যবহার করতেন। তার খারাপ অভ্যাসগুলিকে সমর্থন করার জন্য তিনি যা করতে পারেন তা করতেন। তিনি সম্প্রতি সত্যিই অসুস্থ হয়ে পড়েছিলেন? এবং জরুরি বিভাগে গিয়েছিলেন। তারা"&amp;" তাকে লিভার সিরোসিস রোগে আক্রান্ত বলে নির্ণয় করেছিলেন। আমি এবং আমার ভাইবোনেরা হাসপাতাল থেকে তার কাগজপত্র দেখে তৎক্ষণাৎ তাকে দেখতে গিয়েছিলাম। আচ্ছা, অবশেষে যখন আমরা তাকে দেখতে পেলাম? অবস্থা খুবই খারাপ ছিল। তার জন্ডিস হয়েছিল। তার পেশী চলে গিয়েছিল। তার চ"&amp;"ামড়া এবং হাড় চলে গিয়েছিল। সে হাঁটতে বা কথা বলতে পারত না। সে বিভ্রান্ত ছিল। তাছাড়া, সে মৃত দেখাচ্ছিল। তাকে এভাবে দেখতে খুবই বেদনাদায়ক ছিল। আমরা অবিলম্বে তাকে হাসপাতালে নিয়ে যাই যেখানে তারা তার লিভার ব্যর্থতা নির্ণয় করতে সক্ষম হয় এবং তাকে 3-6 মাস বে"&amp;"ঁচে থাকার জন্য সময় দেয়। তবে, তার বর্তমান অবস্থা দেখে আমরা সকলেই মনে করি যে তার কাছে এত সময় নেই। আমার আসলে কখনও মা-মেয়ের সম্পর্ক ছিল না। সে কখনও আমাকে ফোন করে বলেনি যে সে আমার জন্য গর্বিত এবং যখন আমার সত্যিই প্রয়োজন ছিল তখন সে আমাকে যথাসাধ্য সাহায্য ক"&amp;"রেনি। কিন্তু সে আমার মা? আমি জানি না কীভাবে এটি মোকাবেলা করতে হবে। আমরা খুব ঘনিষ্ঠ ছিলাম না কিন্তু সে গত চার বছর ধরে আমাকে ফোন করে চোখ বুজে কাটিয়েছে কারণ সে অপচয় করছিল এবং আরও টাকা চাইছিল। আমার অনেক অপরাধবোধ। আমি তার খারাপ অভ্যাসগুলি বেছে নিতে পারছিলাম "&amp;"না। তাছাড়া, আমাকে কোনও এক সময় নিজেকে বেছে নিতে হয়েছিল। কিন্তু এখন আমার খারাপ লাগছে। অন্য কেউ কি এর মধ্য দিয়ে গেছে? তুমি কীভাবে এর মধ্য দিয়ে যাও? তুমি কীভাবে সুস্থ হও? আমি জানি মৃত্যু একটা জিনিস। আমি জানি এটা ঘটে এবং ঘটবে। কিন্তু আমার বয়স মাত্র ২৮? আ"&amp;"মি ভাবিনি এত তাড়াতাড়ি এটা ঘটবে। তার বয়স মাত্র ৫৯। আমি এখন মানসিকভাবে অসুস্থ? এবং এটি থামানোর জন্য আমি কিছুই করতে পারি না। মৃত্যু তার জন্য আসন্ন। আমি এটা অনুভব করতে খুব ভয় পাচ্ছি।")</f>
        <v>আমার মা অনেক বছর ধরে মদ্যপান পছন্দ করেছেন, আমার জন্মের পর থেকেই। তিনি অনেক দিন ধরে এটি লুকিয়ে রাখতে পারতেন, কিন্তু কিছুক্ষণ পরেই তা স্পষ্ট হয়ে ওঠে। তিনি গৃহহীনও। তিনি বন্ধুদের সোফায় ঘুমান। আমার ভাইবোনরা কেউই তাকে ঘরে রাখতে পারতেন না কারণ তার মদ্যপানের সমস্যা এত তীব্র ছিল। তিনি হিংস্র ছিলেন, মানুষের কাছ থেকে টাকা চুরি করতেন, অর্থের জন্য লোকেদের ব্যবহার করতেন। তার খারাপ অভ্যাসগুলিকে সমর্থন করার জন্য তিনি যা করতে পারেন তা করতেন। তিনি সম্প্রতি সত্যিই অসুস্থ হয়ে পড়েছিলেন? এবং জরুরি বিভাগে গিয়েছিলেন। তারা তাকে লিভার সিরোসিস রোগে আক্রান্ত বলে নির্ণয় করেছিলেন। আমি এবং আমার ভাইবোনেরা হাসপাতাল থেকে তার কাগজপত্র দেখে তৎক্ষণাৎ তাকে দেখতে গিয়েছিলাম। আচ্ছা, অবশেষে যখন আমরা তাকে দেখতে পেলাম? অবস্থা খুবই খারাপ ছিল। তার জন্ডিস হয়েছিল। তার পেশী চলে গিয়েছিল। তার চামড়া এবং হাড় চলে গিয়েছিল। সে হাঁটতে বা কথা বলতে পারত না। সে বিভ্রান্ত ছিল। তাছাড়া, সে মৃত দেখাচ্ছিল। তাকে এভাবে দেখতে খুবই বেদনাদায়ক ছিল। আমরা অবিলম্বে তাকে হাসপাতালে নিয়ে যাই যেখানে তারা তার লিভার ব্যর্থতা নির্ণয় করতে সক্ষম হয় এবং তাকে 3-6 মাস বেঁচে থাকার জন্য সময় দেয়। তবে, তার বর্তমান অবস্থা দেখে আমরা সকলেই মনে করি যে তার কাছে এত সময় নেই। আমার আসলে কখনও মা-মেয়ের সম্পর্ক ছিল না। সে কখনও আমাকে ফোন করে বলেনি যে সে আমার জন্য গর্বিত এবং যখন আমার সত্যিই প্রয়োজন ছিল তখন সে আমাকে যথাসাধ্য সাহায্য করেনি। কিন্তু সে আমার মা? আমি জানি না কীভাবে এটি মোকাবেলা করতে হবে। আমরা খুব ঘনিষ্ঠ ছিলাম না কিন্তু সে গত চার বছর ধরে আমাকে ফোন করে চোখ বুজে কাটিয়েছে কারণ সে অপচয় করছিল এবং আরও টাকা চাইছিল। আমার অনেক অপরাধবোধ। আমি তার খারাপ অভ্যাসগুলি বেছে নিতে পারছিলাম না। তাছাড়া, আমাকে কোনও এক সময় নিজেকে বেছে নিতে হয়েছিল। কিন্তু এখন আমার খারাপ লাগছে। অন্য কেউ কি এর মধ্য দিয়ে গেছে? তুমি কীভাবে এর মধ্য দিয়ে যাও? তুমি কীভাবে সুস্থ হও? আমি জানি মৃত্যু একটা জিনিস। আমি জানি এটা ঘটে এবং ঘটবে। কিন্তু আমার বয়স মাত্র ২৮? আমি ভাবিনি এত তাড়াতাড়ি এটা ঘটবে। তার বয়স মাত্র ৫৯। আমি এখন মানসিকভাবে অসুস্থ? এবং এটি থামানোর জন্য আমি কিছুই করতে পারি না। মৃত্যু তার জন্য আসন্ন। আমি এটা অনুভব করতে খুব ভয় পাচ্ছি।</v>
      </c>
    </row>
    <row r="1034" spans="1:3" ht="15" x14ac:dyDescent="0.25">
      <c r="A1034" s="3" t="s">
        <v>1031</v>
      </c>
      <c r="B1034" s="3" t="s">
        <v>997</v>
      </c>
      <c r="C1034" s="4" t="str">
        <f ca="1">IFERROR(__xludf.DUMMYFUNCTION("GOOGLETRANSLATE(A1034, ""auto"", ""bn"")"),"আমি মনে করতে পারছি না যে ২.৬ এর ক্ষয়ক্ষতিটা আসলে আমার কয়েকদিন বা তার বেশি সময় ধরেছিল কিনা, কিন্তু তুমি আমার সারমর্ম বুঝতে পারছো। অ্যালকোহল কমানোর জন্য কি আমার আসলেই মেডিকেল ডিটক্সের প্রয়োজন? আমি সত্যিই এটা বাড়িতে করতে চাই এবং হয়তো শুধু কোল্ড টার্কি চেষ্টা"&amp;" করে দেখতে চাই। যদিও এটি আমার জীবনের সবচেয়ে দীর্ঘ সময় ধরে পান করা, হা হা। সকলের পরামর্শের জন্য কৃতজ্ঞ!")</f>
        <v>আমি মনে করতে পারছি না যে ২.৬ এর ক্ষয়ক্ষতিটা আসলে আমার কয়েকদিন বা তার বেশি সময় ধরেছিল কিনা, কিন্তু তুমি আমার সারমর্ম বুঝতে পারছো। অ্যালকোহল কমানোর জন্য কি আমার আসলেই মেডিকেল ডিটক্সের প্রয়োজন? আমি সত্যিই এটা বাড়িতে করতে চাই এবং হয়তো শুধু কোল্ড টার্কি চেষ্টা করে দেখতে চাই। যদিও এটি আমার জীবনের সবচেয়ে দীর্ঘ সময় ধরে পান করা, হা হা। সকলের পরামর্শের জন্য কৃতজ্ঞ!</v>
      </c>
    </row>
    <row r="1035" spans="1:3" ht="15" x14ac:dyDescent="0.25">
      <c r="A1035" s="3" t="s">
        <v>1032</v>
      </c>
      <c r="B1035" s="3" t="s">
        <v>997</v>
      </c>
      <c r="C1035" s="4" t="str">
        <f ca="1">IFERROR(__xludf.DUMMYFUNCTION("GOOGLETRANSLATE(A1035, ""auto"", ""bn"")"),"তাই আমার স্ত্রীর (৩০-এর দশকের মাঝামাঝি) জীবন ভালো - আমাদের বিবাহিত জীবন সুখের, আমাদের দুজনেরই ক্যারিয়ার ভালো এবং জীবনযাত্রাও ভালো। আমার স্ত্রীর মাঝে মাঝে ছোটখাটো উদ্বেগ থাকে, কিন্তু অন্য কোনও সমস্যা হয় না। সে নিয়মিত (কর্মক্ষেত্রের দিন ছাড়া) দিনে এক বো"&amp;"তল ওয়াইন পান করে - কখনও কখনও দেড় বোতল -। অন্যথায় সে শারীরিকভাবে সুস্থ এবং নিয়মিত ব্যায়াম করে। আমার মনে হয় না সে একজন মদ্যপ - সে সহজেই মদ্যপান না করে দীর্ঘ সময় কাটাতে পারে, এবং মারধরের জন্য মদ্যপান করে না - এটি কেবল সেবনের ধরণ। প্রাথমিকভাবে আমার উদ্"&amp;"বেগ ছিল খরচ নিয়ে - সে বছরে প্রায় $6,000 ওয়াইনের উপর ব্যয় করে, তবে এটি আমার শখের পিছনে আমি যা ব্যয় করি তা নিয়ে তাই আমি আসলে অভিযোগ করতে পারি না। আমি তর্ক করতে পারি না যে এটি তার স্বাস্থ্যের উপরও প্রভাব ফেলছে, এবং আমার উদ্বেগ ছাড়া, এটি আমাদের বিবাহের"&amp;" উপর কোনও প্রভাব ফেলেনি।")</f>
        <v>তাই আমার স্ত্রীর (৩০-এর দশকের মাঝামাঝি) জীবন ভালো - আমাদের বিবাহিত জীবন সুখের, আমাদের দুজনেরই ক্যারিয়ার ভালো এবং জীবনযাত্রাও ভালো। আমার স্ত্রীর মাঝে মাঝে ছোটখাটো উদ্বেগ থাকে, কিন্তু অন্য কোনও সমস্যা হয় না। সে নিয়মিত (কর্মক্ষেত্রের দিন ছাড়া) দিনে এক বোতল ওয়াইন পান করে - কখনও কখনও দেড় বোতল -। অন্যথায় সে শারীরিকভাবে সুস্থ এবং নিয়মিত ব্যায়াম করে। আমার মনে হয় না সে একজন মদ্যপ - সে সহজেই মদ্যপান না করে দীর্ঘ সময় কাটাতে পারে, এবং মারধরের জন্য মদ্যপান করে না - এটি কেবল সেবনের ধরণ। প্রাথমিকভাবে আমার উদ্বেগ ছিল খরচ নিয়ে - সে বছরে প্রায় $6,000 ওয়াইনের উপর ব্যয় করে, তবে এটি আমার শখের পিছনে আমি যা ব্যয় করি তা নিয়ে তাই আমি আসলে অভিযোগ করতে পারি না। আমি তর্ক করতে পারি না যে এটি তার স্বাস্থ্যের উপরও প্রভাব ফেলছে, এবং আমার উদ্বেগ ছাড়া, এটি আমাদের বিবাহের উপর কোনও প্রভাব ফেলেনি।</v>
      </c>
    </row>
    <row r="1036" spans="1:3" ht="15" x14ac:dyDescent="0.25">
      <c r="A1036" s="3" t="s">
        <v>1033</v>
      </c>
      <c r="B1036" s="3" t="s">
        <v>997</v>
      </c>
      <c r="C1036" s="4" t="str">
        <f ca="1">IFERROR(__xludf.DUMMYFUNCTION("GOOGLETRANSLATE(A1036, ""auto"", ""bn"")"),"আজ ২ মাস! কয়েক মাসের মধ্যে প্রথমবারের মতো আমি গ্যারেজে টুলবক্সে ছিলাম, ঘরের জিনিসপত্রের দিকে নজর দিতে, যা আমি ঈশ্বর জানেন কতক্ষণ স্থগিত রেখেছিলাম, হা হা, নীচের ড্রয়ারটি খুলে অ্যালেনের কিছু রেঞ্চ খুঁজছিলাম এবং ৩ দিনের লুকানো খালি বোতল পেয়েছিলাম যা আমি ভ"&amp;"ুলে গিয়েছিলাম যে সেখানে আমার দিকে তাকিয়ে ছিল। এতে আমার কোনও উত্তেজিততা ছিল না, হঠাৎ করেই এর মুখোমুখি হওয়াটা কিছুটা বিব্রতকর এবং অদ্ভুত ছিল। আমি এটি যেমন ছিল তেমনই মেনে নিলাম, গিয়ে স্ত্রীকে (তিনি আমার ঘনিষ্ঠ সহায়তা নেটওয়ার্কের একজন এবং প্রধান) তাকে দ"&amp;"েখাতে এবং পরিস্থিতি ব্যাখ্যা করতে বলেছিলাম (কারণ আমাকে আর মিথ্যা বলতে/লুকাতে হবে না) এবং সেগুলো ফেলে দিয়েছিলাম।")</f>
        <v>আজ ২ মাস! কয়েক মাসের মধ্যে প্রথমবারের মতো আমি গ্যারেজে টুলবক্সে ছিলাম, ঘরের জিনিসপত্রের দিকে নজর দিতে, যা আমি ঈশ্বর জানেন কতক্ষণ স্থগিত রেখেছিলাম, হা হা, নীচের ড্রয়ারটি খুলে অ্যালেনের কিছু রেঞ্চ খুঁজছিলাম এবং ৩ দিনের লুকানো খালি বোতল পেয়েছিলাম যা আমি ভুলে গিয়েছিলাম যে সেখানে আমার দিকে তাকিয়ে ছিল। এতে আমার কোনও উত্তেজিততা ছিল না, হঠাৎ করেই এর মুখোমুখি হওয়াটা কিছুটা বিব্রতকর এবং অদ্ভুত ছিল। আমি এটি যেমন ছিল তেমনই মেনে নিলাম, গিয়ে স্ত্রীকে (তিনি আমার ঘনিষ্ঠ সহায়তা নেটওয়ার্কের একজন এবং প্রধান) তাকে দেখাতে এবং পরিস্থিতি ব্যাখ্যা করতে বলেছিলাম (কারণ আমাকে আর মিথ্যা বলতে/লুকাতে হবে না) এবং সেগুলো ফেলে দিয়েছিলাম।</v>
      </c>
    </row>
    <row r="1037" spans="1:3" ht="15" x14ac:dyDescent="0.25">
      <c r="A1037" s="3" t="s">
        <v>1034</v>
      </c>
      <c r="B1037" s="3" t="s">
        <v>997</v>
      </c>
      <c r="C1037" s="4" t="str">
        <f ca="1">IFERROR(__xludf.DUMMYFUNCTION("GOOGLETRANSLATE(A1037, ""auto"", ""bn"")"),"আমি আমার পরিচিত একজনের জন্য তথ্যের একটি ভালো উৎস খুঁজছি, যার বয়স ৭ মাস। সে নিশ্চিত যে তার উপশমের জন্য বেজোসের কাছে যাওয়া উচিত। আমি ব্যক্তিগত অভিজ্ঞতা থেকে জানি যে এটি একটি ভালো ধারণা নয়, তবে আমি আমার কথার চেয়ে আরও জোরালো কিছু দিয়ে বিষয়টি আরও জোরদার "&amp;"করার চেষ্টা করছি। তার ডাক্তার এই বিষয়ে একমত এবং সম্ভবত ছেলেদের ইতিহাস জানেন। আমি বলতে চাইছি যে আমি ডাক্তার নই, তবে এমন অনেক ডাক্তার আছেন যারা জানেন না যে মদ্যপানের ক্ষেত্রে তারা কী করছেন। আমি মনে করি")</f>
        <v>আমি আমার পরিচিত একজনের জন্য তথ্যের একটি ভালো উৎস খুঁজছি, যার বয়স ৭ মাস। সে নিশ্চিত যে তার উপশমের জন্য বেজোসের কাছে যাওয়া উচিত। আমি ব্যক্তিগত অভিজ্ঞতা থেকে জানি যে এটি একটি ভালো ধারণা নয়, তবে আমি আমার কথার চেয়ে আরও জোরালো কিছু দিয়ে বিষয়টি আরও জোরদার করার চেষ্টা করছি। তার ডাক্তার এই বিষয়ে একমত এবং সম্ভবত ছেলেদের ইতিহাস জানেন। আমি বলতে চাইছি যে আমি ডাক্তার নই, তবে এমন অনেক ডাক্তার আছেন যারা জানেন না যে মদ্যপানের ক্ষেত্রে তারা কী করছেন। আমি মনে করি</v>
      </c>
    </row>
    <row r="1038" spans="1:3" ht="15" x14ac:dyDescent="0.25">
      <c r="A1038" s="3" t="s">
        <v>1035</v>
      </c>
      <c r="B1038" s="3" t="s">
        <v>997</v>
      </c>
      <c r="C1038" s="4" t="str">
        <f ca="1">IFERROR(__xludf.DUMMYFUNCTION("GOOGLETRANSLATE(A1038, ""auto"", ""bn"")"),"M24। সংক্ষেপে বলতে গেলে, ২০১৫ সালে কলেজে ভর্তি হওয়ার পর থেকে আমি মাঝারি থেকে ভারী মদ্যপান করছি। কলেজ থেকে স্নাতক হওয়ার পর আমি যথেষ্ট পরিমাণে মদ্যপান কমিয়েছি কিন্তু তবুও নিজেকে একজন অতিরিক্ত মদ্যপানকারী হিসেবে বিবেচনা করব। অতীতে অতিরিক্ত মদ্যপানের কারণে"&amp;" আমার অ্যাবাটিয়াল ফাইব্রিলেশন হয়েছে, তৃতীয়বার যখন তারা আমার হৃদপিণ্ডকে স্বাভাবিক ছন্দে ফিরিয়ে আনার আগে (প্রথম দুইবার আমার হৃদপিণ্ড EKG করার আগে ফিরে আসে)। আমার হৃদরোগ বিশেষজ্ঞ আমাকে বলেছিলেন যে আমাকে উল্লেখযোগ্যভাবে মদ্যপান কমাতে হবে অথবা বন্ধ করতে হব"&amp;"ে। আমি সপ্তাহে ৩-৪ রাত মদ্যপান থেকে ১ রাত পর্যন্ত নেমে এসেছি। নিজের সম্পর্কে নিখুঁত বোধ করছিলাম এবং যদিও এটি ১ রাত ছিল আমার ৫-৬ বার পান করার কথা ছিল, আমি যতটা পান করতাম তার কাছাকাছিও ছিলাম না। ৪ মাস দ্রুত এগিয়ে যাওয়ার পর আমার আবার FIB-এর ঘটনা ঘটে। মূলত "&amp;"বুঝতে পেরেছিলাম যে বাস্তবে, আমি কখনই এক বসায় ১টির বেশি পান করতে পারি না এবং সম্ভবত সারা বছর ধরে কয়েকবারই তা করতে পারি। আমি খুবই বিরক্ত এবং সপ্তাহে আমার ১ দিন কাটানো নিয়ে সত্যিই সন্তুষ্ট ছিলাম। এখন আমার মনে হচ্ছে আমি এমন কিছু হারিয়ে ফেলার জন্য শোকাহত য"&amp;"া আমার জীবনের একটি বড় অংশ ছিল। আমি বুঝতে পারছি যে এটিই মানুষের উপর অ্যালকোহলের শক্তি এবং আমি এটিকে ছদ্মবেশে আশীর্বাদ হিসেবে দেখার চেষ্টা করছি। এই অভিজ্ঞতাটি ভাগ করে নিতে এবং বকবক করতে চেয়েছিলাম।")</f>
        <v>M24। সংক্ষেপে বলতে গেলে, ২০১৫ সালে কলেজে ভর্তি হওয়ার পর থেকে আমি মাঝারি থেকে ভারী মদ্যপান করছি। কলেজ থেকে স্নাতক হওয়ার পর আমি যথেষ্ট পরিমাণে মদ্যপান কমিয়েছি কিন্তু তবুও নিজেকে একজন অতিরিক্ত মদ্যপানকারী হিসেবে বিবেচনা করব। অতীতে অতিরিক্ত মদ্যপানের কারণে আমার অ্যাবাটিয়াল ফাইব্রিলেশন হয়েছে, তৃতীয়বার যখন তারা আমার হৃদপিণ্ডকে স্বাভাবিক ছন্দে ফিরিয়ে আনার আগে (প্রথম দুইবার আমার হৃদপিণ্ড EKG করার আগে ফিরে আসে)। আমার হৃদরোগ বিশেষজ্ঞ আমাকে বলেছিলেন যে আমাকে উল্লেখযোগ্যভাবে মদ্যপান কমাতে হবে অথবা বন্ধ করতে হবে। আমি সপ্তাহে ৩-৪ রাত মদ্যপান থেকে ১ রাত পর্যন্ত নেমে এসেছি। নিজের সম্পর্কে নিখুঁত বোধ করছিলাম এবং যদিও এটি ১ রাত ছিল আমার ৫-৬ বার পান করার কথা ছিল, আমি যতটা পান করতাম তার কাছাকাছিও ছিলাম না। ৪ মাস দ্রুত এগিয়ে যাওয়ার পর আমার আবার FIB-এর ঘটনা ঘটে। মূলত বুঝতে পেরেছিলাম যে বাস্তবে, আমি কখনই এক বসায় ১টির বেশি পান করতে পারি না এবং সম্ভবত সারা বছর ধরে কয়েকবারই তা করতে পারি। আমি খুবই বিরক্ত এবং সপ্তাহে আমার ১ দিন কাটানো নিয়ে সত্যিই সন্তুষ্ট ছিলাম। এখন আমার মনে হচ্ছে আমি এমন কিছু হারিয়ে ফেলার জন্য শোকাহত যা আমার জীবনের একটি বড় অংশ ছিল। আমি বুঝতে পারছি যে এটিই মানুষের উপর অ্যালকোহলের শক্তি এবং আমি এটিকে ছদ্মবেশে আশীর্বাদ হিসেবে দেখার চেষ্টা করছি। এই অভিজ্ঞতাটি ভাগ করে নিতে এবং বকবক করতে চেয়েছিলাম।</v>
      </c>
    </row>
    <row r="1039" spans="1:3" ht="15" x14ac:dyDescent="0.25">
      <c r="A1039" s="3" t="s">
        <v>1036</v>
      </c>
      <c r="B1039" s="3" t="s">
        <v>997</v>
      </c>
      <c r="C1039" s="4" t="str">
        <f ca="1">IFERROR(__xludf.DUMMYFUNCTION("GOOGLETRANSLATE(A1039, ""auto"", ""bn"")"),"আমার মা বহু বছর ধরে মদ্যপ এবং তিনি এড/ডিপ্রেশনে ভুগছেন। আমার বাবা যদি এক বা দুটি পানীয় পান করেন, তাতে তার কিছু যায় আসে না, কিন্তু তিনি সবসময় নিজেকে নিয়ন্ত্রণ করতে পারেন না। যেহেতু আমি এখনও নাবালক, তাই আমাকে বিষাক্ত পরিবারে থাকতে হয়। তারা সবসময় চিৎকা"&amp;"র করে এবং ঝগড়া করে। এই মুহুর্তে আমার খুব অসাড়তা লাগে, এবং আমি জানি না কী করব। আমার মাসি তার মদ্যপানের সমস্যা নিয়ে একটু হস্তক্ষেপ করেছিলেন। এতে কোনও লাভ হয়নি এবং এখন তিনি তার নোংরামি ছেড়ে দিয়েছেন। তিনি সবসময় বলেন যে তার পরিণতি মোকাবেলা করার জন্য সাহ"&amp;"ায্যের প্রয়োজন, যখন বাস্তবে তিনি সাহায্য চান না।")</f>
        <v>আমার মা বহু বছর ধরে মদ্যপ এবং তিনি এড/ডিপ্রেশনে ভুগছেন। আমার বাবা যদি এক বা দুটি পানীয় পান করেন, তাতে তার কিছু যায় আসে না, কিন্তু তিনি সবসময় নিজেকে নিয়ন্ত্রণ করতে পারেন না। যেহেতু আমি এখনও নাবালক, তাই আমাকে বিষাক্ত পরিবারে থাকতে হয়। তারা সবসময় চিৎকার করে এবং ঝগড়া করে। এই মুহুর্তে আমার খুব অসাড়তা লাগে, এবং আমি জানি না কী করব। আমার মাসি তার মদ্যপানের সমস্যা নিয়ে একটু হস্তক্ষেপ করেছিলেন। এতে কোনও লাভ হয়নি এবং এখন তিনি তার নোংরামি ছেড়ে দিয়েছেন। তিনি সবসময় বলেন যে তার পরিণতি মোকাবেলা করার জন্য সাহায্যের প্রয়োজন, যখন বাস্তবে তিনি সাহায্য চান না।</v>
      </c>
    </row>
    <row r="1040" spans="1:3" ht="15" x14ac:dyDescent="0.25">
      <c r="A1040" s="3" t="s">
        <v>1037</v>
      </c>
      <c r="B1040" s="3" t="s">
        <v>997</v>
      </c>
      <c r="C1040" s="4" t="str">
        <f ca="1">IFERROR(__xludf.DUMMYFUNCTION("GOOGLETRANSLATE(A1040, ""auto"", ""bn"")"),"আমি একজন মদ্যপ। আমার হ্যাংওভার খুবই যন্ত্রণাদায়ক। যতবার আমি মদ্যপান করি ততবারই এগুলো আরও খারাপ হয়। এগুলো দূর করার একমাত্র উপায় হলো বেশি বেশি মদ্যপান করা, যার ফলে মাথা ঘোরা শুরু হয়। উদ্বেগের আক্রমণ, আমি অক্ষম বোধ করি ইত্যাদি। কেউ কি আরও মদ না খেয়ে এই সমস্"&amp;"যা দূর করার উপায় সম্পর্কে সাহায্য করতে পারেন?")</f>
        <v>আমি একজন মদ্যপ। আমার হ্যাংওভার খুবই যন্ত্রণাদায়ক। যতবার আমি মদ্যপান করি ততবারই এগুলো আরও খারাপ হয়। এগুলো দূর করার একমাত্র উপায় হলো বেশি বেশি মদ্যপান করা, যার ফলে মাথা ঘোরা শুরু হয়। উদ্বেগের আক্রমণ, আমি অক্ষম বোধ করি ইত্যাদি। কেউ কি আরও মদ না খেয়ে এই সমস্যা দূর করার উপায় সম্পর্কে সাহায্য করতে পারেন?</v>
      </c>
    </row>
    <row r="1041" spans="1:3" ht="15" x14ac:dyDescent="0.25">
      <c r="A1041" s="3" t="s">
        <v>1038</v>
      </c>
      <c r="B1041" s="3" t="s">
        <v>997</v>
      </c>
      <c r="C1041" s="4" t="str">
        <f ca="1">IFERROR(__xludf.DUMMYFUNCTION("GOOGLETRANSLATE(A1041, ""auto"", ""bn"")"),"প্রথম পোস্ট এখানে। আমি একজন মধ্যবয়সী পুরুষ, আমি প্রতি সন্ধ্যায় ৫-১০টি পানীয় পান করি, এবং বহু বছর ধরে করছি। আমি কখনও একদিনের বেশি অ্যালকোহল ছাড়া থাকিনি, এবং এটি কেবল অতিরিক্ত মদ্যপানের পরেই ঘটে। যদি আমি কয়েক দিন থেকে এক সপ্তাহের জন্য বন্ধ করি, তাহলে আ"&amp;"মার কী ধরণের প্রত্যাহারের লক্ষণ, যদি থাকে, তা অনুভব করব বলে আপনি মনে করেন?")</f>
        <v>প্রথম পোস্ট এখানে। আমি একজন মধ্যবয়সী পুরুষ, আমি প্রতি সন্ধ্যায় ৫-১০টি পানীয় পান করি, এবং বহু বছর ধরে করছি। আমি কখনও একদিনের বেশি অ্যালকোহল ছাড়া থাকিনি, এবং এটি কেবল অতিরিক্ত মদ্যপানের পরেই ঘটে। যদি আমি কয়েক দিন থেকে এক সপ্তাহের জন্য বন্ধ করি, তাহলে আমার কী ধরণের প্রত্যাহারের লক্ষণ, যদি থাকে, তা অনুভব করব বলে আপনি মনে করেন?</v>
      </c>
    </row>
    <row r="1042" spans="1:3" ht="15" x14ac:dyDescent="0.25">
      <c r="A1042" s="3" t="s">
        <v>1039</v>
      </c>
      <c r="B1042" s="3" t="s">
        <v>997</v>
      </c>
      <c r="C1042" s="4" t="str">
        <f ca="1">IFERROR(__xludf.DUMMYFUNCTION("GOOGLETRANSLATE(A1042, ""auto"", ""bn"")"),"আমি [২৩ বছর বয়সী] কলেজে অনিয়মিতভাবে মদ্যপান শুরু করেছিলাম, এবং তখন থেকেই এটি একটি সমস্যা হয়ে দাঁড়িয়েছে। আমি বর্তমানে মেডিকেল স্কুলে পড়ি, যা আমার মনে হয়েছিল সাহায্য করবে, কিন্তু এটি আমার সমস্যাগুলিকে আরও বাড়িয়ে তুলেছে। তাছাড়া, আমি নিজেকে মদ্যপ মন"&amp;"ে করব না, কারণ আমার মদ্যপানের প্রয়োজন নেই, কিন্তু যখনই আমি মদ্যপান করি তখনই আমি অতিরিক্ত মদ্যপান করি যতক্ষণ না আমার গা খারাপ হয়ে যায় বা বমি বমি ভাব হয়। তাছাড়া, আমি আমার জীবনকে আরও ভালোর জন্য পরিবর্তন করতে চাই এবং কীভাবে শুরু করব তা জানি না। যেকোনো পর"&amp;"ামর্শ এবং সাফল্যের গল্পের প্রশংসা করা হবে।")</f>
        <v>আমি [২৩ বছর বয়সী] কলেজে অনিয়মিতভাবে মদ্যপান শুরু করেছিলাম, এবং তখন থেকেই এটি একটি সমস্যা হয়ে দাঁড়িয়েছে। আমি বর্তমানে মেডিকেল স্কুলে পড়ি, যা আমার মনে হয়েছিল সাহায্য করবে, কিন্তু এটি আমার সমস্যাগুলিকে আরও বাড়িয়ে তুলেছে। তাছাড়া, আমি নিজেকে মদ্যপ মনে করব না, কারণ আমার মদ্যপানের প্রয়োজন নেই, কিন্তু যখনই আমি মদ্যপান করি তখনই আমি অতিরিক্ত মদ্যপান করি যতক্ষণ না আমার গা খারাপ হয়ে যায় বা বমি বমি ভাব হয়। তাছাড়া, আমি আমার জীবনকে আরও ভালোর জন্য পরিবর্তন করতে চাই এবং কীভাবে শুরু করব তা জানি না। যেকোনো পরামর্শ এবং সাফল্যের গল্পের প্রশংসা করা হবে।</v>
      </c>
    </row>
    <row r="1043" spans="1:3" ht="15" x14ac:dyDescent="0.25">
      <c r="A1043" s="3" t="s">
        <v>1040</v>
      </c>
      <c r="B1043" s="3" t="s">
        <v>997</v>
      </c>
      <c r="C1043" s="4" t="str">
        <f ca="1">IFERROR(__xludf.DUMMYFUNCTION("GOOGLETRANSLATE(A1043, ""auto"", ""bn"")"),"এক মাস আগে আমার সাথে আমার সম্পর্ক ভেঙে গেছে, দুই বছরের দাম্পত্য জীবনের পর আমরা এখনও ডিভোর্সটা বের করার চেষ্টা করছি, কিন্তু ও আমাকে ছেড়ে চলে যাওয়ার পর থেকে আমি প্রতিদিন মাতাল হয়েছি আর আমি এই স্কি রিসোর্টে কাজ করি (গত রাতে পার্টিতে গিয়েছিলাম বলে আর এখন "&amp;"আর না, আর আজ কাজে যাওয়ার জন্য আমার খুব বেশি ক্ষুধা লেগেছে এবং আমার ফোন হারিয়ে গেছে, তাই আমার মনে হয় কাজ শেষ) কিন্তু ঠিক আছে দেখো, আমি শোরউডে মদ্যপান করছি, শুধু মাতাল না হওয়ার দুশ্চিন্তা কমাতে। আমাকে চাকরিচ্যুত করা হবে। অবশ্যই। কিন্তু আমি যেখানে থাকি স"&amp;"েখানে একটা ভালো জায়গা আছে, আর ভাবছি আমার চলে যাওয়া উচিত। যতদূর মনে পড়ে আমি অনেকদিন ধরে মাতাল। সম্প্রতি অবস্থা খারাপ হয়েছে। যদিও এটা খুবই খারাপ। প্রতিদিনের মতো আমি ঘুম থেকে উঠে, এবং বাসে ওঠার আগে আমি দোকানে যাই এবং এক পাইন্ট আগুনের গোলা নিই কারণ আমার খুব"&amp;" খারাপ লাগে এবং তারপর সারাদিন আমি ঠিক থাকার চেষ্টা করার জন্য মদ্যপান করি। এই জিনিসটা সত্যিই খারাপ, জানো? আমি শুধু এক মাসের জন্য পরীক্ষা করে কাজটা করতে চাই, কিন্তু আমার ভয় লাগছে।")</f>
        <v>এক মাস আগে আমার সাথে আমার সম্পর্ক ভেঙে গেছে, দুই বছরের দাম্পত্য জীবনের পর আমরা এখনও ডিভোর্সটা বের করার চেষ্টা করছি, কিন্তু ও আমাকে ছেড়ে চলে যাওয়ার পর থেকে আমি প্রতিদিন মাতাল হয়েছি আর আমি এই স্কি রিসোর্টে কাজ করি (গত রাতে পার্টিতে গিয়েছিলাম বলে আর এখন আর না, আর আজ কাজে যাওয়ার জন্য আমার খুব বেশি ক্ষুধা লেগেছে এবং আমার ফোন হারিয়ে গেছে, তাই আমার মনে হয় কাজ শেষ) কিন্তু ঠিক আছে দেখো, আমি শোরউডে মদ্যপান করছি, শুধু মাতাল না হওয়ার দুশ্চিন্তা কমাতে। আমাকে চাকরিচ্যুত করা হবে। অবশ্যই। কিন্তু আমি যেখানে থাকি সেখানে একটা ভালো জায়গা আছে, আর ভাবছি আমার চলে যাওয়া উচিত। যতদূর মনে পড়ে আমি অনেকদিন ধরে মাতাল। সম্প্রতি অবস্থা খারাপ হয়েছে। যদিও এটা খুবই খারাপ। প্রতিদিনের মতো আমি ঘুম থেকে উঠে, এবং বাসে ওঠার আগে আমি দোকানে যাই এবং এক পাইন্ট আগুনের গোলা নিই কারণ আমার খুব খারাপ লাগে এবং তারপর সারাদিন আমি ঠিক থাকার চেষ্টা করার জন্য মদ্যপান করি। এই জিনিসটা সত্যিই খারাপ, জানো? আমি শুধু এক মাসের জন্য পরীক্ষা করে কাজটা করতে চাই, কিন্তু আমার ভয় লাগছে।</v>
      </c>
    </row>
    <row r="1044" spans="1:3" ht="15" x14ac:dyDescent="0.25">
      <c r="A1044" s="3" t="s">
        <v>1041</v>
      </c>
      <c r="B1044" s="3" t="s">
        <v>997</v>
      </c>
      <c r="C1044" s="4" t="str">
        <f ca="1">IFERROR(__xludf.DUMMYFUNCTION("GOOGLETRANSLATE(A1044, ""auto"", ""bn"")"),"আমি ২০ বছর বয়সী একজন মহিলা। গত ২ সপ্তাহ ধরে আমি প্রতিদিন প্রায় ৪.৫% ওয়াইন পান করছি। আমি ভাবছিলাম আজ যদি থামি, তাহলে কি আমার প্রত্যাহারের সমস্যা হবে?")</f>
        <v>আমি ২০ বছর বয়সী একজন মহিলা। গত ২ সপ্তাহ ধরে আমি প্রতিদিন প্রায় ৪.৫% ওয়াইন পান করছি। আমি ভাবছিলাম আজ যদি থামি, তাহলে কি আমার প্রত্যাহারের সমস্যা হবে?</v>
      </c>
    </row>
    <row r="1045" spans="1:3" ht="15" x14ac:dyDescent="0.25">
      <c r="A1045" s="3" t="s">
        <v>1042</v>
      </c>
      <c r="B1045" s="3" t="s">
        <v>997</v>
      </c>
      <c r="C1045" s="4" t="str">
        <f ca="1">IFERROR(__xludf.DUMMYFUNCTION("GOOGLETRANSLATE(A1045, ""auto"", ""bn"")"),"প্রথম দিনটিতে ফিরে এসেছি। কিছু জল এবং ইলেক্ট্রোলাইটের পরে আমার খুব অস্থির লাগছে, যদিও আমার আর ভালো লাগছে না। এটিএম পান করার কোনও ইচ্ছা নেই। তাছাড়া, আমি এটিকে ইতিবাচক হিসেবে দেখছি। তাছাড়া, আমি প্রায় ২০+ বছর ধরে সুস্থ হয়ে উঠছি। তাছাড়া, বছরের পর বছর ধরে"&amp;" সংযত থাকার পরেও আমার রাগের সমস্যা এবং সামাজিক সংগ্রাম অব্যাহত ছিল। তাছাড়া, কয়েক বছর আগে আমার ASD ধরা পড়েছিল এবং কিছু স্ব-অধ্যয়ন (এবং ওষুধ) সত্যিই সাহায্য করেছে। সামাজিক দক্ষতা এবং একটি উপজাতির অংশ হওয়ার সমস্যাগুলি আমাকে সত্যিই কষ্ট দিয়েছে, বিশেষ কর"&amp;"ে কর্মক্ষেত্রে। অতীতে আমার যে ব্যর্থতাগুলি হয়েছে তা আমার নিজের সম্পর্কে অনুভূতি এবং অন্যদের জন্য নিজেকে প্রস্তুত করার ইচ্ছাকে গভীরভাবে প্রভাবিত করেছে। এই অনুভূতিগুলি ভয়াবহ তাড়না সৃষ্টি করে। এইবার আমি সুস্থ হওয়ার ঠিক আগে, আমি 'মেল্টডাউন' নামক ওষুধ গ্রহ"&amp;"ণ বন্ধ করার সিদ্ধান্ত নিয়েছিলাম। আমি আমার মনোরোগ বিশেষজ্ঞের সাথে আলোচনা করেছিলাম, এবং তিনি এতে রাজি ছিলেন কিন্তু কয়েক সপ্তাহের মধ্যেই আমি দুর্ঘটনায় পড়ে গেলাম এবং পুড়ে গেলাম। সবচেয়ে খারাপ ঘটনাটি ঘটেছিল আমার এক বছরের চাকরিতে, এবং ভাগ্যক্রমে এটি একটি ব"&amp;"িচ্যুতি হিসাবে দেখা হয়েছিল। এটা ফিরে আসার পর বেশ কয়েকদিন ধরে আমার মেজাজ খারাপ হয়ে গেছে এবং এই সমস্যাটির জন্য আমি এতটা ব্যর্থ এবং বিপর্যস্ত বোধ করছি। শুক্রবারের দিনটা এতটাই কঠিন ছিল যে, দিনটা শুরুতেই আমার মন খারাপ হয়ে গেল। আমার বীমা আরেকটি ওষুধ খেয়েছি"&amp;"ল যা পুরোনো ল্যাবরেটরি না পেলে ভর্তি করতে রাজি হয়নি। ক্লিনিকটি কোনও অন্তর্বর্তীকালীন প্রেসক্রিপশন পূরণ করত না, তাই এখন আমি এর প্রভাব অনুভব করছি। আমি একটি মেয়াদোত্তীর্ণ শিশি খুঁজে পেয়েছি এবং নিজেই ইনজেকশন নিতে যাচ্ছি (যা আমি আগেও করেছি এবং সবকিছু পেয়েছ"&amp;"ি) কিন্তু মজার নয়। দু'জন লোক যাদের আমার বাড়িতে কোনও কাজে আসার কথা ছিল তারা হয় আসেনি অথবা ৫ ঘন্টা দেরিতে দেখা গেছে। কোনও ফোন কল নেই, যদিও একজন আমাকে টেক্সট পাঠিয়েছিল যা আমি মিস করেছি। আমি অন্য বোর্ডে তিনবার পোস্ট করেছিলাম এবং আমার ক্র্যাশ শুরু হওয়ার ক"&amp;"য়েকদিন ধরে কোনও সাড়া পাইনি এবং এটি আমাকে একেবারেই যোগাযোগ না করার চেয়েও খারাপ করে তুলেছিল। আমি আমার সংযম, আমার দায়িত্ব বুঝতে পারি। বারবার মনে হচ্ছে আপনি যেখানেই থাকুন না কেন বাইরে আছেন।")</f>
        <v>প্রথম দিনটিতে ফিরে এসেছি। কিছু জল এবং ইলেক্ট্রোলাইটের পরে আমার খুব অস্থির লাগছে, যদিও আমার আর ভালো লাগছে না। এটিএম পান করার কোনও ইচ্ছা নেই। তাছাড়া, আমি এটিকে ইতিবাচক হিসেবে দেখছি। তাছাড়া, আমি প্রায় ২০+ বছর ধরে সুস্থ হয়ে উঠছি। তাছাড়া, বছরের পর বছর ধরে সংযত থাকার পরেও আমার রাগের সমস্যা এবং সামাজিক সংগ্রাম অব্যাহত ছিল। তাছাড়া, কয়েক বছর আগে আমার ASD ধরা পড়েছিল এবং কিছু স্ব-অধ্যয়ন (এবং ওষুধ) সত্যিই সাহায্য করেছে। সামাজিক দক্ষতা এবং একটি উপজাতির অংশ হওয়ার সমস্যাগুলি আমাকে সত্যিই কষ্ট দিয়েছে, বিশেষ করে কর্মক্ষেত্রে। অতীতে আমার যে ব্যর্থতাগুলি হয়েছে তা আমার নিজের সম্পর্কে অনুভূতি এবং অন্যদের জন্য নিজেকে প্রস্তুত করার ইচ্ছাকে গভীরভাবে প্রভাবিত করেছে। এই অনুভূতিগুলি ভয়াবহ তাড়না সৃষ্টি করে। এইবার আমি সুস্থ হওয়ার ঠিক আগে, আমি 'মেল্টডাউন' নামক ওষুধ গ্রহণ বন্ধ করার সিদ্ধান্ত নিয়েছিলাম। আমি আমার মনোরোগ বিশেষজ্ঞের সাথে আলোচনা করেছিলাম, এবং তিনি এতে রাজি ছিলেন কিন্তু কয়েক সপ্তাহের মধ্যেই আমি দুর্ঘটনায় পড়ে গেলাম এবং পুড়ে গেলাম। সবচেয়ে খারাপ ঘটনাটি ঘটেছিল আমার এক বছরের চাকরিতে, এবং ভাগ্যক্রমে এটি একটি বিচ্যুতি হিসাবে দেখা হয়েছিল। এটা ফিরে আসার পর বেশ কয়েকদিন ধরে আমার মেজাজ খারাপ হয়ে গেছে এবং এই সমস্যাটির জন্য আমি এতটা ব্যর্থ এবং বিপর্যস্ত বোধ করছি। শুক্রবারের দিনটা এতটাই কঠিন ছিল যে, দিনটা শুরুতেই আমার মন খারাপ হয়ে গেল। আমার বীমা আরেকটি ওষুধ খেয়েছিল যা পুরোনো ল্যাবরেটরি না পেলে ভর্তি করতে রাজি হয়নি। ক্লিনিকটি কোনও অন্তর্বর্তীকালীন প্রেসক্রিপশন পূরণ করত না, তাই এখন আমি এর প্রভাব অনুভব করছি। আমি একটি মেয়াদোত্তীর্ণ শিশি খুঁজে পেয়েছি এবং নিজেই ইনজেকশন নিতে যাচ্ছি (যা আমি আগেও করেছি এবং সবকিছু পেয়েছি) কিন্তু মজার নয়। দু'জন লোক যাদের আমার বাড়িতে কোনও কাজে আসার কথা ছিল তারা হয় আসেনি অথবা ৫ ঘন্টা দেরিতে দেখা গেছে। কোনও ফোন কল নেই, যদিও একজন আমাকে টেক্সট পাঠিয়েছিল যা আমি মিস করেছি। আমি অন্য বোর্ডে তিনবার পোস্ট করেছিলাম এবং আমার ক্র্যাশ শুরু হওয়ার কয়েকদিন ধরে কোনও সাড়া পাইনি এবং এটি আমাকে একেবারেই যোগাযোগ না করার চেয়েও খারাপ করে তুলেছিল। আমি আমার সংযম, আমার দায়িত্ব বুঝতে পারি। বারবার মনে হচ্ছে আপনি যেখানেই থাকুন না কেন বাইরে আছেন।</v>
      </c>
    </row>
    <row r="1046" spans="1:3" ht="15" x14ac:dyDescent="0.25">
      <c r="A1046" s="3" t="s">
        <v>1043</v>
      </c>
      <c r="B1046" s="3" t="s">
        <v>997</v>
      </c>
      <c r="C1046" s="4" t="str">
        <f ca="1">IFERROR(__xludf.DUMMYFUNCTION("GOOGLETRANSLATE(A1046, ""auto"", ""bn"")"),"যদি আমি একদিনও ধূমপান না করি (এমনকি যদি আমি রাতে মাত্র ২-৩ বার ধূমপান করি) তাহলে এই লক্ষণগুলি দেখা দেয়। আমার পায়ে/শরীরে অদ্ভুত এবং মাঝে মাঝে তীব্র ঝাঁকুনি শুরু হয়, এবং এগুলো আমাকে সারা রাত জাগিয়ে রাখে। আমার দৃষ্টিশক্তি এতটাই ঝাপসা/সুড়ঙ্গে ঝাপসা হয়ে যায় "&amp;"যে আমার মনে হয় আমি অজ্ঞান হয়ে পড়ছি (প্রায় ৫ মিনিটের জন্য)। তাছাড়া, আমি সম্প্রতি বেশ বোকাও বোধ করছি, হা হা। তাছাড়া, আমি কখনও এই ধরণের ধূমপান অনুভব করিনি, তবে এটি আমার মদ্যপানের সাথে সামঞ্জস্যপূর্ণ। এগুলো কি স্বাভাবিক/আমার উদ্বিগ্ন হওয়া উচিত? এটা এতটাই খা"&amp;"রাপ হয়ে যাচ্ছে যে আমার মনে হচ্ছে আমার কিছু করা দরকার, কিন্তু আমি জানি না কিভাবে এটি ঠিক করব। অবশ্যই মনে হয় না হাসপাতালে ভর্তির প্রয়োজন আছে।")</f>
        <v>যদি আমি একদিনও ধূমপান না করি (এমনকি যদি আমি রাতে মাত্র ২-৩ বার ধূমপান করি) তাহলে এই লক্ষণগুলি দেখা দেয়। আমার পায়ে/শরীরে অদ্ভুত এবং মাঝে মাঝে তীব্র ঝাঁকুনি শুরু হয়, এবং এগুলো আমাকে সারা রাত জাগিয়ে রাখে। আমার দৃষ্টিশক্তি এতটাই ঝাপসা/সুড়ঙ্গে ঝাপসা হয়ে যায় যে আমার মনে হয় আমি অজ্ঞান হয়ে পড়ছি (প্রায় ৫ মিনিটের জন্য)। তাছাড়া, আমি সম্প্রতি বেশ বোকাও বোধ করছি, হা হা। তাছাড়া, আমি কখনও এই ধরণের ধূমপান অনুভব করিনি, তবে এটি আমার মদ্যপানের সাথে সামঞ্জস্যপূর্ণ। এগুলো কি স্বাভাবিক/আমার উদ্বিগ্ন হওয়া উচিত? এটা এতটাই খারাপ হয়ে যাচ্ছে যে আমার মনে হচ্ছে আমার কিছু করা দরকার, কিন্তু আমি জানি না কিভাবে এটি ঠিক করব। অবশ্যই মনে হয় না হাসপাতালে ভর্তির প্রয়োজন আছে।</v>
      </c>
    </row>
    <row r="1047" spans="1:3" ht="15" x14ac:dyDescent="0.25">
      <c r="A1047" s="3" t="s">
        <v>1044</v>
      </c>
      <c r="B1047" s="3" t="s">
        <v>997</v>
      </c>
      <c r="C1047" s="4" t="str">
        <f ca="1">IFERROR(__xludf.DUMMYFUNCTION("GOOGLETRANSLATE(A1047, ""auto"", ""bn"")"),"আমি আগে মদ পান করতে পারতাম এবং ভালো থাকতাম, কিন্তু এখন যখন আমি এক গ্লাস মদ পান করি, তখন আমার বিছানায় ৫ বারের মধ্যে ৩ বার প্রস্রাব করতে হয়। এটা খুবই লজ্জাজনক এবং একটা দুর্গন্ধ বের করে।")</f>
        <v>আমি আগে মদ পান করতে পারতাম এবং ভালো থাকতাম, কিন্তু এখন যখন আমি এক গ্লাস মদ পান করি, তখন আমার বিছানায় ৫ বারের মধ্যে ৩ বার প্রস্রাব করতে হয়। এটা খুবই লজ্জাজনক এবং একটা দুর্গন্ধ বের করে।</v>
      </c>
    </row>
    <row r="1048" spans="1:3" ht="15" x14ac:dyDescent="0.25">
      <c r="A1048" s="3" t="s">
        <v>1045</v>
      </c>
      <c r="B1048" s="3" t="s">
        <v>997</v>
      </c>
      <c r="C1048" s="4" t="str">
        <f ca="1">IFERROR(__xludf.DUMMYFUNCTION("GOOGLETRANSLATE(A1048, ""auto"", ""bn"")"),"তাই, আমি আসলে বুঝতে পারছি না কোথা থেকে শুরু করবো। আমার বয়স ২৩ বছর, আর আমার মনে হয় আমার সবসময়ই মদের প্রতি ভালোবাসা ছিল। ২০১৯ সাল থেকে শুরু করে, কিন্তু আমি প্রতিদিন মদ্যপান করতাম না, হয়তো সপ্তাহে কয়েকবার এবং সেগুলো ছিল মাত্র একবার। ২০২০ সালের নভেম্বরে; আমি "&amp;"আমার তৃতীয় সন্তানের সাথে গর্ভবতী হই এবং সত্যি বলতে, মদ্যপান ত্যাগ করা খুবই কঠিন ছিল। গর্ভাবস্থার প্রথম ২৪ সপ্তাহে আমি অনেকবার ভুল করেছিলাম। আমার সন্তান পুরোপুরি সুস্থ এবং সুখী, সৌভাগ্যক্রমে। যে মুহূর্তে আমার পিঠে ব্যথা হচ্ছিল এবং আমি বুঝতে পারছিলাম যে আমা"&amp;"র প্রসব শুরু হচ্ছে, সেই মুহূর্তেই আমার মনে হয়েছিল আমার সবচেয়ে ভালো বন্ধুকে একটা টিকা দিতে। আমি এক সপ্তাহ অপেক্ষা করেছিলাম। সে এখন ৫ মাস বয়সী এবং আমি প্রতিদিন, সারাদিন, প্রতিদিন পান করি। ডাবল টিকা থেকে শুরু করে হাফ টিকা পর্যন্ত, আমি জানি যে আমি প্রতিদিন "&amp;"এক পিন্ট বা কখনও কখনও দুটি টিকা পান করি। আমি মাঝে মাঝে আমার বন্ধুদের সাথে শেয়ার করি। কিন্তু যখন দেখি তারা কীভাবে টিকা নেয়, তখন দেখি যে আমি কতটা টিকা নিই, তখন মাঝে মাঝে আমার খারাপ লাগে। আমি খাওয়ার আগে ঘুম থেকে ওঠার সময় পান করি, কিন্তু আমি পেস্টো বেসম ব্"&amp;"যবহার করি, তাই আমার অন্তত একটা লেপ থাকে। আমি শান্ত থাকতে চাই, কিন্তু আমি অন্য কাউকে জানতে দিতে পারি না যে আমি এত বেশি পান করি সাধারণভাবে পান করা তো দূরের কথা। আমার স্বামী বলেন আমার একটা সমস্যা আছে, কিন্তু সত্যি বলতে আমার মাঝে মাঝে মনে হয় না, কিন্তু আমার "&amp;"মনে হয় আমার বেশি মদ্যপান বন্ধ করে আবার সামাজিকভাবে মদ্যপান করা উচিত। কেউ কি আমাকে কিছু টিপস দিতে পারেন?")</f>
        <v>তাই, আমি আসলে বুঝতে পারছি না কোথা থেকে শুরু করবো। আমার বয়স ২৩ বছর, আর আমার মনে হয় আমার সবসময়ই মদের প্রতি ভালোবাসা ছিল। ২০১৯ সাল থেকে শুরু করে, কিন্তু আমি প্রতিদিন মদ্যপান করতাম না, হয়তো সপ্তাহে কয়েকবার এবং সেগুলো ছিল মাত্র একবার। ২০২০ সালের নভেম্বরে; আমি আমার তৃতীয় সন্তানের সাথে গর্ভবতী হই এবং সত্যি বলতে, মদ্যপান ত্যাগ করা খুবই কঠিন ছিল। গর্ভাবস্থার প্রথম ২৪ সপ্তাহে আমি অনেকবার ভুল করেছিলাম। আমার সন্তান পুরোপুরি সুস্থ এবং সুখী, সৌভাগ্যক্রমে। যে মুহূর্তে আমার পিঠে ব্যথা হচ্ছিল এবং আমি বুঝতে পারছিলাম যে আমার প্রসব শুরু হচ্ছে, সেই মুহূর্তেই আমার মনে হয়েছিল আমার সবচেয়ে ভালো বন্ধুকে একটা টিকা দিতে। আমি এক সপ্তাহ অপেক্ষা করেছিলাম। সে এখন ৫ মাস বয়সী এবং আমি প্রতিদিন, সারাদিন, প্রতিদিন পান করি। ডাবল টিকা থেকে শুরু করে হাফ টিকা পর্যন্ত, আমি জানি যে আমি প্রতিদিন এক পিন্ট বা কখনও কখনও দুটি টিকা পান করি। আমি মাঝে মাঝে আমার বন্ধুদের সাথে শেয়ার করি। কিন্তু যখন দেখি তারা কীভাবে টিকা নেয়, তখন দেখি যে আমি কতটা টিকা নিই, তখন মাঝে মাঝে আমার খারাপ লাগে। আমি খাওয়ার আগে ঘুম থেকে ওঠার সময় পান করি, কিন্তু আমি পেস্টো বেসম ব্যবহার করি, তাই আমার অন্তত একটা লেপ থাকে। আমি শান্ত থাকতে চাই, কিন্তু আমি অন্য কাউকে জানতে দিতে পারি না যে আমি এত বেশি পান করি সাধারণভাবে পান করা তো দূরের কথা। আমার স্বামী বলেন আমার একটা সমস্যা আছে, কিন্তু সত্যি বলতে আমার মাঝে মাঝে মনে হয় না, কিন্তু আমার মনে হয় আমার বেশি মদ্যপান বন্ধ করে আবার সামাজিকভাবে মদ্যপান করা উচিত। কেউ কি আমাকে কিছু টিপস দিতে পারেন?</v>
      </c>
    </row>
    <row r="1049" spans="1:3" ht="15" x14ac:dyDescent="0.25">
      <c r="A1049" s="3" t="s">
        <v>1046</v>
      </c>
      <c r="B1049" s="3" t="s">
        <v>997</v>
      </c>
      <c r="C1049" s="4" t="str">
        <f ca="1">IFERROR(__xludf.DUMMYFUNCTION("GOOGLETRANSLATE(A1049, ""auto"", ""bn"")"),"আমি একজন উদীয়মান মদ্যপ। আমি নিশ্চিত নই কেন আমি এখানে পোস্ট করছি, মনে হচ্ছে আমার কথা বলার জন্য কারও প্রয়োজন ছিল। তাছাড়া, আমি আবিষ্কার করেছি যে আমার কোনও মোকাবেলা করার পদ্ধতি নেই, তাই আমি মদ্যপানের দিকে ঝুঁকে পড়েছি। তাছাড়া, গত দুই বছরে আমি তিনটি অত্যন্"&amp;"ত বেদনাদায়ক ঘটনার সম্মুখীন হয়েছি। আমার কাজের পারফরম্যান্স প্রায় শূন্যে নেমে এসেছে, আমি অত্যন্ত উচ্চ ঝুঁকিপূর্ণ আচরণে জড়িত হয়েছি যা আমার জীবনকে বিপন্ন করে তোলে। উপরে উল্লিখিত আচরণগুলির কারণে আমি ভেঙে পড়েছি। আমি আমার সমস্যাগুলি মোকাবেলা করতে চাই না। ত"&amp;"াছাড়া, আমার থেরাপি শেষ হয়ে গেছে। তাছাড়া, আমি জীবন থেকে ক্লান্ত এবং একমাত্র যখন আমি কোনও কিছুতে মাতাল হই তখনই আমি বেঁচে থাকার দুঃখ অনুভব করি না। আমার বাবা এত বছর ধরে মদ্যপান ত্যাগ করার জন্য লড়াই করেছিলেন এবং আমি যেখানে ছেড়ে গিয়েছিলাম সেখান থেকে ফিরে "&amp;"এসেছি। আমি একজন উদীয়মান মদ্যপ।")</f>
        <v>আমি একজন উদীয়মান মদ্যপ। আমি নিশ্চিত নই কেন আমি এখানে পোস্ট করছি, মনে হচ্ছে আমার কথা বলার জন্য কারও প্রয়োজন ছিল। তাছাড়া, আমি আবিষ্কার করেছি যে আমার কোনও মোকাবেলা করার পদ্ধতি নেই, তাই আমি মদ্যপানের দিকে ঝুঁকে পড়েছি। তাছাড়া, গত দুই বছরে আমি তিনটি অত্যন্ত বেদনাদায়ক ঘটনার সম্মুখীন হয়েছি। আমার কাজের পারফরম্যান্স প্রায় শূন্যে নেমে এসেছে, আমি অত্যন্ত উচ্চ ঝুঁকিপূর্ণ আচরণে জড়িত হয়েছি যা আমার জীবনকে বিপন্ন করে তোলে। উপরে উল্লিখিত আচরণগুলির কারণে আমি ভেঙে পড়েছি। আমি আমার সমস্যাগুলি মোকাবেলা করতে চাই না। তাছাড়া, আমার থেরাপি শেষ হয়ে গেছে। তাছাড়া, আমি জীবন থেকে ক্লান্ত এবং একমাত্র যখন আমি কোনও কিছুতে মাতাল হই তখনই আমি বেঁচে থাকার দুঃখ অনুভব করি না। আমার বাবা এত বছর ধরে মদ্যপান ত্যাগ করার জন্য লড়াই করেছিলেন এবং আমি যেখানে ছেড়ে গিয়েছিলাম সেখান থেকে ফিরে এসেছি। আমি একজন উদীয়মান মদ্যপ।</v>
      </c>
    </row>
    <row r="1050" spans="1:3" ht="15" x14ac:dyDescent="0.25">
      <c r="A1050" s="3" t="s">
        <v>1047</v>
      </c>
      <c r="B1050" s="3" t="s">
        <v>997</v>
      </c>
      <c r="C1050" s="4" t="str">
        <f ca="1">IFERROR(__xludf.DUMMYFUNCTION("GOOGLETRANSLATE(A1050, ""auto"", ""bn"")"),"আরে, তাহলে আমার দুটি সমস্যা আছে যার মধ্যে আমার মনে হয় কিছু মিল থাকতে পারে। এটি হল মদ্যপানের পরে ভয়ানক মানসিক হ্যাংওভার এবং স্পষ্টতা না থাকা ভয়ানক পোস্ট। উভয়ই হতাশা, চাপ, দুঃখ, শূন্যতার অনুভূতি ইত্যাদি। উভয়ই আমার কাছে গোপনে বা একসাথে ঘটে (একত্রে এটি ক"&amp;"িছুটা খারাপ)। আমি জানি আমি মদ্যপান বন্ধ করতে পারি, কিন্তু স্পষ্ট কারণে আমি যৌনতা ত্যাগ করতে রাজি নই। আমার এই দুটি অনুভূতি আমার বন্ধুদের চেয়ে অনেক বেশি খারাপ। কারও কি ধারণা আছে কেন এটি হতে পারে?")</f>
        <v>আরে, তাহলে আমার দুটি সমস্যা আছে যার মধ্যে আমার মনে হয় কিছু মিল থাকতে পারে। এটি হল মদ্যপানের পরে ভয়ানক মানসিক হ্যাংওভার এবং স্পষ্টতা না থাকা ভয়ানক পোস্ট। উভয়ই হতাশা, চাপ, দুঃখ, শূন্যতার অনুভূতি ইত্যাদি। উভয়ই আমার কাছে গোপনে বা একসাথে ঘটে (একত্রে এটি কিছুটা খারাপ)। আমি জানি আমি মদ্যপান বন্ধ করতে পারি, কিন্তু স্পষ্ট কারণে আমি যৌনতা ত্যাগ করতে রাজি নই। আমার এই দুটি অনুভূতি আমার বন্ধুদের চেয়ে অনেক বেশি খারাপ। কারও কি ধারণা আছে কেন এটি হতে পারে?</v>
      </c>
    </row>
    <row r="1051" spans="1:3" ht="15" x14ac:dyDescent="0.25">
      <c r="A1051" s="3" t="s">
        <v>1048</v>
      </c>
      <c r="B1051" s="3" t="s">
        <v>997</v>
      </c>
      <c r="C1051" s="4" t="str">
        <f ca="1">IFERROR(__xludf.DUMMYFUNCTION("GOOGLETRANSLATE(A1051, ""auto"", ""bn"")"),"মদ্যপান ত্যাগ করার কিছু টিপস খুঁজছিলাম। আমি কাউন্সেলিং, স্পিরিট হিলার, হিপনোসিস, ক্যামেরেল মেডিকেশনের চেষ্টা করেছি কিন্তু এখনও অতিরিক্ত মদ্যপান বন্ধ করতে পারছি না। AA মিটিংয়ে আমার কোনও আগ্রহ নেই, হয়তো সেখানেই আমি ভুল করছি।")</f>
        <v>মদ্যপান ত্যাগ করার কিছু টিপস খুঁজছিলাম। আমি কাউন্সেলিং, স্পিরিট হিলার, হিপনোসিস, ক্যামেরেল মেডিকেশনের চেষ্টা করেছি কিন্তু এখনও অতিরিক্ত মদ্যপান বন্ধ করতে পারছি না। AA মিটিংয়ে আমার কোনও আগ্রহ নেই, হয়তো সেখানেই আমি ভুল করছি।</v>
      </c>
    </row>
    <row r="1052" spans="1:3" ht="15" x14ac:dyDescent="0.25">
      <c r="A1052" s="3" t="s">
        <v>1049</v>
      </c>
      <c r="B1052" s="3" t="s">
        <v>997</v>
      </c>
      <c r="C1052" s="4" t="str">
        <f ca="1">IFERROR(__xludf.DUMMYFUNCTION("GOOGLETRANSLATE(A1052, ""auto"", ""bn"")"),"আমার মা যখন ছয় বছর বয়স থেকে অতিরিক্ত মদ্যপান করে আসছেন। আমার যখন বাবা মারা যান, তখন আমি তার আসক্তির সাথে একাই বেঁচে থাকি। আমার বয়স এখন ১৭ বছর এবং পরিস্থিতির কোনও উন্নতি হয়নি। আমার বেশিরভাগ মানসিক স্বাস্থ্য সমস্যার উৎস তিনি, আর তিনিই আমার জীবনকে অসাড় করে "&amp;"তোলেন। আমি তার সাথে অসংখ্যবার কথা বলার চেষ্টা করেছি কিন্তু তিনি অস্বীকার করছেন এবং বিশ্বাস করেন না যে তিনি একজন মদ্যপ। কিন্তু যদি প্রতি রাতে মদ্যপান করে অজ্ঞান হয়ে যাওয়া মদ্যপান না হয়, তাহলে আমি কি তাই? আমি তাকে ভালোবাসি না। আর আমার মনে হয় না আমি কখনও করে"&amp;"ছি। আমি তাকে দোষারোপ করি যে সে আমাকে মানসিক আঘাত দিয়েছে এবং আমার প্রাপ্য শৈশব দেয়নি। এবং আমি এর জন্য তাকে ঘৃণা করি। আমি তাকে কখনও ক্ষমা করব না। জানুয়ারীতে আমার হাই স্কুল ডিপ্লোমা পাওয়ার পর থেকে আমি ঘর থেকে বেরিয়ে যাই। সে আমাকে চিরকাল ঘৃণা করবে কিনা আম"&amp;"ার কোন চিন্তা নেই, কিন্তু আমি আর তার সাথে থাকতে রাজি নই। সে নিজেই তার জীবন নষ্ট করতে পারে। দেশের অন্য প্রান্তে চলে যাওয়া আমার মনে থাকার পর থেকেই স্বপ্ন। আমি আশা করি মদ্যপরা তাদের সন্তানদের এবং তাদের আশেপাশের মানুষদের উপর যে মানসিক আঘাতের সৃষ্টি করে তা বু"&amp;"ঝতে পারবে।")</f>
        <v>আমার মা যখন ছয় বছর বয়স থেকে অতিরিক্ত মদ্যপান করে আসছেন। আমার যখন বাবা মারা যান, তখন আমি তার আসক্তির সাথে একাই বেঁচে থাকি। আমার বয়স এখন ১৭ বছর এবং পরিস্থিতির কোনও উন্নতি হয়নি। আমার বেশিরভাগ মানসিক স্বাস্থ্য সমস্যার উৎস তিনি, আর তিনিই আমার জীবনকে অসাড় করে তোলেন। আমি তার সাথে অসংখ্যবার কথা বলার চেষ্টা করেছি কিন্তু তিনি অস্বীকার করছেন এবং বিশ্বাস করেন না যে তিনি একজন মদ্যপ। কিন্তু যদি প্রতি রাতে মদ্যপান করে অজ্ঞান হয়ে যাওয়া মদ্যপান না হয়, তাহলে আমি কি তাই? আমি তাকে ভালোবাসি না। আর আমার মনে হয় না আমি কখনও করেছি। আমি তাকে দোষারোপ করি যে সে আমাকে মানসিক আঘাত দিয়েছে এবং আমার প্রাপ্য শৈশব দেয়নি। এবং আমি এর জন্য তাকে ঘৃণা করি। আমি তাকে কখনও ক্ষমা করব না। জানুয়ারীতে আমার হাই স্কুল ডিপ্লোমা পাওয়ার পর থেকে আমি ঘর থেকে বেরিয়ে যাই। সে আমাকে চিরকাল ঘৃণা করবে কিনা আমার কোন চিন্তা নেই, কিন্তু আমি আর তার সাথে থাকতে রাজি নই। সে নিজেই তার জীবন নষ্ট করতে পারে। দেশের অন্য প্রান্তে চলে যাওয়া আমার মনে থাকার পর থেকেই স্বপ্ন। আমি আশা করি মদ্যপরা তাদের সন্তানদের এবং তাদের আশেপাশের মানুষদের উপর যে মানসিক আঘাতের সৃষ্টি করে তা বুঝতে পারবে।</v>
      </c>
    </row>
    <row r="1053" spans="1:3" ht="15" x14ac:dyDescent="0.25">
      <c r="A1053" s="3" t="s">
        <v>1050</v>
      </c>
      <c r="B1053" s="3" t="s">
        <v>997</v>
      </c>
      <c r="C1053" s="4" t="str">
        <f ca="1">IFERROR(__xludf.DUMMYFUNCTION("GOOGLETRANSLATE(A1053, ""auto"", ""bn"")"),"আমার পরিবারে মদ্যপান খুব দ্রুত ছড়িয়ে পড়ছে। এটা নতুন কিছু নয়, কিন্তু আমার ভাই সম্প্রতি বিশেষ করে জীবনের চাপ মোকাবেলা করে এতে জড়িয়ে পড়েছে। সে সবার বড় এবং তার দুই ছোট বোনের মতো ""তার আন্ডারে"" তেমন কিছু নেই। আমরা দুজনেই বাইরে চলে গিয়েছিলাম এবং এগিয়"&amp;"ে গিয়েছিলাম এবং নিজেদের জন্য জীবন গড়ে তুলেছিলাম। এটা সহজ বা নিখুঁত ছিল না, কিন্তু এটা এমন কিছু যা সে কখনও করতে চায়নি। সে বরং তার শহরে থাকতে এবং তার জীবন থেকে দূরে মদ্যপান করতে পছন্দ করত। নিউ ইয়র্কের এক চাচাতো ভাই তাকে আমরা যে শহরে চলে এসেছি তার কাছে এ"&amp;"কটি ঘর দিয়েছিল। অবশেষে সে বড় হয়ে ওঠে। পূর্ণকালীন কাজ করত, তার সমস্ত ঋণ পরিশোধ করে, প্রতিদিন মাতাল হওয়া বন্ধ করে দেয়। তারপর তার একটি মেয়ের সাথে দেখা হয় এবং তারা একসাথে থাকতে শুরু করে। তার প্রাক্তন 6 বছর কোনও যোগাযোগ ছাড়াই তার সন্তানের ভরণপোষণের জন্"&amp;"য তার কাছে আসে। সে কিছুক্ষণের জন্য চাকরিতে ঝাঁপিয়ে পড়ে অবশেষে একটি ডেলিভারি কোম্পানিতে স্থায়ী হয়। তার বান্ধবী তার ওষুধ খাওয়া বন্ধ করে দেওয়ার পর থেকে তার সাথে ঝগড়া করে এবং সে বিপদে পড়ে। বুম ডিইউআই। এখন সে সেই চাপের সাথে লড়াই করছে, তার চাকরি চলে গে"&amp;"ছে, তার সন্তানের ভরণপোষণের খরচ দিতে পারছে না, গাড়ি মেরামত করতে হবে এবং প্রতিবার যখন সে তার বন্ধুদের সাথে বাইরে যায় তখন সে ভেঙে পড়ে এবং আত্মহত্যার কথা বলে। আমি তাকে কাউন্সেলিং করানোর চেষ্টা করেছিলাম, কিন্তু সে রাজি হয়নি, তাই আমি তাকে একজন ডাক্তারের সাথ"&amp;"ে অ্যান্টিডিপ্রেসেন্ট নেওয়ার বিষয়ে কথা বলতে বলেছিলাম। এগুলো আমার মা এবং আমার উভয়ের জন্যই কাজ করেছে, তাই আমি সত্যিই আশা করেছিলাম যে তারা সাহায্য করবে। আমার মনে হয় না তার অবস্থা আরও খারাপ হয়েছে, তবে আমি আর কী করব জানি না। তার বন্ধুরা আমাকে ফোন করে এবং "&amp;"সে যা বলছে তা আমাকে বলে, এবং আমি সবসময় তাকে যত্ন নিতে পারি না। আমি কী করব? আমি কীভাবে তাকে দেখাব? এমনকি আমি তার সাথে মদ্যপানও বন্ধ করে দেব।")</f>
        <v>আমার পরিবারে মদ্যপান খুব দ্রুত ছড়িয়ে পড়ছে। এটা নতুন কিছু নয়, কিন্তু আমার ভাই সম্প্রতি বিশেষ করে জীবনের চাপ মোকাবেলা করে এতে জড়িয়ে পড়েছে। সে সবার বড় এবং তার দুই ছোট বোনের মতো "তার আন্ডারে" তেমন কিছু নেই। আমরা দুজনেই বাইরে চলে গিয়েছিলাম এবং এগিয়ে গিয়েছিলাম এবং নিজেদের জন্য জীবন গড়ে তুলেছিলাম। এটা সহজ বা নিখুঁত ছিল না, কিন্তু এটা এমন কিছু যা সে কখনও করতে চায়নি। সে বরং তার শহরে থাকতে এবং তার জীবন থেকে দূরে মদ্যপান করতে পছন্দ করত। নিউ ইয়র্কের এক চাচাতো ভাই তাকে আমরা যে শহরে চলে এসেছি তার কাছে একটি ঘর দিয়েছিল। অবশেষে সে বড় হয়ে ওঠে। পূর্ণকালীন কাজ করত, তার সমস্ত ঋণ পরিশোধ করে, প্রতিদিন মাতাল হওয়া বন্ধ করে দেয়। তারপর তার একটি মেয়ের সাথে দেখা হয় এবং তারা একসাথে থাকতে শুরু করে। তার প্রাক্তন 6 বছর কোনও যোগাযোগ ছাড়াই তার সন্তানের ভরণপোষণের জন্য তার কাছে আসে। সে কিছুক্ষণের জন্য চাকরিতে ঝাঁপিয়ে পড়ে অবশেষে একটি ডেলিভারি কোম্পানিতে স্থায়ী হয়। তার বান্ধবী তার ওষুধ খাওয়া বন্ধ করে দেওয়ার পর থেকে তার সাথে ঝগড়া করে এবং সে বিপদে পড়ে। বুম ডিইউআই। এখন সে সেই চাপের সাথে লড়াই করছে, তার চাকরি চলে গেছে, তার সন্তানের ভরণপোষণের খরচ দিতে পারছে না, গাড়ি মেরামত করতে হবে এবং প্রতিবার যখন সে তার বন্ধুদের সাথে বাইরে যায় তখন সে ভেঙে পড়ে এবং আত্মহত্যার কথা বলে। আমি তাকে কাউন্সেলিং করানোর চেষ্টা করেছিলাম, কিন্তু সে রাজি হয়নি, তাই আমি তাকে একজন ডাক্তারের সাথে অ্যান্টিডিপ্রেসেন্ট নেওয়ার বিষয়ে কথা বলতে বলেছিলাম। এগুলো আমার মা এবং আমার উভয়ের জন্যই কাজ করেছে, তাই আমি সত্যিই আশা করেছিলাম যে তারা সাহায্য করবে। আমার মনে হয় না তার অবস্থা আরও খারাপ হয়েছে, তবে আমি আর কী করব জানি না। তার বন্ধুরা আমাকে ফোন করে এবং সে যা বলছে তা আমাকে বলে, এবং আমি সবসময় তাকে যত্ন নিতে পারি না। আমি কী করব? আমি কীভাবে তাকে দেখাব? এমনকি আমি তার সাথে মদ্যপানও বন্ধ করে দেব।</v>
      </c>
    </row>
    <row r="1054" spans="1:3" ht="15" x14ac:dyDescent="0.25">
      <c r="A1054" s="3" t="s">
        <v>1051</v>
      </c>
      <c r="B1054" s="3" t="s">
        <v>997</v>
      </c>
      <c r="C1054" s="4" t="str">
        <f ca="1">IFERROR(__xludf.DUMMYFUNCTION("GOOGLETRANSLATE(A1054, ""auto"", ""bn"")"),"হ্যালো! নতুন সদস্য, আমি কিছু সাহায্যের জন্য অপেক্ষা করছি এবং আমার একটা প্রশ্ন আছে। কয়েকদিন আগে পদত্যাগ করার পর থেকে, আমার মনে হচ্ছে আমার টানেল ভিশন হচ্ছে এবং আলোর সংবেদনশীলতা ভালো লাগছে। এটা কি স্বাভাবিক? হৃদস্পন্দনও বেড়ে যাচ্ছে, কিন্তু আমি ভাবছি এটা কি "&amp;"শুধুই উদ্বেগ কারণ আমি অদ্ভুত বোধ করছি।")</f>
        <v>হ্যালো! নতুন সদস্য, আমি কিছু সাহায্যের জন্য অপেক্ষা করছি এবং আমার একটা প্রশ্ন আছে। কয়েকদিন আগে পদত্যাগ করার পর থেকে, আমার মনে হচ্ছে আমার টানেল ভিশন হচ্ছে এবং আলোর সংবেদনশীলতা ভালো লাগছে। এটা কি স্বাভাবিক? হৃদস্পন্দনও বেড়ে যাচ্ছে, কিন্তু আমি ভাবছি এটা কি শুধুই উদ্বেগ কারণ আমি অদ্ভুত বোধ করছি।</v>
      </c>
    </row>
    <row r="1055" spans="1:3" ht="15" x14ac:dyDescent="0.25">
      <c r="A1055" s="3" t="s">
        <v>1052</v>
      </c>
      <c r="B1055" s="3" t="s">
        <v>997</v>
      </c>
      <c r="C1055" s="4" t="str">
        <f ca="1">IFERROR(__xludf.DUMMYFUNCTION("GOOGLETRANSLATE(A1055, ""auto"", ""bn"")"),"আমার বন্ধু সম্প্রতি প্রচুর পরিমাণে মদ্যপান শুরু করেছে। এটি একটি বড় উদ্বেগের বিষয় কারণ তার বর্ডারলাইন পার্সোনালিটি ডিসঅর্ডার আছে। যার ফলে হস্তক্ষেপ করা প্রায় অসম্ভব হয়ে পড়ে। সে প্রায়শই পার্টিতে যায় এবং সাধারণত রাত ৮টা থেকে ভোর ৪টা পর্যন্ত ভোর ৪টা থে"&amp;"কে ৯টা পর্যন্ত মদ্যপান করে। তার বয়স ১৯, তাই আমি যেখানে থাকি সেখানে এটিকে স্বাভাবিক আচরণ হিসেবে দেখা হয়। যা স্বাভাবিক নয় তা হল সে কত ঘন ঘন মদ্যপান করে, সে সপ্তাহে কমপক্ষে ৩ বার মদ্যপান করে, এবং তাকে থামানোর কোনও উপায় নেই। পরিস্থিতি এমন পর্যায়ে পৌঁছেছে"&amp;" যে এই জীবনযাত্রা তার জন্য কিছু বড় পরিকল্পনা নষ্ট করে দিয়েছে। তার বন্ধুরা এবং আমি এটিকে একটি সমস্যা হিসেবে লক্ষ্য করতে শুরু করি যখন সে আমার এক বন্ধুকে ফোন করে বলে যে 'এটি অনেক বেশি হয়ে গেছে', 'আমি আত্মহত্যা করতে যাচ্ছি', 'আমি থামাতে পারছি না'। পরদিন সক"&amp;"ালে সে এটাকে এমনভাবে ঝাঁকালো যেন কিছুই হয়নি। আজ আমি জানতে পারি যে সে অসুস্থ (সম্ভবত কোভিড) কিন্তু তার পরীক্ষা করা হবে না কারণ তাহলে সে আগামীকাল বন্ধুদের জন্মদিনের পার্টিতে পার্টি বাসে মদ্যপান করতে যেতে পারবে না। এটা এমন পর্যায়ে পৌঁছেছে যে সে মদ্যপান বন্"&amp;"ধ করার জন্য মদ্যপান করছে। আমরা যখন তার সাথে যুক্তিসঙ্গতভাবে কথা বলার চেষ্টা করি, তখন সে বলে ""আমি খুশি"", ""আমার থামার দরকার নেই"", ""এটা কোন সমস্যা নয়"" (তবুও সে ফোন কলে বলেছিল যে এটি একটি সমস্যা ছিল, সাহায্যের জন্য ভিক্ষা করছিল এবং বলেছিল যে সে থামতে প"&amp;"ারবে না)। আমি বিশ্বাস করি এই অন্ধত্ব তার সীমান্তরেখা ব্যক্তিত্বের ব্যাধি থেকে এসেছে; তার মস্তিষ্ক অবচেতনভাবে মিথ্যা তৈরি করছে যাতে সে নেতিবাচক আবেগ অনুভব না করে, কারণ সে ১০ গুণ বেশি তীব্র বোধ করে (BPD এর কারণে)। আমি জানি না কী করব এবং আমার কিছু গুরুতর পরা"&amp;"মর্শের প্রয়োজন।")</f>
        <v>আমার বন্ধু সম্প্রতি প্রচুর পরিমাণে মদ্যপান শুরু করেছে। এটি একটি বড় উদ্বেগের বিষয় কারণ তার বর্ডারলাইন পার্সোনালিটি ডিসঅর্ডার আছে। যার ফলে হস্তক্ষেপ করা প্রায় অসম্ভব হয়ে পড়ে। সে প্রায়শই পার্টিতে যায় এবং সাধারণত রাত ৮টা থেকে ভোর ৪টা পর্যন্ত ভোর ৪টা থেকে ৯টা পর্যন্ত মদ্যপান করে। তার বয়স ১৯, তাই আমি যেখানে থাকি সেখানে এটিকে স্বাভাবিক আচরণ হিসেবে দেখা হয়। যা স্বাভাবিক নয় তা হল সে কত ঘন ঘন মদ্যপান করে, সে সপ্তাহে কমপক্ষে ৩ বার মদ্যপান করে, এবং তাকে থামানোর কোনও উপায় নেই। পরিস্থিতি এমন পর্যায়ে পৌঁছেছে যে এই জীবনযাত্রা তার জন্য কিছু বড় পরিকল্পনা নষ্ট করে দিয়েছে। তার বন্ধুরা এবং আমি এটিকে একটি সমস্যা হিসেবে লক্ষ্য করতে শুরু করি যখন সে আমার এক বন্ধুকে ফোন করে বলে যে 'এটি অনেক বেশি হয়ে গেছে', 'আমি আত্মহত্যা করতে যাচ্ছি', 'আমি থামাতে পারছি না'। পরদিন সকালে সে এটাকে এমনভাবে ঝাঁকালো যেন কিছুই হয়নি। আজ আমি জানতে পারি যে সে অসুস্থ (সম্ভবত কোভিড) কিন্তু তার পরীক্ষা করা হবে না কারণ তাহলে সে আগামীকাল বন্ধুদের জন্মদিনের পার্টিতে পার্টি বাসে মদ্যপান করতে যেতে পারবে না। এটা এমন পর্যায়ে পৌঁছেছে যে সে মদ্যপান বন্ধ করার জন্য মদ্যপান করছে। আমরা যখন তার সাথে যুক্তিসঙ্গতভাবে কথা বলার চেষ্টা করি, তখন সে বলে "আমি খুশি", "আমার থামার দরকার নেই", "এটা কোন সমস্যা নয়" (তবুও সে ফোন কলে বলেছিল যে এটি একটি সমস্যা ছিল, সাহায্যের জন্য ভিক্ষা করছিল এবং বলেছিল যে সে থামতে পারবে না)। আমি বিশ্বাস করি এই অন্ধত্ব তার সীমান্তরেখা ব্যক্তিত্বের ব্যাধি থেকে এসেছে; তার মস্তিষ্ক অবচেতনভাবে মিথ্যা তৈরি করছে যাতে সে নেতিবাচক আবেগ অনুভব না করে, কারণ সে ১০ গুণ বেশি তীব্র বোধ করে (BPD এর কারণে)। আমি জানি না কী করব এবং আমার কিছু গুরুতর পরামর্শের প্রয়োজন।</v>
      </c>
    </row>
    <row r="1056" spans="1:3" ht="15" x14ac:dyDescent="0.25">
      <c r="A1056" s="3" t="s">
        <v>1053</v>
      </c>
      <c r="B1056" s="3" t="s">
        <v>997</v>
      </c>
      <c r="C1056" s="4" t="str">
        <f ca="1">IFERROR(__xludf.DUMMYFUNCTION("GOOGLETRANSLATE(A1056, ""auto"", ""bn"")"),"২৭ বছর বয়সী পুরুষ। সপ্তাহে ৩-৪ রাত ৪-৬ বার বিয়ার এবং কমপক্ষে ৪ গ্লাস প্রচুর পরিমাণে হুইস্কি পান করুন। সাধারণত আমি আরও বেশি পান করি, কিন্তু আমার যে ক্ষতি হচ্ছে তা থেকে সেরে ওঠার জন্য আমার একদিন বিশ্রামের প্রয়োজন। আমার ডান দিকের মাঝখান থেকে উপরের পিঠে সত"&amp;"্যিই বিরক্তিকর নিস্তেজ ব্যথা আছে যা কখনও কখনও কাঁধের ব্লেডের মধ্যে চলে যায়। আমি আগে ভেবেছিলাম এটি ধূমপানের কারণে হচ্ছে, কিন্তু গত কয়েক বছর ধরে আমার বেশ কয়েকবার বুকের এক্স-রে করা হয়েছে, এবং তারা বলেছে যে আমি সুস্থ এবং আমার ফুসফুসে কোনও সমস্যা নেই। তাছা"&amp;"ড়া, আমি এখন বুঝতে পারছি যে আমি যখন পান করি তখন এটি সবসময় খারাপ হয়ে যায়, এবং আমি প্রচুর পান করি। প্রচুর পরিমাণেও। এই ব্যথা আমি বুঝতে পেরেছি যে আমার লিভারের কারণে হতে পারে। বর্তমানে, ৫ দিন ধরে পান করিনি এবং ব্যথা কমে গেছে কিন্তু এখনও ব্যথা আছে। আমি ভাবছি"&amp;"লাম যে এই ব্যথা মদ্যপানের ফলে আসার সম্ভাবনা কী এবং আমার লিভার বা কিডনি, অগ্ন্যাশয় বা পিত্তথলিতে এর প্রভাব পড়েছে। আমি মদ্যপান থেকে ৬ মাস ছুটি নিয়েছি। আর এটা ঠিক হয়ে গেল এবং ঘোড়া থেকে পড়ার পরই আবার মাথা চায়ে উঠল। আমি শুধু জানতে চাই নিজেকে ঠিক করার আশা আছ"&amp;"ে কিনা। আমি ক্যান্সার চাই না, অঙ্গ ভাঙা বা অন্য কিছু চাই না। এটা কি পুনর্নির্মাণ করা সম্ভব? আমি এখন যা হয়েছি তা আমার পছন্দ নয়। রাতে ব্যথা বিশেষ করে তীব্র। যেমন একটানা চাপ এবং ব্যথা। আমি খুব শীঘ্রই মদ্যপান ছেড়ে দেব না। আর আমি ধূমপান ত্যাগ করার চেষ্টা করছি"&amp;"। এছাড়াও, আমার ডায়েটে প্রচুর পরিমাণে চর্বি এবং চর্বিযুক্ত খাবার থাকে। প্রচুর স্বাস্থ্যকর চর্বি। কিন্তু প্রচুর পরিমাণে চর্বিযুক্ত চর্বিযুক্ত খাবারও। সম্পাদনা: আরও যোগ করতে চাই যে আমার ডান পাঁজরে মাঝে মাঝে ছুরিকাঘাতের ব্যথা হয়েছে। কিন্তু খুব কমই ঘটেছে। তা"&amp;"ই এর বেশিরভাগই ডান দিকের মাঝামাঝি থেকে উপরের পিঠের ব্যথা।")</f>
        <v>২৭ বছর বয়সী পুরুষ। সপ্তাহে ৩-৪ রাত ৪-৬ বার বিয়ার এবং কমপক্ষে ৪ গ্লাস প্রচুর পরিমাণে হুইস্কি পান করুন। সাধারণত আমি আরও বেশি পান করি, কিন্তু আমার যে ক্ষতি হচ্ছে তা থেকে সেরে ওঠার জন্য আমার একদিন বিশ্রামের প্রয়োজন। আমার ডান দিকের মাঝখান থেকে উপরের পিঠে সত্যিই বিরক্তিকর নিস্তেজ ব্যথা আছে যা কখনও কখনও কাঁধের ব্লেডের মধ্যে চলে যায়। আমি আগে ভেবেছিলাম এটি ধূমপানের কারণে হচ্ছে, কিন্তু গত কয়েক বছর ধরে আমার বেশ কয়েকবার বুকের এক্স-রে করা হয়েছে, এবং তারা বলেছে যে আমি সুস্থ এবং আমার ফুসফুসে কোনও সমস্যা নেই। তাছাড়া, আমি এখন বুঝতে পারছি যে আমি যখন পান করি তখন এটি সবসময় খারাপ হয়ে যায়, এবং আমি প্রচুর পান করি। প্রচুর পরিমাণেও। এই ব্যথা আমি বুঝতে পেরেছি যে আমার লিভারের কারণে হতে পারে। বর্তমানে, ৫ দিন ধরে পান করিনি এবং ব্যথা কমে গেছে কিন্তু এখনও ব্যথা আছে। আমি ভাবছিলাম যে এই ব্যথা মদ্যপানের ফলে আসার সম্ভাবনা কী এবং আমার লিভার বা কিডনি, অগ্ন্যাশয় বা পিত্তথলিতে এর প্রভাব পড়েছে। আমি মদ্যপান থেকে ৬ মাস ছুটি নিয়েছি। আর এটা ঠিক হয়ে গেল এবং ঘোড়া থেকে পড়ার পরই আবার মাথা চায়ে উঠল। আমি শুধু জানতে চাই নিজেকে ঠিক করার আশা আছে কিনা। আমি ক্যান্সার চাই না, অঙ্গ ভাঙা বা অন্য কিছু চাই না। এটা কি পুনর্নির্মাণ করা সম্ভব? আমি এখন যা হয়েছি তা আমার পছন্দ নয়। রাতে ব্যথা বিশেষ করে তীব্র। যেমন একটানা চাপ এবং ব্যথা। আমি খুব শীঘ্রই মদ্যপান ছেড়ে দেব না। আর আমি ধূমপান ত্যাগ করার চেষ্টা করছি। এছাড়াও, আমার ডায়েটে প্রচুর পরিমাণে চর্বি এবং চর্বিযুক্ত খাবার থাকে। প্রচুর স্বাস্থ্যকর চর্বি। কিন্তু প্রচুর পরিমাণে চর্বিযুক্ত চর্বিযুক্ত খাবারও। সম্পাদনা: আরও যোগ করতে চাই যে আমার ডান পাঁজরে মাঝে মাঝে ছুরিকাঘাতের ব্যথা হয়েছে। কিন্তু খুব কমই ঘটেছে। তাই এর বেশিরভাগই ডান দিকের মাঝামাঝি থেকে উপরের পিঠের ব্যথা।</v>
      </c>
    </row>
    <row r="1057" spans="1:3" ht="15" x14ac:dyDescent="0.25">
      <c r="A1057" s="3" t="s">
        <v>1054</v>
      </c>
      <c r="B1057" s="3" t="s">
        <v>997</v>
      </c>
      <c r="C1057" s="4" t="str">
        <f ca="1">IFERROR(__xludf.DUMMYFUNCTION("GOOGLETRANSLATE(A1057, ""auto"", ""bn"")"),"আমি এটা ঘৃণা করি। আমি গন্ধ ঘৃণা করি। তাছাড়া, আমি শব্দ ঘৃণা করি। তাছাড়া, আমি কেবল নিজেকে জোর করে এটি পান করতে পারি, যার সাথে সাথেই স্বাদে উচ্চ এবং সাধারণত উচ্চ চিনিযুক্ত কিছু পান করি। তবুও এটি আমার গ্যাগ রিফ্লেক্সকে তাড়া করে। আমার শরীর এটি প্রত্যাখ্যান "&amp;"করে। এটি পান করার সময় আমার খারাপ লাগে। আমি এর দাম ঘৃণা করি। তাছাড়া, বোতলের দোকানে গিয়ে এটি কিনতে আমার ঘৃণা হয়। তাছাড়া, এর কারণে আমি যা করতে পারি না তার সবই আমি ঘৃণা করি। তাছাড়া, আমি এটি বিনোদনমূলকভাবে করছি না। তাছাড়া, আমি এটি করছি না কারণ আমি এটি ক"&amp;"োনওভাবেই পছন্দ করি। যদি আমি একই প্রভাব অর্জনের জন্য নিজের মুখে থাপ্পড় মারতে পারি, তাহলে আরও ভালো। আমি জানি না এই পোস্টের উদ্দেশ্য কী। আমি মনে করি আমি কেবল ইগো ডাইস্টোনিক অ্যালকোহলিকদের সম্পর্কে আগ্রহী - আমার মতো।")</f>
        <v>আমি এটা ঘৃণা করি। আমি গন্ধ ঘৃণা করি। তাছাড়া, আমি শব্দ ঘৃণা করি। তাছাড়া, আমি কেবল নিজেকে জোর করে এটি পান করতে পারি, যার সাথে সাথেই স্বাদে উচ্চ এবং সাধারণত উচ্চ চিনিযুক্ত কিছু পান করি। তবুও এটি আমার গ্যাগ রিফ্লেক্সকে তাড়া করে। আমার শরীর এটি প্রত্যাখ্যান করে। এটি পান করার সময় আমার খারাপ লাগে। আমি এর দাম ঘৃণা করি। তাছাড়া, বোতলের দোকানে গিয়ে এটি কিনতে আমার ঘৃণা হয়। তাছাড়া, এর কারণে আমি যা করতে পারি না তার সবই আমি ঘৃণা করি। তাছাড়া, আমি এটি বিনোদনমূলকভাবে করছি না। তাছাড়া, আমি এটি করছি না কারণ আমি এটি কোনওভাবেই পছন্দ করি। যদি আমি একই প্রভাব অর্জনের জন্য নিজের মুখে থাপ্পড় মারতে পারি, তাহলে আরও ভালো। আমি জানি না এই পোস্টের উদ্দেশ্য কী। আমি মনে করি আমি কেবল ইগো ডাইস্টোনিক অ্যালকোহলিকদের সম্পর্কে আগ্রহী - আমার মতো।</v>
      </c>
    </row>
    <row r="1058" spans="1:3" ht="15" x14ac:dyDescent="0.25">
      <c r="A1058" s="3" t="s">
        <v>1055</v>
      </c>
      <c r="B1058" s="3" t="s">
        <v>997</v>
      </c>
      <c r="C1058" s="4" t="str">
        <f ca="1">IFERROR(__xludf.DUMMYFUNCTION("GOOGLETRANSLATE(A1058, ""auto"", ""bn"")"),"আমি ধ্বংসের পথে হাটছি। আমি বারবার যে নেশার দিকে ফিরে আসছি তা হল অ্যালকোহল। এই মুহূর্তে আমি কী করব তাও জানি না। আমি আমার বোনকে সাহায্যের জন্য ফোন করেছিলাম। কিন্তু সকালে তাকে আশ্বস্ত করেছিলাম যে আমি নাটকীয়ভাবে আসক্ত। এটি আমার জীবনের সবচেয়ে খারাপ সময়। আমি"&amp;" বিস্তারিত বলতে চাই না, তবে এটি আমার জীবনের সবচেয়ে খারাপ সময়, কিন্তু আমি এখনও নিজেকে সাহায্য করতে পারছি না। দয়া করে কিছু বলুন। কী করব সে সম্পর্কে আপনার কোন পরামর্শ আছে।")</f>
        <v>আমি ধ্বংসের পথে হাটছি। আমি বারবার যে নেশার দিকে ফিরে আসছি তা হল অ্যালকোহল। এই মুহূর্তে আমি কী করব তাও জানি না। আমি আমার বোনকে সাহায্যের জন্য ফোন করেছিলাম। কিন্তু সকালে তাকে আশ্বস্ত করেছিলাম যে আমি নাটকীয়ভাবে আসক্ত। এটি আমার জীবনের সবচেয়ে খারাপ সময়। আমি বিস্তারিত বলতে চাই না, তবে এটি আমার জীবনের সবচেয়ে খারাপ সময়, কিন্তু আমি এখনও নিজেকে সাহায্য করতে পারছি না। দয়া করে কিছু বলুন। কী করব সে সম্পর্কে আপনার কোন পরামর্শ আছে।</v>
      </c>
    </row>
    <row r="1059" spans="1:3" ht="15" x14ac:dyDescent="0.25">
      <c r="A1059" s="3" t="s">
        <v>1056</v>
      </c>
      <c r="B1059" s="3" t="s">
        <v>997</v>
      </c>
      <c r="C1059" s="4" t="str">
        <f ca="1">IFERROR(__xludf.DUMMYFUNCTION("GOOGLETRANSLATE(A1059, ""auto"", ""bn"")"),"তাই আমি আগামী ৬ মাসের জন্য বিরতি নিচ্ছি কারণ গত মাসটা আমার নিয়ন্ত্রণের বাইরে চলে যাচ্ছিল। আমি ভাবছিলাম তোমরা তোমাদের ক্ষুধা নিয়ন্ত্রণে রাখার জন্য কী করো? আমি সাধারণত আমার শরীরের অস্থিরতার কারণে মদ্যপান করতাম, এবং এটি আমাকে ভুলে গিয়েছিল যে আমি আমার শরীর"&amp;"কে ঘৃণা করি, এবং আজ আমি সত্যিই খারাপ অনুভব করছি।")</f>
        <v>তাই আমি আগামী ৬ মাসের জন্য বিরতি নিচ্ছি কারণ গত মাসটা আমার নিয়ন্ত্রণের বাইরে চলে যাচ্ছিল। আমি ভাবছিলাম তোমরা তোমাদের ক্ষুধা নিয়ন্ত্রণে রাখার জন্য কী করো? আমি সাধারণত আমার শরীরের অস্থিরতার কারণে মদ্যপান করতাম, এবং এটি আমাকে ভুলে গিয়েছিল যে আমি আমার শরীরকে ঘৃণা করি, এবং আজ আমি সত্যিই খারাপ অনুভব করছি।</v>
      </c>
    </row>
    <row r="1060" spans="1:3" ht="15" x14ac:dyDescent="0.25">
      <c r="A1060" s="3" t="s">
        <v>1057</v>
      </c>
      <c r="B1060" s="3" t="s">
        <v>997</v>
      </c>
      <c r="C1060" s="4" t="str">
        <f ca="1">IFERROR(__xludf.DUMMYFUNCTION("GOOGLETRANSLATE(A1060, ""auto"", ""bn"")"),"তুমি কতটা মদ্যপান করেছো বা করছো এবং কতদিন ধরে? ২০ এবং ৩০ এর কোঠায় যাদের লিভারের রোগ শেষ পর্যায়ে আছে এবং যারা খুব বেশিদিন ধরে মদ্যপান করেনি তাদের কথা পড়ে আমার ভয় হচ্ছে। আমি দুই বছর ধরে প্রতিদিন অর্ধেক পান করছি এবং আমি আতঙ্কিত।")</f>
        <v>তুমি কতটা মদ্যপান করেছো বা করছো এবং কতদিন ধরে? ২০ এবং ৩০ এর কোঠায় যাদের লিভারের রোগ শেষ পর্যায়ে আছে এবং যারা খুব বেশিদিন ধরে মদ্যপান করেনি তাদের কথা পড়ে আমার ভয় হচ্ছে। আমি দুই বছর ধরে প্রতিদিন অর্ধেক পান করছি এবং আমি আতঙ্কিত।</v>
      </c>
    </row>
    <row r="1061" spans="1:3" ht="15" x14ac:dyDescent="0.25">
      <c r="A1061" s="3" t="s">
        <v>1058</v>
      </c>
      <c r="B1061" s="3" t="s">
        <v>997</v>
      </c>
      <c r="C1061" s="4" t="str">
        <f ca="1">IFERROR(__xludf.DUMMYFUNCTION("GOOGLETRANSLATE(A1061, ""auto"", ""bn"")"),"নভেম্বরে আমি আবার সুস্থ হয়ে উঠি কিন্তু দ্বিগুণ তীব্রভাবে অসুস্থ হয়ে পড়ি। আমি প্রতিদিন এক লিটার হুইস্কি পান করতাম। তাছাড়া, প্রতি কয়েক ঘন্টা অন্তর আমার তীব্র প্রত্যাহার শুরু হয়, তাই আমি অন্য দিন জরুরি কক্ষে যাই। তারা আমাকে কিছু ভ্যালিয়াম ইনজেকশন দেয়"&amp;" যা প্রত্যাহার এবং উদ্বেগ কমাতে অনেক সাহায্য করে। তারপর তারা আমাকে 25 মিলিগ্রাম লিব্রিয়াম দিয়ে বাড়িতে পাঠিয়ে দেয়, কিন্তু মাত্র দশটি। আমি চিন্তিত যে এই পরিমাণটি যথেষ্ট দীর্ঘস্থায়ী হবে না, তবে এখন পর্যন্ত আমি সুস্থ।")</f>
        <v>নভেম্বরে আমি আবার সুস্থ হয়ে উঠি কিন্তু দ্বিগুণ তীব্রভাবে অসুস্থ হয়ে পড়ি। আমি প্রতিদিন এক লিটার হুইস্কি পান করতাম। তাছাড়া, প্রতি কয়েক ঘন্টা অন্তর আমার তীব্র প্রত্যাহার শুরু হয়, তাই আমি অন্য দিন জরুরি কক্ষে যাই। তারা আমাকে কিছু ভ্যালিয়াম ইনজেকশন দেয় যা প্রত্যাহার এবং উদ্বেগ কমাতে অনেক সাহায্য করে। তারপর তারা আমাকে 25 মিলিগ্রাম লিব্রিয়াম দিয়ে বাড়িতে পাঠিয়ে দেয়, কিন্তু মাত্র দশটি। আমি চিন্তিত যে এই পরিমাণটি যথেষ্ট দীর্ঘস্থায়ী হবে না, তবে এখন পর্যন্ত আমি সুস্থ।</v>
      </c>
    </row>
    <row r="1062" spans="1:3" ht="15" x14ac:dyDescent="0.25">
      <c r="A1062" s="3" t="s">
        <v>1059</v>
      </c>
      <c r="B1062" s="3" t="s">
        <v>997</v>
      </c>
      <c r="C1062" s="4" t="str">
        <f ca="1">IFERROR(__xludf.DUMMYFUNCTION("GOOGLETRANSLATE(A1062, ""auto"", ""bn"")"),"মানুষ মদ্যপানে আটকা পড়ার প্রধান কারণ কী বলে তুমি মনে করো, এমনকি যখন তারা জানে যে এটি তাদের জন্য খারাপ এবং তারা মদ্যপান বন্ধ করতে চাইবে? তারা কি ... ক) জীবনের জন্য মদ্যপান ত্যাগ করার কথা কল্পনা করতে পারে না খ) ১২টি পদক্ষেপ এবং সভা করতে চায় না গ) মদ্যপানের"&amp;" বিষয়ে চিন্তাভাবনা, আকাঙ্ক্ষা থামাতে পারে না ঘ) মদ্যপান শুরু করার পরে থামাতে পারে না ই) মনে করে তাদের এমন একটি রোগ আছে যা নিরাময় করা যায় না চ) মনে করে তারা একজন খারাপ ব্যক্তি, অনৈতিক ইত্যাদি। গ) তাদের জীবন নিয়ে অসন্তুষ্ট, হারিয়ে যাওয়া ভালোবাসা জ) অন"&amp;"্যান্য ...")</f>
        <v>মানুষ মদ্যপানে আটকা পড়ার প্রধান কারণ কী বলে তুমি মনে করো, এমনকি যখন তারা জানে যে এটি তাদের জন্য খারাপ এবং তারা মদ্যপান বন্ধ করতে চাইবে? তারা কি ... ক) জীবনের জন্য মদ্যপান ত্যাগ করার কথা কল্পনা করতে পারে না খ) ১২টি পদক্ষেপ এবং সভা করতে চায় না গ) মদ্যপানের বিষয়ে চিন্তাভাবনা, আকাঙ্ক্ষা থামাতে পারে না ঘ) মদ্যপান শুরু করার পরে থামাতে পারে না ই) মনে করে তাদের এমন একটি রোগ আছে যা নিরাময় করা যায় না চ) মনে করে তারা একজন খারাপ ব্যক্তি, অনৈতিক ইত্যাদি। গ) তাদের জীবন নিয়ে অসন্তুষ্ট, হারিয়ে যাওয়া ভালোবাসা জ) অন্যান্য ...</v>
      </c>
    </row>
    <row r="1063" spans="1:3" ht="15" x14ac:dyDescent="0.25">
      <c r="A1063" s="3" t="s">
        <v>1060</v>
      </c>
      <c r="B1063" s="3" t="s">
        <v>997</v>
      </c>
      <c r="C1063" s="4" t="str">
        <f ca="1">IFERROR(__xludf.DUMMYFUNCTION("GOOGLETRANSLATE(A1063, ""auto"", ""bn"")"),"আমি শুরুতেই বলবো, আমার বয়স ২০ বছর ধরেই আমি মদ্যপ। গত ৬ বছর ধরে প্রতি রাতে মাতাল হওয়া পর্যন্ত মদ্যপান করেছি। দীর্ঘস্থায়ী অনিদ্রার কারণে আমি প্রথমে মদ্যপান শুরু করেছিলাম, যার ফলে কোনও ঘুমের ওষুধই সাহায্য করত না। অন্যদিকে অ্যালকোহল আমাকে ক্লান্ত করে দিত। আম"&amp;"ার স্বাভাবিক মদ্যপানের রুটিন ছিল ৮% লম্বা ছেলে/৬% লম্বা ছেলে এবং ঘুমাতে যাওয়ার কয়েক ঘন্টা আগে ১৬ আউন্স ৫.৫%। আমি দিনের বেলায় কখনও মদ্যপান করিনি। এই ক্রিসমাসে আমার পরিবার আমাকে প্রচুর মদ্যপান কিনেছিল এবং আমি প্রায় ২ মাস ধরে আমার বেসলাইনের চেয়ে অনেক বেশ"&amp;"ি মদ্যপান করেছি। আমি কমানোর চেষ্টা করেছি কিন্তু প্রতিবারই ব্যর্থ হয়েছি। আমার আবেগ নিয়ন্ত্রণ খুব কম। তাছাড়া, আমি এতটাই উদ্বেগের সাথে ঘুম থেকে উঠছিলাম যে আমাকে কেবল আয়নার সামনে দাঁড়িয়ে নিজের সাথে কথা বলতে হয়েছিল যাতে প্যানিক অ্যাটাক না হয়। তাছাড়া, আম"&amp;"ার মনে হচ্ছিল আমি যতক্ষণ না মদ্যপান করি ততক্ষণ আমি মারা যাচ্ছি। তাছাড়া, আমি যতটুকু করেছি ততটুকুই যথেষ্ট। মদ্যপান বন্ধ করার জন্য প্রচুর ভিডিও দেখেছি এবং এই সাব এবং স্টপ মদ্যপান ওয়ানটি দেখেছি। আমার পক্ষে ঠান্ডা করা সম্ভব ছিল না এবং আমার কাছে ডিটক্স নেওয়ার "&amp;"মতো টাকাও ছিল না, তাই টেপারিং ছিল আমার একমাত্র বিকল্প। গত দুই সপ্তাহ ধরে আমি প্রত্যাহার রোধ করার জন্য যথেষ্ট পরিমাণে পান করেছি। কয়েক ঘন্টার মধ্যে আমি মাত্র একবার 4% টলবয় পান করেছি। এখন আমার শেষ পানীয়টি প্রায় 75 ঘন্টা পরেও নেই। তাছাড়া, আমার কিছু উদ্বেগ"&amp;" এবং হৃদস্পন্দন ছিল কিন্তু প্রত্যাহার কমে যাওয়ার আগের তুলনায় এটি বেশ হালকা ছিল। অ্যালকোহল ছাড়া প্রায় 72 ঘন্টা পরে আমার সবচেয়ে খারাপ উদ্বেগ শুরু হয়েছিল। আমি এর 3 ঘন্টা পরেও, এবং এটি এখনও ভয়াবহ। আমার প্রচণ্ড মাথাব্যথাও আছে এবং অস্থিরতা থামাতে পারছি ন"&amp;"া। আমার পিঠে ব্যথা হচ্ছে, এবং আমার বুকে প্রচুর ব্যথা হয়েছে যা আমি দেখেছি প্রত্যাহারের ক্ষেত্রে সাধারণ ছিল। আমি যে ভিডিও/প্রবন্ধটি পড়েছি তাতে বলা হয়েছে যে DTS না থাকলে প্রত্যাহারের সবচেয়ে খারাপ সময় হল 72 ঘন্টার মধ্যে, এবং আপনি যত বেশি সময় ধরে অ্যালকো"&amp;"হল থেকে বিরত থাকবেন ততই এটি ভালো হয়ে যায়। কিন্তু আমি আগের চেয়ে অনেক খারাপ অনুভব করছি। আমি জানি না এটা উদ্বেগের কারণ কিনা, কিন্তু আমার মনে হচ্ছে কিছু একটা খুব খারাপ হচ্ছে। আমার গাড়ির ব্যবস্থা নেই, তবে আমার পরিবারের কেউ আমাকে ডাক্তারের কাছে নিয়ে যেতে প"&amp;"ারে। তাছাড়া, আমি পড়েছি যে বেজোস ছাড়া যদি আপনি দীর্ঘদিন ধরে অ্যালকোহল ব্যবহার করেন তবে আপনার অ্যালকোহল ব্যবহার বন্ধ করার চেষ্টা করা উচিত নয়। তাছাড়া, আমি ভাবছি যে সেই জাহাজটি কি চলে গেছে। তারা দেখবে যে আমি ৭৫ ঘন্টা ধরে পানীয় ছাড়া আছি এবং আমাকে বাড়িত"&amp;"ে পাঠিয়ে দেবে। নিজেকে শান্ত করার জন্য আমাকে বারবার এটি লিখতে হয়েছে, কিন্তু আমার সত্যিই খারাপ লাগছে। এটা কি স্বাভাবিক? আমি জানি না আমি কোন স্তরে আছি, কিন্তু আমার উদ্বেগ আমাকে সবচেয়ে খারাপ ভয় দিচ্ছে। আমার সত্যিই মনে হচ্ছে আমার শরীরকে শান্ত করার জন্য বেজ"&amp;"োসের প্রয়োজন। তাছাড়া, আপনি আমাকে যে কোনও পরামর্শ দিতে পারেন তার জন্য আমি কৃতজ্ঞ।")</f>
        <v>আমি শুরুতেই বলবো, আমার বয়স ২০ বছর ধরেই আমি মদ্যপ। গত ৬ বছর ধরে প্রতি রাতে মাতাল হওয়া পর্যন্ত মদ্যপান করেছি। দীর্ঘস্থায়ী অনিদ্রার কারণে আমি প্রথমে মদ্যপান শুরু করেছিলাম, যার ফলে কোনও ঘুমের ওষুধই সাহায্য করত না। অন্যদিকে অ্যালকোহল আমাকে ক্লান্ত করে দিত। আমার স্বাভাবিক মদ্যপানের রুটিন ছিল ৮% লম্বা ছেলে/৬% লম্বা ছেলে এবং ঘুমাতে যাওয়ার কয়েক ঘন্টা আগে ১৬ আউন্স ৫.৫%। আমি দিনের বেলায় কখনও মদ্যপান করিনি। এই ক্রিসমাসে আমার পরিবার আমাকে প্রচুর মদ্যপান কিনেছিল এবং আমি প্রায় ২ মাস ধরে আমার বেসলাইনের চেয়ে অনেক বেশি মদ্যপান করেছি। আমি কমানোর চেষ্টা করেছি কিন্তু প্রতিবারই ব্যর্থ হয়েছি। আমার আবেগ নিয়ন্ত্রণ খুব কম। তাছাড়া, আমি এতটাই উদ্বেগের সাথে ঘুম থেকে উঠছিলাম যে আমাকে কেবল আয়নার সামনে দাঁড়িয়ে নিজের সাথে কথা বলতে হয়েছিল যাতে প্যানিক অ্যাটাক না হয়। তাছাড়া, আমার মনে হচ্ছিল আমি যতক্ষণ না মদ্যপান করি ততক্ষণ আমি মারা যাচ্ছি। তাছাড়া, আমি যতটুকু করেছি ততটুকুই যথেষ্ট। মদ্যপান বন্ধ করার জন্য প্রচুর ভিডিও দেখেছি এবং এই সাব এবং স্টপ মদ্যপান ওয়ানটি দেখেছি। আমার পক্ষে ঠান্ডা করা সম্ভব ছিল না এবং আমার কাছে ডিটক্স নেওয়ার মতো টাকাও ছিল না, তাই টেপারিং ছিল আমার একমাত্র বিকল্প। গত দুই সপ্তাহ ধরে আমি প্রত্যাহার রোধ করার জন্য যথেষ্ট পরিমাণে পান করেছি। কয়েক ঘন্টার মধ্যে আমি মাত্র একবার 4% টলবয় পান করেছি। এখন আমার শেষ পানীয়টি প্রায় 75 ঘন্টা পরেও নেই। তাছাড়া, আমার কিছু উদ্বেগ এবং হৃদস্পন্দন ছিল কিন্তু প্রত্যাহার কমে যাওয়ার আগের তুলনায় এটি বেশ হালকা ছিল। অ্যালকোহল ছাড়া প্রায় 72 ঘন্টা পরে আমার সবচেয়ে খারাপ উদ্বেগ শুরু হয়েছিল। আমি এর 3 ঘন্টা পরেও, এবং এটি এখনও ভয়াবহ। আমার প্রচণ্ড মাথাব্যথাও আছে এবং অস্থিরতা থামাতে পারছি না। আমার পিঠে ব্যথা হচ্ছে, এবং আমার বুকে প্রচুর ব্যথা হয়েছে যা আমি দেখেছি প্রত্যাহারের ক্ষেত্রে সাধারণ ছিল। আমি যে ভিডিও/প্রবন্ধটি পড়েছি তাতে বলা হয়েছে যে DTS না থাকলে প্রত্যাহারের সবচেয়ে খারাপ সময় হল 72 ঘন্টার মধ্যে, এবং আপনি যত বেশি সময় ধরে অ্যালকোহল থেকে বিরত থাকবেন ততই এটি ভালো হয়ে যায়। কিন্তু আমি আগের চেয়ে অনেক খারাপ অনুভব করছি। আমি জানি না এটা উদ্বেগের কারণ কিনা, কিন্তু আমার মনে হচ্ছে কিছু একটা খুব খারাপ হচ্ছে। আমার গাড়ির ব্যবস্থা নেই, তবে আমার পরিবারের কেউ আমাকে ডাক্তারের কাছে নিয়ে যেতে পারে। তাছাড়া, আমি পড়েছি যে বেজোস ছাড়া যদি আপনি দীর্ঘদিন ধরে অ্যালকোহল ব্যবহার করেন তবে আপনার অ্যালকোহল ব্যবহার বন্ধ করার চেষ্টা করা উচিত নয়। তাছাড়া, আমি ভাবছি যে সেই জাহাজটি কি চলে গেছে। তারা দেখবে যে আমি ৭৫ ঘন্টা ধরে পানীয় ছাড়া আছি এবং আমাকে বাড়িতে পাঠিয়ে দেবে। নিজেকে শান্ত করার জন্য আমাকে বারবার এটি লিখতে হয়েছে, কিন্তু আমার সত্যিই খারাপ লাগছে। এটা কি স্বাভাবিক? আমি জানি না আমি কোন স্তরে আছি, কিন্তু আমার উদ্বেগ আমাকে সবচেয়ে খারাপ ভয় দিচ্ছে। আমার সত্যিই মনে হচ্ছে আমার শরীরকে শান্ত করার জন্য বেজোসের প্রয়োজন। তাছাড়া, আপনি আমাকে যে কোনও পরামর্শ দিতে পারেন তার জন্য আমি কৃতজ্ঞ।</v>
      </c>
    </row>
    <row r="1064" spans="1:3" ht="15" x14ac:dyDescent="0.25">
      <c r="A1064" s="3" t="s">
        <v>1061</v>
      </c>
      <c r="B1064" s="3" t="s">
        <v>997</v>
      </c>
      <c r="C1064" s="4" t="str">
        <f ca="1">IFERROR(__xludf.DUMMYFUNCTION("GOOGLETRANSLATE(A1064, ""auto"", ""bn"")"),"আমি যখনই পান করি, তখনই আমার মুখের ভেতর সিস্টিক ব্রণ দেখা দেয়, যদিও আমার বয়স ২০ এর মাঝামাঝি। আমি একগুচ্ছ ইনডেক্স কার্ড রাখি, যার প্রতিটিতে আলাদা আলাদা কারণ থাকে, ""তোমার ত্বক পরিষ্কার?""। কিছু দিন? পরের দিন ঠিক করার জন্য তোমার শুধু একটা বোকা জিনিসের প্রয"&amp;"়োজন হয়।")</f>
        <v>আমি যখনই পান করি, তখনই আমার মুখের ভেতর সিস্টিক ব্রণ দেখা দেয়, যদিও আমার বয়স ২০ এর মাঝামাঝি। আমি একগুচ্ছ ইনডেক্স কার্ড রাখি, যার প্রতিটিতে আলাদা আলাদা কারণ থাকে, "তোমার ত্বক পরিষ্কার?"। কিছু দিন? পরের দিন ঠিক করার জন্য তোমার শুধু একটা বোকা জিনিসের প্রয়োজন হয়।</v>
      </c>
    </row>
    <row r="1065" spans="1:3" ht="15" x14ac:dyDescent="0.25">
      <c r="A1065" s="3" t="s">
        <v>1062</v>
      </c>
      <c r="B1065" s="3" t="s">
        <v>997</v>
      </c>
      <c r="C1065" s="4" t="str">
        <f ca="1">IFERROR(__xludf.DUMMYFUNCTION("GOOGLETRANSLATE(A1065, ""auto"", ""bn"")"),"আমার কাছে এটা একটা বিষাক্ত সেরা বন্ধুর মতো মনে হয়। যখন তুমি তাদের আশেপাশে থাকো, তখন সবকিছুই দারুন লাগে। তুমি মজা করছো, জিনিস উপভোগ করছো এবং মুহূর্তের জন্য, পৃথিবীটা দারুন লাগে। কিন্তু বিষাক্ততা এসে গ্যাসলাইটিং করে, এবং এটি এমন এক যুদ্ধে পরিণত হয়। কিন্তু"&amp;" এটি কেটে ফেলা কঠিন। তুমি জানো তোমাকে এটি কেটে ফেলতে হবে, কিন্তু পরিবর্তে তুমি আরও কিছুর জন্য ফিরে আসো। এবং চক্রটি চলতেই থাকে। আমি আশা করি একদিন আমি এটি থেকে বেরিয়ে আসতে পারব। কিন্তু এটি এত ভারী আঁকড়ে ধরে আছে। হয়তো আমি আমার পরিচয়ের অংশ বলে মনে হয় এমন"&amp;" জিনিস হারাতে ভয় পাই? ""সংযমী?"" আমি দেখতে কেমন? এটা করা খুব সহজ মনে হয় কিন্তু তারপর তা হয় না।")</f>
        <v>আমার কাছে এটা একটা বিষাক্ত সেরা বন্ধুর মতো মনে হয়। যখন তুমি তাদের আশেপাশে থাকো, তখন সবকিছুই দারুন লাগে। তুমি মজা করছো, জিনিস উপভোগ করছো এবং মুহূর্তের জন্য, পৃথিবীটা দারুন লাগে। কিন্তু বিষাক্ততা এসে গ্যাসলাইটিং করে, এবং এটি এমন এক যুদ্ধে পরিণত হয়। কিন্তু এটি কেটে ফেলা কঠিন। তুমি জানো তোমাকে এটি কেটে ফেলতে হবে, কিন্তু পরিবর্তে তুমি আরও কিছুর জন্য ফিরে আসো। এবং চক্রটি চলতেই থাকে। আমি আশা করি একদিন আমি এটি থেকে বেরিয়ে আসতে পারব। কিন্তু এটি এত ভারী আঁকড়ে ধরে আছে। হয়তো আমি আমার পরিচয়ের অংশ বলে মনে হয় এমন জিনিস হারাতে ভয় পাই? "সংযমী?" আমি দেখতে কেমন? এটা করা খুব সহজ মনে হয় কিন্তু তারপর তা হয় না।</v>
      </c>
    </row>
    <row r="1066" spans="1:3" ht="15" x14ac:dyDescent="0.25">
      <c r="A1066" s="3" t="s">
        <v>1063</v>
      </c>
      <c r="B1066" s="3" t="s">
        <v>997</v>
      </c>
      <c r="C1066" s="4" t="str">
        <f ca="1">IFERROR(__xludf.DUMMYFUNCTION("GOOGLETRANSLATE(A1066, ""auto"", ""bn"")"),"তাই দীর্ঘদিন ধরে মাদকাসক্তি প্রত্যাহার এবং অনেকবার মাদকাসক্তির পর অবশেষে আমি সুস্থ থাকার একটা উপায় খুঁজে পেলাম। শারীরিকভাবে আমি খুব ভালো বোধ করছি, দ্রুত আমার পেশীগুলো অনেক শক্তিশালী হয়ে উঠেছে, আমার ত্বক অনেক ভালো দেখাচ্ছে, আমার চোখ আবার ""উজ্জ্বল"" হয়ে"&amp;" উঠেছে, আমি আবার সরাসরি চিন্তা করতে পারি, এবং আমি এটাকে সেভাবেই রাখতে চাই। কিন্তু আমি বুঝতে পারলাম যে আমি অদ্ভুত, যদিও আমি সব সময় মদ্যপান করতাম, আমি (স্পষ্টতই) সবচেয়ে বেশি যোগাযোগকারী ব্যক্তি ছিলাম। এখন আমি মানুষের সাথে খুব অদ্ভুত আচরণ করছি, মনে হয় না "&amp;"যে আমি দলের অংশ এবং আমি একা থাকতে ঘৃণা করি কিন্তু যদি আমি অন্য লোকেদের সাথে থাকি তবে আমিও দ্রুত বিরক্ত হয়ে পড়ি। এই জিনিসগুলির বেশিরভাগই একটি বড় কারণ ছিল কেন আমার মদ্যপান এত খারাপ হয়ে গেল, তাই অ্যালকোহল বা অন্যান্য মাদকের উপর নির্ভর না করে আমার সামাজিক"&amp;" দক্ষতা উন্নত করার জন্য আমি কী করতে পারি?")</f>
        <v>তাই দীর্ঘদিন ধরে মাদকাসক্তি প্রত্যাহার এবং অনেকবার মাদকাসক্তির পর অবশেষে আমি সুস্থ থাকার একটা উপায় খুঁজে পেলাম। শারীরিকভাবে আমি খুব ভালো বোধ করছি, দ্রুত আমার পেশীগুলো অনেক শক্তিশালী হয়ে উঠেছে, আমার ত্বক অনেক ভালো দেখাচ্ছে, আমার চোখ আবার "উজ্জ্বল" হয়ে উঠেছে, আমি আবার সরাসরি চিন্তা করতে পারি, এবং আমি এটাকে সেভাবেই রাখতে চাই। কিন্তু আমি বুঝতে পারলাম যে আমি অদ্ভুত, যদিও আমি সব সময় মদ্যপান করতাম, আমি (স্পষ্টতই) সবচেয়ে বেশি যোগাযোগকারী ব্যক্তি ছিলাম। এখন আমি মানুষের সাথে খুব অদ্ভুত আচরণ করছি, মনে হয় না যে আমি দলের অংশ এবং আমি একা থাকতে ঘৃণা করি কিন্তু যদি আমি অন্য লোকেদের সাথে থাকি তবে আমিও দ্রুত বিরক্ত হয়ে পড়ি। এই জিনিসগুলির বেশিরভাগই একটি বড় কারণ ছিল কেন আমার মদ্যপান এত খারাপ হয়ে গেল, তাই অ্যালকোহল বা অন্যান্য মাদকের উপর নির্ভর না করে আমার সামাজিক দক্ষতা উন্নত করার জন্য আমি কী করতে পারি?</v>
      </c>
    </row>
    <row r="1067" spans="1:3" ht="15" x14ac:dyDescent="0.25">
      <c r="A1067" s="3" t="s">
        <v>1064</v>
      </c>
      <c r="B1067" s="3" t="s">
        <v>997</v>
      </c>
      <c r="C1067" s="4" t="str">
        <f ca="1">IFERROR(__xludf.DUMMYFUNCTION("GOOGLETRANSLATE(A1067, ""auto"", ""bn"")"),"গত বছর ২ মাসের মধ্যে আমার ২টি OWI হয়েছিল (মদ্যপানের সাথে সম্পর্কিত নয় - আমি Xanax নিচ্ছিলাম) এবং আমি আমার শাস্তি সম্পর্কে জানতে পেরেছি। আমাকে ১০ দিনের জন্য গৃহবন্দী করা হবে এবং আমি ১২ মাসের প্রবেশন পাব। প্রবেশন চলাকালীন, আমাকে মাদক এবং অ্যালকোহল থেকে সম"&amp;"্পূর্ণ সংযত থাকতে হবে। আমি এই বিষয়ে খুব চিন্তিত। আমার অবশ্যই অ্যালকোহলের সমস্যা আছে (Xanax কোনও সমস্যা নয়, আমি কখনও এতে আসক্ত ছিলাম না)। আমি ভাবছি যে কেউ কীভাবে মদ্যপান বন্ধ করেছে সে সম্পর্কে পরামর্শ দিতে পারে কিনা। তাছাড়া, আমার প্রতিদিনই ট্রিগার এবং তৃ"&amp;"ষ্ণা থাকে এবং আমি কেবল ভয় পাই যে এটি আমাকে পাগল করে তুলবে। আপনি কীভাবে মোকাবেলা করবেন? নিজেকে বিভ্রান্ত করার জন্য আপনি কী করেন?")</f>
        <v>গত বছর ২ মাসের মধ্যে আমার ২টি OWI হয়েছিল (মদ্যপানের সাথে সম্পর্কিত নয় - আমি Xanax নিচ্ছিলাম) এবং আমি আমার শাস্তি সম্পর্কে জানতে পেরেছি। আমাকে ১০ দিনের জন্য গৃহবন্দী করা হবে এবং আমি ১২ মাসের প্রবেশন পাব। প্রবেশন চলাকালীন, আমাকে মাদক এবং অ্যালকোহল থেকে সম্পূর্ণ সংযত থাকতে হবে। আমি এই বিষয়ে খুব চিন্তিত। আমার অবশ্যই অ্যালকোহলের সমস্যা আছে (Xanax কোনও সমস্যা নয়, আমি কখনও এতে আসক্ত ছিলাম না)। আমি ভাবছি যে কেউ কীভাবে মদ্যপান বন্ধ করেছে সে সম্পর্কে পরামর্শ দিতে পারে কিনা। তাছাড়া, আমার প্রতিদিনই ট্রিগার এবং তৃষ্ণা থাকে এবং আমি কেবল ভয় পাই যে এটি আমাকে পাগল করে তুলবে। আপনি কীভাবে মোকাবেলা করবেন? নিজেকে বিভ্রান্ত করার জন্য আপনি কী করেন?</v>
      </c>
    </row>
    <row r="1068" spans="1:3" ht="15" x14ac:dyDescent="0.25">
      <c r="A1068" s="3" t="s">
        <v>1065</v>
      </c>
      <c r="B1068" s="3" t="s">
        <v>997</v>
      </c>
      <c r="C1068" s="4" t="str">
        <f ca="1">IFERROR(__xludf.DUMMYFUNCTION("GOOGLETRANSLATE(A1068, ""auto"", ""bn"")"),"আমি ১৪ মাস ধরে মদ্যপান করছি, যার মধ্যে ১০ মাস ছিল খুব বেশি মদ্যপান (প্রতিদিন প্রায় এক লিটার ১০০ প্রুফ লিকার পান করতাম কিন্তু এখন ৭০ প্রুফ লিকারের পরিমাণ .৭৫ লিটারে কমিয়ে আনতে পেরেছি)। আমার সাম্প্রতিক বোতলটি প্রায় খালি, এবং আমি আর একটি কিনতে চাই না। যদি"&amp;" আমি থামি তাহলে আমি কী আশা করতে পারি? কতক্ষণ আমার মনে হবে আমি একেবারেই খারাপ?")</f>
        <v>আমি ১৪ মাস ধরে মদ্যপান করছি, যার মধ্যে ১০ মাস ছিল খুব বেশি মদ্যপান (প্রতিদিন প্রায় এক লিটার ১০০ প্রুফ লিকার পান করতাম কিন্তু এখন ৭০ প্রুফ লিকারের পরিমাণ .৭৫ লিটারে কমিয়ে আনতে পেরেছি)। আমার সাম্প্রতিক বোতলটি প্রায় খালি, এবং আমি আর একটি কিনতে চাই না। যদি আমি থামি তাহলে আমি কী আশা করতে পারি? কতক্ষণ আমার মনে হবে আমি একেবারেই খারাপ?</v>
      </c>
    </row>
    <row r="1069" spans="1:3" ht="15" x14ac:dyDescent="0.25">
      <c r="A1069" s="3" t="s">
        <v>1066</v>
      </c>
      <c r="B1069" s="3" t="s">
        <v>997</v>
      </c>
      <c r="C1069" s="4" t="str">
        <f ca="1">IFERROR(__xludf.DUMMYFUNCTION("GOOGLETRANSLATE(A1069, ""auto"", ""bn"")"),"গল্প? আমার স্বামী অনেক বছর ধরে মদ্যপানের সাথে লড়াই করে আসছে। আমরা যখন দেখা করি তখন সে দুই বছর ধরে সুস্থ ছিল না। গত দুই মাসের মধ্যে সে বেশ কয়েকবার আবারও অসুস্থ হয়ে পড়েছে। গত সপ্তাহটি ছিল সবচেয়ে খারাপ। সে বর্তমানে একটি হাসপাতালে ডিটক্সিফিকেশন করছে, কিন"&amp;"্তু তারা তাকে যথাযথভাবে ওষুধ দিচ্ছে না এবং সে এতটাই অসুস্থ যে সে AMA ছেড়ে যেতে চায়। আমি ইতিমধ্যেই একজন নার্সিং সুপারভাইজারের সাথে কথা বলেছি যে তারা তাকে নির্ধারিত সময় অনুযায়ী তার এশিয়ান ড্রাগ খাওয়াতে পারেনি। আমার কি আর কিছু বলার আছে? আমি আশা করি এটি"&amp;" জিজ্ঞাসা করার জন্য উপযুক্ত জায়গা। ধন্যবাদ।")</f>
        <v>গল্প? আমার স্বামী অনেক বছর ধরে মদ্যপানের সাথে লড়াই করে আসছে। আমরা যখন দেখা করি তখন সে দুই বছর ধরে সুস্থ ছিল না। গত দুই মাসের মধ্যে সে বেশ কয়েকবার আবারও অসুস্থ হয়ে পড়েছে। গত সপ্তাহটি ছিল সবচেয়ে খারাপ। সে বর্তমানে একটি হাসপাতালে ডিটক্সিফিকেশন করছে, কিন্তু তারা তাকে যথাযথভাবে ওষুধ দিচ্ছে না এবং সে এতটাই অসুস্থ যে সে AMA ছেড়ে যেতে চায়। আমি ইতিমধ্যেই একজন নার্সিং সুপারভাইজারের সাথে কথা বলেছি যে তারা তাকে নির্ধারিত সময় অনুযায়ী তার এশিয়ান ড্রাগ খাওয়াতে পারেনি। আমার কি আর কিছু বলার আছে? আমি আশা করি এটি জিজ্ঞাসা করার জন্য উপযুক্ত জায়গা। ধন্যবাদ।</v>
      </c>
    </row>
    <row r="1070" spans="1:3" ht="15" x14ac:dyDescent="0.25">
      <c r="A1070" s="3" t="s">
        <v>1067</v>
      </c>
      <c r="B1070" s="3" t="s">
        <v>997</v>
      </c>
      <c r="C1070" s="4" t="str">
        <f ca="1">IFERROR(__xludf.DUMMYFUNCTION("GOOGLETRANSLATE(A1070, ""auto"", ""bn"")"),"আমি ২১ বছর বয়সী একজন পুরুষ এবং আমি নৌবাহিনীতে আছি, ঘরের সমস্যা থেকে মুক্তি পেতে আমি নৌবাহিনীতে পালিয়ে গিয়েছিলাম। ১৯ বছর বয়সে আমার একটা বাচ্চা হয়েছিল, তাই আমি একটা চাকরি পেয়েছিলাম এবং শীঘ্রই আমি নিজেকে বাড়ি ফিরে যেতে দেখলাম এবং সংযত থাকতে অস্বীকার করছিলা"&amp;"ম। আগাছা, ওষুধ, মদ, কোন ব্যাপার না, আমি শুধু চাইছিলাম? দিনটা ধুয়ে ফেললাম। আমার জন্য সবকিছু দক্ষিণে চলে গেল এবং আমি নৌবাহিনীতে যোগ দিলাম কারণ এটি আমাকে একটি উপায় দিয়েছিল। আমি যত তাড়াতাড়ি সম্ভব চলে গেলাম। বুট ক্যাম্প থেকে বেরিয়ে আসার সাথে সাথেই আমি বু"&amp;"ঝতে শুরু করলাম যে এটি কতটা খারাপ এবং এটি আমার কল্পনার মতো নয়। শীঘ্রই আমি এটি ভুলে যাওয়ার জন্য যা করতে পারি তা ব্যবহার করতে শুরু করলাম এবং আমি মদের দিকে ঝুঁকে পড়লাম। এটি সত্যিই দ্রুত দক্ষিণে চলে গেল, এবং আমি যতবার সম্ভব মদ্যপান করছিলাম। আমার বন্ধুরা হতা"&amp;"শ, এখানে যে কাউকে মদ দিতে পারো, এবং এটি আমার অহংকারকে কিছুটা বাড়িয়ে তুলেছিল। এ-স্কুলের পর আমি সি-স্কুলে যাই (কারণ আমি সাবমেরিনে থাকি) এবং সম্ভবত যখন পরিস্থিতি খারাপ হত, আমি প্রতিদিন ক্লাস থেকে বেরিয়ে ৫মাংশ আগুনের গোলা কিনে সেই রাতেই শেষ করতাম, এমনকি আম"&amp;"ি মাতাল হয়ে যেতাম এবং আমার ক্লাসের মাঝখানে অজ্ঞান হয়ে যেতাম, আমি ছুটিতে বাড়ি যেতাম এবং আমার বাবা-মা এমনকি দেখতে পেয়েছিলেন যে আমি কতটা পান করতে পারি এবং স্বাভাবিক আচরণ করতে পারি তা উদ্বেগজনক ছিল যে তারা উদ্বিগ্ন। এখন আমি আমার চূড়ান্ত ডিউটিতে আছি এবং আ"&amp;"মি অনেকবার ছেড়ে দেওয়ার চেষ্টা করেছি। ঠান্ডা টার্কি, কেবল সপ্তাহান্তে মদ্যপান করি, কেবল বৃহস্পতি-রবিবার এবং কিছুই কাজ করে না। আমি আমার ব্যাংক অ্যাকাউন্টে প্রভাব দেখতে শুরু করেছিলাম, তাই আমি ১০ ডলারের ভদকা কিনতে শুরু করি, ভেবেছিলাম এটি আমার এক সপ্তাহ চলবে"&amp;", কিন্তু আমি ২-৩ দিনের মধ্যে একটি শেষ করতে পারি। কোনও তাড়াহুড়ো নেই, আমি এমনকি ঠাণ্ডাও করি না, এখন কয়েক মাস ধরে করিনি, এবং এমনকি যদি আমি বমি বমি ভাব করি তবে আমি পরের দিন সকাল ৭ টায় ঘুম থেকে উঠি যেন কিছুই হয়নি এবং এটি এমন পর্যায়ে পৌঁছেছে যে এমনকি মাতা"&amp;"ল আমার বন্ধুরাও পার্থক্য বুঝতে পারে না। আমি নিশ্চিত যে আমি একজন কার্যকরী মদ্যপ কিন্তু আমি হতে চাই না, আমিও AA চেষ্টা করেছি কিন্তু এটি কাজ করছে না। আমি কী করব জানি না, আমি মদ্যপান ভালোবাসি, কিন্তু আমি জানি আমার থামাতে হবে। এটি আমাকে মেরে ফেলার আগে।")</f>
        <v>আমি ২১ বছর বয়সী একজন পুরুষ এবং আমি নৌবাহিনীতে আছি, ঘরের সমস্যা থেকে মুক্তি পেতে আমি নৌবাহিনীতে পালিয়ে গিয়েছিলাম। ১৯ বছর বয়সে আমার একটা বাচ্চা হয়েছিল, তাই আমি একটা চাকরি পেয়েছিলাম এবং শীঘ্রই আমি নিজেকে বাড়ি ফিরে যেতে দেখলাম এবং সংযত থাকতে অস্বীকার করছিলাম। আগাছা, ওষুধ, মদ, কোন ব্যাপার না, আমি শুধু চাইছিলাম? দিনটা ধুয়ে ফেললাম। আমার জন্য সবকিছু দক্ষিণে চলে গেল এবং আমি নৌবাহিনীতে যোগ দিলাম কারণ এটি আমাকে একটি উপায় দিয়েছিল। আমি যত তাড়াতাড়ি সম্ভব চলে গেলাম। বুট ক্যাম্প থেকে বেরিয়ে আসার সাথে সাথেই আমি বুঝতে শুরু করলাম যে এটি কতটা খারাপ এবং এটি আমার কল্পনার মতো নয়। শীঘ্রই আমি এটি ভুলে যাওয়ার জন্য যা করতে পারি তা ব্যবহার করতে শুরু করলাম এবং আমি মদের দিকে ঝুঁকে পড়লাম। এটি সত্যিই দ্রুত দক্ষিণে চলে গেল, এবং আমি যতবার সম্ভব মদ্যপান করছিলাম। আমার বন্ধুরা হতাশ, এখানে যে কাউকে মদ দিতে পারো, এবং এটি আমার অহংকারকে কিছুটা বাড়িয়ে তুলেছিল। এ-স্কুলের পর আমি সি-স্কুলে যাই (কারণ আমি সাবমেরিনে থাকি) এবং সম্ভবত যখন পরিস্থিতি খারাপ হত, আমি প্রতিদিন ক্লাস থেকে বেরিয়ে ৫মাংশ আগুনের গোলা কিনে সেই রাতেই শেষ করতাম, এমনকি আমি মাতাল হয়ে যেতাম এবং আমার ক্লাসের মাঝখানে অজ্ঞান হয়ে যেতাম, আমি ছুটিতে বাড়ি যেতাম এবং আমার বাবা-মা এমনকি দেখতে পেয়েছিলেন যে আমি কতটা পান করতে পারি এবং স্বাভাবিক আচরণ করতে পারি তা উদ্বেগজনক ছিল যে তারা উদ্বিগ্ন। এখন আমি আমার চূড়ান্ত ডিউটিতে আছি এবং আমি অনেকবার ছেড়ে দেওয়ার চেষ্টা করেছি। ঠান্ডা টার্কি, কেবল সপ্তাহান্তে মদ্যপান করি, কেবল বৃহস্পতি-রবিবার এবং কিছুই কাজ করে না। আমি আমার ব্যাংক অ্যাকাউন্টে প্রভাব দেখতে শুরু করেছিলাম, তাই আমি ১০ ডলারের ভদকা কিনতে শুরু করি, ভেবেছিলাম এটি আমার এক সপ্তাহ চলবে, কিন্তু আমি ২-৩ দিনের মধ্যে একটি শেষ করতে পারি। কোনও তাড়াহুড়ো নেই, আমি এমনকি ঠাণ্ডাও করি না, এখন কয়েক মাস ধরে করিনি, এবং এমনকি যদি আমি বমি বমি ভাব করি তবে আমি পরের দিন সকাল ৭ টায় ঘুম থেকে উঠি যেন কিছুই হয়নি এবং এটি এমন পর্যায়ে পৌঁছেছে যে এমনকি মাতাল আমার বন্ধুরাও পার্থক্য বুঝতে পারে না। আমি নিশ্চিত যে আমি একজন কার্যকরী মদ্যপ কিন্তু আমি হতে চাই না, আমিও AA চেষ্টা করেছি কিন্তু এটি কাজ করছে না। আমি কী করব জানি না, আমি মদ্যপান ভালোবাসি, কিন্তু আমি জানি আমার থামাতে হবে। এটি আমাকে মেরে ফেলার আগে।</v>
      </c>
    </row>
    <row r="1071" spans="1:3" ht="15" x14ac:dyDescent="0.25">
      <c r="A1071" s="3" t="s">
        <v>1068</v>
      </c>
      <c r="B1071" s="3" t="s">
        <v>997</v>
      </c>
      <c r="C1071" s="4" t="str">
        <f ca="1">IFERROR(__xludf.DUMMYFUNCTION("GOOGLETRANSLATE(A1071, ""auto"", ""bn"")"),"আমি (২৫ বছর বয়সী) আমার উদ্বেগ এবং আতঙ্কজনিত ব্যাধি মোকাবেলা করার জন্য মদ্যপান করতাম। কয়েক মাস আগে আমি প্রতিদিন মদ্যপান বন্ধ করে দিয়েছিলাম এবং এক সপ্তাহ আগে সম্পূর্ণরূপে মদ্যপান বন্ধ করে দিয়েছিলাম। তখন থেকেই আমার ডান দিকে (বেশিরভাগ পিঠে) পাঁজরের নীচে এ"&amp;"ই অস্পষ্ট চুলকানি এবং হালকা ব্যথা হচ্ছে। এটি কি লিভারের সমস্যা হতে পারে? আমার অন্য কোনও লক্ষণ নেই (জন্ডিস নেই, অদ্ভুত গন্ধযুক্ত ঘাম নেই, অদ্ভুত রঙের প্রস্রাব নেই, বমি নেই)। আমি জানি না এটি কি কেবল আমার উদ্বেগ আমার উপর চালাকি করছে, নাকি আমি আসলে আমার লিভার"&amp;"ের সাধারণ এলাকায় অস্বস্তি বোধ করছি? কেউ কি একই রকম কিছু অনুভব করেছেন?")</f>
        <v>আমি (২৫ বছর বয়সী) আমার উদ্বেগ এবং আতঙ্কজনিত ব্যাধি মোকাবেলা করার জন্য মদ্যপান করতাম। কয়েক মাস আগে আমি প্রতিদিন মদ্যপান বন্ধ করে দিয়েছিলাম এবং এক সপ্তাহ আগে সম্পূর্ণরূপে মদ্যপান বন্ধ করে দিয়েছিলাম। তখন থেকেই আমার ডান দিকে (বেশিরভাগ পিঠে) পাঁজরের নীচে এই অস্পষ্ট চুলকানি এবং হালকা ব্যথা হচ্ছে। এটি কি লিভারের সমস্যা হতে পারে? আমার অন্য কোনও লক্ষণ নেই (জন্ডিস নেই, অদ্ভুত গন্ধযুক্ত ঘাম নেই, অদ্ভুত রঙের প্রস্রাব নেই, বমি নেই)। আমি জানি না এটি কি কেবল আমার উদ্বেগ আমার উপর চালাকি করছে, নাকি আমি আসলে আমার লিভারের সাধারণ এলাকায় অস্বস্তি বোধ করছি? কেউ কি একই রকম কিছু অনুভব করেছেন?</v>
      </c>
    </row>
    <row r="1072" spans="1:3" ht="15" x14ac:dyDescent="0.25">
      <c r="A1072" s="3" t="s">
        <v>1069</v>
      </c>
      <c r="B1072" s="3" t="s">
        <v>997</v>
      </c>
      <c r="C1072" s="4" t="str">
        <f ca="1">IFERROR(__xludf.DUMMYFUNCTION("GOOGLETRANSLATE(A1072, ""auto"", ""bn"")"),"সত্যি বলতে, আমার পরিবারে আসক্তি আছে। কিন্তু আমি সবসময় নিজেকে বলি যে আমি যখনই চাই তখনই ত্যাগ করতে পারি। যা সত্য বলে মনে হয়। উদাহরণস্বরূপ, নিকোটিন আমি যখনই ত্যাগ করতে পারি। যাইহোক, আমার বাবা এবং মা দুজনেই অ্যালকোহলের অপব্যবহার করেছেন, তাই আমার পরিবারে এটি"&amp;" প্রচলিত আছে, আমি সম্ভবত বলব। আমার ভাইবোনদের মধ্যে আমিই একমাত্র যারা মদ্যপান পছন্দ করি। কিন্তু আমি নিশ্চিত নই যে আমি কি কেবল স্বাভাবিক কিশোর বয়সে কাজ করছি, নাকি এটি একটি আসক্তিতে পরিণত হতে পারে? যখন আমি উত্তেজিত বা কিছুটা মাতাল হই, তখন আমার মনে হয় আমিই "&amp;"আমার মতো। আমি আর আমার উদ্বেগ অনুভব করি না, এবং আমি যা বলতে চাই তা বলি, অন্যরা কীভাবে ভাববে বা অনুভব করবে তা আমার পরোয়া করে না যা সবসময় আমার মনের আড়ালে লুকিয়ে থাকে। আমি নিজেকে মদ্যপানের জন্য অধীর আগ্রহে অপেক্ষা করতে দেখি। যা সাধারণত একা থাকে। আমার বয়স"&amp;" মাত্র ১৯ এবং আমি বারে যাওয়ার জন্য ২১ বছর বয়স পর্যন্ত অপেক্ষা করতে পারি না। আমার মনে হয় আমার বয়সের কারো জন্য এই চিন্তাভাবনা এবং আচরণ স্বাভাবিক কিনা তা নিয়ে আমি চিন্তিত। তাছাড়া, আমি নিজেকে বলতে পছন্দ করি যে প্রয়োজনে আমি এটি নিয়ন্ত্রণ করতে পারি। কিন"&amp;"্তু আমি এই অনুভূতিটা ভালোবাসি, আর ভাবছি এটা কি সমস্যা হয়ে ওঠার প্রাথমিক লক্ষণ...")</f>
        <v>সত্যি বলতে, আমার পরিবারে আসক্তি আছে। কিন্তু আমি সবসময় নিজেকে বলি যে আমি যখনই চাই তখনই ত্যাগ করতে পারি। যা সত্য বলে মনে হয়। উদাহরণস্বরূপ, নিকোটিন আমি যখনই ত্যাগ করতে পারি। যাইহোক, আমার বাবা এবং মা দুজনেই অ্যালকোহলের অপব্যবহার করেছেন, তাই আমার পরিবারে এটি প্রচলিত আছে, আমি সম্ভবত বলব। আমার ভাইবোনদের মধ্যে আমিই একমাত্র যারা মদ্যপান পছন্দ করি। কিন্তু আমি নিশ্চিত নই যে আমি কি কেবল স্বাভাবিক কিশোর বয়সে কাজ করছি, নাকি এটি একটি আসক্তিতে পরিণত হতে পারে? যখন আমি উত্তেজিত বা কিছুটা মাতাল হই, তখন আমার মনে হয় আমিই আমার মতো। আমি আর আমার উদ্বেগ অনুভব করি না, এবং আমি যা বলতে চাই তা বলি, অন্যরা কীভাবে ভাববে বা অনুভব করবে তা আমার পরোয়া করে না যা সবসময় আমার মনের আড়ালে লুকিয়ে থাকে। আমি নিজেকে মদ্যপানের জন্য অধীর আগ্রহে অপেক্ষা করতে দেখি। যা সাধারণত একা থাকে। আমার বয়স মাত্র ১৯ এবং আমি বারে যাওয়ার জন্য ২১ বছর বয়স পর্যন্ত অপেক্ষা করতে পারি না। আমার মনে হয় আমার বয়সের কারো জন্য এই চিন্তাভাবনা এবং আচরণ স্বাভাবিক কিনা তা নিয়ে আমি চিন্তিত। তাছাড়া, আমি নিজেকে বলতে পছন্দ করি যে প্রয়োজনে আমি এটি নিয়ন্ত্রণ করতে পারি। কিন্তু আমি এই অনুভূতিটা ভালোবাসি, আর ভাবছি এটা কি সমস্যা হয়ে ওঠার প্রাথমিক লক্ষণ...</v>
      </c>
    </row>
    <row r="1073" spans="1:3" ht="15" x14ac:dyDescent="0.25">
      <c r="A1073" s="3" t="s">
        <v>1070</v>
      </c>
      <c r="B1073" s="3" t="s">
        <v>997</v>
      </c>
      <c r="C1073" s="4" t="str">
        <f ca="1">IFERROR(__xludf.DUMMYFUNCTION("GOOGLETRANSLATE(A1073, ""auto"", ""bn"")"),"আশা করি এটা আমাকে একসাথে থামার যাত্রায় সাহায্য করবে। আমি এটা জানতে পেরেছিলাম কারণ আমার বৈধ মদের দোকানে আমার সব প্রিয় পানীয়ের পাইন্ট শেষ হয়ে গিয়েছিল এবং মাত্র আধা পাইন্ট ছিল হা হা। পঞ্চম পানীয় না চাওয়ার জন্য আমার শরীরের সবকিছুই লেগেছিল কিন্তু আমি টিকলাম এব"&amp;"ং আধা পাইন্ট পেয়ে গেলাম। আমি মাতাল হতে ভালোবাসি, কিন্তু জীবনে আরও এগিয়ে যেতেও ভালোবাসি। এখন থেকে আমি প্রতিদিন ছুটি কাটানোর সময় মাত্র আধা পাইন্ট পাবো। যদি ছোট কিছু থাকে, তাহলে যখন মনে হবে আমি প্রস্তুত তখনই তা নেব। অ্যালকোহলের স্বাদ খারাপ, কিন্তু গুঞ্জন সত্"&amp;"যিই আমাকে মুগ্ধ করে। মাথাব্যথা ছাড়া ঘুম থেকে ওঠার অভাব বোধ করি এবং আমার মুখ শুষ্ক এবং অসাড় বোধ হয় না।")</f>
        <v>আশা করি এটা আমাকে একসাথে থামার যাত্রায় সাহায্য করবে। আমি এটা জানতে পেরেছিলাম কারণ আমার বৈধ মদের দোকানে আমার সব প্রিয় পানীয়ের পাইন্ট শেষ হয়ে গিয়েছিল এবং মাত্র আধা পাইন্ট ছিল হা হা। পঞ্চম পানীয় না চাওয়ার জন্য আমার শরীরের সবকিছুই লেগেছিল কিন্তু আমি টিকলাম এবং আধা পাইন্ট পেয়ে গেলাম। আমি মাতাল হতে ভালোবাসি, কিন্তু জীবনে আরও এগিয়ে যেতেও ভালোবাসি। এখন থেকে আমি প্রতিদিন ছুটি কাটানোর সময় মাত্র আধা পাইন্ট পাবো। যদি ছোট কিছু থাকে, তাহলে যখন মনে হবে আমি প্রস্তুত তখনই তা নেব। অ্যালকোহলের স্বাদ খারাপ, কিন্তু গুঞ্জন সত্যিই আমাকে মুগ্ধ করে। মাথাব্যথা ছাড়া ঘুম থেকে ওঠার অভাব বোধ করি এবং আমার মুখ শুষ্ক এবং অসাড় বোধ হয় না।</v>
      </c>
    </row>
    <row r="1074" spans="1:3" ht="15" x14ac:dyDescent="0.25">
      <c r="A1074" s="3" t="s">
        <v>1071</v>
      </c>
      <c r="B1074" s="3" t="s">
        <v>997</v>
      </c>
      <c r="C1074" s="4" t="str">
        <f ca="1">IFERROR(__xludf.DUMMYFUNCTION("GOOGLETRANSLATE(A1074, ""auto"", ""bn"")"),"তাই আমার মনে হয় কয়েক বছর ধরে অতিরিক্ত মদ্যপানের পর অবশেষে আমি মদ্যপান ছেড়ে দিতে পেরেছি। শেষবার আমি ৫ই ফেব্রুয়ারী ২০২২ তারিখে মদ্যপান করেছিলাম, এবং আমি বুঝতে পারছি না কেন আমার ওজন কমছে না। আমি খুব স্বাস্থ্যকর ডায়েট অনুসরণ করছি, আমার শরীরকে কি প্রথমে ম"&amp;"ানিয়ে নিতে হবে? আমার মনে আছে কয়েক বছর আগে যখন আমি ৩ সপ্তাহ ধরে মদ্যপান করিনি কিন্তু শূকরের মতো খাচ্ছিলাম (পিৎজা এবং অন্যান্য জিনিস, মোটেও স্বাস্থ্যকর কিছুই নয়) এবং মোটেও ব্যায়াম করিনি, তবুও আমার একটি প্যান্টের আকার কমেছে। এখন কী হচ্ছে? আমি মদের ওজন কম"&amp;"াতে এবং সুস্থ হতে চাই। আপনার অভিজ্ঞতা কী?")</f>
        <v>তাই আমার মনে হয় কয়েক বছর ধরে অতিরিক্ত মদ্যপানের পর অবশেষে আমি মদ্যপান ছেড়ে দিতে পেরেছি। শেষবার আমি ৫ই ফেব্রুয়ারী ২০২২ তারিখে মদ্যপান করেছিলাম, এবং আমি বুঝতে পারছি না কেন আমার ওজন কমছে না। আমি খুব স্বাস্থ্যকর ডায়েট অনুসরণ করছি, আমার শরীরকে কি প্রথমে মানিয়ে নিতে হবে? আমার মনে আছে কয়েক বছর আগে যখন আমি ৩ সপ্তাহ ধরে মদ্যপান করিনি কিন্তু শূকরের মতো খাচ্ছিলাম (পিৎজা এবং অন্যান্য জিনিস, মোটেও স্বাস্থ্যকর কিছুই নয়) এবং মোটেও ব্যায়াম করিনি, তবুও আমার একটি প্যান্টের আকার কমেছে। এখন কী হচ্ছে? আমি মদের ওজন কমাতে এবং সুস্থ হতে চাই। আপনার অভিজ্ঞতা কী?</v>
      </c>
    </row>
    <row r="1075" spans="1:3" ht="15" x14ac:dyDescent="0.25">
      <c r="A1075" s="3" t="s">
        <v>1072</v>
      </c>
      <c r="B1075" s="3" t="s">
        <v>997</v>
      </c>
      <c r="C1075" s="4" t="str">
        <f ca="1">IFERROR(__xludf.DUMMYFUNCTION("GOOGLETRANSLATE(A1075, ""auto"", ""bn"")"),"আমি এমন একজনকে ভালোবাসি যে খুবই শান্ত স্বভাবের ছিল, কিন্তু একজন মদ্যপ, যখন সে মদ্যপান করে, যা প্রায়শই সে একেবারেই ভয়াবহ অভদ্র, নিষ্ঠুর এবং হিংস্র হয়ে ওঠে। সে বুঝতেও পারে না তার আচরণ কেমন। আমাকে যে ভয়, ভয় এবং যন্ত্রণার মধ্য দিয়ে বেঁচে থাকতে হয়। অভিশাপ স"&amp;"েই মদের দিনগুলোর! আমার মনে হয় আমি তাকে খুব শীঘ্রই চলে যেতে বলব। তার কোথাও যাবার জায়গা থাকবে না কিন্তু এখন এটা আমার জন্য অনেক বেশি হয়ে যাচ্ছে, আমি প্রায় ক্লান্ত এবং ভীত, আমার নিজের মৃত্যুর দিকে। বছরের পর বছর ধরে আশা করার চেষ্টা করার পর আমি আর আমার উপর সহিং"&amp;"সতা এবং নিষ্ঠুরতা চাই না। আমি একা। আমার জীবনে এমন একজনও নেই যে আমাকে সমর্থন করবে। আমি আর বেশি কিছু সহ্য করতে পারছি না। আমি সেই মানুষটিকে ভালোবাসি এবং মদ্যপান না থাকলে সে হত, কিন্তু আমি বিশ্বাস করি না যে বেশিরভাগ মানুষই সুস্থ হয়ে উঠবে। মদ্যপান সম্পর্ক এবং"&amp;" বিবাহের জন্য ১০০% নিশ্চিত সমাপ্তি..... তাই না? আমি চাই আমার কাছাকাছি থাকা মদ্যপানমুক্ত জীবন হোক এবং মনে হয় আমাকে তাকে তাড়িয়ে দিতে হবে। সবসময় যা ঘটে, আমার মনে হয়। আমরা একসাথে অনেক সময় কাটিয়েছি.....আর মনে হচ্ছে যেন আমাকে বিদায় জানাতে বাধ্য করা হচ্ছে।"&amp;" মদ আমার কাছ থেকে আমার ভালোবাসার সবকিছু কেড়ে নিয়েছে এবং শৈশব থেকেই আমাকে অনেক নির্যাতন এবং যন্ত্রণা দিয়েছে.....আর আমি কখনও আসক্ত ছিলাম না। কান্না করার জন্য আমার আর কোনও অশ্রু অবশিষ্ট নেই। আমি খুব বেশি ক্লান্ত। আমি আর কষ্ট পেতে চাই না। আমার মনে হয় প্রি"&amp;"য়জনদের জন্য কোনও আশা নেই; তারা সবসময় হেরে যায়।")</f>
        <v>আমি এমন একজনকে ভালোবাসি যে খুবই শান্ত স্বভাবের ছিল, কিন্তু একজন মদ্যপ, যখন সে মদ্যপান করে, যা প্রায়শই সে একেবারেই ভয়াবহ অভদ্র, নিষ্ঠুর এবং হিংস্র হয়ে ওঠে। সে বুঝতেও পারে না তার আচরণ কেমন। আমাকে যে ভয়, ভয় এবং যন্ত্রণার মধ্য দিয়ে বেঁচে থাকতে হয়। অভিশাপ সেই মদের দিনগুলোর! আমার মনে হয় আমি তাকে খুব শীঘ্রই চলে যেতে বলব। তার কোথাও যাবার জায়গা থাকবে না কিন্তু এখন এটা আমার জন্য অনেক বেশি হয়ে যাচ্ছে, আমি প্রায় ক্লান্ত এবং ভীত, আমার নিজের মৃত্যুর দিকে। বছরের পর বছর ধরে আশা করার চেষ্টা করার পর আমি আর আমার উপর সহিংসতা এবং নিষ্ঠুরতা চাই না। আমি একা। আমার জীবনে এমন একজনও নেই যে আমাকে সমর্থন করবে। আমি আর বেশি কিছু সহ্য করতে পারছি না। আমি সেই মানুষটিকে ভালোবাসি এবং মদ্যপান না থাকলে সে হত, কিন্তু আমি বিশ্বাস করি না যে বেশিরভাগ মানুষই সুস্থ হয়ে উঠবে। মদ্যপান সম্পর্ক এবং বিবাহের জন্য ১০০% নিশ্চিত সমাপ্তি..... তাই না? আমি চাই আমার কাছাকাছি থাকা মদ্যপানমুক্ত জীবন হোক এবং মনে হয় আমাকে তাকে তাড়িয়ে দিতে হবে। সবসময় যা ঘটে, আমার মনে হয়। আমরা একসাথে অনেক সময় কাটিয়েছি.....আর মনে হচ্ছে যেন আমাকে বিদায় জানাতে বাধ্য করা হচ্ছে। মদ আমার কাছ থেকে আমার ভালোবাসার সবকিছু কেড়ে নিয়েছে এবং শৈশব থেকেই আমাকে অনেক নির্যাতন এবং যন্ত্রণা দিয়েছে.....আর আমি কখনও আসক্ত ছিলাম না। কান্না করার জন্য আমার আর কোনও অশ্রু অবশিষ্ট নেই। আমি খুব বেশি ক্লান্ত। আমি আর কষ্ট পেতে চাই না। আমার মনে হয় প্রিয়জনদের জন্য কোনও আশা নেই; তারা সবসময় হেরে যায়।</v>
      </c>
    </row>
    <row r="1076" spans="1:3" ht="15" x14ac:dyDescent="0.25">
      <c r="A1076" s="3" t="s">
        <v>1073</v>
      </c>
      <c r="B1076" s="3" t="s">
        <v>997</v>
      </c>
      <c r="C1076" s="4" t="str">
        <f ca="1">IFERROR(__xludf.DUMMYFUNCTION("GOOGLETRANSLATE(A1076, ""auto"", ""bn"")"),"এর মধ্যে রয়েছে তাদের ওয়েবসাইটে অ্যালকোহল সম্পর্কে লেখা নিবন্ধগুলি। প্রেক্ষাপট তুলে ধরতে গেলে, আমি একজন হাইপোকন্ড্রিয়াক (স্বাস্থ্য সম্পর্কিত ভয়)। আমি যতটা না পান করা উচিত তার চেয়ে বেশি পান করি, এবং ভিটামিনের ঘাটতি, প্রলাপ, ভীতিকর জিনিস সম্পর্কে এই নিব"&amp;"ন্ধগুলি পড়ে আমি খুব বেশি হতাশ হয়ে পড়েছি। আমি ভয় পেয়ে গেছি। এবং আমি প্রায় 6 মাস ধরে অতিরিক্ত মদ্যপান করছি। আমি জানি এগুলো সবই ঘটতে পারে, কিন্তু আমি যে প্রতিটি ওয়েবসাইট দেখেছি তাতে সত্যিই ভয় দেখানোর মতো ছিল (মস্তিষ্কের ক্ষতি, কোমা ইত্যাদি সম্পর্কে ক"&amp;"থা বলা) এটি চিকিৎসাগতভাবে সম্পূর্ণ প্রেক্ষাপট দেয়নি এবং আমার কল্পনাকে অবাক করে দেয়নি। আর এত বড় ছিল? এখনই ফোন করুন!? নীচে আমার নাম ধরে ডাকা বোতামটি ভেসে উঠছিল। মানুষ হিসেবে, আমাদের অন্য মানুষের প্রণোদনা সম্পর্কে ভাবতে হবে। ওয়েবসাইট/ব্যবসার কাজ হল অর্থ "&amp;"উপার্জন করা। তারা মানুষকে ডিটক্স/পুনর্বাসনে ভর্তি করে অর্থ উপার্জন করে। মানুষকে একটু ভয় দেখানোর ফলে মানুষ ফোন করে। আমি ডাক্তার নই। কিছু লোকের সত্যিই চিকিৎসা সহায়তার প্রয়োজন। কিন্তু একজন হাইপোকন্ড্রিয়াক হিসেবে, যখন সে বুঝতে পারে যে সবকিছু কীভাবে কাজ কর"&amp;"ে, তখন যদি তুমি চরম লক্ষণগুলি অনুভব করো, তাহলে ঠিক আছে। কিন্তু দয়া করে। যদি তুমি বছরের পর বছর ধরে প্রতিদিন পঞ্চমাংশ পান করে থাকো, তাহলে হয়তো তোমার লাভ হবে। আমার কথাটা বিশ্বাস করো না। শুধু আমার পর্যবেক্ষণ।")</f>
        <v>এর মধ্যে রয়েছে তাদের ওয়েবসাইটে অ্যালকোহল সম্পর্কে লেখা নিবন্ধগুলি। প্রেক্ষাপট তুলে ধরতে গেলে, আমি একজন হাইপোকন্ড্রিয়াক (স্বাস্থ্য সম্পর্কিত ভয়)। আমি যতটা না পান করা উচিত তার চেয়ে বেশি পান করি, এবং ভিটামিনের ঘাটতি, প্রলাপ, ভীতিকর জিনিস সম্পর্কে এই নিবন্ধগুলি পড়ে আমি খুব বেশি হতাশ হয়ে পড়েছি। আমি ভয় পেয়ে গেছি। এবং আমি প্রায় 6 মাস ধরে অতিরিক্ত মদ্যপান করছি। আমি জানি এগুলো সবই ঘটতে পারে, কিন্তু আমি যে প্রতিটি ওয়েবসাইট দেখেছি তাতে সত্যিই ভয় দেখানোর মতো ছিল (মস্তিষ্কের ক্ষতি, কোমা ইত্যাদি সম্পর্কে কথা বলা) এটি চিকিৎসাগতভাবে সম্পূর্ণ প্রেক্ষাপট দেয়নি এবং আমার কল্পনাকে অবাক করে দেয়নি। আর এত বড় ছিল? এখনই ফোন করুন!? নীচে আমার নাম ধরে ডাকা বোতামটি ভেসে উঠছিল। মানুষ হিসেবে, আমাদের অন্য মানুষের প্রণোদনা সম্পর্কে ভাবতে হবে। ওয়েবসাইট/ব্যবসার কাজ হল অর্থ উপার্জন করা। তারা মানুষকে ডিটক্স/পুনর্বাসনে ভর্তি করে অর্থ উপার্জন করে। মানুষকে একটু ভয় দেখানোর ফলে মানুষ ফোন করে। আমি ডাক্তার নই। কিছু লোকের সত্যিই চিকিৎসা সহায়তার প্রয়োজন। কিন্তু একজন হাইপোকন্ড্রিয়াক হিসেবে, যখন সে বুঝতে পারে যে সবকিছু কীভাবে কাজ করে, তখন যদি তুমি চরম লক্ষণগুলি অনুভব করো, তাহলে ঠিক আছে। কিন্তু দয়া করে। যদি তুমি বছরের পর বছর ধরে প্রতিদিন পঞ্চমাংশ পান করে থাকো, তাহলে হয়তো তোমার লাভ হবে। আমার কথাটা বিশ্বাস করো না। শুধু আমার পর্যবেক্ষণ।</v>
      </c>
    </row>
    <row r="1077" spans="1:3" ht="15" x14ac:dyDescent="0.25">
      <c r="A1077" s="3" t="s">
        <v>1074</v>
      </c>
      <c r="B1077" s="3" t="s">
        <v>997</v>
      </c>
      <c r="C1077" s="4" t="str">
        <f ca="1">IFERROR(__xludf.DUMMYFUNCTION("GOOGLETRANSLATE(A1077, ""auto"", ""bn"")"),"আমার বয়স ২৭ বছর, শারীরিকভাবেও ভালো, যার ফলে আমি ভালো আয় করি। আমি প্রতি রাতে এক পিন্ট বা তার বেশি হুইস্কি পান করি, আর কিছু বিয়ারও। তাছাড়া, এটা করলে আমার মাতাল লাগে না, এটা আমাকে ঘুমাতে সাহায্য করে। আমি তো তাই করি, মাসে ৬০০ ডলার মদ্যপান কমিয়ে নিচ্ছি এবং "&amp;"প্রতিদিন সকালে ঘুম থেকে উঠে ভালোভাবে ঘুম থেকে উঠে দোকানে যাওয়ার আগে একবার পান করি। কাজ শেষ না হওয়া পর্যন্ত আমি মদ্যপানের কথা ভাবি না, তারপর আমি আরও বেশি পান করি যা সাধারণ মানুষ অজ্ঞান করে দেয়, ঘুমাতে যাই, বারবার। সময়ের সাথে সাথে আমার লিভারের উপর এর কী"&amp;" প্রভাব পড়বে তা নিয়ে আমি চিন্তিত হতে শুরু করেছি। আমি যা করি তা কীভাবে কেউ করতে পারে এবং তার কোনও নেতিবাচক প্রভাব না পড়ে? আমি জানি আমার থামা দরকার। আমি নিজেকে এতটা ঘৃণা করি না যে পুনর্বাসন বা AA বা এর যেকোনো কিছুতে যেতে পারি, কিন্তু আমি জানি এটি টেকসই ন"&amp;"য়। অন্তত এক বছর ধরে এটি করছি।")</f>
        <v>আমার বয়স ২৭ বছর, শারীরিকভাবেও ভালো, যার ফলে আমি ভালো আয় করি। আমি প্রতি রাতে এক পিন্ট বা তার বেশি হুইস্কি পান করি, আর কিছু বিয়ারও। তাছাড়া, এটা করলে আমার মাতাল লাগে না, এটা আমাকে ঘুমাতে সাহায্য করে। আমি তো তাই করি, মাসে ৬০০ ডলার মদ্যপান কমিয়ে নিচ্ছি এবং প্রতিদিন সকালে ঘুম থেকে উঠে ভালোভাবে ঘুম থেকে উঠে দোকানে যাওয়ার আগে একবার পান করি। কাজ শেষ না হওয়া পর্যন্ত আমি মদ্যপানের কথা ভাবি না, তারপর আমি আরও বেশি পান করি যা সাধারণ মানুষ অজ্ঞান করে দেয়, ঘুমাতে যাই, বারবার। সময়ের সাথে সাথে আমার লিভারের উপর এর কী প্রভাব পড়বে তা নিয়ে আমি চিন্তিত হতে শুরু করেছি। আমি যা করি তা কীভাবে কেউ করতে পারে এবং তার কোনও নেতিবাচক প্রভাব না পড়ে? আমি জানি আমার থামা দরকার। আমি নিজেকে এতটা ঘৃণা করি না যে পুনর্বাসন বা AA বা এর যেকোনো কিছুতে যেতে পারি, কিন্তু আমি জানি এটি টেকসই নয়। অন্তত এক বছর ধরে এটি করছি।</v>
      </c>
    </row>
    <row r="1078" spans="1:3" ht="15" x14ac:dyDescent="0.25">
      <c r="A1078" s="3" t="s">
        <v>1075</v>
      </c>
      <c r="B1078" s="3" t="s">
        <v>997</v>
      </c>
      <c r="C1078" s="4" t="str">
        <f ca="1">IFERROR(__xludf.DUMMYFUNCTION("GOOGLETRANSLATE(A1078, ""auto"", ""bn"")"),"শেষবার যখন আমি প্রত্যাহারের অভিজ্ঞতা অর্জন করেছিলাম (আমার মনে হয় এটি প্রত্যাহার ছিল, কিন্তু এখন আমি নিশ্চিত নই), তখন আমার আগের ভ্রান্ত ধারণাগুলির স্মৃতি ফিরে আসছিল। উদাহরণস্বরূপ, যখন আমি সেদিন আমার ভ্যাপিং মেশিনে আঘাত করি, তখন আমার মাথায় একটি পরিচিত জ্ব"&amp;"লন্ত গন্ধ ছিল এবং আগের প্রত্যাহারের সময়কার 1920-এর দশকের এক অদ্ভুত ক্লাউনের মতো ভ্রান্ত ধারণা ছিল। পরে সেই দিন রাতে, প্রত্যাহারটি আমার মনে পড়ে গেল। আমি অর্ধেক বিয়ার পান করেছিলাম এবং প্রত্যাহারের লক্ষণগুলি অদৃশ্য হয়ে গেল। সত্যি বলতে, আমি আর নিশ্চিত নই "&amp;"যে এটি প্রত্যাহার ছিল নাকি সত্যিই পাগলাটে মাথাব্যথা। আমি মনে করতে পারছি না যে আমি কাঁপছিলাম নাকি ঘামছিলাম। কিন্তু দিনের বেলা ভ্রান্ত ধারণা এবং গন্ধ খুবই অদ্ভুত ছিল।")</f>
        <v>শেষবার যখন আমি প্রত্যাহারের অভিজ্ঞতা অর্জন করেছিলাম (আমার মনে হয় এটি প্রত্যাহার ছিল, কিন্তু এখন আমি নিশ্চিত নই), তখন আমার আগের ভ্রান্ত ধারণাগুলির স্মৃতি ফিরে আসছিল। উদাহরণস্বরূপ, যখন আমি সেদিন আমার ভ্যাপিং মেশিনে আঘাত করি, তখন আমার মাথায় একটি পরিচিত জ্বলন্ত গন্ধ ছিল এবং আগের প্রত্যাহারের সময়কার 1920-এর দশকের এক অদ্ভুত ক্লাউনের মতো ভ্রান্ত ধারণা ছিল। পরে সেই দিন রাতে, প্রত্যাহারটি আমার মনে পড়ে গেল। আমি অর্ধেক বিয়ার পান করেছিলাম এবং প্রত্যাহারের লক্ষণগুলি অদৃশ্য হয়ে গেল। সত্যি বলতে, আমি আর নিশ্চিত নই যে এটি প্রত্যাহার ছিল নাকি সত্যিই পাগলাটে মাথাব্যথা। আমি মনে করতে পারছি না যে আমি কাঁপছিলাম নাকি ঘামছিলাম। কিন্তু দিনের বেলা ভ্রান্ত ধারণা এবং গন্ধ খুবই অদ্ভুত ছিল।</v>
      </c>
    </row>
    <row r="1079" spans="1:3" ht="15" x14ac:dyDescent="0.25">
      <c r="A1079" s="3" t="s">
        <v>1076</v>
      </c>
      <c r="B1079" s="3" t="s">
        <v>997</v>
      </c>
      <c r="C1079" s="4" t="str">
        <f ca="1">IFERROR(__xludf.DUMMYFUNCTION("GOOGLETRANSLATE(A1079, ""auto"", ""bn"")"),"আমি ২৮ দিন এবং পরবর্তীতে ১৮ দিন ধরে ইনপেশেন্ট রিহ্যাব করেছি। আমার বেশ কয়েকটি বাড়িতে লিব্রিয়াম টেপার হয়েছে। তাছাড়া, আমি AA তে অংশগ্রহণ করেছি এবং ৪ মাস ধরে IOP তে আছি। তাছাড়া, আমি Google এবং Reddit এর মাধ্যমে PAWS সম্পর্কে শিখেছি। তাছাড়া, আমি নিশ্চিত"&amp;" যে সপ্তাহের পর সপ্তাহ ধরে সংযমের পরে রিল্যাপসের একটি বিশাল অংশ PAWS এবং চিকিৎসার ব্যাখ্যার অভাবের কারণে ঘটে। প্রোগ্রামগুলি (অন্তত যেগুলিতে আমি গিয়েছি) পুনরুদ্ধারকে রৈখিক হিসাবে উপস্থাপন করে। ""সময়ের সাথে সাথে এটি সহজ হয়ে যায়।"" দুর্বলতা কেবল বিবাহবিচ"&amp;"্ছেদ, চাকরি হারানো, শোক ইত্যাদির সাথেই আসবে। ভুল! যখন আপনি ৪০ তম দিনে ৮ তম দিনের চেয়ে খারাপ বোধ করেন এবং যখন সেই অনুভূতি শেষ পর্যন্ত কয়েক দিন স্থায়ী হয়, তখন ধরে নেওয়া যুক্তিসঙ্গত যে এটি অনির্দিষ্টকালের জন্য - বিকল্পগুলি হল চিরতরে এইভাবে অনুভব করা বা "&amp;"পান করা। বাস্তবতা হল যে আপনি চক্রের ৩-৪ দিন ধরে আবর্জনার মতো অনুভব করবেন। আমি যদি আগে জানতাম যে এই অনুভূতিগুলি চলে যাবে এবং আরও দূরে সরে যাবে। এক মাস পর কতবার আমি আবার এই রোগে আক্রান্ত হয়েছি তা আমি বলতে পারব না।")</f>
        <v>আমি ২৮ দিন এবং পরবর্তীতে ১৮ দিন ধরে ইনপেশেন্ট রিহ্যাব করেছি। আমার বেশ কয়েকটি বাড়িতে লিব্রিয়াম টেপার হয়েছে। তাছাড়া, আমি AA তে অংশগ্রহণ করেছি এবং ৪ মাস ধরে IOP তে আছি। তাছাড়া, আমি Google এবং Reddit এর মাধ্যমে PAWS সম্পর্কে শিখেছি। তাছাড়া, আমি নিশ্চিত যে সপ্তাহের পর সপ্তাহ ধরে সংযমের পরে রিল্যাপসের একটি বিশাল অংশ PAWS এবং চিকিৎসার ব্যাখ্যার অভাবের কারণে ঘটে। প্রোগ্রামগুলি (অন্তত যেগুলিতে আমি গিয়েছি) পুনরুদ্ধারকে রৈখিক হিসাবে উপস্থাপন করে। "সময়ের সাথে সাথে এটি সহজ হয়ে যায়।" দুর্বলতা কেবল বিবাহবিচ্ছেদ, চাকরি হারানো, শোক ইত্যাদির সাথেই আসবে। ভুল! যখন আপনি ৪০ তম দিনে ৮ তম দিনের চেয়ে খারাপ বোধ করেন এবং যখন সেই অনুভূতি শেষ পর্যন্ত কয়েক দিন স্থায়ী হয়, তখন ধরে নেওয়া যুক্তিসঙ্গত যে এটি অনির্দিষ্টকালের জন্য - বিকল্পগুলি হল চিরতরে এইভাবে অনুভব করা বা পান করা। বাস্তবতা হল যে আপনি চক্রের ৩-৪ দিন ধরে আবর্জনার মতো অনুভব করবেন। আমি যদি আগে জানতাম যে এই অনুভূতিগুলি চলে যাবে এবং আরও দূরে সরে যাবে। এক মাস পর কতবার আমি আবার এই রোগে আক্রান্ত হয়েছি তা আমি বলতে পারব না।</v>
      </c>
    </row>
    <row r="1080" spans="1:3" ht="15" x14ac:dyDescent="0.25">
      <c r="A1080" s="3" t="s">
        <v>1077</v>
      </c>
      <c r="B1080" s="3" t="s">
        <v>997</v>
      </c>
      <c r="C1080" s="4" t="str">
        <f ca="1">IFERROR(__xludf.DUMMYFUNCTION("GOOGLETRANSLATE(A1080, ""auto"", ""bn"")"),"আমার বয়স ২১। প্রায় অর্ধেক বছর আগে আমার বয়স ২১, আর ২১ বছর হওয়ার আগে থেকেই আমি ভয় পেতাম যে মদ্যপান সহজলভ্য হয়ে যাবে। তাছাড়া, আমি ২০২০ সালের সেপ্টেম্বরের দিকে মদ্যপান শুরু করেছিলাম, আমার একটা খারাপ সম্পর্কের মধ্যে ছিলাম এবং মাতাল হওয়ার মধ্যে সুখ খুঁজে পেতে "&amp;"শুরু করেছিলাম। তাছাড়া, আমি প্রচুর মদ্যপান করতাম, এবং এটা বেশ খারাপ ছিল, কিন্তু যখন আমি শীতকালীন ছুটিতে বাড়ি যাই (আমি এখনও কলেজে পড়ি) তখন প্রায় এক মাস ধরে আমি কোল্ড টার্কি বন্ধ করে দিই। সবকিছু ঠিকঠাক ছিল, আমার মদ্যপানের ইচ্ছাও ছিল না, এবং আমি শুধু ভাবতা"&amp;"ম ""হয়তো সবকিছু ঠিক আছে?""। আমার বয়ফ্রেন্ড ডিসেম্বরের শুরুতে ডিভির জন্য গ্রেপ্তার হয় যা সত্যিই কঠিন ছিল। আমি জানুয়ারির দিকে আবার মদ্যপান শুরু করি এবং তারপর থেকে প্রতিদিনই আমি মাতাল হয়ে পড়ি। আমি এটা ঘৃণা করি, কিন্তু খুশি বা ""বিক্ষিপ্ত"" থাকার আর কোন উপায়ও"&amp;" খুঁজে পাচ্ছি না, আমার মনে হয়। আমার অবসর সময়ের প্রতিটি মুহূর্তই মনে হয় যে ""আমার মাতাল হওয়া উচিত?""। আমি কোনও অজুহাত খুঁজে পাচ্ছি না। আমি সবসময়ই একটু পারফেকশনিস্ট, তাই আমার সব কাজ/হোমওয়ার্ক নির্ধারিত হওয়ার সাথে সাথেই সেরে ফেলি এবং সপ্তাহের মাঝামাঝি সময়ে"&amp;" সেটাকেই বাজেভাবে উপস্থাপন করার কারণ হিসেবে ব্যবহার করি। প্রায় এক বছর ধরে থেরাপি নিচ্ছি। তাছাড়া, আমি কয়েক মাস আগে একজন নতুন থেরাপিস্টের সাথে EMDR শুরু করেছিলাম কিন্তু সত্যি বলতে, আমি তার কাছে এই বিষয়ে কিছু বলতেও ভয় পাচ্ছি এবং লজ্জা পাচ্ছি। তাছাড়া, আমি ন"&amp;"িজেকে সম্পূর্ণ পাগলের মতো মনে করি কিন্তু একই সাথে আমি যা করছি তা স্বীকার করতে চাই না এবং এটা করে যেতে চাই কারণ এটাই একমাত্র জিনিস যা আমাকে ঠিক বোধ করায়।")</f>
        <v>আমার বয়স ২১। প্রায় অর্ধেক বছর আগে আমার বয়স ২১, আর ২১ বছর হওয়ার আগে থেকেই আমি ভয় পেতাম যে মদ্যপান সহজলভ্য হয়ে যাবে। তাছাড়া, আমি ২০২০ সালের সেপ্টেম্বরের দিকে মদ্যপান শুরু করেছিলাম, আমার একটা খারাপ সম্পর্কের মধ্যে ছিলাম এবং মাতাল হওয়ার মধ্যে সুখ খুঁজে পেতে শুরু করেছিলাম। তাছাড়া, আমি প্রচুর মদ্যপান করতাম, এবং এটা বেশ খারাপ ছিল, কিন্তু যখন আমি শীতকালীন ছুটিতে বাড়ি যাই (আমি এখনও কলেজে পড়ি) তখন প্রায় এক মাস ধরে আমি কোল্ড টার্কি বন্ধ করে দিই। সবকিছু ঠিকঠাক ছিল, আমার মদ্যপানের ইচ্ছাও ছিল না, এবং আমি শুধু ভাবতাম "হয়তো সবকিছু ঠিক আছে?"। আমার বয়ফ্রেন্ড ডিসেম্বরের শুরুতে ডিভির জন্য গ্রেপ্তার হয় যা সত্যিই কঠিন ছিল। আমি জানুয়ারির দিকে আবার মদ্যপান শুরু করি এবং তারপর থেকে প্রতিদিনই আমি মাতাল হয়ে পড়ি। আমি এটা ঘৃণা করি, কিন্তু খুশি বা "বিক্ষিপ্ত" থাকার আর কোন উপায়ও খুঁজে পাচ্ছি না, আমার মনে হয়। আমার অবসর সময়ের প্রতিটি মুহূর্তই মনে হয় যে "আমার মাতাল হওয়া উচিত?"। আমি কোনও অজুহাত খুঁজে পাচ্ছি না। আমি সবসময়ই একটু পারফেকশনিস্ট, তাই আমার সব কাজ/হোমওয়ার্ক নির্ধারিত হওয়ার সাথে সাথেই সেরে ফেলি এবং সপ্তাহের মাঝামাঝি সময়ে সেটাকেই বাজেভাবে উপস্থাপন করার কারণ হিসেবে ব্যবহার করি। প্রায় এক বছর ধরে থেরাপি নিচ্ছি। তাছাড়া, আমি কয়েক মাস আগে একজন নতুন থেরাপিস্টের সাথে EMDR শুরু করেছিলাম কিন্তু সত্যি বলতে, আমি তার কাছে এই বিষয়ে কিছু বলতেও ভয় পাচ্ছি এবং লজ্জা পাচ্ছি। তাছাড়া, আমি নিজেকে সম্পূর্ণ পাগলের মতো মনে করি কিন্তু একই সাথে আমি যা করছি তা স্বীকার করতে চাই না এবং এটা করে যেতে চাই কারণ এটাই একমাত্র জিনিস যা আমাকে ঠিক বোধ করায়।</v>
      </c>
    </row>
    <row r="1081" spans="1:3" ht="15" x14ac:dyDescent="0.25">
      <c r="A1081" s="3" t="s">
        <v>1078</v>
      </c>
      <c r="B1081" s="3" t="s">
        <v>997</v>
      </c>
      <c r="C1081" s="4" t="str">
        <f ca="1">IFERROR(__xludf.DUMMYFUNCTION("GOOGLETRANSLATE(A1081, ""auto"", ""bn"")"),"আমি যতটা সম্ভব এটি সংক্ষিপ্ত করব। আমি একজন খারাপ মদ্যপ হয়ে পড়েছিলাম, ধূমপান, সকালে মদ্যপান, এবং খারাপ লিভার এবং এই সমস্ত কিছুর উপর নির্ভরশীল হয়ে পড়েছিলাম, এবং সাহায্য চেয়েছিলাম এবং ১১ দিন ধরে শান্ত ছিলাম। আমার সঙ্গী, যার সাথে আমার দুটি বাচ্চা রয়েছে "&amp;"(আমার ছেড়ে দেওয়ার বড় কারণ) প্রায় প্রতি রাতে মদ্যপান করে। তার খারাপ ধূমপান, লিভার বা স্বাস্থ্যগত সমস্যা রোধ করার মতো আমার মতো পঙ্গু সমস্যা নেই, তবে সে এখনও মদ্যপান করে চলেছে। আমি যে ডিটক্স প্রোগ্রামটি করেছি তার জন্য অপেক্ষা করার সময় আমি খুব উদ্বিগ্ন, "&amp;"চিন্তিত, হতাশাগ্রস্ত, লজ্জিত ইত্যাদি ছিলাম এবং সে আমাকে বলেছিল যে সে সপ্তাহের রাতে আমার সাথে বাড়িতে মদ্যপান বন্ধ করবে। সে তা করতে ব্যর্থ হয়েছে এবং মদ্যপান লুকানোর চেষ্টা করছে এবং কখন সে মদ্যপান করছে তা বলা সত্যিই সহজ। সে যখন মদ্যপান করে তখন আমি তাকে পছন"&amp;"্দ করি না, এবং আমি শান্ত থাকি, এবং আমার বাড়িতে আমি খুব একা বোধ করি। যখন কোনও প্রিয়জনের কথা আসে তখন আমার এমন বোধ করা উচিত নয়। যাই হোক, আমি কেবল প্রকাশ করতে চেয়েছিলাম। আমি সত্যিই হতাশ বোধ করি, অগত্যা তার মধ্যে নয়, তবে সামগ্রিক পরিস্থিতি নিয়ে। আমার মনে"&amp;" হয়েছিল এটা এরকমই হবে, আর এটা খুবই খারাপ। নতুন করে সুস্থ হয়ে ওঠা মানুষ হিসেবে, এটা বেশ খারাপ অনুভূতি। এই মুহূর্তে ওর জন্য আমার খুব একটা আশা নেই। আমার AA মিটিংয়ে যোগ দেওয়া দরকার, আর সুস্থ মানুষদের সাথে দেখা করা দরকার। তাছাড়া, বর্তমানে আমার এমন একজন বন"&amp;"্ধু আছে যার সাথে আমি দু-একটা সুস্থ কাজ করতে পারি। তা ছাড়া, আমার পরিচিত সবাই সবসময় মদ্যপান করে। মুখ ফুটে বলার জন্য দুঃখিত, অন্য কারো যদি আমার সাথে একই রকম পরিস্থিতির সম্মুখীন হয়ে থাকে, তাহলে হলি।")</f>
        <v>আমি যতটা সম্ভব এটি সংক্ষিপ্ত করব। আমি একজন খারাপ মদ্যপ হয়ে পড়েছিলাম, ধূমপান, সকালে মদ্যপান, এবং খারাপ লিভার এবং এই সমস্ত কিছুর উপর নির্ভরশীল হয়ে পড়েছিলাম, এবং সাহায্য চেয়েছিলাম এবং ১১ দিন ধরে শান্ত ছিলাম। আমার সঙ্গী, যার সাথে আমার দুটি বাচ্চা রয়েছে (আমার ছেড়ে দেওয়ার বড় কারণ) প্রায় প্রতি রাতে মদ্যপান করে। তার খারাপ ধূমপান, লিভার বা স্বাস্থ্যগত সমস্যা রোধ করার মতো আমার মতো পঙ্গু সমস্যা নেই, তবে সে এখনও মদ্যপান করে চলেছে। আমি যে ডিটক্স প্রোগ্রামটি করেছি তার জন্য অপেক্ষা করার সময় আমি খুব উদ্বিগ্ন, চিন্তিত, হতাশাগ্রস্ত, লজ্জিত ইত্যাদি ছিলাম এবং সে আমাকে বলেছিল যে সে সপ্তাহের রাতে আমার সাথে বাড়িতে মদ্যপান বন্ধ করবে। সে তা করতে ব্যর্থ হয়েছে এবং মদ্যপান লুকানোর চেষ্টা করছে এবং কখন সে মদ্যপান করছে তা বলা সত্যিই সহজ। সে যখন মদ্যপান করে তখন আমি তাকে পছন্দ করি না, এবং আমি শান্ত থাকি, এবং আমার বাড়িতে আমি খুব একা বোধ করি। যখন কোনও প্রিয়জনের কথা আসে তখন আমার এমন বোধ করা উচিত নয়। যাই হোক, আমি কেবল প্রকাশ করতে চেয়েছিলাম। আমি সত্যিই হতাশ বোধ করি, অগত্যা তার মধ্যে নয়, তবে সামগ্রিক পরিস্থিতি নিয়ে। আমার মনে হয়েছিল এটা এরকমই হবে, আর এটা খুবই খারাপ। নতুন করে সুস্থ হয়ে ওঠা মানুষ হিসেবে, এটা বেশ খারাপ অনুভূতি। এই মুহূর্তে ওর জন্য আমার খুব একটা আশা নেই। আমার AA মিটিংয়ে যোগ দেওয়া দরকার, আর সুস্থ মানুষদের সাথে দেখা করা দরকার। তাছাড়া, বর্তমানে আমার এমন একজন বন্ধু আছে যার সাথে আমি দু-একটা সুস্থ কাজ করতে পারি। তা ছাড়া, আমার পরিচিত সবাই সবসময় মদ্যপান করে। মুখ ফুটে বলার জন্য দুঃখিত, অন্য কারো যদি আমার সাথে একই রকম পরিস্থিতির সম্মুখীন হয়ে থাকে, তাহলে হলি।</v>
      </c>
    </row>
    <row r="1082" spans="1:3" ht="15" x14ac:dyDescent="0.25">
      <c r="A1082" s="3" t="s">
        <v>1079</v>
      </c>
      <c r="B1082" s="3" t="s">
        <v>997</v>
      </c>
      <c r="C1082" s="4" t="str">
        <f ca="1">IFERROR(__xludf.DUMMYFUNCTION("GOOGLETRANSLATE(A1082, ""auto"", ""bn"")"),"হ্যালো, গত বছর আমি প্রচুর পরিমাণে মদ্যপান করতাম। ওসিডি এবং পোস্ট-ট্রেডিজেডের সমস্যা মোকাবেলা করার জন্য আমি দিনে ১২ থেকে ১৮টি বিয়ার পান করতাম। কিছু চিকিৎসা নেওয়ার পর, যা আমি এখনও করছি, আমি তা অনেক কমিয়ে দিয়েছি। আমি এখনও প্রতিদিন পান করি, কিন্তু তার অর্"&amp;"ধেকও না। কিন্তু আমি লক্ষ্য করেছি যে আগে যখন আমি ১২টি বিয়ার পান করি, তখন আমার আর ক্লান্তি লাগত না, এখন মনে হচ্ছে যত কম পান করি, আমার হ্যাংওভার ততই খারাপ হয়ে যায়। অন্য কেউ কি এই সমস্যায় ভুগছেন?")</f>
        <v>হ্যালো, গত বছর আমি প্রচুর পরিমাণে মদ্যপান করতাম। ওসিডি এবং পোস্ট-ট্রেডিজেডের সমস্যা মোকাবেলা করার জন্য আমি দিনে ১২ থেকে ১৮টি বিয়ার পান করতাম। কিছু চিকিৎসা নেওয়ার পর, যা আমি এখনও করছি, আমি তা অনেক কমিয়ে দিয়েছি। আমি এখনও প্রতিদিন পান করি, কিন্তু তার অর্ধেকও না। কিন্তু আমি লক্ষ্য করেছি যে আগে যখন আমি ১২টি বিয়ার পান করি, তখন আমার আর ক্লান্তি লাগত না, এখন মনে হচ্ছে যত কম পান করি, আমার হ্যাংওভার ততই খারাপ হয়ে যায়। অন্য কেউ কি এই সমস্যায় ভুগছেন?</v>
      </c>
    </row>
    <row r="1083" spans="1:3" ht="15" x14ac:dyDescent="0.25">
      <c r="A1083" s="3" t="s">
        <v>1080</v>
      </c>
      <c r="B1083" s="3" t="s">
        <v>997</v>
      </c>
      <c r="C1083" s="4" t="str">
        <f ca="1">IFERROR(__xludf.DUMMYFUNCTION("GOOGLETRANSLATE(A1083, ""auto"", ""bn"")"),"গতবার যখন আমি গিয়েছিলাম তখন আমার বয়স ছিল ১৯ বছর কিন্তু জ্যানাক্সের জন্য। যা আমি আমার জীবন থেকে সফলভাবে বের করে দিয়েছিলাম। আমার মনে হয় আবার যাওয়া আসলে খারাপ হবে। আমার যে নিয়ন্ত্রণ আছে তা আমি হারিয়ে ফেলব। তাছাড়া, আমি বারে গিয়েছি এবং এর আগেও একাধিকব"&amp;"ার একবার পান করেছি। তাছাড়া, পুনর্বাসনে তারা আপনাকে যা বলে তার কিছু জিনিস আমি পছন্দ করি না। আমি একজন অভিনেতা হওয়ার চেষ্টা করছি এবং আমার ম্যানেজার এবং আমার এজেন্টকে কী বলব তা আমি ভাবতে চাই? তারা কি আমাকে পুনর্বাসনে অডিশন দিতে দেবে? নাকি আমার কলব্যাক করবে?"&amp;" হা হা সম্ভবত না। তারা সবকিছু কেড়ে নেয়। আমি ভুলে যাচ্ছি যে সোমবার-বৃহস্পতিবার অন্তত শান্ত থাকার অনুভূতি কেমন। আমার একটি শখ খুঁজে বের করা দরকার। এবং কিছু বন্ধু গত রাতে আমাকে খুব বেশি মাতাল হওয়ার জন্য আমার প্রিয় বার থেকে বের করে দেওয়া হয়েছিল। শেষবার য"&amp;"খন গিয়েছিলাম তখন আমার বয়স ছিল ১৯ কিন্তু জ্যানাক্সের জন্য। যা আমি আমার জীবন থেকে সফলভাবে বের করে দিয়েছিলাম। এবং যদি আমি আবার পুনর্বাসনে যাই, আমি জানি আমি মদ্যপান বন্ধ করব না এবং আমার বাকি জীবনের জন্য শান্ত থাকব না।")</f>
        <v>গতবার যখন আমি গিয়েছিলাম তখন আমার বয়স ছিল ১৯ বছর কিন্তু জ্যানাক্সের জন্য। যা আমি আমার জীবন থেকে সফলভাবে বের করে দিয়েছিলাম। আমার মনে হয় আবার যাওয়া আসলে খারাপ হবে। আমার যে নিয়ন্ত্রণ আছে তা আমি হারিয়ে ফেলব। তাছাড়া, আমি বারে গিয়েছি এবং এর আগেও একাধিকবার একবার পান করেছি। তাছাড়া, পুনর্বাসনে তারা আপনাকে যা বলে তার কিছু জিনিস আমি পছন্দ করি না। আমি একজন অভিনেতা হওয়ার চেষ্টা করছি এবং আমার ম্যানেজার এবং আমার এজেন্টকে কী বলব তা আমি ভাবতে চাই? তারা কি আমাকে পুনর্বাসনে অডিশন দিতে দেবে? নাকি আমার কলব্যাক করবে? হা হা সম্ভবত না। তারা সবকিছু কেড়ে নেয়। আমি ভুলে যাচ্ছি যে সোমবার-বৃহস্পতিবার অন্তত শান্ত থাকার অনুভূতি কেমন। আমার একটি শখ খুঁজে বের করা দরকার। এবং কিছু বন্ধু গত রাতে আমাকে খুব বেশি মাতাল হওয়ার জন্য আমার প্রিয় বার থেকে বের করে দেওয়া হয়েছিল। শেষবার যখন গিয়েছিলাম তখন আমার বয়স ছিল ১৯ কিন্তু জ্যানাক্সের জন্য। যা আমি আমার জীবন থেকে সফলভাবে বের করে দিয়েছিলাম। এবং যদি আমি আবার পুনর্বাসনে যাই, আমি জানি আমি মদ্যপান বন্ধ করব না এবং আমার বাকি জীবনের জন্য শান্ত থাকব না।</v>
      </c>
    </row>
    <row r="1084" spans="1:3" ht="15" x14ac:dyDescent="0.25">
      <c r="A1084" s="3" t="s">
        <v>1081</v>
      </c>
      <c r="B1084" s="3" t="s">
        <v>997</v>
      </c>
      <c r="C1084" s="4" t="str">
        <f ca="1">IFERROR(__xludf.DUMMYFUNCTION("GOOGLETRANSLATE(A1084, ""auto"", ""bn"")"),"আমার বাবা ৫ বছরের বেশি বয়সী একজন মদ্যপ। আমি প্রতি দুই বছরে একবার তাকে ব্যক্তিগতভাবে দেখি এবং সবসময় ব্যাখ্যা করি যে আমি জানি সে এখনও মদ্যপান করে, এবং এটি দেখা যাচ্ছে, কিন্তু সে কেবল ছাড়তে পারে না। পরিস্থিতি এমন পর্যায়ে পৌঁছেছে যে সে তার স্বাস্থ্য পর্যব"&amp;"েক্ষণের জন্য ক্রমাগত রক্তক্ষরণের পরীক্ষা করাতে যায়, যদিও তার ডাক্তারদের (অথবা নিজের) কাছে স্বীকার করে না যে সে একজন মদ্যপ। পরিস্থিতি এমন পর্যায়ে এসে পৌঁছেছে যে তার অস্থি মজ্জা এতটাই নষ্ট হয়ে গেছে যে তার শ্বেত রক্তকণিকার সংখ্যা ২০০ এর নিচে চলে গেছে, এবং"&amp;" ডাক্তাররা মনে করেন যে সে এইচআইভিতে আক্রান্ত। আমি কি কিছু করতে পারি? আমি তাকে অনেক ভালোবাসি, এবং আমি জানি যে সে যদি থামে না তবে সে এই রোগের বিরুদ্ধে লড়াইয়ে হেরে যাবে। আমার কি আরও আক্রমণাত্মক বা সহানুভূতিশীল হওয়া উচিত? আমি কি তাকে যত্ন নিতে বাধ্য করার চ"&amp;"েষ্টা করব নাকি তাকে একা ছেড়ে দেব? আমি খুব ভয় পাচ্ছি।")</f>
        <v>আমার বাবা ৫ বছরের বেশি বয়সী একজন মদ্যপ। আমি প্রতি দুই বছরে একবার তাকে ব্যক্তিগতভাবে দেখি এবং সবসময় ব্যাখ্যা করি যে আমি জানি সে এখনও মদ্যপান করে, এবং এটি দেখা যাচ্ছে, কিন্তু সে কেবল ছাড়তে পারে না। পরিস্থিতি এমন পর্যায়ে পৌঁছেছে যে সে তার স্বাস্থ্য পর্যবেক্ষণের জন্য ক্রমাগত রক্তক্ষরণের পরীক্ষা করাতে যায়, যদিও তার ডাক্তারদের (অথবা নিজের) কাছে স্বীকার করে না যে সে একজন মদ্যপ। পরিস্থিতি এমন পর্যায়ে এসে পৌঁছেছে যে তার অস্থি মজ্জা এতটাই নষ্ট হয়ে গেছে যে তার শ্বেত রক্তকণিকার সংখ্যা ২০০ এর নিচে চলে গেছে, এবং ডাক্তাররা মনে করেন যে সে এইচআইভিতে আক্রান্ত। আমি কি কিছু করতে পারি? আমি তাকে অনেক ভালোবাসি, এবং আমি জানি যে সে যদি থামে না তবে সে এই রোগের বিরুদ্ধে লড়াইয়ে হেরে যাবে। আমার কি আরও আক্রমণাত্মক বা সহানুভূতিশীল হওয়া উচিত? আমি কি তাকে যত্ন নিতে বাধ্য করার চেষ্টা করব নাকি তাকে একা ছেড়ে দেব? আমি খুব ভয় পাচ্ছি।</v>
      </c>
    </row>
    <row r="1085" spans="1:3" ht="15" x14ac:dyDescent="0.25">
      <c r="A1085" s="3" t="s">
        <v>1082</v>
      </c>
      <c r="B1085" s="3" t="s">
        <v>997</v>
      </c>
      <c r="C1085" s="4" t="str">
        <f ca="1">IFERROR(__xludf.DUMMYFUNCTION("GOOGLETRANSLATE(A1085, ""auto"", ""bn"")"),"আমার বয়স ১৮ বছর। (আইনত এখানে)। যেদিন আমি প্রথমবার মদ্যপান করেছিলাম, সেদিন আমি জানতাম যে আমি মদ্যপ হব। অন্য সবাইও তা জানত। মজার ব্যাপার হলো আমি আসলে মাতাল হই না। আমি খুশি হই। আমার কখনো বমি বমি ভাব বা বমি বমি ভাব হয় না। আমি কেবল ভালো বোধ করি, যতক্ষণ না আমা"&amp;"র না হয়। বেশ কয়েক সপ্তাহ (আসলে কয়েকটিরও বেশি) কঠিন সময় কেটেছে, এবং আমি ক্রমাগত পান করার কথা ভাবছি। নভেম্বর থেকে আমি মদ্যপান করিনি, এবং আমি একা মদ্যপান না করার জন্য যথাসাধ্য চেষ্টা করি, তবে আমি বন্ধুদের সাথে পান করার জন্যও খুঁজছি। আমি জানি এটা খারাপ এবং আম"&amp;"ার উচিত নয়। তাছাড়া, আমি জানি না এটা ভাগ্যবান নাকি দুর্ভাগ্যবশত, কিন্তু তারা কখনই কার্যকর হবে না। এখন আমি হাল ছেড়ে দিয়েছি এবং পানীয় খুঁজছি। আমি গাড়ি চালাই না কারণ আমি মাতাল হতে পারি, তাই আমি হেঁটে যাচ্ছি। এখানে কোনও বার নেই। প্রতিটি সুপারমার্কেট ইতিম"&amp;"ধ্যেই বন্ধ। আমি শান্ত। ঠান্ডায়। সঙ্গীতের সাথে, আমি পছন্দও করি না। শান্ত... এটা কঠিন।")</f>
        <v>আমার বয়স ১৮ বছর। (আইনত এখানে)। যেদিন আমি প্রথমবার মদ্যপান করেছিলাম, সেদিন আমি জানতাম যে আমি মদ্যপ হব। অন্য সবাইও তা জানত। মজার ব্যাপার হলো আমি আসলে মাতাল হই না। আমি খুশি হই। আমার কখনো বমি বমি ভাব বা বমি বমি ভাব হয় না। আমি কেবল ভালো বোধ করি, যতক্ষণ না আমার না হয়। বেশ কয়েক সপ্তাহ (আসলে কয়েকটিরও বেশি) কঠিন সময় কেটেছে, এবং আমি ক্রমাগত পান করার কথা ভাবছি। নভেম্বর থেকে আমি মদ্যপান করিনি, এবং আমি একা মদ্যপান না করার জন্য যথাসাধ্য চেষ্টা করি, তবে আমি বন্ধুদের সাথে পান করার জন্যও খুঁজছি। আমি জানি এটা খারাপ এবং আমার উচিত নয়। তাছাড়া, আমি জানি না এটা ভাগ্যবান নাকি দুর্ভাগ্যবশত, কিন্তু তারা কখনই কার্যকর হবে না। এখন আমি হাল ছেড়ে দিয়েছি এবং পানীয় খুঁজছি। আমি গাড়ি চালাই না কারণ আমি মাতাল হতে পারি, তাই আমি হেঁটে যাচ্ছি। এখানে কোনও বার নেই। প্রতিটি সুপারমার্কেট ইতিমধ্যেই বন্ধ। আমি শান্ত। ঠান্ডায়। সঙ্গীতের সাথে, আমি পছন্দও করি না। শান্ত... এটা কঠিন।</v>
      </c>
    </row>
    <row r="1086" spans="1:3" ht="15" x14ac:dyDescent="0.25">
      <c r="A1086" s="3" t="s">
        <v>1083</v>
      </c>
      <c r="B1086" s="3" t="s">
        <v>997</v>
      </c>
      <c r="C1086" s="4" t="str">
        <f ca="1">IFERROR(__xludf.DUMMYFUNCTION("GOOGLETRANSLATE(A1086, ""auto"", ""bn"")"),"আমার পোস্ট শুরু করার আগে, আমি সম্পূর্ণরূপে ছেড়ে দেওয়ার কোনও ইচ্ছা করি না। আমি জানি, এটি হাঁটার জন্য খুব সূক্ষ্ম একটি লাইন, কিন্তু দু-একটি পানীয় এবং কিছু গাঁজা খেয়ে আরাম করতে না পেরে জীবন এমন জীবন নয় যা আমি উপভোগ করব। প্রসঙ্গে বলতে গেলে, আমি একজন ২২ ব"&amp;"ছর বয়সী কলেজ ছাত্র। আমার প্রাক্তন আমার সাথে সম্পর্ক ছিন্ন করার পর ১৭ বছর বয়সে আমি প্রথমবারের মতো মাতাল হয়েছিলাম। আমি আমার মায়ের মদের আলমারিতে তল্লাশি চালিয়ে বিভিন্ন ধরণের মদ, ওয়াইন এবং বিয়ার চেষ্টা করেছিলাম। তাছাড়া, দিনের মাঝখানে স্কচ খেয়ে আমি বিব"&amp;"্রত বোধ করতাম। তখন থেকে, আমার প্রিয় সামাজিক কার্যকলাপের মধ্যে একটি হল মদ্যপান। এটি ছিল যেখানে আমি মাসে দুই বা তিনবার মাতাল হতাম, কেবল সপ্তাহান্তে বন্ধুদের সাথে আড্ডা দিতাম। আমার ১৯ বছর বয়সের মধ্যে, এটি মারাত্মকভাবে বেড়ে সপ্তাহে প্রায় দুবার হয়ে গিয়েছ"&amp;"িল। যে দিনগুলিতে আমি মদ্যপান করতাম, সেই দিনগুলিতে আমি এক রাতে ৮-১২টি পানীয় পান করতাম। আমি এক সপ্তাহে এক বোতল মদ খেয়ে ফেলতাম। আমার ২০তম জন্মদিন থেকে ২১তম জন্মদিন পর্যন্ত, আমি এক ফোঁটাও পান করিনি। আমি পুরো এক বছর ধরে ত্যাগ করেছি, কারণ আমি আরও ভালো কিছু খু"&amp;"ঁজে পেয়েছি। আগাছা। আমার ২১তম জন্মদিনের দিকে, আগাছাটি আর উপভোগ্য হতে শুরু করে এবং আমি প্রচুর পরিমাণে উদ্বেগ অনুভব করতে শুরু করি। তারপর, আমার এক মাস ধরে সম্পূর্ণ সংযত সময় কেটেছে, যতক্ষণ না একদিন আমি সিদ্ধান্ত নিলাম যে এটাকে ভালো করে দেখি, চলো একটা পানীয় "&amp;"খাই। সেই রাতে আমি আমার বন্ধুদের সাথে প্রায় ৬-৭টি পানীয় খেয়েছিলাম এবং আমার জীবনের সেরা সময়টি কাটিয়েছি। তারপর থেকে, আমি প্রতি সপ্তাহে প্রায় একবার আমার বন্ধুদের সাথে মদ্যপান শুরু করেছিলাম। তারপর থেকে এর ফ্রিকোয়েন্সি ক্রমশ বৃদ্ধি পাচ্ছে এবং আমার সহনশীল"&amp;"তা বৃদ্ধি পেয়েছে। আমি আবার গাঁজা ধূমপান শুরু করি যখন আমি আবিষ্কার করি যে আমি যদি ধূমপানের আগে পান করি, তাহলে আগাছা আবার উপভোগ্য হয়ে ওঠে। তারপর থেকে, আমার মদ্যপান সপ্তাহে একবার থেকে, দুবার, তিনবার, এখন প্রায় সপ্তাহে ৪ বার হয়ে গেছে। আমি প্রতি রাতে মাতাল"&amp;" হয়ে যাচ্ছি, এবং যখন আমি তা করি, তখন আমি সহজেই আধা বোতল মদ বা কমপক্ষে ৬ প্যাকেট বিয়ার পান করতে পারি। আমি আগাছা নিয়ে মোটেও চিন্তিত নই, সত্যি বলতে, আমি মনে করি এটি আমার মদ্যপানের ক্ষেত্রে সাহায্য করতে পারে। তাছাড়া, আমি কেবল এই বিষয়টি নিয়ে চিন্তিত যে আমি "&amp;"কত ঘন ঘন মদ্যপান করি এবং রাতে কত পরিমাণে মদ্যপান করি। তাছাড়া, আমি আমার বাবা-মাকে এই বিষয়ে বলতে ভয় পাচ্ছি কারণ তারা এটি আমার বিরুদ্ধে ব্যবহার করবে এবং ব্যাপকভাবে অতিরিক্ত প্রতিক্রিয়া দেখাবে। তাছাড়া, আমি বিশ্বাস করি যে আমি নিজেকে নিয়ন্ত্রণ করতে পারি, আম"&amp;"ি যথেষ্ট চেষ্টা করছি না। তাছাড়া, আমি এখন থেকে প্রতিশ্রুতিবদ্ধ হতে যাচ্ছি যে সপ্তাহে একবারের বেশি মদ্যপান করব না এবং রাতে ৬ বারের বেশি মদ্যপান করব না। যদি আমি তা করতে ব্যর্থ হই এবং গাড়ি থেকে পড়ে যাই, তাহলে আমি আমার বাবা-মাকে বলব এবং সংযত থাকার প্রতিশ্রু"&amp;"তি দেব। আমি নিজেকে শেষ সুযোগ দিচ্ছি। আমি আমার বিশ্ববিদ্যালয়ের মাধ্যমে মাদক ব্যবহারের থেরাপিও নেব।")</f>
        <v>আমার পোস্ট শুরু করার আগে, আমি সম্পূর্ণরূপে ছেড়ে দেওয়ার কোনও ইচ্ছা করি না। আমি জানি, এটি হাঁটার জন্য খুব সূক্ষ্ম একটি লাইন, কিন্তু দু-একটি পানীয় এবং কিছু গাঁজা খেয়ে আরাম করতে না পেরে জীবন এমন জীবন নয় যা আমি উপভোগ করব। প্রসঙ্গে বলতে গেলে, আমি একজন ২২ বছর বয়সী কলেজ ছাত্র। আমার প্রাক্তন আমার সাথে সম্পর্ক ছিন্ন করার পর ১৭ বছর বয়সে আমি প্রথমবারের মতো মাতাল হয়েছিলাম। আমি আমার মায়ের মদের আলমারিতে তল্লাশি চালিয়ে বিভিন্ন ধরণের মদ, ওয়াইন এবং বিয়ার চেষ্টা করেছিলাম। তাছাড়া, দিনের মাঝখানে স্কচ খেয়ে আমি বিব্রত বোধ করতাম। তখন থেকে, আমার প্রিয় সামাজিক কার্যকলাপের মধ্যে একটি হল মদ্যপান। এটি ছিল যেখানে আমি মাসে দুই বা তিনবার মাতাল হতাম, কেবল সপ্তাহান্তে বন্ধুদের সাথে আড্ডা দিতাম। আমার ১৯ বছর বয়সের মধ্যে, এটি মারাত্মকভাবে বেড়ে সপ্তাহে প্রায় দুবার হয়ে গিয়েছিল। যে দিনগুলিতে আমি মদ্যপান করতাম, সেই দিনগুলিতে আমি এক রাতে ৮-১২টি পানীয় পান করতাম। আমি এক সপ্তাহে এক বোতল মদ খেয়ে ফেলতাম। আমার ২০তম জন্মদিন থেকে ২১তম জন্মদিন পর্যন্ত, আমি এক ফোঁটাও পান করিনি। আমি পুরো এক বছর ধরে ত্যাগ করেছি, কারণ আমি আরও ভালো কিছু খুঁজে পেয়েছি। আগাছা। আমার ২১তম জন্মদিনের দিকে, আগাছাটি আর উপভোগ্য হতে শুরু করে এবং আমি প্রচুর পরিমাণে উদ্বেগ অনুভব করতে শুরু করি। তারপর, আমার এক মাস ধরে সম্পূর্ণ সংযত সময় কেটেছে, যতক্ষণ না একদিন আমি সিদ্ধান্ত নিলাম যে এটাকে ভালো করে দেখি, চলো একটা পানীয় খাই। সেই রাতে আমি আমার বন্ধুদের সাথে প্রায় ৬-৭টি পানীয় খেয়েছিলাম এবং আমার জীবনের সেরা সময়টি কাটিয়েছি। তারপর থেকে, আমি প্রতি সপ্তাহে প্রায় একবার আমার বন্ধুদের সাথে মদ্যপান শুরু করেছিলাম। তারপর থেকে এর ফ্রিকোয়েন্সি ক্রমশ বৃদ্ধি পাচ্ছে এবং আমার সহনশীলতা বৃদ্ধি পেয়েছে। আমি আবার গাঁজা ধূমপান শুরু করি যখন আমি আবিষ্কার করি যে আমি যদি ধূমপানের আগে পান করি, তাহলে আগাছা আবার উপভোগ্য হয়ে ওঠে। তারপর থেকে, আমার মদ্যপান সপ্তাহে একবার থেকে, দুবার, তিনবার, এখন প্রায় সপ্তাহে ৪ বার হয়ে গেছে। আমি প্রতি রাতে মাতাল হয়ে যাচ্ছি, এবং যখন আমি তা করি, তখন আমি সহজেই আধা বোতল মদ বা কমপক্ষে ৬ প্যাকেট বিয়ার পান করতে পারি। আমি আগাছা নিয়ে মোটেও চিন্তিত নই, সত্যি বলতে, আমি মনে করি এটি আমার মদ্যপানের ক্ষেত্রে সাহায্য করতে পারে। তাছাড়া, আমি কেবল এই বিষয়টি নিয়ে চিন্তিত যে আমি কত ঘন ঘন মদ্যপান করি এবং রাতে কত পরিমাণে মদ্যপান করি। তাছাড়া, আমি আমার বাবা-মাকে এই বিষয়ে বলতে ভয় পাচ্ছি কারণ তারা এটি আমার বিরুদ্ধে ব্যবহার করবে এবং ব্যাপকভাবে অতিরিক্ত প্রতিক্রিয়া দেখাবে। তাছাড়া, আমি বিশ্বাস করি যে আমি নিজেকে নিয়ন্ত্রণ করতে পারি, আমি যথেষ্ট চেষ্টা করছি না। তাছাড়া, আমি এখন থেকে প্রতিশ্রুতিবদ্ধ হতে যাচ্ছি যে সপ্তাহে একবারের বেশি মদ্যপান করব না এবং রাতে ৬ বারের বেশি মদ্যপান করব না। যদি আমি তা করতে ব্যর্থ হই এবং গাড়ি থেকে পড়ে যাই, তাহলে আমি আমার বাবা-মাকে বলব এবং সংযত থাকার প্রতিশ্রুতি দেব। আমি নিজেকে শেষ সুযোগ দিচ্ছি। আমি আমার বিশ্ববিদ্যালয়ের মাধ্যমে মাদক ব্যবহারের থেরাপিও নেব।</v>
      </c>
    </row>
    <row r="1087" spans="1:3" ht="15" x14ac:dyDescent="0.25">
      <c r="A1087" s="3" t="s">
        <v>1084</v>
      </c>
      <c r="B1087" s="3" t="s">
        <v>997</v>
      </c>
      <c r="C1087" s="4" t="str">
        <f ca="1">IFERROR(__xludf.DUMMYFUNCTION("GOOGLETRANSLATE(A1087, ""auto"", ""bn"")"),"আমি খুশি যে আমি এই বিষয়গুলি নিয়ে কথা বলার জন্য এই জায়গাটি পেয়েছি। আমি এটা শেয়ার করতে চাই যে আমার সমস্যা হল আমি বুঝতে পারছি না কেন আমি যখন বাসায় থাকি তখন এখানে মদ্যপান করি না, কিন্তু যখন আমি বারে যাই তখন আমি পাগল হয়ে যাই, এবং মাঝে মাঝে আমি মদ্যপান করি, "&amp;"প্রায় ৫-৬টি পানীয়ের কথা বলি। আপনার কি এমনটা হয়?")</f>
        <v>আমি খুশি যে আমি এই বিষয়গুলি নিয়ে কথা বলার জন্য এই জায়গাটি পেয়েছি। আমি এটা শেয়ার করতে চাই যে আমার সমস্যা হল আমি বুঝতে পারছি না কেন আমি যখন বাসায় থাকি তখন এখানে মদ্যপান করি না, কিন্তু যখন আমি বারে যাই তখন আমি পাগল হয়ে যাই, এবং মাঝে মাঝে আমি মদ্যপান করি, প্রায় ৫-৬টি পানীয়ের কথা বলি। আপনার কি এমনটা হয়?</v>
      </c>
    </row>
    <row r="1088" spans="1:3" ht="15" x14ac:dyDescent="0.25">
      <c r="A1088" s="3" t="s">
        <v>1085</v>
      </c>
      <c r="B1088" s="3" t="s">
        <v>997</v>
      </c>
      <c r="C1088" s="4" t="str">
        <f ca="1">IFERROR(__xludf.DUMMYFUNCTION("GOOGLETRANSLATE(A1088, ""auto"", ""bn"")"),"যখনই আমি কোনও পার্টি থেকে বাড়ি আসি, কোনও সাধারণ মদ্যপানের পরিস্থিতি (১-৪টি বিয়ার) অথবা অন্য কোনও কারণে, বাড়িতে ফিরে আমার আরও বেশি পান করার তাগিদ অনুভব হয়। এটা কি কোনও রাসায়নিক বিক্রিয়া নাকি মানসিক প্রতিক্রিয়া (নেতিবাচক চিন্তাভাবনা, বিষণ্ণতা ইত্যাদি"&amp;"র ফলে)?")</f>
        <v>যখনই আমি কোনও পার্টি থেকে বাড়ি আসি, কোনও সাধারণ মদ্যপানের পরিস্থিতি (১-৪টি বিয়ার) অথবা অন্য কোনও কারণে, বাড়িতে ফিরে আমার আরও বেশি পান করার তাগিদ অনুভব হয়। এটা কি কোনও রাসায়নিক বিক্রিয়া নাকি মানসিক প্রতিক্রিয়া (নেতিবাচক চিন্তাভাবনা, বিষণ্ণতা ইত্যাদির ফলে)?</v>
      </c>
    </row>
    <row r="1089" spans="1:3" ht="15" x14ac:dyDescent="0.25">
      <c r="A1089" s="3" t="s">
        <v>1086</v>
      </c>
      <c r="B1089" s="3" t="s">
        <v>997</v>
      </c>
      <c r="C1089" s="4" t="str">
        <f ca="1">IFERROR(__xludf.DUMMYFUNCTION("GOOGLETRANSLATE(A1089, ""auto"", ""bn"")"),"আমার মদ্যপান বন্ধ করা উচিত এবং আজই আমার মনে হয় সেই দিন। আমি খুব একা, দুঃখী এবং উদ্বিগ্ন বোধ করছিলাম।")</f>
        <v>আমার মদ্যপান বন্ধ করা উচিত এবং আজই আমার মনে হয় সেই দিন। আমি খুব একা, দুঃখী এবং উদ্বিগ্ন বোধ করছিলাম।</v>
      </c>
    </row>
    <row r="1090" spans="1:3" ht="15" x14ac:dyDescent="0.25">
      <c r="A1090" s="3" t="s">
        <v>1087</v>
      </c>
      <c r="B1090" s="3" t="s">
        <v>997</v>
      </c>
      <c r="C1090" s="4" t="str">
        <f ca="1">IFERROR(__xludf.DUMMYFUNCTION("GOOGLETRANSLATE(A1090, ""auto"", ""bn"")"),"কেন আমি বাড়ির চেয়ে বারে আমার অ্যালকোহল গ্রহণকে আরও ভালোভাবে নিয়ন্ত্রণ করতে পারি? প্রতিবার যখনই আমি বারে যাই তখন আমি ১-৩টি বিয়ার খেতে পারি এবং ভালো থাকি, কিন্তু বাড়িতে আমি আরও বেশি বিয়ার পান করি এবং মদ যোগ করি।")</f>
        <v>কেন আমি বাড়ির চেয়ে বারে আমার অ্যালকোহল গ্রহণকে আরও ভালোভাবে নিয়ন্ত্রণ করতে পারি? প্রতিবার যখনই আমি বারে যাই তখন আমি ১-৩টি বিয়ার খেতে পারি এবং ভালো থাকি, কিন্তু বাড়িতে আমি আরও বেশি বিয়ার পান করি এবং মদ যোগ করি।</v>
      </c>
    </row>
    <row r="1091" spans="1:3" ht="15" x14ac:dyDescent="0.25">
      <c r="A1091" s="3" t="s">
        <v>1088</v>
      </c>
      <c r="B1091" s="3" t="s">
        <v>997</v>
      </c>
      <c r="C1091" s="4" t="str">
        <f ca="1">IFERROR(__xludf.DUMMYFUNCTION("GOOGLETRANSLATE(A1091, ""auto"", ""bn"")"),"যারা ভালোবাসার মানুষের সাথে কষ্ট করেছেন অথবা যারা নিজেরা কষ্ট পেয়েছেন তাদের কাছ থেকে পাওয়া যেকোনো অন্তর্দৃষ্টি অত্যন্ত প্রশংসনীয়। আমি আমার স্বামীর মদ্যপানের অভ্যাস নিয়ে উদ্বিগ্ন। কিছুটা পটভূমি: আমরা নয় বছর ধরে একসাথে আছি এবং প্রায় দুই বছর ধরে বিয়ে "&amp;"করেছি। যখন আমরা প্রথম ডেটিং শুরু করি, তখন আমরা একসাথে প্রচুর পরিমাণে মদ্যপান করতাম, যেমন আমাদের অনেক বন্ধু এবং সহকর্মীরা করত, কিন্তু 30 বছর বয়সে, আমি মূলত এই অবস্থা থেকে বেরিয়ে এসেছিলাম। এর একটি বড় অংশ ছিল আমি বছরের পর বছর ধরে ভান করার পরে ADHD এর চিকি"&amp;"ৎসা পুনরায় শুরু করি যে আমার এর প্রয়োজন নেই। (একটি লক্ষণীয় বিষয় হল, আমি কখনও আমার ওষুধের অপব্যবহার করিনি কারণ তারা আমাকে আমার পছন্দের জীবনযাপন করতে দিয়েছে; স্বামীর আমার ওষুধ গ্রহণে কোনও সমস্যা নেই এবং তিনি এটিকে 'মাদক সেবন' হিসেবে দেখেন না, তাই আমি সন"&amp;"্দেহ করি যে এটি পরিস্থিতির উপর প্রভাব ফেলবে)। যাই হোক, আমি মাসে সর্বোচ্চ একবার এক বা দুটি পানীয় পান করব। কয়েকবার পরে এটি আমার ভালো বোধ করে না। আমি স্বাস্থ্যের ব্যাপারেও অত্যন্ত সচেতন, যদিও আমি সবসময়ই ছিলাম, তাই এটা তার কাছে নতুন নয়। আমি নিশ্চিত নই এটা"&amp;" প্রাসঙ্গিক কিনা, তবে আমরা দুজনেই হাই স্কুলের জুনিয়র/সিনিয়র বর্ষ থেকে নিয়মিত মদ্যপান করতাম। যেহেতু আমরা একসাথে ছিলাম, সে সবসময় মদ্যপান করত, কখনও কখনও অতিরিক্ত, এমন পরিস্থিতিতে যেখানে খরচ/সুবিধা আমার কাছে অর্থহীন ছিল, যেমন বাস্কেটবল দেখার জন্য বাড়িতে "&amp;"থাকা বা বাইরে দুপুরের খাবারের সময় কয়েকটি পানীয় পান করা। আমার মনে হয়, মদ্যপান ছিল বন্ধুদের সাথে মজা করার জন্য। যখন মহামারী আঘাত হানে, তখন সে আরও বেশি মদ্যপান শুরু করে, যা আমি ধরে নিয়েছিলাম যে এটি চলে যাবে। প্রায় এক বছর আগে, আমি অফিসে কাজ করতে শুরু কর"&amp;"ি এবং সে WFH চালিয়ে যায়। আমার মনে হয় এই সময়ে পরিস্থিতি আরও খারাপ হয়ে গেছে। যদি আমাকে অনুমান করতে হয় যে সে তখন থেকে কতটা মদ্যপান করছে, তাহলে আমি বলব প্রতি সপ্তাহে ১-২ রাত উল্লেখযোগ্য দ্বিগুণ মদ্যপান, এবং সম্ভবত আরও দুই রাত হালকা মদ্যপান (২-৩ পানীয়)।"&amp;" আমার সন্দেহ আছে যে আমার জ্ঞানের বাইরে আরও বেশি পানীয় পান করা হতে পারে। সে জানে যে আমি পরিস্থিতির সাথে ক্রমশ অস্বস্তিকর হয়ে উঠছি এবং তার কিছু পানীয় গোপন করতে পারছে; আমি অবশ্যই ""ধরা পড়েছি?"" সে রান্নাঘর থেকে পানীয় বের করে অফিসে নিয়ে যাচ্ছিল (সন্ধ্যা"&amp;"য়, দিনের বেলায় নয়)। আমি এটাও জানি যে যদি সে দুপুরের খাবারের জন্য কোন ক্লায়েন্ট বা বন্ধুর সাথে দেখা করে, সে বলবে যে সে দুই বা তিনবার পানীয় খেয়েছে। আরও কিছু গুরুত্বপূর্ণ বিষয়: সে অনেকবার গাড়ি চালিয়েছে এবং সবসময় প্রতিশ্রুতি দেয় যে সে আর এটি করবে ন"&amp;"া। যাইহোক, সে সম্প্রতি করেনি, তবে এটি মহামারীর সময় সাধারণভাবে কম কার্যকলাপ এবং সাবওয়েতে খুব কাছে যাওয়ার কারণে হতে পারে। গত বছরে সে বহুবার অজ্ঞান হয়ে গেছে (যেমন: একটি শোতে গিয়েছিল, কখনও বাড়িতে আসেনি বা আমাকে জানাতে আমার সাথে যোগাযোগ করেনি, এবং অবশেষে"&amp;" ফোন করে বলেছে যে সে আমার এক বন্ধুর সোফায় অজ্ঞান হয়ে গেছে)। সে সবেমাত্র একটি ব্যাচেলর পার্টি থেকে বাড়ি ফিরেছে, বিমানে বমি বমি ভাব করেছে এবং তার বমি বমি ভাব এবং বুক জ্বালাপোড়ার জন্য কান্নাকাটি করে সোফায় রাত কাটিয়েছে। তদুপরি, সে নিশ্চিত করতেও অবহেলা ক"&amp;"রেছে যে বিড়ালদের তাদের নির্ধারিত খাবারের সময় বিশুদ্ধ জল এবং পর্যাপ্ত খাবার আছে। তার মদ্যপান বৃদ্ধির সাথে সাথে, সে খুব বিষণ্ণ, খিটখিটে এবং উৎসাহহীন হয়ে পড়েছে। মাঝে মাঝে সে ঘন্টার পর ঘন্টা বিছানায় শুয়ে থাকে অথবা সোফায় শুয়ে থাকে, হতাশাগ্রস্ত এবং উৎসা"&amp;"হহীন বলে অভিযোগ করে। সে নিজের যত্ন নেয় না - শরীরের মেদ বৃদ্ধি পাচ্ছে, বিশেষ করে তার পেটের চারপাশে, নিয়মিত ব্যায়াম করে না, নিয়মিত খাবার তৈরি না করার কারণে ঘন ঘন টেকআউট খায়, এবং তার চুল, যা সবসময় একটু ধূসর থাকত, কয়েক মাস ধরে প্রায় সম্পূর্ণ ধূসর হয়ে গ"&amp;"েছে। আমি তাকে দৃশ্যত কাঁপতে দেখেছি, যা আমার সন্দেহ হয় হালকা প্রত্যাহারের কারণে হতে পারে। মাঝে মাঝে, আমি তার কাছ থেকে অ্যাসিটোন-সমস্যা/প্রায় ঠাকুরমার মতো পারফিউমের গন্ধ পাচ্ছি। এই পোস্টটি লেখার পর, আমি নিশ্চিত যে আমার উদ্বিগ্ন হওয়ার কারণ আছে, তবে কেউ যদ"&amp;"ি বলতে পারেন যে তারা কীভাবে একই রকম পরিস্থিতি মোকাবেলা করেছে, ফলাফল কী ছিল, কী সাহায্য করেছে/কী করেনি, আমি খুব কৃতজ্ঞ থাকব। মদ্যপান কি এমন দেখাচ্ছে? আমি এই নিয়ে ক্রমাগত চাপে আছি।")</f>
        <v>যারা ভালোবাসার মানুষের সাথে কষ্ট করেছেন অথবা যারা নিজেরা কষ্ট পেয়েছেন তাদের কাছ থেকে পাওয়া যেকোনো অন্তর্দৃষ্টি অত্যন্ত প্রশংসনীয়। আমি আমার স্বামীর মদ্যপানের অভ্যাস নিয়ে উদ্বিগ্ন। কিছুটা পটভূমি: আমরা নয় বছর ধরে একসাথে আছি এবং প্রায় দুই বছর ধরে বিয়ে করেছি। যখন আমরা প্রথম ডেটিং শুরু করি, তখন আমরা একসাথে প্রচুর পরিমাণে মদ্যপান করতাম, যেমন আমাদের অনেক বন্ধু এবং সহকর্মীরা করত, কিন্তু 30 বছর বয়সে, আমি মূলত এই অবস্থা থেকে বেরিয়ে এসেছিলাম। এর একটি বড় অংশ ছিল আমি বছরের পর বছর ধরে ভান করার পরে ADHD এর চিকিৎসা পুনরায় শুরু করি যে আমার এর প্রয়োজন নেই। (একটি লক্ষণীয় বিষয় হল, আমি কখনও আমার ওষুধের অপব্যবহার করিনি কারণ তারা আমাকে আমার পছন্দের জীবনযাপন করতে দিয়েছে; স্বামীর আমার ওষুধ গ্রহণে কোনও সমস্যা নেই এবং তিনি এটিকে 'মাদক সেবন' হিসেবে দেখেন না, তাই আমি সন্দেহ করি যে এটি পরিস্থিতির উপর প্রভাব ফেলবে)। যাই হোক, আমি মাসে সর্বোচ্চ একবার এক বা দুটি পানীয় পান করব। কয়েকবার পরে এটি আমার ভালো বোধ করে না। আমি স্বাস্থ্যের ব্যাপারেও অত্যন্ত সচেতন, যদিও আমি সবসময়ই ছিলাম, তাই এটা তার কাছে নতুন নয়। আমি নিশ্চিত নই এটা প্রাসঙ্গিক কিনা, তবে আমরা দুজনেই হাই স্কুলের জুনিয়র/সিনিয়র বর্ষ থেকে নিয়মিত মদ্যপান করতাম। যেহেতু আমরা একসাথে ছিলাম, সে সবসময় মদ্যপান করত, কখনও কখনও অতিরিক্ত, এমন পরিস্থিতিতে যেখানে খরচ/সুবিধা আমার কাছে অর্থহীন ছিল, যেমন বাস্কেটবল দেখার জন্য বাড়িতে থাকা বা বাইরে দুপুরের খাবারের সময় কয়েকটি পানীয় পান করা। আমার মনে হয়, মদ্যপান ছিল বন্ধুদের সাথে মজা করার জন্য। যখন মহামারী আঘাত হানে, তখন সে আরও বেশি মদ্যপান শুরু করে, যা আমি ধরে নিয়েছিলাম যে এটি চলে যাবে। প্রায় এক বছর আগে, আমি অফিসে কাজ করতে শুরু করি এবং সে WFH চালিয়ে যায়। আমার মনে হয় এই সময়ে পরিস্থিতি আরও খারাপ হয়ে গেছে। যদি আমাকে অনুমান করতে হয় যে সে তখন থেকে কতটা মদ্যপান করছে, তাহলে আমি বলব প্রতি সপ্তাহে ১-২ রাত উল্লেখযোগ্য দ্বিগুণ মদ্যপান, এবং সম্ভবত আরও দুই রাত হালকা মদ্যপান (২-৩ পানীয়)। আমার সন্দেহ আছে যে আমার জ্ঞানের বাইরে আরও বেশি পানীয় পান করা হতে পারে। সে জানে যে আমি পরিস্থিতির সাথে ক্রমশ অস্বস্তিকর হয়ে উঠছি এবং তার কিছু পানীয় গোপন করতে পারছে; আমি অবশ্যই "ধরা পড়েছি?" সে রান্নাঘর থেকে পানীয় বের করে অফিসে নিয়ে যাচ্ছিল (সন্ধ্যায়, দিনের বেলায় নয়)। আমি এটাও জানি যে যদি সে দুপুরের খাবারের জন্য কোন ক্লায়েন্ট বা বন্ধুর সাথে দেখা করে, সে বলবে যে সে দুই বা তিনবার পানীয় খেয়েছে। আরও কিছু গুরুত্বপূর্ণ বিষয়: সে অনেকবার গাড়ি চালিয়েছে এবং সবসময় প্রতিশ্রুতি দেয় যে সে আর এটি করবে না। যাইহোক, সে সম্প্রতি করেনি, তবে এটি মহামারীর সময় সাধারণভাবে কম কার্যকলাপ এবং সাবওয়েতে খুব কাছে যাওয়ার কারণে হতে পারে। গত বছরে সে বহুবার অজ্ঞান হয়ে গেছে (যেমন: একটি শোতে গিয়েছিল, কখনও বাড়িতে আসেনি বা আমাকে জানাতে আমার সাথে যোগাযোগ করেনি, এবং অবশেষে ফোন করে বলেছে যে সে আমার এক বন্ধুর সোফায় অজ্ঞান হয়ে গেছে)। সে সবেমাত্র একটি ব্যাচেলর পার্টি থেকে বাড়ি ফিরেছে, বিমানে বমি বমি ভাব করেছে এবং তার বমি বমি ভাব এবং বুক জ্বালাপোড়ার জন্য কান্নাকাটি করে সোফায় রাত কাটিয়েছে। তদুপরি, সে নিশ্চিত করতেও অবহেলা করেছে যে বিড়ালদের তাদের নির্ধারিত খাবারের সময় বিশুদ্ধ জল এবং পর্যাপ্ত খাবার আছে। তার মদ্যপান বৃদ্ধির সাথে সাথে, সে খুব বিষণ্ণ, খিটখিটে এবং উৎসাহহীন হয়ে পড়েছে। মাঝে মাঝে সে ঘন্টার পর ঘন্টা বিছানায় শুয়ে থাকে অথবা সোফায় শুয়ে থাকে, হতাশাগ্রস্ত এবং উৎসাহহীন বলে অভিযোগ করে। সে নিজের যত্ন নেয় না - শরীরের মেদ বৃদ্ধি পাচ্ছে, বিশেষ করে তার পেটের চারপাশে, নিয়মিত ব্যায়াম করে না, নিয়মিত খাবার তৈরি না করার কারণে ঘন ঘন টেকআউট খায়, এবং তার চুল, যা সবসময় একটু ধূসর থাকত, কয়েক মাস ধরে প্রায় সম্পূর্ণ ধূসর হয়ে গেছে। আমি তাকে দৃশ্যত কাঁপতে দেখেছি, যা আমার সন্দেহ হয় হালকা প্রত্যাহারের কারণে হতে পারে। মাঝে মাঝে, আমি তার কাছ থেকে অ্যাসিটোন-সমস্যা/প্রায় ঠাকুরমার মতো পারফিউমের গন্ধ পাচ্ছি। এই পোস্টটি লেখার পর, আমি নিশ্চিত যে আমার উদ্বিগ্ন হওয়ার কারণ আছে, তবে কেউ যদি বলতে পারেন যে তারা কীভাবে একই রকম পরিস্থিতি মোকাবেলা করেছে, ফলাফল কী ছিল, কী সাহায্য করেছে/কী করেনি, আমি খুব কৃতজ্ঞ থাকব। মদ্যপান কি এমন দেখাচ্ছে? আমি এই নিয়ে ক্রমাগত চাপে আছি।</v>
      </c>
    </row>
    <row r="1092" spans="1:3" ht="15" x14ac:dyDescent="0.25">
      <c r="A1092" s="3" t="s">
        <v>1089</v>
      </c>
      <c r="B1092" s="3" t="s">
        <v>997</v>
      </c>
      <c r="C1092" s="4" t="str">
        <f ca="1">IFERROR(__xludf.DUMMYFUNCTION("GOOGLETRANSLATE(A1092, ""auto"", ""bn"")"),"তাই বিশ্ববিদ্যালয়ে থাকাকালীন অ্যালকোহলের সাথে আমার খুব খারাপ সম্পর্ক তৈরি হয়েছে। আমি সবসময় মদ্যপান উপভোগ করতাম এবং বন্ধুদের সাথে রাত কাটাতে বেরোনোর ​​সময় সপ্তাহে ১-২ রাত মাতাল হয়ে যেতাম। এই নতুন সমস্যাটি গত বছর আমার বন্ধুত্বের গ্রুপ ভেঙে যাওয়ার কারণ"&amp;"ে তৈরি হয়েছিল এবং এখন আমার সামাজিক উদ্বেগ আমাকে নতুন বন্ধু তৈরি করতে বাধা দেয়। আমি সামাজিকভাবে বিচ্ছিন্ন এবং এটি আমাকে হতাশাগ্রস্ত করে তুলেছে। আমি খুব কমই আমার ঘর থেকে বের হই এবং মানুষের সাথে আড্ডা দেই - এবং যখন আমি করি, তখন আমার মনে হয় আমার মাতাল হওয়"&amp;"া দরকার। একা থাকাকালীন অ্যালকোহল পাওয়া এত সহজ যে আমি কেবল ১ লিটার বোতল কিনে ফেলি। কারণ আমি বেশিরভাগ সময় সামাজিকভাবে বিচ্ছিন্ন, বিরক্ত এবং হতাশাগ্রস্ত থাকি এবং বাইরে যাওয়ার জন্য মূলত কোনও বন্ধু নেই, গত এক মাস ধরে আমি প্রায় প্রতি রাতে একা মাতাল হয়ে যাচ"&amp;"্ছি। এটা ভয়ানক - আমি বিছানায় বসে একা একের পর এক শট পান করি, এবং কখনও কখনও এক রাতে অর্ধেক বোতল পান করি। আমি একটি অ্যালকোহল প্রশ্নাবলী তৈরি করেছিলাম এবং অনুশীলন করেছি আমি প্রতি সপ্তাহে প্রায় ১০০ ইউনিট পান করেছি। আমি দিনের বেলায় মদ্যপান করি না, তাই এটা আম"&amp;"ার বিশ্ববিদ্যালয়ের কাজে প্রভাব ফেলছে না, শুধু এই বিষয়টা ছাড়া যে আমি সাধারণত ক্ষুধার্ত থাকি, খারাপ বোধ করি এবং এটি আমাকে দিনের বেলায় উৎপাদনশীল হতে বাধা দেয়। গত সপ্তাহে এক রাতে বাইরে বেরিয়ে পড়ার সময় নিজেকে লজ্জায় ফেলে দেওয়ার পর এবং বাউন্সার (আমার এই বিষয়ের "&amp;"কোনও স্মৃতি নেই) ক্লাবের টয়লেট থেকে বের করে দেওয়ার পর, আমি বুঝতে পেরেছি যে এটি খারাপ এবং আমি থামানোর চেষ্টা করছি। গত কয়েক সপ্তাহে আমি সহনশীলতা বৃদ্ধি লক্ষ্য করতে শুরু করেছি। আমি এখন পর্যন্ত ৩ দিন ধরে সুস্থ রয়েছি কারণ আমি চিন্তিত ছিলাম যে আমি মদ্যপ হয়ে যাচ"&amp;"্ছি। এখনও পর্যন্ত আমার কোনও প্রত্যাহারের লক্ষণ নেই এবং আমি আসলে মানসিক ও শারীরিকভাবে কিছুটা ভালো বোধ করছি - তবে আমি ভাবতে পারছি না যে আমি মদ্যপান করতে চাই। আমি এটাকে শারীরিক তৃষ্ণাও মনে করি না, আমি কেবল বিরক্ত এবং মনে হচ্ছে জীবন মাতাল থাকা অনেক বেশি মজাদা"&amp;"র। আমার মনে হচ্ছে আমি যদি মাতাল থাকতাম তাহলে এখন অনেক বেশি মজা পেতাম। এবং আমি নিশ্চিত নই যে আমার অ্যালকোহলের সমস্যা আছে নাকি জীবনের কোনও সমস্যা আছে। যাই হোক, আমার মনে হয় আমি কিছুক্ষণের জন্য এই বিষয়টা নিয়ে মাথা ঘামাই, তারপর দেখবো পরিমিত পরিমাণে মদ্যপান আব"&amp;"ার কাজ করে কিনা।")</f>
        <v>তাই বিশ্ববিদ্যালয়ে থাকাকালীন অ্যালকোহলের সাথে আমার খুব খারাপ সম্পর্ক তৈরি হয়েছে। আমি সবসময় মদ্যপান উপভোগ করতাম এবং বন্ধুদের সাথে রাত কাটাতে বেরোনোর ​​সময় সপ্তাহে ১-২ রাত মাতাল হয়ে যেতাম। এই নতুন সমস্যাটি গত বছর আমার বন্ধুত্বের গ্রুপ ভেঙে যাওয়ার কারণে তৈরি হয়েছিল এবং এখন আমার সামাজিক উদ্বেগ আমাকে নতুন বন্ধু তৈরি করতে বাধা দেয়। আমি সামাজিকভাবে বিচ্ছিন্ন এবং এটি আমাকে হতাশাগ্রস্ত করে তুলেছে। আমি খুব কমই আমার ঘর থেকে বের হই এবং মানুষের সাথে আড্ডা দেই - এবং যখন আমি করি, তখন আমার মনে হয় আমার মাতাল হওয়া দরকার। একা থাকাকালীন অ্যালকোহল পাওয়া এত সহজ যে আমি কেবল ১ লিটার বোতল কিনে ফেলি। কারণ আমি বেশিরভাগ সময় সামাজিকভাবে বিচ্ছিন্ন, বিরক্ত এবং হতাশাগ্রস্ত থাকি এবং বাইরে যাওয়ার জন্য মূলত কোনও বন্ধু নেই, গত এক মাস ধরে আমি প্রায় প্রতি রাতে একা মাতাল হয়ে যাচ্ছি। এটা ভয়ানক - আমি বিছানায় বসে একা একের পর এক শট পান করি, এবং কখনও কখনও এক রাতে অর্ধেক বোতল পান করি। আমি একটি অ্যালকোহল প্রশ্নাবলী তৈরি করেছিলাম এবং অনুশীলন করেছি আমি প্রতি সপ্তাহে প্রায় ১০০ ইউনিট পান করেছি। আমি দিনের বেলায় মদ্যপান করি না, তাই এটা আমার বিশ্ববিদ্যালয়ের কাজে প্রভাব ফেলছে না, শুধু এই বিষয়টা ছাড়া যে আমি সাধারণত ক্ষুধার্ত থাকি, খারাপ বোধ করি এবং এটি আমাকে দিনের বেলায় উৎপাদনশীল হতে বাধা দেয়। গত সপ্তাহে এক রাতে বাইরে বেরিয়ে পড়ার সময় নিজেকে লজ্জায় ফেলে দেওয়ার পর এবং বাউন্সার (আমার এই বিষয়ের কোনও স্মৃতি নেই) ক্লাবের টয়লেট থেকে বের করে দেওয়ার পর, আমি বুঝতে পেরেছি যে এটি খারাপ এবং আমি থামানোর চেষ্টা করছি। গত কয়েক সপ্তাহে আমি সহনশীলতা বৃদ্ধি লক্ষ্য করতে শুরু করেছি। আমি এখন পর্যন্ত ৩ দিন ধরে সুস্থ রয়েছি কারণ আমি চিন্তিত ছিলাম যে আমি মদ্যপ হয়ে যাচ্ছি। এখনও পর্যন্ত আমার কোনও প্রত্যাহারের লক্ষণ নেই এবং আমি আসলে মানসিক ও শারীরিকভাবে কিছুটা ভালো বোধ করছি - তবে আমি ভাবতে পারছি না যে আমি মদ্যপান করতে চাই। আমি এটাকে শারীরিক তৃষ্ণাও মনে করি না, আমি কেবল বিরক্ত এবং মনে হচ্ছে জীবন মাতাল থাকা অনেক বেশি মজাদার। আমার মনে হচ্ছে আমি যদি মাতাল থাকতাম তাহলে এখন অনেক বেশি মজা পেতাম। এবং আমি নিশ্চিত নই যে আমার অ্যালকোহলের সমস্যা আছে নাকি জীবনের কোনও সমস্যা আছে। যাই হোক, আমার মনে হয় আমি কিছুক্ষণের জন্য এই বিষয়টা নিয়ে মাথা ঘামাই, তারপর দেখবো পরিমিত পরিমাণে মদ্যপান আবার কাজ করে কিনা।</v>
      </c>
    </row>
    <row r="1093" spans="1:3" ht="15" x14ac:dyDescent="0.25">
      <c r="A1093" s="3" t="s">
        <v>1090</v>
      </c>
      <c r="B1093" s="3" t="s">
        <v>997</v>
      </c>
      <c r="C1093" s="4" t="str">
        <f ca="1">IFERROR(__xludf.DUMMYFUNCTION("GOOGLETRANSLATE(A1093, ""auto"", ""bn"")"),"আমি জানি এটা হয়তো পাগলাটে শোনাতে পারে। সম্প্রতি আমার সঙ্গীর মদ্যপানের অভ্যাস, মাতাল অবস্থায় সে কেমন আচরণ করে এবং যখন সে কত মদ্যপান করে, তা দেখে আমি হতাশ হয়ে পড়েছি। সে সবসময়ই মদ্যপান করে, এবং এর ফলে অতীতে তার অনেক গুরুতর সমস্যা হয়েছে। ঝগড়া, সম্পর্কে"&amp;"র সমস্যা ইত্যাদি। সে অনেক দূর এগিয়েছে, কিন্তু আমি এখনও এটিকে সমস্যাযুক্ত বলে মনে করি। যদিও সে স্থির হয়ে গেছে এবং আর ঝুঁকিপূর্ণ এবং বিপজ্জনক আচরণে জড়িত হয় না। সে এখনও একজন অতিরিক্ত মদ্যপানকারী। আমার কাছে অদ্ভুত ব্যাপার হল সে বাড়িতে কখনও মদ্যপান করে না"&amp;"। যদি আমরা একসাথে সময় কাটাই, এবং আমরা কোথাও বাইরে থাকি, তাহলে সে অতিরিক্ত মদ্যপান করে না। তবে, আমরা কখনও তাকে পান না করে খেতে যাইনি। কখনও না। যেকোনো সামাজিক অনুষ্ঠানে প্রচুর মদ্যপানের প্রয়োজন হয়। কর্মক্ষেত্রে/রাতের খাবারে প্রচুর মদ্যপান করা হয়। সে তার"&amp;" বন্ধুদের সাথে আড্ডা দেয়, এবং তারা দুপুর থেকে পরের দিন সকাল পর্যন্ত আক্ষরিক অর্থেই মদ্যপান করতে পারে। যা দ্বন্দ্বপূর্ণ তা হল হ্যাংওভারের দ্বারা তার কোনও প্রভাব পড়ে না। তার নিজস্ব ব্যবসা আছে এবং আর্থিকভাবে খুবই সচ্ছল এবং তিনি ভালোভাবে কাজ করেন। কিন্তু যখ"&amp;"ন তিনি সপ্তাহান্তে বা ব্যবসায়িক ভ্রমণে মদ্যপান করেন তখন তিনি মারাত্মকভাবে মদ্যপান করেন, যেখানে তিনি বমি করেন এবং অজ্ঞান হয়ে যান, এবং তারপর সারা সপ্তাহ ধরে তিনি শান্ত থাকেন। তাই তার অজুহাত হল যে তার উপর নিয়ন্ত্রণ আছে এবং তিনি কখন অতিরিক্ত মদ্যপান করতে চ"&amp;"ান তা তিনিই নির্ধারণ করেন। কিন্তু আমি ব্যক্তিগতভাবে বিশ্বাস করি যে তিনি এর উপর নির্ভরশীল। আমরা এবং আমাদের বন্ধুরা দয়া করে বিষয়টি তার নজরে আনার চেষ্টা করেছি, কিন্তু তিনি মনে করেন এটি কোনও সমস্যা নয়। কিন্তু আমাদের সম্পর্ক খারাপ হচ্ছে, এবং অন্যরাও লক্ষ্য "&amp;"করছে বলে মনে হচ্ছে। যখন কেউ অতিরিক্ত মদ্যপান করে, তবুও কাজ করে, তখন সীমারেখা কোথায় টানা হয়? যে ব্যক্তি মদ্যপান করে না, আমি বিভ্রান্ত।")</f>
        <v>আমি জানি এটা হয়তো পাগলাটে শোনাতে পারে। সম্প্রতি আমার সঙ্গীর মদ্যপানের অভ্যাস, মাতাল অবস্থায় সে কেমন আচরণ করে এবং যখন সে কত মদ্যপান করে, তা দেখে আমি হতাশ হয়ে পড়েছি। সে সবসময়ই মদ্যপান করে, এবং এর ফলে অতীতে তার অনেক গুরুতর সমস্যা হয়েছে। ঝগড়া, সম্পর্কের সমস্যা ইত্যাদি। সে অনেক দূর এগিয়েছে, কিন্তু আমি এখনও এটিকে সমস্যাযুক্ত বলে মনে করি। যদিও সে স্থির হয়ে গেছে এবং আর ঝুঁকিপূর্ণ এবং বিপজ্জনক আচরণে জড়িত হয় না। সে এখনও একজন অতিরিক্ত মদ্যপানকারী। আমার কাছে অদ্ভুত ব্যাপার হল সে বাড়িতে কখনও মদ্যপান করে না। যদি আমরা একসাথে সময় কাটাই, এবং আমরা কোথাও বাইরে থাকি, তাহলে সে অতিরিক্ত মদ্যপান করে না। তবে, আমরা কখনও তাকে পান না করে খেতে যাইনি। কখনও না। যেকোনো সামাজিক অনুষ্ঠানে প্রচুর মদ্যপানের প্রয়োজন হয়। কর্মক্ষেত্রে/রাতের খাবারে প্রচুর মদ্যপান করা হয়। সে তার বন্ধুদের সাথে আড্ডা দেয়, এবং তারা দুপুর থেকে পরের দিন সকাল পর্যন্ত আক্ষরিক অর্থেই মদ্যপান করতে পারে। যা দ্বন্দ্বপূর্ণ তা হল হ্যাংওভারের দ্বারা তার কোনও প্রভাব পড়ে না। তার নিজস্ব ব্যবসা আছে এবং আর্থিকভাবে খুবই সচ্ছল এবং তিনি ভালোভাবে কাজ করেন। কিন্তু যখন তিনি সপ্তাহান্তে বা ব্যবসায়িক ভ্রমণে মদ্যপান করেন তখন তিনি মারাত্মকভাবে মদ্যপান করেন, যেখানে তিনি বমি করেন এবং অজ্ঞান হয়ে যান, এবং তারপর সারা সপ্তাহ ধরে তিনি শান্ত থাকেন। তাই তার অজুহাত হল যে তার উপর নিয়ন্ত্রণ আছে এবং তিনি কখন অতিরিক্ত মদ্যপান করতে চান তা তিনিই নির্ধারণ করেন। কিন্তু আমি ব্যক্তিগতভাবে বিশ্বাস করি যে তিনি এর উপর নির্ভরশীল। আমরা এবং আমাদের বন্ধুরা দয়া করে বিষয়টি তার নজরে আনার চেষ্টা করেছি, কিন্তু তিনি মনে করেন এটি কোনও সমস্যা নয়। কিন্তু আমাদের সম্পর্ক খারাপ হচ্ছে, এবং অন্যরাও লক্ষ্য করছে বলে মনে হচ্ছে। যখন কেউ অতিরিক্ত মদ্যপান করে, তবুও কাজ করে, তখন সীমারেখা কোথায় টানা হয়? যে ব্যক্তি মদ্যপান করে না, আমি বিভ্রান্ত।</v>
      </c>
    </row>
    <row r="1094" spans="1:3" ht="15" x14ac:dyDescent="0.25">
      <c r="A1094" s="3" t="s">
        <v>1091</v>
      </c>
      <c r="B1094" s="3" t="s">
        <v>997</v>
      </c>
      <c r="C1094" s="4" t="str">
        <f ca="1">IFERROR(__xludf.DUMMYFUNCTION("GOOGLETRANSLATE(A1094, ""auto"", ""bn"")"),"আমার যে বন্ধুর সাথে আমি মদ্যপান করতে যাই, তার সমস্যা আমার ধারণার চেয়েও অনেক বেশি। গতকালই তারা কর্মক্ষেত্রে মাতাল হয়ে চাকরি হারিয়েছে। তারা গত রাতে আমাকে ফোন করে বলেছে যে তারা বারে তাদের সাথে দেখা করতে। তাছাড়া, আমি যখন সেখানে যাই তখন তাদের ইতিমধ্যেই মার"&amp;"ধর করা হয়েছিল। তারা আমার বাড়িতে রাত কাটায় এবং চাকরি হারানোর ফলে তারা চরমভাবে ক্ষতিগ্রস্ত হয়। তাছাড়া, তারা কিছু পানীয় ছাড়া আর কিছুই চায় না এবং চায় আমি এক বোতল ওয়াইন খুলি, কারণ আমার বাড়িতে এতটুকুই আছে। তাছাড়া, তারা মদ্যপান বন্ধ করতে প্রস্তুত নয়"&amp;" এবং আমার মনে হয় না যে বর্তমান পরিস্থিতি এবং গত কয়েক বছর ধরে 3টি গাড়ি ভাঙচুর করা সত্ত্বেও তাদের মনে এই বিন্দু বিন্দু বিন্দু সংযোগ স্থাপন করেছে যে তাদের সমস্যা আছে (যদিও DUI নেই)। এই মুহূর্তে আমি সবচেয়ে ভালো কী করতে পারি? আমি চিন্তিত যে প্রতিদিন মদ্যপা"&amp;"নের ফলে যদি তাদের কাছে পান করার কিছু না থাকে তবে কিছু প্রত্যাহারের কারণ হবে, সে এই সমস্যা সমাধানের জন্য সাহায্য চাইবে না, তবে আমি তাদের মদ্যপান সরবরাহ করতেও চাই না। আমি দীর্ঘমেয়াদী কী করতে পারি? আমি যদি তাদের মদ্যপানের সমস্যা নিয়ে আলোচনা শুরু করি তাহলে "&amp;"তারা আমার কথা শুনবে না। আজ রাতের পর, আমি তাদের সাথে থাকব না, এবং তাদের নিজস্ব ব্যবস্থায় রেখে খুব চিন্তিত।")</f>
        <v>আমার যে বন্ধুর সাথে আমি মদ্যপান করতে যাই, তার সমস্যা আমার ধারণার চেয়েও অনেক বেশি। গতকালই তারা কর্মক্ষেত্রে মাতাল হয়ে চাকরি হারিয়েছে। তারা গত রাতে আমাকে ফোন করে বলেছে যে তারা বারে তাদের সাথে দেখা করতে। তাছাড়া, আমি যখন সেখানে যাই তখন তাদের ইতিমধ্যেই মারধর করা হয়েছিল। তারা আমার বাড়িতে রাত কাটায় এবং চাকরি হারানোর ফলে তারা চরমভাবে ক্ষতিগ্রস্ত হয়। তাছাড়া, তারা কিছু পানীয় ছাড়া আর কিছুই চায় না এবং চায় আমি এক বোতল ওয়াইন খুলি, কারণ আমার বাড়িতে এতটুকুই আছে। তাছাড়া, তারা মদ্যপান বন্ধ করতে প্রস্তুত নয় এবং আমার মনে হয় না যে বর্তমান পরিস্থিতি এবং গত কয়েক বছর ধরে 3টি গাড়ি ভাঙচুর করা সত্ত্বেও তাদের মনে এই বিন্দু বিন্দু বিন্দু সংযোগ স্থাপন করেছে যে তাদের সমস্যা আছে (যদিও DUI নেই)। এই মুহূর্তে আমি সবচেয়ে ভালো কী করতে পারি? আমি চিন্তিত যে প্রতিদিন মদ্যপানের ফলে যদি তাদের কাছে পান করার কিছু না থাকে তবে কিছু প্রত্যাহারের কারণ হবে, সে এই সমস্যা সমাধানের জন্য সাহায্য চাইবে না, তবে আমি তাদের মদ্যপান সরবরাহ করতেও চাই না। আমি দীর্ঘমেয়াদী কী করতে পারি? আমি যদি তাদের মদ্যপানের সমস্যা নিয়ে আলোচনা শুরু করি তাহলে তারা আমার কথা শুনবে না। আজ রাতের পর, আমি তাদের সাথে থাকব না, এবং তাদের নিজস্ব ব্যবস্থায় রেখে খুব চিন্তিত।</v>
      </c>
    </row>
    <row r="1095" spans="1:3" ht="15" x14ac:dyDescent="0.25">
      <c r="A1095" s="3" t="s">
        <v>1092</v>
      </c>
      <c r="B1095" s="3" t="s">
        <v>997</v>
      </c>
      <c r="C1095" s="4" t="str">
        <f ca="1">IFERROR(__xludf.DUMMYFUNCTION("GOOGLETRANSLATE(A1095, ""auto"", ""bn"")"),"এক সপ্তাহ আগে একটা মিটিংয়ে ছিলাম এবং একজন আসক্তি পরামর্শদাতা ছিলেন যিনি শেয়ার করেছিলেন। তিনি উল্লেখ করেছিলেন যে যখন কেউ মানসিক আঘাত অনুভব করে, তখন এটি ব্যক্তিকে শেখায় যে মানুষ নিরাপদ নয়। এটি বিচ্ছিন্নতার প্রক্রিয়া শুরু করে যখন কেউ নিরাপদ লোকদের সাথে "&amp;"খোলামেলা থাকার পরিবর্তে নিজের উপর নির্ভর করতে শেখে। সময়ের সাথে সাথে, আরও মানসিক আঘাত (গুলি) এই ফলাফলগুলিকে আরও দৃঢ় করতে পারে এবং এইভাবে, বিচ্ছিন্নতা অব্যাহত থাকে। তিনি আরও রূপরেখা দিয়েছিলেন যে A.A. এর সামাজিক দিকগুলি মানুষের মধ্যে নিরাপত্তা ফিরিয়ে আনে"&amp;" এবং এটি বিচ্ছিন্নতার বিপরীত: সহভাগিতা। খোলামেলা, সৎ এবং দুর্বল মানুষ হওয়া বিচ্ছিন্নতার প্রভাবগুলিকে বিপরীত করে। কখনও দ্রুত, কখনও ধীরে ধীরে। আমি এই শেয়ারটি শোনার পর থেকে এটি চিবিয়ে খাচ্ছি কিন্তু যখন আমার নিজের জীবনের মধ্যে দেখা যায়, তখন আমি দেখতে পাই "&amp;"যে এটি সম্ভাব্য সর্বোত্তম উপায়ে কার্যকরভাবে কাজ করছে।")</f>
        <v>এক সপ্তাহ আগে একটা মিটিংয়ে ছিলাম এবং একজন আসক্তি পরামর্শদাতা ছিলেন যিনি শেয়ার করেছিলেন। তিনি উল্লেখ করেছিলেন যে যখন কেউ মানসিক আঘাত অনুভব করে, তখন এটি ব্যক্তিকে শেখায় যে মানুষ নিরাপদ নয়। এটি বিচ্ছিন্নতার প্রক্রিয়া শুরু করে যখন কেউ নিরাপদ লোকদের সাথে খোলামেলা থাকার পরিবর্তে নিজের উপর নির্ভর করতে শেখে। সময়ের সাথে সাথে, আরও মানসিক আঘাত (গুলি) এই ফলাফলগুলিকে আরও দৃঢ় করতে পারে এবং এইভাবে, বিচ্ছিন্নতা অব্যাহত থাকে। তিনি আরও রূপরেখা দিয়েছিলেন যে A.A. এর সামাজিক দিকগুলি মানুষের মধ্যে নিরাপত্তা ফিরিয়ে আনে এবং এটি বিচ্ছিন্নতার বিপরীত: সহভাগিতা। খোলামেলা, সৎ এবং দুর্বল মানুষ হওয়া বিচ্ছিন্নতার প্রভাবগুলিকে বিপরীত করে। কখনও দ্রুত, কখনও ধীরে ধীরে। আমি এই শেয়ারটি শোনার পর থেকে এটি চিবিয়ে খাচ্ছি কিন্তু যখন আমার নিজের জীবনের মধ্যে দেখা যায়, তখন আমি দেখতে পাই যে এটি সম্ভাব্য সর্বোত্তম উপায়ে কার্যকরভাবে কাজ করছে।</v>
      </c>
    </row>
    <row r="1096" spans="1:3" ht="15" x14ac:dyDescent="0.25">
      <c r="A1096" s="3" t="s">
        <v>1093</v>
      </c>
      <c r="B1096" s="3" t="s">
        <v>997</v>
      </c>
      <c r="C1096" s="4" t="str">
        <f ca="1">IFERROR(__xludf.DUMMYFUNCTION("GOOGLETRANSLATE(A1096, ""auto"", ""bn"")"),"দুই সপ্তাহ ধরে আমার শরীর খারাপ। আমার ভয়ানক শ্বাসকষ্ট, কাঁপুনি, দ্রুত হৃদস্পন্দন, আতঙ্কের সমস্যা ছিল। লিব্রিয়াম (একটি বেনজোডিয়াজেপাইন) এখন পর্যন্ত এতে অনেক সাহায্য করেছে। ডিসালফিউরিক আমার জন্য একটি বিশাল সাহায্য। অনুপ্রেরণা কঠিন। আমি ""ভুলে যাওয়া"" বড়"&amp;"ি খাওয়া বন্ধ করে দিয়েছি এবং আবার পান করার জন্য দুই সপ্তাহ অপেক্ষা করেছি। কিন্তু এটি আমাকে অনেক সাহায্য করেছে। আমার জন্য ক্যাফিন পান করা বন্ধ করাও গুরুত্বপূর্ণ। এবং কৃত্রিম চিনি ডিসালফিউরিকের সাথে মিথস্ক্রিয়া সৃষ্টি করছে যার ফলে মাথাব্যথা হচ্ছে। কৃত্রিম"&amp;" চিনি একটি ""চিনি-অ্যালকোহল""। ডিসালফিউরিক ক্যাফিনের ভাঙ্গনকেও ​​ধীর করে দেয়, এক কাপ কফি এখন দুই কাপ হয়ে যায়! এইভাবে উদ্বেগ বৃদ্ধি পায় এবং উদ্বেগ কমাতে পান করার প্রয়োজন বৃদ্ধি পায়। মনে রাখবেন ক্যাফিন আপনার জন্য আসক্তিকর!")</f>
        <v>দুই সপ্তাহ ধরে আমার শরীর খারাপ। আমার ভয়ানক শ্বাসকষ্ট, কাঁপুনি, দ্রুত হৃদস্পন্দন, আতঙ্কের সমস্যা ছিল। লিব্রিয়াম (একটি বেনজোডিয়াজেপাইন) এখন পর্যন্ত এতে অনেক সাহায্য করেছে। ডিসালফিউরিক আমার জন্য একটি বিশাল সাহায্য। অনুপ্রেরণা কঠিন। আমি "ভুলে যাওয়া" বড়ি খাওয়া বন্ধ করে দিয়েছি এবং আবার পান করার জন্য দুই সপ্তাহ অপেক্ষা করেছি। কিন্তু এটি আমাকে অনেক সাহায্য করেছে। আমার জন্য ক্যাফিন পান করা বন্ধ করাও গুরুত্বপূর্ণ। এবং কৃত্রিম চিনি ডিসালফিউরিকের সাথে মিথস্ক্রিয়া সৃষ্টি করছে যার ফলে মাথাব্যথা হচ্ছে। কৃত্রিম চিনি একটি "চিনি-অ্যালকোহল"। ডিসালফিউরিক ক্যাফিনের ভাঙ্গনকেও ​​ধীর করে দেয়, এক কাপ কফি এখন দুই কাপ হয়ে যায়! এইভাবে উদ্বেগ বৃদ্ধি পায় এবং উদ্বেগ কমাতে পান করার প্রয়োজন বৃদ্ধি পায়। মনে রাখবেন ক্যাফিন আপনার জন্য আসক্তিকর!</v>
      </c>
    </row>
    <row r="1097" spans="1:3" ht="15" x14ac:dyDescent="0.25">
      <c r="A1097" s="3" t="s">
        <v>1094</v>
      </c>
      <c r="B1097" s="3" t="s">
        <v>997</v>
      </c>
      <c r="C1097" s="4" t="str">
        <f ca="1">IFERROR(__xludf.DUMMYFUNCTION("GOOGLETRANSLATE(A1097, ""auto"", ""bn"")"),"আমাদের সম্পর্কের ছয় মাস পর, আমার স্বামী নিজে থেকেই মদ্যপান বন্ধ করে দিলেন। সেটা ছিল ২০২০ সালের অক্টোবর। ২০২১ সালের ফেব্রুয়ারিতে দুটি বড় ধরণের খিঁচুনির পর তার মৃগী রোগ ধরা পড়ে। তাকে কেন্দ্রা নামে একটি ওষুধ দেওয়া হয়েছিল, যা খিঁচুনি বন্ধ করে দিয়েছে, ক"&amp;"িন্তু আমরা বিশ্বাস করি এটি তার (আমাদের) জীবনকে আরও খারাপ করে দিয়েছে। এই রোগ নির্ণয়ের পরপরই আমরা জানতে পারি যে আমরা আমাদের সন্তান ধারণ করছি। ২০২১ সালের গ্রীষ্মে আমার সন্দেহ হতে শুরু করে যে সে বারবার মদ্যপান করছে। সবসময় একই রকম থাকে। সে কোনও কাজে বেরোতে য"&amp;"েত এবং যখন সে ফিরে আসত, তখন তার আচরণ সম্পূর্ণ ভিন্ন হত, তার গন্ধ ইত্যাদি। সে সবসময় তা অস্বীকার করত। এটি আরও ঘন ঘন হতে শুরু করে এবং শরৎ/শীতকালে, এটি সত্যিই আমাদের জন্য একটি বড় সমস্যা হয়ে ওঠে। সে আমাকে জ্বালাতন করছিল। রাগের সমস্যা। অবশেষে, এক রাত ধরে সে "&amp;"এমন আচরণ করার পর যেন সে মাতাল, (কিন্তু তবুও আমাকে বোঝাতে পেরেছিল যে আমি পাগল এবং ভুল ছিলাম) পরের দিন যখন আমি তার সাথে একরকম শান্ত অবস্থায় মুখোমুখি হই, তখন সে অবশেষে স্বীকার করে যে সে মাঝে মাঝে মদ্যপান করত এবং সে আমাকে বলতে চাইত না, কারণ তখন সে জানত যে তা"&amp;"কে থামতে হবে, এবং সে মনে করেছিল যে সেই সময়ে তার জন্য এটাই সবচেয়ে ভালো। এটি মাত্র কয়েক সপ্তাহ আগের ঘটনা। সম্ভবত প্রায় 1.5 সপ্তাহ ধরে, আমি আবার প্রশ্ন করার কোনও ঘটনা ঘটেনি। কিন্তু আবার শুরু হয়। সে কোনও কাজে বের হয় এবং সম্পূর্ণ ভিন্ন আচরণ করে ফিরে আসে।"&amp;" সব জায়গায় কথা বলে। তীব্র গন্ধ। (সে পুদিনা স্বাদের টুথপিক ব্যবহার করে এবং সবসময় রেড বুল নিয়ে ফিরে আসে। আমি বিশ্বাস করি যে এই জিনিসগুলি ঢাকনা।) মাঝে মাঝে রেগে যাওয়া, খারাপ আচরণ করা। এই আচরণগুলি আসলে তার মতো নয়। আমি খুব চিন্তিত। আমাদের সম্পর্ক কিছুটা "&amp;"খারাপ হচ্ছে, এবং এটি আমাকে খুব হারিয়ে যাওয়া এবং বিভ্রান্ত বোধ করে। সে খিঁচুনির ওষুধ ছাড়াও একাধিক মানসিক ওষুধও খাচ্ছে? যার কোনওটিই তার পান করা উচিত নয়। তার আগের সমস্ত গ্যাসলাইটিংয়ের কারণে আমি আসলেই বুঝতে পারছি না যে এখন আর কী ভাববো বা বিশ্বাস করবো। আমি"&amp;" কি পাগল? আমি কি অন্যায় করছি? আমি কি এটাকে উপেক্ষা করবো? যদি সে আসলেই এটা করছে, যদি সে স্বীকার করতে রাজি না হয়, তাহলে কীভাবে এর মোকাবেলা করা যাবে বা এর সমাধান করা যাবে? আমি কীভাবে তাকে সাহায্য করতে পারি কিন্তু নিজেকে এই প্রক্রিয়ায় হারিয়ে ফেলব না?")</f>
        <v>আমাদের সম্পর্কের ছয় মাস পর, আমার স্বামী নিজে থেকেই মদ্যপান বন্ধ করে দিলেন। সেটা ছিল ২০২০ সালের অক্টোবর। ২০২১ সালের ফেব্রুয়ারিতে দুটি বড় ধরণের খিঁচুনির পর তার মৃগী রোগ ধরা পড়ে। তাকে কেন্দ্রা নামে একটি ওষুধ দেওয়া হয়েছিল, যা খিঁচুনি বন্ধ করে দিয়েছে, কিন্তু আমরা বিশ্বাস করি এটি তার (আমাদের) জীবনকে আরও খারাপ করে দিয়েছে। এই রোগ নির্ণয়ের পরপরই আমরা জানতে পারি যে আমরা আমাদের সন্তান ধারণ করছি। ২০২১ সালের গ্রীষ্মে আমার সন্দেহ হতে শুরু করে যে সে বারবার মদ্যপান করছে। সবসময় একই রকম থাকে। সে কোনও কাজে বেরোতে যেত এবং যখন সে ফিরে আসত, তখন তার আচরণ সম্পূর্ণ ভিন্ন হত, তার গন্ধ ইত্যাদি। সে সবসময় তা অস্বীকার করত। এটি আরও ঘন ঘন হতে শুরু করে এবং শরৎ/শীতকালে, এটি সত্যিই আমাদের জন্য একটি বড় সমস্যা হয়ে ওঠে। সে আমাকে জ্বালাতন করছিল। রাগের সমস্যা। অবশেষে, এক রাত ধরে সে এমন আচরণ করার পর যেন সে মাতাল, (কিন্তু তবুও আমাকে বোঝাতে পেরেছিল যে আমি পাগল এবং ভুল ছিলাম) পরের দিন যখন আমি তার সাথে একরকম শান্ত অবস্থায় মুখোমুখি হই, তখন সে অবশেষে স্বীকার করে যে সে মাঝে মাঝে মদ্যপান করত এবং সে আমাকে বলতে চাইত না, কারণ তখন সে জানত যে তাকে থামতে হবে, এবং সে মনে করেছিল যে সেই সময়ে তার জন্য এটাই সবচেয়ে ভালো। এটি মাত্র কয়েক সপ্তাহ আগের ঘটনা। সম্ভবত প্রায় 1.5 সপ্তাহ ধরে, আমি আবার প্রশ্ন করার কোনও ঘটনা ঘটেনি। কিন্তু আবার শুরু হয়। সে কোনও কাজে বের হয় এবং সম্পূর্ণ ভিন্ন আচরণ করে ফিরে আসে। সব জায়গায় কথা বলে। তীব্র গন্ধ। (সে পুদিনা স্বাদের টুথপিক ব্যবহার করে এবং সবসময় রেড বুল নিয়ে ফিরে আসে। আমি বিশ্বাস করি যে এই জিনিসগুলি ঢাকনা।) মাঝে মাঝে রেগে যাওয়া, খারাপ আচরণ করা। এই আচরণগুলি আসলে তার মতো নয়। আমি খুব চিন্তিত। আমাদের সম্পর্ক কিছুটা খারাপ হচ্ছে, এবং এটি আমাকে খুব হারিয়ে যাওয়া এবং বিভ্রান্ত বোধ করে। সে খিঁচুনির ওষুধ ছাড়াও একাধিক মানসিক ওষুধও খাচ্ছে? যার কোনওটিই তার পান করা উচিত নয়। তার আগের সমস্ত গ্যাসলাইটিংয়ের কারণে আমি আসলেই বুঝতে পারছি না যে এখন আর কী ভাববো বা বিশ্বাস করবো। আমি কি পাগল? আমি কি অন্যায় করছি? আমি কি এটাকে উপেক্ষা করবো? যদি সে আসলেই এটা করছে, যদি সে স্বীকার করতে রাজি না হয়, তাহলে কীভাবে এর মোকাবেলা করা যাবে বা এর সমাধান করা যাবে? আমি কীভাবে তাকে সাহায্য করতে পারি কিন্তু নিজেকে এই প্রক্রিয়ায় হারিয়ে ফেলব না?</v>
      </c>
    </row>
    <row r="1098" spans="1:3" ht="15" x14ac:dyDescent="0.25">
      <c r="A1098" s="3" t="s">
        <v>1095</v>
      </c>
      <c r="B1098" s="3" t="s">
        <v>997</v>
      </c>
      <c r="C1098" s="4" t="str">
        <f ca="1">IFERROR(__xludf.DUMMYFUNCTION("GOOGLETRANSLATE(A1098, ""auto"", ""bn"")"),"আশা করি এই প্রশ্নের জন্য এটাই সঠিক Subreddit, কিন্তু আমার পরিবার এবং আমি আমার ভাইকে সাহায্য করতে সত্যিই হিমশিম খাচ্ছি। সে একজন অতিরিক্ত মদ্যপায়ী এবং সম্প্রতি তার স্ত্রী তাকে বাড়ি থেকে বের করে দিয়েছে, এবং খুব বেশিদিন আগে আত্মহত্যার হুমকি দিয়েছে। তারপর "&amp;"থেকে আমার বাবা-মা তাকে আবার বাড়িতে নিয়ে গেছেন, কিন্তু আমরা তাকে দাঁত ব্রাশ করা, গোসল করা, পোশাক পরিবর্তন করা ইত্যাদি করতে বাধ্য করতে পারছি না। উদাহরণস্বরূপ, সে প্রায় এক সপ্তাহ ধরে গোসল করেনি, এবং গত দুই দিনের মধ্যে সে দুবার ভিজেছে। আমরা তাকে ভালোভাবে ব"&amp;"লার চেষ্টা করেছি, এমনকি তাকে গোসল করার জন্য ঘুষ দেওয়ার চেষ্টাও করেছি, কিন্তু সে সম্প্রতি গোসল করার কথা মিথ্যা বলেছে। আমরা জানি যে সে মিথ্যা বলছে তার প্রধান কারণ হল বাথরুমটি ঘরের মাঝখানে, এবং যখন গোসল চলছে তখন আমরা শুনতে পাই। তার গন্ধ সত্যিই ভয়াবহ, যেন স"&amp;"ে বাড়িতে না থাকলে স্কিড রোতে থাকে এবং পরিবার তাকে সাহায্য করার চেষ্টা করে, এবং আমরা তার পরে পরিষ্কার করার চেষ্টা করি, কিন্তু গন্ধটি আমাদের ""লাগতে"" শুরু করেছে।")</f>
        <v>আশা করি এই প্রশ্নের জন্য এটাই সঠিক Subreddit, কিন্তু আমার পরিবার এবং আমি আমার ভাইকে সাহায্য করতে সত্যিই হিমশিম খাচ্ছি। সে একজন অতিরিক্ত মদ্যপায়ী এবং সম্প্রতি তার স্ত্রী তাকে বাড়ি থেকে বের করে দিয়েছে, এবং খুব বেশিদিন আগে আত্মহত্যার হুমকি দিয়েছে। তারপর থেকে আমার বাবা-মা তাকে আবার বাড়িতে নিয়ে গেছেন, কিন্তু আমরা তাকে দাঁত ব্রাশ করা, গোসল করা, পোশাক পরিবর্তন করা ইত্যাদি করতে বাধ্য করতে পারছি না। উদাহরণস্বরূপ, সে প্রায় এক সপ্তাহ ধরে গোসল করেনি, এবং গত দুই দিনের মধ্যে সে দুবার ভিজেছে। আমরা তাকে ভালোভাবে বলার চেষ্টা করেছি, এমনকি তাকে গোসল করার জন্য ঘুষ দেওয়ার চেষ্টাও করেছি, কিন্তু সে সম্প্রতি গোসল করার কথা মিথ্যা বলেছে। আমরা জানি যে সে মিথ্যা বলছে তার প্রধান কারণ হল বাথরুমটি ঘরের মাঝখানে, এবং যখন গোসল চলছে তখন আমরা শুনতে পাই। তার গন্ধ সত্যিই ভয়াবহ, যেন সে বাড়িতে না থাকলে স্কিড রোতে থাকে এবং পরিবার তাকে সাহায্য করার চেষ্টা করে, এবং আমরা তার পরে পরিষ্কার করার চেষ্টা করি, কিন্তু গন্ধটি আমাদের "লাগতে" শুরু করেছে।</v>
      </c>
    </row>
    <row r="1099" spans="1:3" ht="15" x14ac:dyDescent="0.25">
      <c r="A1099" s="3" t="s">
        <v>1096</v>
      </c>
      <c r="B1099" s="3" t="s">
        <v>997</v>
      </c>
      <c r="C1099" s="4" t="str">
        <f ca="1">IFERROR(__xludf.DUMMYFUNCTION("GOOGLETRANSLATE(A1099, ""auto"", ""bn"")"),"প্রায় তিন সপ্তাহ আগে আমার শরীর বেশ খারাপভাবে কেটে যায়। পরের দিন সকালে আমি রক্তে ঢাকা অবস্থায় ফিরে আসি (গতবারের ঘটনাটি আমার ভালো করে মনে আছে) এবং যখন বুঝতে পারলাম, তখন আমি এটা সম্পর্কে সচেতন ছিলাম। আমি ক্ষতগুলি পরিষ্কার এবং জীবাণুমুক্ত করেছিলাম, জীবাণুমুক্"&amp;"ত, জলরোধী ড্রেসিং দিয়ে ঢেকে দিয়েছিলাম এবং প্রতিদিন সেগুলো পরিবর্তন করেছিলাম। একটি সংক্রমণ ছিল, এবং প্রচুর ক্ষত ছিল, যা আমি যত্ন নেওয়া শুরু করার পর থেকে সেরে গেছে। আমি একই জলরোধী ড্রেসিংয়ের নীচে সিলিকন ক্ষত চিকিৎসা প্যাচ দিয়ে নতুন ক্ষতগুলি ঢেকে দেওয়া"&amp;"র দিকে এগিয়ে গিয়েছিলাম, যা আমি কমপক্ষে প্রতি 24 ঘন্টা অন্তর পরিবর্তন করি, আমি যতই খারাপ মুখের হও না কেন। কিন্তু তিন সপ্তাহ হয়ে গেছে, এবং ক্ষতগুলি এখনও বেশ স্পষ্ট। কারণ মদ্যপরা সারেন না। যাদের এই রোগ হয়েছে - আপনি কীভাবে নিরাময়ের প্রচার করেছেন? হ্যাঁ, "&amp;"""শুধু মদ্যপান বন্ধ করুন"" তা নিশ্চিত। আমি এই সপ্তাহে একটি ক্লিনিকে যাচ্ছি। কিন্তু আমি ক্ষতস্থান করতে চাই না। আমার অনেক বেশি ক্ষত আছে। পরামর্শ?")</f>
        <v>প্রায় তিন সপ্তাহ আগে আমার শরীর বেশ খারাপভাবে কেটে যায়। পরের দিন সকালে আমি রক্তে ঢাকা অবস্থায় ফিরে আসি (গতবারের ঘটনাটি আমার ভালো করে মনে আছে) এবং যখন বুঝতে পারলাম, তখন আমি এটা সম্পর্কে সচেতন ছিলাম। আমি ক্ষতগুলি পরিষ্কার এবং জীবাণুমুক্ত করেছিলাম, জীবাণুমুক্ত, জলরোধী ড্রেসিং দিয়ে ঢেকে দিয়েছিলাম এবং প্রতিদিন সেগুলো পরিবর্তন করেছিলাম। একটি সংক্রমণ ছিল, এবং প্রচুর ক্ষত ছিল, যা আমি যত্ন নেওয়া শুরু করার পর থেকে সেরে গেছে। আমি একই জলরোধী ড্রেসিংয়ের নীচে সিলিকন ক্ষত চিকিৎসা প্যাচ দিয়ে নতুন ক্ষতগুলি ঢেকে দেওয়ার দিকে এগিয়ে গিয়েছিলাম, যা আমি কমপক্ষে প্রতি 24 ঘন্টা অন্তর পরিবর্তন করি, আমি যতই খারাপ মুখের হও না কেন। কিন্তু তিন সপ্তাহ হয়ে গেছে, এবং ক্ষতগুলি এখনও বেশ স্পষ্ট। কারণ মদ্যপরা সারেন না। যাদের এই রোগ হয়েছে - আপনি কীভাবে নিরাময়ের প্রচার করেছেন? হ্যাঁ, "শুধু মদ্যপান বন্ধ করুন" তা নিশ্চিত। আমি এই সপ্তাহে একটি ক্লিনিকে যাচ্ছি। কিন্তু আমি ক্ষতস্থান করতে চাই না। আমার অনেক বেশি ক্ষত আছে। পরামর্শ?</v>
      </c>
    </row>
    <row r="1100" spans="1:3" ht="15" x14ac:dyDescent="0.25">
      <c r="A1100" s="3" t="s">
        <v>1097</v>
      </c>
      <c r="B1100" s="3" t="s">
        <v>997</v>
      </c>
      <c r="C1100" s="4" t="str">
        <f ca="1">IFERROR(__xludf.DUMMYFUNCTION("GOOGLETRANSLATE(A1100, ""auto"", ""bn"")"),"এই রোগে আমি মারা যাচ্ছি এবং এটা থামাতে পারছি না। তবে পরিবারের সাথে আরও কিছু সময় কাটানোর জন্য এটা ধীর করে দিতে পারে। কেউ কি দয়া করে আমাকে বলবেন, অভ্যাস পরিবর্তনের প্রথম দিনগুলি কীভাবে মোকাবেলা করব। বারে না গিয়ে বাড়ি ফিরে যাওয়ার মতোই সহজ। আমি আরও ভালো "&amp;"হতে চাই। আমাকে আরও ভালো হতে হবে। তাছাড়া, আমি যা হয়েছি তা ঘৃণা করি এবং আমার শেষ, মিথ, বছরগুলি আরও ভালো হতে চাই। যেকোনো পরামর্শ স্বাগত!")</f>
        <v>এই রোগে আমি মারা যাচ্ছি এবং এটা থামাতে পারছি না। তবে পরিবারের সাথে আরও কিছু সময় কাটানোর জন্য এটা ধীর করে দিতে পারে। কেউ কি দয়া করে আমাকে বলবেন, অভ্যাস পরিবর্তনের প্রথম দিনগুলি কীভাবে মোকাবেলা করব। বারে না গিয়ে বাড়ি ফিরে যাওয়ার মতোই সহজ। আমি আরও ভালো হতে চাই। আমাকে আরও ভালো হতে হবে। তাছাড়া, আমি যা হয়েছি তা ঘৃণা করি এবং আমার শেষ, মিথ, বছরগুলি আরও ভালো হতে চাই। যেকোনো পরামর্শ স্বাগত!</v>
      </c>
    </row>
    <row r="1101" spans="1:3" ht="15" x14ac:dyDescent="0.25">
      <c r="A1101" s="3" t="s">
        <v>1098</v>
      </c>
      <c r="B1101" s="3" t="s">
        <v>997</v>
      </c>
      <c r="C1101" s="4" t="str">
        <f ca="1">IFERROR(__xludf.DUMMYFUNCTION("GOOGLETRANSLATE(A1101, ""auto"", ""bn"")"),"আমার ১৬তম AF দিন, যারা বেশিক্ষণ ধরে শান্ত ছিলেন তারা কি আমাকে বলতে পারবেন কখন দুঃখ এবং বিরক্তি তাদের ছেড়ে চলে গেছে এবং তারা খুশি বোধ করেছে? গত দুই দিনের তুলনায় আমি অবিশ্বাস্যভাবে দুঃখিত, আমি খুব একা বোধ করছি, আমি পান করতে চাই না, কিন্তু আমার দুঃখ হচ্ছে "&amp;"যে আমার কাছ থেকে পছন্দটি কেড়ে নেওয়া হয়েছে এবং আমাকে বলা হয়েছে যে আমি কখনই পান করব না। আমি জানি অন্যরাও শান্ত থাকার চেষ্টা করার একই যাত্রায় রয়েছে, কিন্তু আমি এত একা বোধ করি যে এটি তাদের পছন্দ - এটিও আমার, কিন্তু আমি চেয়েছিলাম এটি কেবল আমার হোক, এবং "&amp;"আমি কেবল একা বোধ করি। যদি আমার অর্থ না হয় তবে দুঃখিত। এটা কঠিন")</f>
        <v>আমার ১৬তম AF দিন, যারা বেশিক্ষণ ধরে শান্ত ছিলেন তারা কি আমাকে বলতে পারবেন কখন দুঃখ এবং বিরক্তি তাদের ছেড়ে চলে গেছে এবং তারা খুশি বোধ করেছে? গত দুই দিনের তুলনায় আমি অবিশ্বাস্যভাবে দুঃখিত, আমি খুব একা বোধ করছি, আমি পান করতে চাই না, কিন্তু আমার দুঃখ হচ্ছে যে আমার কাছ থেকে পছন্দটি কেড়ে নেওয়া হয়েছে এবং আমাকে বলা হয়েছে যে আমি কখনই পান করব না। আমি জানি অন্যরাও শান্ত থাকার চেষ্টা করার একই যাত্রায় রয়েছে, কিন্তু আমি এত একা বোধ করি যে এটি তাদের পছন্দ - এটিও আমার, কিন্তু আমি চেয়েছিলাম এটি কেবল আমার হোক, এবং আমি কেবল একা বোধ করি। যদি আমার অর্থ না হয় তবে দুঃখিত। এটা কঠিন</v>
      </c>
    </row>
    <row r="1102" spans="1:3" ht="15" x14ac:dyDescent="0.25">
      <c r="A1102" s="3" t="s">
        <v>1099</v>
      </c>
      <c r="B1102" s="3" t="s">
        <v>997</v>
      </c>
      <c r="C1102" s="4" t="str">
        <f ca="1">IFERROR(__xludf.DUMMYFUNCTION("GOOGLETRANSLATE(A1102, ""auto"", ""bn"")"),"আর গুগল আমাকে মিশ্র প্রতিক্রিয়া দেয়। কিন্তু আমি প্রতি রাতে মদ্যপান করেছি। এক মাস পর আমি প্রায় এক সপ্তাহের জন্য শহরের বাইরে যাব এবং আমার সন্দেহ আছে যে আমি অনেক বেশি মদ্যপান করতে পারব। এখন আমি প্রতি রাতে মদ্যপান করি, তাই আমার ভ্রমণের সময় সম্ভবত আমি প্রা"&amp;"য় 3.5 মাস ধরে প্রতি রাতে মদ্যপান করব। আমি কি সেই সময়ে থামতে নিরাপদ? আমি নিজেকে বারবার বলি যে আমি থামব, বিশেষ করে যখন আমার তলপেটে ব্যথা হয়। কিন্তু আমি আবারও এটি করি কারণ আমি সত্যিই আর আবেগ অনুভব করতে চাই না। আমি জানি এটি আমার জন্য ভালো নয়। আমি নিজেকে এ"&amp;"বং আমার পরিচিত সকলকে ক্রমাগত বলতাম ""আমি 21 বছর বয়সে মদ্যপান করব না কারণ এটি পরিবারে প্রচলিত এবং আমি চাই না যে এটি আমার সাথে ঘটুক""... স্পষ্টতই, এটা মিথ্যা ছিল। এবং এখন আমি আটকে আছি, উদ্বিগ্ন এবং বিরক্ত, যতক্ষণ না আমি কাজ থেকে ছুটি নিয়ে অবশেষে মদ্যপান ক"&amp;"রতে পারি। আমি সত্যিই খুব একটা এলোমেলো আরএন।")</f>
        <v>আর গুগল আমাকে মিশ্র প্রতিক্রিয়া দেয়। কিন্তু আমি প্রতি রাতে মদ্যপান করেছি। এক মাস পর আমি প্রায় এক সপ্তাহের জন্য শহরের বাইরে যাব এবং আমার সন্দেহ আছে যে আমি অনেক বেশি মদ্যপান করতে পারব। এখন আমি প্রতি রাতে মদ্যপান করি, তাই আমার ভ্রমণের সময় সম্ভবত আমি প্রায় 3.5 মাস ধরে প্রতি রাতে মদ্যপান করব। আমি কি সেই সময়ে থামতে নিরাপদ? আমি নিজেকে বারবার বলি যে আমি থামব, বিশেষ করে যখন আমার তলপেটে ব্যথা হয়। কিন্তু আমি আবারও এটি করি কারণ আমি সত্যিই আর আবেগ অনুভব করতে চাই না। আমি জানি এটি আমার জন্য ভালো নয়। আমি নিজেকে এবং আমার পরিচিত সকলকে ক্রমাগত বলতাম "আমি 21 বছর বয়সে মদ্যপান করব না কারণ এটি পরিবারে প্রচলিত এবং আমি চাই না যে এটি আমার সাথে ঘটুক"... স্পষ্টতই, এটা মিথ্যা ছিল। এবং এখন আমি আটকে আছি, উদ্বিগ্ন এবং বিরক্ত, যতক্ষণ না আমি কাজ থেকে ছুটি নিয়ে অবশেষে মদ্যপান করতে পারি। আমি সত্যিই খুব একটা এলোমেলো আরএন।</v>
      </c>
    </row>
    <row r="1103" spans="1:3" ht="15" x14ac:dyDescent="0.25">
      <c r="A1103" s="3" t="s">
        <v>1100</v>
      </c>
      <c r="B1103" s="3" t="s">
        <v>997</v>
      </c>
      <c r="C1103" s="4" t="str">
        <f ca="1">IFERROR(__xludf.DUMMYFUNCTION("GOOGLETRANSLATE(A1103, ""auto"", ""bn"")"),"এটা ছিল আমার দেখা প্রথম সুপারবোল। আমি লস অ্যাঞ্জেলেসে থাকি, তাই আমিও ভেড়া খেতে যাচ্ছিলাম। সব অ্যালকোহলের বিজ্ঞাপনের সাথে মদ্যপান না করা খুব কঠিন ছিল হা হা আশা করি তোমরাও শক্ত থাকবে।")</f>
        <v>এটা ছিল আমার দেখা প্রথম সুপারবোল। আমি লস অ্যাঞ্জেলেসে থাকি, তাই আমিও ভেড়া খেতে যাচ্ছিলাম। সব অ্যালকোহলের বিজ্ঞাপনের সাথে মদ্যপান না করা খুব কঠিন ছিল হা হা আশা করি তোমরাও শক্ত থাকবে।</v>
      </c>
    </row>
    <row r="1104" spans="1:3" ht="15" x14ac:dyDescent="0.25">
      <c r="A1104" s="3" t="s">
        <v>1101</v>
      </c>
      <c r="B1104" s="3" t="s">
        <v>997</v>
      </c>
      <c r="C1104" s="4" t="str">
        <f ca="1">IFERROR(__xludf.DUMMYFUNCTION("GOOGLETRANSLATE(A1104, ""auto"", ""bn"")"),"আমি গত ২৮ বছর ধরে (প্রায় ১৬ বছর বয়স থেকে, এবং এখন আমার বয়স ৪৪) বিয়ার পান করছি। প্রায় প্রতি সপ্তাহান্তে আমি পান করেছি, মাঝে মাঝে সপ্তাহের মধ্যেও। গত ৩ বছর ধরে, আমি সপ্তাহের প্রায় প্রতি রাতে আমার নিজস্ব হোমব্রু পান করছি। মদ্যপানের কারণে আমার কোনও স্বাস"&amp;"্থ্য সমস্যা হয়নি, যদি না হ্যাংওভার এবং ব্ল্যাকআউটকে এই হিসাবে শ্রেণীবদ্ধ করা হয়। আমি সাধারণত কয়েকটি পানীয়ের সাথে ঠিক থাকি, তবে সপ্তাহান্তে আসি এবং যদি আমি বন্ধুদের সাথে বাইরে যাই, আমার কিছুটা বেশি পান করা হয় এবং ব্ল্যাকআউটের কারণে কিছু মনে থাকে না। য"&amp;"খন কোনও বন্ধু জিজ্ঞাসা করে যে গত রাতে আমরা যে বিষয়ে কথা বলেছিলাম, বা আমি যা করেছি তা আমার মনে আছে, এবং আমাকে না বলতে হয় - আমার মনে নেই তখন এটি বিব্রতকর হয়। আমি প্রতিদিন ঘুম থেকে ওঠা এবং খুব বেশি উজ্জ্বল বোধ না করা এবং কেবল দিন কাটানোর জন্য বিরক্ত, সেই "&amp;"সন্ধ্যায় আমার পরবর্তী সমাধানের জন্য অপেক্ষা করা (আমি দিনের বেলা খুব কমই পান করি)। গত সপ্তাহে, আমি সপ্তাহজুড়ে মদ্যপান না করার চেষ্টা করার সিদ্ধান্ত নিয়েছিলাম, এবং শনিবার রাতে বন্ধুদের সাথে বাইরে খাবারের জন্য বাইরে থাকার কারণে মাত্র দু'একবার মদ্যপান করার"&amp;" পরিকল্পনা করেছিলাম। সোম থেকে বৃহস্পতিবার পর্যন্ত মোটেও মদ্যপান না করেই আমার ভালো লেগেছে। শুক্রবারে, সন্ধ্যায় বাড়িতে কয়েকটি মদ্যপান করেছি, তেমন কোনও বড় বিষয় নয়। শনিবার, আমি সন্ধ্যা ৬টা নাগাদ মদ্যপান শুরু করেছিলাম এবং রবিবার ভোর ৫টা পর্যন্ত চালিয়ে গ"&amp;"িয়েছিলাম। তারপর রবিবার সন্ধ্যায় আরও কয়েকটি মদ্যপান করেছি। এখন মঙ্গলবার, এবং তারপর থেকে আমি আর মদ্যপান করিনি। এই সপ্তাহে, আমি গত সপ্তাহের মতোই করার চেষ্টা করব - কেবল শনিবার রাতে। আমি যে পরিমাণ মদ্যপান করি তা ব্যাপকভাবে কমিয়ে দিতে চাই। এই পর্যায়ে, আমি "&amp;"নিশ্চিত নই যে আমি এটি পুরোপুরি ছেড়ে দিতে পারব কিনা, আমার মনে হয় না আমি তা করতে চাই। আমি পানীয় উপভোগ করি, কিন্তু বয়স বাড়ার সাথে সাথে আগের রাতের পর সকালে এই অনুভূতি আমার উপর প্রভাব ফেলতে শুরু করে।")</f>
        <v>আমি গত ২৮ বছর ধরে (প্রায় ১৬ বছর বয়স থেকে, এবং এখন আমার বয়স ৪৪) বিয়ার পান করছি। প্রায় প্রতি সপ্তাহান্তে আমি পান করেছি, মাঝে মাঝে সপ্তাহের মধ্যেও। গত ৩ বছর ধরে, আমি সপ্তাহের প্রায় প্রতি রাতে আমার নিজস্ব হোমব্রু পান করছি। মদ্যপানের কারণে আমার কোনও স্বাস্থ্য সমস্যা হয়নি, যদি না হ্যাংওভার এবং ব্ল্যাকআউটকে এই হিসাবে শ্রেণীবদ্ধ করা হয়। আমি সাধারণত কয়েকটি পানীয়ের সাথে ঠিক থাকি, তবে সপ্তাহান্তে আসি এবং যদি আমি বন্ধুদের সাথে বাইরে যাই, আমার কিছুটা বেশি পান করা হয় এবং ব্ল্যাকআউটের কারণে কিছু মনে থাকে না। যখন কোনও বন্ধু জিজ্ঞাসা করে যে গত রাতে আমরা যে বিষয়ে কথা বলেছিলাম, বা আমি যা করেছি তা আমার মনে আছে, এবং আমাকে না বলতে হয় - আমার মনে নেই তখন এটি বিব্রতকর হয়। আমি প্রতিদিন ঘুম থেকে ওঠা এবং খুব বেশি উজ্জ্বল বোধ না করা এবং কেবল দিন কাটানোর জন্য বিরক্ত, সেই সন্ধ্যায় আমার পরবর্তী সমাধানের জন্য অপেক্ষা করা (আমি দিনের বেলা খুব কমই পান করি)। গত সপ্তাহে, আমি সপ্তাহজুড়ে মদ্যপান না করার চেষ্টা করার সিদ্ধান্ত নিয়েছিলাম, এবং শনিবার রাতে বন্ধুদের সাথে বাইরে খাবারের জন্য বাইরে থাকার কারণে মাত্র দু'একবার মদ্যপান করার পরিকল্পনা করেছিলাম। সোম থেকে বৃহস্পতিবার পর্যন্ত মোটেও মদ্যপান না করেই আমার ভালো লেগেছে। শুক্রবারে, সন্ধ্যায় বাড়িতে কয়েকটি মদ্যপান করেছি, তেমন কোনও বড় বিষয় নয়। শনিবার, আমি সন্ধ্যা ৬টা নাগাদ মদ্যপান শুরু করেছিলাম এবং রবিবার ভোর ৫টা পর্যন্ত চালিয়ে গিয়েছিলাম। তারপর রবিবার সন্ধ্যায় আরও কয়েকটি মদ্যপান করেছি। এখন মঙ্গলবার, এবং তারপর থেকে আমি আর মদ্যপান করিনি। এই সপ্তাহে, আমি গত সপ্তাহের মতোই করার চেষ্টা করব - কেবল শনিবার রাতে। আমি যে পরিমাণ মদ্যপান করি তা ব্যাপকভাবে কমিয়ে দিতে চাই। এই পর্যায়ে, আমি নিশ্চিত নই যে আমি এটি পুরোপুরি ছেড়ে দিতে পারব কিনা, আমার মনে হয় না আমি তা করতে চাই। আমি পানীয় উপভোগ করি, কিন্তু বয়স বাড়ার সাথে সাথে আগের রাতের পর সকালে এই অনুভূতি আমার উপর প্রভাব ফেলতে শুরু করে।</v>
      </c>
    </row>
    <row r="1105" spans="1:3" ht="15" x14ac:dyDescent="0.25">
      <c r="A1105" s="3" t="s">
        <v>1102</v>
      </c>
      <c r="B1105" s="3" t="s">
        <v>997</v>
      </c>
      <c r="C1105" s="4" t="str">
        <f ca="1">IFERROR(__xludf.DUMMYFUNCTION("GOOGLETRANSLATE(A1105, ""auto"", ""bn"")"),"প্রায় প্রতিবারই যখনই আমি মদ্যপান করি, তখনই আমার এই অদ্ভুত হ্যাংওভার দেখা দেয় যা প্রতিবারই আরও খারাপ হতে থাকে। পরের দিন সকালে ঘুম থেকে ওঠার পর থেকে প্রতি ১০ মিনিটে ৫-৬ ঘন্টা ধরে বমি বমি ভাব শুরু হয়। আমার পেটে যা কিছু লাগে তা তীব্রভাবে বমি বমি ভাব করে, এমন"&amp;"কি যদি আমি জল বা অন্য কিছু নাও পান করি, তখনও আমার পিত্ত বমি শুরু হয়। আমার মাথাব্যথা, ঠান্ডা লাগা এবং গরম ঝলকানি, কাঁপুনি এবং সামগ্রিকভাবে চরম অস্বস্তির অনুভূতি হয়। এমনকি এই শেষবারও হালকা হ্যালুসিনেশনে ভুগছিলাম। এবং গত দুইবার প্রায় ৩ দিন ধরে ভয়ঙ্কর অনু"&amp;"ভূতি হয়েছে। আমি এই শুক্রবার রাতে ৪টি সাইডার পান করেছি, এবং রবিবার রাতে ঘুমাতে পারিনি, ঘাম ঝরছে এবং আমার পেট এখনও সোমবার সন্ধ্যা পর্যন্ত খারাপ লাগছে। আমি সব ধরণের অ্যালকোহল, হাইড্রেটেড বা না, আগে খেয়েছি বা না, মূলত ৩টির বেশি পানীয়ের সাথে এটি অনুভব করেছি।"&amp;" আমি একজন সাধারণ পানীয়, মাসে ২-৩ বার। বয়স বাড়ার সাথে সাথে এটি আরও খারাপ হচ্ছে বলে মনে হচ্ছে?")</f>
        <v>প্রায় প্রতিবারই যখনই আমি মদ্যপান করি, তখনই আমার এই অদ্ভুত হ্যাংওভার দেখা দেয় যা প্রতিবারই আরও খারাপ হতে থাকে। পরের দিন সকালে ঘুম থেকে ওঠার পর থেকে প্রতি ১০ মিনিটে ৫-৬ ঘন্টা ধরে বমি বমি ভাব শুরু হয়। আমার পেটে যা কিছু লাগে তা তীব্রভাবে বমি বমি ভাব করে, এমনকি যদি আমি জল বা অন্য কিছু নাও পান করি, তখনও আমার পিত্ত বমি শুরু হয়। আমার মাথাব্যথা, ঠান্ডা লাগা এবং গরম ঝলকানি, কাঁপুনি এবং সামগ্রিকভাবে চরম অস্বস্তির অনুভূতি হয়। এমনকি এই শেষবারও হালকা হ্যালুসিনেশনে ভুগছিলাম। এবং গত দুইবার প্রায় ৩ দিন ধরে ভয়ঙ্কর অনুভূতি হয়েছে। আমি এই শুক্রবার রাতে ৪টি সাইডার পান করেছি, এবং রবিবার রাতে ঘুমাতে পারিনি, ঘাম ঝরছে এবং আমার পেট এখনও সোমবার সন্ধ্যা পর্যন্ত খারাপ লাগছে। আমি সব ধরণের অ্যালকোহল, হাইড্রেটেড বা না, আগে খেয়েছি বা না, মূলত ৩টির বেশি পানীয়ের সাথে এটি অনুভব করেছি। আমি একজন সাধারণ পানীয়, মাসে ২-৩ বার। বয়স বাড়ার সাথে সাথে এটি আরও খারাপ হচ্ছে বলে মনে হচ্ছে?</v>
      </c>
    </row>
    <row r="1106" spans="1:3" ht="15" x14ac:dyDescent="0.25">
      <c r="A1106" s="3" t="s">
        <v>1103</v>
      </c>
      <c r="B1106" s="3" t="s">
        <v>997</v>
      </c>
      <c r="C1106" s="4" t="str">
        <f ca="1">IFERROR(__xludf.DUMMYFUNCTION("GOOGLETRANSLATE(A1106, ""auto"", ""bn"")"),"তো আমি (২৮ বছর বয়সী) মাত্রই বহির্বিভাগের রোগীদের ডিটক্স শেষ করেছি। আমি প্রতিদিন প্রায় অর্ধেক পঞ্চমাংশ হুইস্কি পান করছিলাম। এটা আমার স্ত্রীর কাছ থেকে লুকিয়ে রেখেছি। সে আমার জিনিসপত্র খুঁজে পেয়েছিল এবং আমি তখনই ঠান্ডা টার্কি ছেড়ে দেওয়ার চেষ্টা করেছিলা"&amp;"ম। পরের দিন বমি, কাঁপুনি এবং বিভ্রান্তি ছাড়া আর কিছুই ছিল না। তাই আমি আমাদের রোগীর ডিটক্সের কাছে গিয়ে আমার শরীর কমানোর জন্য ওষুধ খেয়েছিলাম। গতকাল ছিল আমার ওষুধের শেষ দিন এবং আমি যখন পান করছিলাম তার চেয়ে অনেক ভালো বোধ করছি। আমি ইতিমধ্যেই নিজের মতো অনুভ"&amp;"ব করছি। আমার সামান্য ক্ষুধা লাগছে কিন্তু আমি কি এই সপ্তাহে বহির্বিভাগের রোগীদের পুনর্বাসন শুরু করতে যাচ্ছি? যাই হোক, আমার বক্তব্য হল, যদি আপনার কোন সমস্যা হয় তবে সাহায্য নিন। আপনি যাদের মনে করেন তারা কেবল লজ্জিত এবং বিরক্ত হবেন তারা সাহায্য চাওয়ার জন্য "&amp;"এবং বুঝতে পেরে আপনার জন্য গর্বিত এবং সমর্থনকারী ছাড়া আর কিছুই হবে না (অন্তত আমার ক্ষেত্রে)। এবং আমি যদি ওষুধ ছাড়া চেষ্টা করতাম তবে কী হত, কিন্তু ঈশ্বর, কেউ কীভাবে পারে...")</f>
        <v>তো আমি (২৮ বছর বয়সী) মাত্রই বহির্বিভাগের রোগীদের ডিটক্স শেষ করেছি। আমি প্রতিদিন প্রায় অর্ধেক পঞ্চমাংশ হুইস্কি পান করছিলাম। এটা আমার স্ত্রীর কাছ থেকে লুকিয়ে রেখেছি। সে আমার জিনিসপত্র খুঁজে পেয়েছিল এবং আমি তখনই ঠান্ডা টার্কি ছেড়ে দেওয়ার চেষ্টা করেছিলাম। পরের দিন বমি, কাঁপুনি এবং বিভ্রান্তি ছাড়া আর কিছুই ছিল না। তাই আমি আমাদের রোগীর ডিটক্সের কাছে গিয়ে আমার শরীর কমানোর জন্য ওষুধ খেয়েছিলাম। গতকাল ছিল আমার ওষুধের শেষ দিন এবং আমি যখন পান করছিলাম তার চেয়ে অনেক ভালো বোধ করছি। আমি ইতিমধ্যেই নিজের মতো অনুভব করছি। আমার সামান্য ক্ষুধা লাগছে কিন্তু আমি কি এই সপ্তাহে বহির্বিভাগের রোগীদের পুনর্বাসন শুরু করতে যাচ্ছি? যাই হোক, আমার বক্তব্য হল, যদি আপনার কোন সমস্যা হয় তবে সাহায্য নিন। আপনি যাদের মনে করেন তারা কেবল লজ্জিত এবং বিরক্ত হবেন তারা সাহায্য চাওয়ার জন্য এবং বুঝতে পেরে আপনার জন্য গর্বিত এবং সমর্থনকারী ছাড়া আর কিছুই হবে না (অন্তত আমার ক্ষেত্রে)। এবং আমি যদি ওষুধ ছাড়া চেষ্টা করতাম তবে কী হত, কিন্তু ঈশ্বর, কেউ কীভাবে পারে...</v>
      </c>
    </row>
    <row r="1107" spans="1:3" ht="15" x14ac:dyDescent="0.25">
      <c r="A1107" s="3" t="s">
        <v>1104</v>
      </c>
      <c r="B1107" s="3" t="s">
        <v>997</v>
      </c>
      <c r="C1107" s="4" t="str">
        <f ca="1">IFERROR(__xludf.DUMMYFUNCTION("GOOGLETRANSLATE(A1107, ""auto"", ""bn"")"),"হ্যালো, আমার বয়ফ্রেন্ড, ২৩ বছর বয়সী ১৯০ পাউন্ড, গুরুতর প্যানিক অ্যাটাকে ভুগছে। আমি রেডিটের পরামর্শ চেয়েছিলাম যে এটি উদ্বেগের সাথে সম্পর্কিত কিনা, নাকি আরও খারাপ কিছু হতে পারে। লক্ষণগুলি আসে এবং তরঙ্গে চলে যায়। এই লক্ষণগুলি আগে মাসে প্রায় একবার দেখা দ"&amp;"িত, কিন্তু এখন প্রায় প্রতিদিনই দেখা দেয়। এই লক্ষণগুলি হল: মুখে ঝিঁঝিঁ পোকা, শ্বাসকষ্ট, শরীর আটকে যাওয়ার মতো অনুভূতি, সারা শরীরে ঝিঁঝিঁ পোকা, কিছুটা হালকা মাথাব্যথা। যখন এটি ঘটে তখন সে খুব দুর্বল বোধ করে এবং শ্বাস নিতে পারে না। আমার কাছে একটি অক্সিজেন র"&amp;"িডার আছে এবং তার O2 সর্বদা 90 এর দশকের উচ্চে থাকে। সে পাশে কিছু ধারাবাহিক অ্যাসিড রিফ্লাক্সের সাথেও মোকাবিলা করে যা মাঝে মাঝে তার শ্বাসকষ্টের কারণ হতে পারে। মহামারীর সময় সে প্রচুর পরিমাণে মদ্যপান এবং ভ্যাপিং করত, কিন্তু বছরের শুরুতে ছেড়ে দেয়। আমি মনে ক"&amp;"রি সে কি প্রত্যাহারের লক্ষণগুলির সাথেও সম্পর্কিত হতে পারে?")</f>
        <v>হ্যালো, আমার বয়ফ্রেন্ড, ২৩ বছর বয়সী ১৯০ পাউন্ড, গুরুতর প্যানিক অ্যাটাকে ভুগছে। আমি রেডিটের পরামর্শ চেয়েছিলাম যে এটি উদ্বেগের সাথে সম্পর্কিত কিনা, নাকি আরও খারাপ কিছু হতে পারে। লক্ষণগুলি আসে এবং তরঙ্গে চলে যায়। এই লক্ষণগুলি আগে মাসে প্রায় একবার দেখা দিত, কিন্তু এখন প্রায় প্রতিদিনই দেখা দেয়। এই লক্ষণগুলি হল: মুখে ঝিঁঝিঁ পোকা, শ্বাসকষ্ট, শরীর আটকে যাওয়ার মতো অনুভূতি, সারা শরীরে ঝিঁঝিঁ পোকা, কিছুটা হালকা মাথাব্যথা। যখন এটি ঘটে তখন সে খুব দুর্বল বোধ করে এবং শ্বাস নিতে পারে না। আমার কাছে একটি অক্সিজেন রিডার আছে এবং তার O2 সর্বদা 90 এর দশকের উচ্চে থাকে। সে পাশে কিছু ধারাবাহিক অ্যাসিড রিফ্লাক্সের সাথেও মোকাবিলা করে যা মাঝে মাঝে তার শ্বাসকষ্টের কারণ হতে পারে। মহামারীর সময় সে প্রচুর পরিমাণে মদ্যপান এবং ভ্যাপিং করত, কিন্তু বছরের শুরুতে ছেড়ে দেয়। আমি মনে করি সে কি প্রত্যাহারের লক্ষণগুলির সাথেও সম্পর্কিত হতে পারে?</v>
      </c>
    </row>
    <row r="1108" spans="1:3" ht="15" x14ac:dyDescent="0.25">
      <c r="A1108" s="3" t="s">
        <v>1105</v>
      </c>
      <c r="B1108" s="3" t="s">
        <v>997</v>
      </c>
      <c r="C1108" s="4" t="str">
        <f ca="1">IFERROR(__xludf.DUMMYFUNCTION("GOOGLETRANSLATE(A1108, ""auto"", ""bn"")"),"অ্যালকোহল প্রত্যাহারের সাথে আমার কোনও অপরিচিত সম্পর্ক নেই, তাই যখন আমি ভাবলাম যে আমি আগের দিনই খুব বেশি সময় ধরে মদ্যপানের অভ্যাসে ভুগছি এবং জনসমক্ষে অজ্ঞান হয়ে যাচ্ছি, তখন আমি জানতাম কীভাবে ""জরুরি অবতরণ"" সামলাতে হবে। কিন্তু খিঁচুনি এড়িয়ে গেলেও, আমি "&amp;"যতই জাগ্রত বোধ করি না কেন, আমি এখনও স্বাভাবিকের মতো মানিয়ে নিতে পারছি না। আমি এমন নাম ভুলে যাচ্ছি যা অন্যথায় স্পষ্ট হত, এবং আমার দ্রুত বুদ্ধিমত্তা শেষ হয়ে গেছে কারণ আমি সাধারণত এই পরিবর্তনটি অতিক্রম করার জন্য নিজেকে হাসাতে থাকি। আমি আমার প্রত্যাহারের "&amp;"""আগে এবং পরে"" এই সমস্ত কিছু লক্ষ্য করছি। আমি কি এটিকে সেখানেই শেষ করে ফেলেছি?")</f>
        <v>অ্যালকোহল প্রত্যাহারের সাথে আমার কোনও অপরিচিত সম্পর্ক নেই, তাই যখন আমি ভাবলাম যে আমি আগের দিনই খুব বেশি সময় ধরে মদ্যপানের অভ্যাসে ভুগছি এবং জনসমক্ষে অজ্ঞান হয়ে যাচ্ছি, তখন আমি জানতাম কীভাবে "জরুরি অবতরণ" সামলাতে হবে। কিন্তু খিঁচুনি এড়িয়ে গেলেও, আমি যতই জাগ্রত বোধ করি না কেন, আমি এখনও স্বাভাবিকের মতো মানিয়ে নিতে পারছি না। আমি এমন নাম ভুলে যাচ্ছি যা অন্যথায় স্পষ্ট হত, এবং আমার দ্রুত বুদ্ধিমত্তা শেষ হয়ে গেছে কারণ আমি সাধারণত এই পরিবর্তনটি অতিক্রম করার জন্য নিজেকে হাসাতে থাকি। আমি আমার প্রত্যাহারের "আগে এবং পরে" এই সমস্ত কিছু লক্ষ্য করছি। আমি কি এটিকে সেখানেই শেষ করে ফেলেছি?</v>
      </c>
    </row>
    <row r="1109" spans="1:3" ht="15" x14ac:dyDescent="0.25">
      <c r="A1109" s="3" t="s">
        <v>1106</v>
      </c>
      <c r="B1109" s="3" t="s">
        <v>997</v>
      </c>
      <c r="C1109" s="4" t="str">
        <f ca="1">IFERROR(__xludf.DUMMYFUNCTION("GOOGLETRANSLATE(A1109, ""auto"", ""bn"")"),"সিনেমা দেখা বা ভিডিও গেম খেলার মতো জিনিসগুলি আমার খুব একটা উপভোগ করতে কষ্ট হয় না। গেম খেলতে উৎসাহিত করতে আমার খুব কষ্ট হয় কিন্তু অ্যালকোহল সত্যিই সাহায্য করে। আর আমি জানি আমি এগুলোকে শান্তভাবে উপভোগ করতে পারি, কিন্তু নিজেকে এই কাজটি শুরু করতে বাধ্য করা "&amp;"কঠিন, কারণ আমি ভাবছি, ""আমি যদি মাতাল থাকতাম তাহলে এটা আরও মজাদার হত।"" ব্যাপারটা হল - না, হবে না! আমার বমি বমি ভাব এবং ক্লান্তি বোধ হত। আমি খেলায় বোকা বোকা সিদ্ধান্ত নিতাম। তাছাড়া, আমি আর মাতাল হই না, কিন্তু যখন আমি মাতাল ছিলাম তার স্মৃতিগুলো ঝাপসা হয়"&amp;"ে যায়, তাই আমি একটি খেলায় কিছু অর্জন করি এবং পরের দিন তা খুব কমই মনে রাখি, এবং এটি অর্জন করতে কতটা ভালো লেগেছিল তা মনে রাখি না। তাছাড়া, কেনাকাটা করা এবং আমার কুকুরদের বাইরে নিয়ে যাওয়া ইত্যাদি IRL জিনিসগুলি করার ক্ষেত্রে আমার এই সমস্যা নেই (যে জিনিসগু"&amp;"লি আমি শান্তভাবে করতে পছন্দ করি।) কিন্তু সিনেমা এবং ভিডিও গেমগুলি আসলে মাতাল হয়ে আরও মজাদার বলে মনে হয় যদিও... সেগুলো নয়। আমাকে শান্তভাবে গেম খেলতে অনুপ্রাণিত করার জন্য কোন পরামর্শ? আমি জানি এটি একটি ছোট জিনিস বলে মনে হচ্ছে, কিন্তু এটি সত্যিই আমাকে বির"&amp;"ক্ত করে।")</f>
        <v>সিনেমা দেখা বা ভিডিও গেম খেলার মতো জিনিসগুলি আমার খুব একটা উপভোগ করতে কষ্ট হয় না। গেম খেলতে উৎসাহিত করতে আমার খুব কষ্ট হয় কিন্তু অ্যালকোহল সত্যিই সাহায্য করে। আর আমি জানি আমি এগুলোকে শান্তভাবে উপভোগ করতে পারি, কিন্তু নিজেকে এই কাজটি শুরু করতে বাধ্য করা কঠিন, কারণ আমি ভাবছি, "আমি যদি মাতাল থাকতাম তাহলে এটা আরও মজাদার হত।" ব্যাপারটা হল - না, হবে না! আমার বমি বমি ভাব এবং ক্লান্তি বোধ হত। আমি খেলায় বোকা বোকা সিদ্ধান্ত নিতাম। তাছাড়া, আমি আর মাতাল হই না, কিন্তু যখন আমি মাতাল ছিলাম তার স্মৃতিগুলো ঝাপসা হয়ে যায়, তাই আমি একটি খেলায় কিছু অর্জন করি এবং পরের দিন তা খুব কমই মনে রাখি, এবং এটি অর্জন করতে কতটা ভালো লেগেছিল তা মনে রাখি না। তাছাড়া, কেনাকাটা করা এবং আমার কুকুরদের বাইরে নিয়ে যাওয়া ইত্যাদি IRL জিনিসগুলি করার ক্ষেত্রে আমার এই সমস্যা নেই (যে জিনিসগুলি আমি শান্তভাবে করতে পছন্দ করি।) কিন্তু সিনেমা এবং ভিডিও গেমগুলি আসলে মাতাল হয়ে আরও মজাদার বলে মনে হয় যদিও... সেগুলো নয়। আমাকে শান্তভাবে গেম খেলতে অনুপ্রাণিত করার জন্য কোন পরামর্শ? আমি জানি এটি একটি ছোট জিনিস বলে মনে হচ্ছে, কিন্তু এটি সত্যিই আমাকে বিরক্ত করে।</v>
      </c>
    </row>
    <row r="1110" spans="1:3" ht="15" x14ac:dyDescent="0.25">
      <c r="A1110" s="3" t="s">
        <v>1107</v>
      </c>
      <c r="B1110" s="3" t="s">
        <v>997</v>
      </c>
      <c r="C1110" s="4" t="str">
        <f ca="1">IFERROR(__xludf.DUMMYFUNCTION("GOOGLETRANSLATE(A1110, ""auto"", ""bn"")"),"আমি একটা বিদেশে থাকি, সত্যিই ছোট্ট একটা জায়গায়। উদাহরণস্বরূপ, সবচেয়ে কাছের সিনেমা হল গাড়ি করে প্রায় ২ ঘন্টা দূরে। আমি এখানে থাকি কারণ এখানে আমার একটি মেয়ে আছে, আর আমি তার কাছে থাকতে চাই কারণ সে আমার একমাত্র পরিবার। প্রায় ২ বছর ধরে আমার মদ্যপান একরকম চরমে "&amp;"পৌঁছেছে। প্রতি রাতে কমপক্ষে ৬ জন পুরুষ। কখনও কখনও তারও বেশি। মাঝে মাঝে আমি ঘুম থেকে ওঠা থেকে ঘুমাতে যাওয়া পর্যন্ত মদ্যপান করি, আর সারাদিনে প্রায় ১৪ জন পুরুষ। আমি অবিবাহিত। আমি যেখানে থাকি সেখানে মানুষের সাথে দেখা করার কোনও উপায় নেই, এবং ব্যক্তিগত পরিস্থি"&amp;"তির কারণে, মদ্যপান ছাড়াই, আমি সপ্তাহে ৫ দিন এই শহরে একা থাকি। একেবারে একা। মদ্যপান সময় নষ্ট করার একটি ভালো উপায় কিন্তু দিনে কয়েকবার কান্না করা, ক্রমাগত উদ্বিগ্ন থাকা এবং আমার অতীতের সমস্ত ভুলগুলি পুনরাবৃত্তি করা, আগের মতো মজাদার নয়।")</f>
        <v>আমি একটা বিদেশে থাকি, সত্যিই ছোট্ট একটা জায়গায়। উদাহরণস্বরূপ, সবচেয়ে কাছের সিনেমা হল গাড়ি করে প্রায় ২ ঘন্টা দূরে। আমি এখানে থাকি কারণ এখানে আমার একটি মেয়ে আছে, আর আমি তার কাছে থাকতে চাই কারণ সে আমার একমাত্র পরিবার। প্রায় ২ বছর ধরে আমার মদ্যপান একরকম চরমে পৌঁছেছে। প্রতি রাতে কমপক্ষে ৬ জন পুরুষ। কখনও কখনও তারও বেশি। মাঝে মাঝে আমি ঘুম থেকে ওঠা থেকে ঘুমাতে যাওয়া পর্যন্ত মদ্যপান করি, আর সারাদিনে প্রায় ১৪ জন পুরুষ। আমি অবিবাহিত। আমি যেখানে থাকি সেখানে মানুষের সাথে দেখা করার কোনও উপায় নেই, এবং ব্যক্তিগত পরিস্থিতির কারণে, মদ্যপান ছাড়াই, আমি সপ্তাহে ৫ দিন এই শহরে একা থাকি। একেবারে একা। মদ্যপান সময় নষ্ট করার একটি ভালো উপায় কিন্তু দিনে কয়েকবার কান্না করা, ক্রমাগত উদ্বিগ্ন থাকা এবং আমার অতীতের সমস্ত ভুলগুলি পুনরাবৃত্তি করা, আগের মতো মজাদার নয়।</v>
      </c>
    </row>
    <row r="1111" spans="1:3" ht="15" x14ac:dyDescent="0.25">
      <c r="A1111" s="3" t="s">
        <v>1108</v>
      </c>
      <c r="B1111" s="3" t="s">
        <v>997</v>
      </c>
      <c r="C1111" s="4" t="str">
        <f ca="1">IFERROR(__xludf.DUMMYFUNCTION("GOOGLETRANSLATE(A1111, ""auto"", ""bn"")"),"১৬ মাস ধরে আমার সবচেয়ে ভয়াবহ প্যানিক অ্যাটাক হচ্ছে। (আমি যুক্তরাজ্যে থাকি) আমি আমার জিপিকে অসংখ্যবার ফোন করেছি এবং অসংখ্য ওষুধ খেয়েছি। আমি বর্তমানে সিবিটি-র জন্য অপেক্ষার তালিকায় আছি। আমি হিপনোথেরাপি চেষ্টা করেছি, যা কাজ করেনি এবং আমার শত শত খরচ হয়েছে।"&amp;" তাছাড়া, আমি সপ্তাহে একাধিকবার মদ্যপান করেছি যাতে ""স্বাভাবিক কাজ"" যেমন সুপারমার্কেটে যাওয়া বা অ্যাপয়েন্টমেন্ট করা যায়। তাছাড়া, আমি আর এটা নিতে পারছি না ?? তাছাড়া, আমি অ্যাগোরাফোবিক এবং আমার (যদি ইতিমধ্যে না থাকে) মদ্যপ হওয়ার সম্ভাবনা বেশি। তাছাড়"&amp;"া, আমি আরও বেশি দিন পান করি। তাছাড়া, আমি কেবল একবার পান করতে পারি না। তাছাড়া, আমি প্রতিবার প্রায় এক বোতল জিন পান করি। পরের দিন আমি এতটাই উদ্বিগ্ন বোধ করি যে আমি এটি থেকে মুক্তি পেতে আবার পান করি। আমার মনে হয় আমি নিয়ন্ত্রণ হারিয়ে ফেলেছি, এবং আমি খুব "&amp;"ভয় পেয়েছি এবং একা। আমার জন্য একমাত্র ব্যক্তি যিনি আমার মা, কিন্তু আমি তাকে মিথ্যা বলি এবং বলি যে আমি যতটা মদ্যপান করি না। আমি আমার জিনের বোতল আলমারিতে লুকিয়ে রাখি যাতে আমার মা ফোন করলে সে তা দেখতে না পায়। আমি আমার জিন কিনতে বিভিন্ন দোকানে যাই কারণ দোক"&amp;"ানদার আমার মাকে খুব ভালো করেই চেনে। এটা হলো উদ্বেগ। যদি আমি এই ক্রমাগত দুর্বল করে দেওয়া, গ্রাসকারী উদ্বেগ থেকে মুক্তি পেতে পারতাম, তাহলে নিরাপদ বোধ করার জন্য আমাকে পান করার দরকার হত না। কারণ এটাই একমাত্র সময় যখন আমি নিরাপদ বোধ করি। যখন আমি শান্ত থাকি তখ"&amp;"ন আমি সর্বদা ভয় পাই। যখন আমি মাতাল থাকি তখন কিছুই আমাকে ভয় দেখায় না। যদি আমার বাচ্চারা না থাকত তবে আমি এটি শেষ করে দিতাম। আমি এত দিন ধরে লড়াই করছি এবং আমি কোনও উপায় দেখতে পাচ্ছি না। আমি খুব একা এবং খুব ভয় পাই।")</f>
        <v>১৬ মাস ধরে আমার সবচেয়ে ভয়াবহ প্যানিক অ্যাটাক হচ্ছে। (আমি যুক্তরাজ্যে থাকি) আমি আমার জিপিকে অসংখ্যবার ফোন করেছি এবং অসংখ্য ওষুধ খেয়েছি। আমি বর্তমানে সিবিটি-র জন্য অপেক্ষার তালিকায় আছি। আমি হিপনোথেরাপি চেষ্টা করেছি, যা কাজ করেনি এবং আমার শত শত খরচ হয়েছে। তাছাড়া, আমি সপ্তাহে একাধিকবার মদ্যপান করেছি যাতে "স্বাভাবিক কাজ" যেমন সুপারমার্কেটে যাওয়া বা অ্যাপয়েন্টমেন্ট করা যায়। তাছাড়া, আমি আর এটা নিতে পারছি না ?? তাছাড়া, আমি অ্যাগোরাফোবিক এবং আমার (যদি ইতিমধ্যে না থাকে) মদ্যপ হওয়ার সম্ভাবনা বেশি। তাছাড়া, আমি আরও বেশি দিন পান করি। তাছাড়া, আমি কেবল একবার পান করতে পারি না। তাছাড়া, আমি প্রতিবার প্রায় এক বোতল জিন পান করি। পরের দিন আমি এতটাই উদ্বিগ্ন বোধ করি যে আমি এটি থেকে মুক্তি পেতে আবার পান করি। আমার মনে হয় আমি নিয়ন্ত্রণ হারিয়ে ফেলেছি, এবং আমি খুব ভয় পেয়েছি এবং একা। আমার জন্য একমাত্র ব্যক্তি যিনি আমার মা, কিন্তু আমি তাকে মিথ্যা বলি এবং বলি যে আমি যতটা মদ্যপান করি না। আমি আমার জিনের বোতল আলমারিতে লুকিয়ে রাখি যাতে আমার মা ফোন করলে সে তা দেখতে না পায়। আমি আমার জিন কিনতে বিভিন্ন দোকানে যাই কারণ দোকানদার আমার মাকে খুব ভালো করেই চেনে। এটা হলো উদ্বেগ। যদি আমি এই ক্রমাগত দুর্বল করে দেওয়া, গ্রাসকারী উদ্বেগ থেকে মুক্তি পেতে পারতাম, তাহলে নিরাপদ বোধ করার জন্য আমাকে পান করার দরকার হত না। কারণ এটাই একমাত্র সময় যখন আমি নিরাপদ বোধ করি। যখন আমি শান্ত থাকি তখন আমি সর্বদা ভয় পাই। যখন আমি মাতাল থাকি তখন কিছুই আমাকে ভয় দেখায় না। যদি আমার বাচ্চারা না থাকত তবে আমি এটি শেষ করে দিতাম। আমি এত দিন ধরে লড়াই করছি এবং আমি কোনও উপায় দেখতে পাচ্ছি না। আমি খুব একা এবং খুব ভয় পাই।</v>
      </c>
    </row>
    <row r="1112" spans="1:3" ht="15" x14ac:dyDescent="0.25">
      <c r="A1112" s="3" t="s">
        <v>1109</v>
      </c>
      <c r="B1112" s="3" t="s">
        <v>997</v>
      </c>
      <c r="C1112" s="4" t="str">
        <f ca="1">IFERROR(__xludf.DUMMYFUNCTION("GOOGLETRANSLATE(A1112, ""auto"", ""bn"")"),"মাঝেমধ্যেই মদ্যপানের সাথে আমার অনেক সমস্যা হয়েছে। আমি সবসময়ই অতিরিক্ত মদ্যপান করি এবং ""শুরু করার পর থামতে"" পারতাম না এবং পার্টি করতে ভালোবাসতাম, বিশেষ করে যখন আমি বিষণ্ণ থাকতাম। আমি কলেজে যেতাম এবং কিছু স্বাস্থ্যগত সমস্যা দেখা দিত এবং আমার মাতাল শহরের"&amp;" পরিবেশ থেকে নিজেকে দূরে সরিয়ে নেওয়া এবং শারীরিকভাবে খারাপ বোধ করার ফলে আমি এক বা দুই বছর ধরে শান্ত থাকতাম। তারপর আমার চাকরি খারাপ হয়ে যায়, এবং আমার সম্পর্ক ভেঙে যায়, এবং আমি আবার আমার শৈশবের বন্ধু/মদ্যপানকারী বন্ধু/আত্মার সাথীর সাথে আড্ডা দিতে শুরু "&amp;"করি। আমরা মাধ্যমিক বিদ্যালয় থেকে বন্ধু এবং ১৬ বছর বয়স থেকে মদ্যপানকারী বন্ধু। আমাদের মধ্যে অনেক মিল রয়েছে এবং সম্ভবত একসাথে ভালো থাকব। কিন্তু সে একজন গুরুতর মদ্যপ যে সময়ের সাথে সাথে আরও খারাপ হয়েছে। সে সবসময় প্রচুর মদ্যপান করত, কিন্তু মজাদার, মনোমুগ"&amp;"্ধকর এবং সতর্ক থাকে। এখন, সে খায় না, কালো হয়ে যায়, তার প্যান্ট প্রস্রাব করে, পড়ে যায়, অসংলগ্নভাবে গালিগালাজ করে এবং আমার কাছে গাধার মতো আচরণ করে। এটি অনেক দিন ধরে চলে আসছে। আমরা একে অপরকে সত্যিই ভালোবাসি এবং একসাথে গান বাজানোর মাধ্যমে আমাদের মধ্যে এক"&amp;"টা অসাধারণ বন্ধুত্ব গড়ে ওঠে, আর সে আমার খুব কাছের মানুষদের মধ্যে একজন। আমি তাকে আমার জীবন থেকে সরাতে পারিনি, আমরা দুজনেই হতাশাগ্রস্ত এবং যদিও আজকাল আমি আরও বেশি পরিমাণে মদ্যপান করি, তবুও আমি প্রতিদিন THC ব্যবহার করি। তাকে সাহায্য পাওয়ার বিষয়ে একটি গুরু"&amp;"তর আলোচনার পর, সে একদিনে প্রায় ৬ বার AF নষ্ট করে ফেলেছিল এবং পড়ে যাচ্ছিল, বলছিল যে সে দুঃখিত এবং ৬ বারই মদ্যপান শেষ করে দিয়েছে। শুক্রবার আমরা দেখা করেছিলাম এবং আমি তাকে বলেছিলাম যে আমি বিরক্ত কারণ তার মদ্যপানের কারণে আমাদের মধ্যে কার্যকর সম্পর্ক গড়ে ত"&amp;"োলা সম্ভব নয়। সে আবার আমার মুখে অতীতের কিছু ক্ষতিকারক বিষ্ঠা ছুঁড়ে মারে, এবং আমি বুঝতে পারি যে সে সাধারণত আমার প্রতি সদয়, যতক্ষণ না আমি তার মদ্যপান এবং মদ্যপানের বিষয়ে প্রশ্ন করি। তারপর সে যেখানে ব্যথা করে সেখানে আমাকে আক্রমণ করে। সে চারপাশে থাকা মজাদ"&amp;"ার এবং সেক্সি যতক্ষণ না সে নষ্ট হয়ে যায়। সে আমার জন্য আসে না বা আমাকে সমর্থন করে না। আমি যদি আশেপাশে না থাকি/পার্টিতে যেতে ইচ্ছুক না হই, তাহলে সে অন্য মেয়ে খুঁজে পাবে যে আসবে। আমি তার দ্বারা খুব কষ্ট পেয়েছি, কিন্তু এখনও তাকে ভালোবাসি এবং তাকে সাহায্য "&amp;"করতে চাই। ভ্যালেন্টাইন্স ডে-তে ব্যর্থ চেষ্টার পর আমরা এই মুহূর্তে কথা বলছি না। আমার কী ধরণের সুস্থ সীমানা নির্ধারণ করা উচিত, নাকি তাকে ছেড়ে দেওয়া উচিত? সে জোর দিয়ে বলে যে সে সত্যিই আমাকে ভালোবাসে এবং আমি জানি আমি তাকে ভালোবাসি, কিন্তু এখন আমার অনেক কষ্"&amp;"ট হয়েছে, এবং আমি জানি এটা কেবল তখনই কাজ করবে যদি সে শান্ত থাকে। কিন্তু আমি জানি না তার মধ্যে এটা আছে কিনা। আমি জানি সে আমার চেয়ে বেশি মদ পছন্দ করে। এমনকি যদি এটি রোমান্টিকভাবে কাজ নাও করতে পারে, আমি তাকে একজন ব্যক্তি এবং বন্ধু হিসাবে ভালোবাসি। কিন্তু এট"&amp;"াও জানি না যে যদি সে এভাবেই থাকে তবে আমি তার বন্ধু হওয়া সহ্য করতে পারব কিনা। একজন মদ্যপ ব্যক্তির দৃষ্টিকোণ থেকে, আমি কী করতে পারি, আমার কী করা উচিত? তুমি কি চাও যে তোমার সঙ্গী তোমাকে সাহায্য করার জন্য কী করত? আমি কী বলতে পারি? সারা জীবন একসাথে থাকার পর আ"&amp;"মার কি তার সাথে কথা বলা বন্ধ করে দেওয়া উচিত? আমি কি বোকা?")</f>
        <v>মাঝেমধ্যেই মদ্যপানের সাথে আমার অনেক সমস্যা হয়েছে। আমি সবসময়ই অতিরিক্ত মদ্যপান করি এবং "শুরু করার পর থামতে" পারতাম না এবং পার্টি করতে ভালোবাসতাম, বিশেষ করে যখন আমি বিষণ্ণ থাকতাম। আমি কলেজে যেতাম এবং কিছু স্বাস্থ্যগত সমস্যা দেখা দিত এবং আমার মাতাল শহরের পরিবেশ থেকে নিজেকে দূরে সরিয়ে নেওয়া এবং শারীরিকভাবে খারাপ বোধ করার ফলে আমি এক বা দুই বছর ধরে শান্ত থাকতাম। তারপর আমার চাকরি খারাপ হয়ে যায়, এবং আমার সম্পর্ক ভেঙে যায়, এবং আমি আবার আমার শৈশবের বন্ধু/মদ্যপানকারী বন্ধু/আত্মার সাথীর সাথে আড্ডা দিতে শুরু করি। আমরা মাধ্যমিক বিদ্যালয় থেকে বন্ধু এবং ১৬ বছর বয়স থেকে মদ্যপানকারী বন্ধু। আমাদের মধ্যে অনেক মিল রয়েছে এবং সম্ভবত একসাথে ভালো থাকব। কিন্তু সে একজন গুরুতর মদ্যপ যে সময়ের সাথে সাথে আরও খারাপ হয়েছে। সে সবসময় প্রচুর মদ্যপান করত, কিন্তু মজাদার, মনোমুগ্ধকর এবং সতর্ক থাকে। এখন, সে খায় না, কালো হয়ে যায়, তার প্যান্ট প্রস্রাব করে, পড়ে যায়, অসংলগ্নভাবে গালিগালাজ করে এবং আমার কাছে গাধার মতো আচরণ করে। এটি অনেক দিন ধরে চলে আসছে। আমরা একে অপরকে সত্যিই ভালোবাসি এবং একসাথে গান বাজানোর মাধ্যমে আমাদের মধ্যে একটা অসাধারণ বন্ধুত্ব গড়ে ওঠে, আর সে আমার খুব কাছের মানুষদের মধ্যে একজন। আমি তাকে আমার জীবন থেকে সরাতে পারিনি, আমরা দুজনেই হতাশাগ্রস্ত এবং যদিও আজকাল আমি আরও বেশি পরিমাণে মদ্যপান করি, তবুও আমি প্রতিদিন THC ব্যবহার করি। তাকে সাহায্য পাওয়ার বিষয়ে একটি গুরুতর আলোচনার পর, সে একদিনে প্রায় ৬ বার AF নষ্ট করে ফেলেছিল এবং পড়ে যাচ্ছিল, বলছিল যে সে দুঃখিত এবং ৬ বারই মদ্যপান শেষ করে দিয়েছে। শুক্রবার আমরা দেখা করেছিলাম এবং আমি তাকে বলেছিলাম যে আমি বিরক্ত কারণ তার মদ্যপানের কারণে আমাদের মধ্যে কার্যকর সম্পর্ক গড়ে তোলা সম্ভব নয়। সে আবার আমার মুখে অতীতের কিছু ক্ষতিকারক বিষ্ঠা ছুঁড়ে মারে, এবং আমি বুঝতে পারি যে সে সাধারণত আমার প্রতি সদয়, যতক্ষণ না আমি তার মদ্যপান এবং মদ্যপানের বিষয়ে প্রশ্ন করি। তারপর সে যেখানে ব্যথা করে সেখানে আমাকে আক্রমণ করে। সে চারপাশে থাকা মজাদার এবং সেক্সি যতক্ষণ না সে নষ্ট হয়ে যায়। সে আমার জন্য আসে না বা আমাকে সমর্থন করে না। আমি যদি আশেপাশে না থাকি/পার্টিতে যেতে ইচ্ছুক না হই, তাহলে সে অন্য মেয়ে খুঁজে পাবে যে আসবে। আমি তার দ্বারা খুব কষ্ট পেয়েছি, কিন্তু এখনও তাকে ভালোবাসি এবং তাকে সাহায্য করতে চাই। ভ্যালেন্টাইন্স ডে-তে ব্যর্থ চেষ্টার পর আমরা এই মুহূর্তে কথা বলছি না। আমার কী ধরণের সুস্থ সীমানা নির্ধারণ করা উচিত, নাকি তাকে ছেড়ে দেওয়া উচিত? সে জোর দিয়ে বলে যে সে সত্যিই আমাকে ভালোবাসে এবং আমি জানি আমি তাকে ভালোবাসি, কিন্তু এখন আমার অনেক কষ্ট হয়েছে, এবং আমি জানি এটা কেবল তখনই কাজ করবে যদি সে শান্ত থাকে। কিন্তু আমি জানি না তার মধ্যে এটা আছে কিনা। আমি জানি সে আমার চেয়ে বেশি মদ পছন্দ করে। এমনকি যদি এটি রোমান্টিকভাবে কাজ নাও করতে পারে, আমি তাকে একজন ব্যক্তি এবং বন্ধু হিসাবে ভালোবাসি। কিন্তু এটাও জানি না যে যদি সে এভাবেই থাকে তবে আমি তার বন্ধু হওয়া সহ্য করতে পারব কিনা। একজন মদ্যপ ব্যক্তির দৃষ্টিকোণ থেকে, আমি কী করতে পারি, আমার কী করা উচিত? তুমি কি চাও যে তোমার সঙ্গী তোমাকে সাহায্য করার জন্য কী করত? আমি কী বলতে পারি? সারা জীবন একসাথে থাকার পর আমার কি তার সাথে কথা বলা বন্ধ করে দেওয়া উচিত? আমি কি বোকা?</v>
      </c>
    </row>
    <row r="1113" spans="1:3" ht="15" x14ac:dyDescent="0.25">
      <c r="A1113" s="3" t="s">
        <v>1110</v>
      </c>
      <c r="B1113" s="3" t="s">
        <v>997</v>
      </c>
      <c r="C1113" s="4" t="str">
        <f ca="1">IFERROR(__xludf.DUMMYFUNCTION("GOOGLETRANSLATE(A1113, ""auto"", ""bn"")"),"৩০ দিনের মধ্যে কি আর কেউ PAWS-এর দ্বারা একেবারেই লাথি খেয়েছিল? ৩-৪ সপ্তাহের মধ্যে আমার খুব ভালো লাগছিল এবং ৩০ দিন পর উদ্বেগ আমাকে বাসের মতো তাড়া করে বেড়াচ্ছিল। আজ দ্বিতীয় দিনটা আমার খুব খারাপ অনুভূতি, কিন্তু গতকালের মতো খারাপ নয়। সময় ভিন্ন হতে পারে."&amp;".. আমি অনেকবার ছেড়ে দিয়েছি এবং শেষ ৩টিতে আমার শারীরিক WD লক্ষণ দেখা দিয়েছে (RX-এর সাথে থেমে গেছে)। আমি নরকে জ্বলছি। আরও ভাবছি যে অন্য কেউ কি প্রথম বা দ্বিতীয় সপ্তাহে ফিরে আসার মতো অনুভূতির চক্রের মধ্য দিয়ে যাচ্ছে?")</f>
        <v>৩০ দিনের মধ্যে কি আর কেউ PAWS-এর দ্বারা একেবারেই লাথি খেয়েছিল? ৩-৪ সপ্তাহের মধ্যে আমার খুব ভালো লাগছিল এবং ৩০ দিন পর উদ্বেগ আমাকে বাসের মতো তাড়া করে বেড়াচ্ছিল। আজ দ্বিতীয় দিনটা আমার খুব খারাপ অনুভূতি, কিন্তু গতকালের মতো খারাপ নয়। সময় ভিন্ন হতে পারে... আমি অনেকবার ছেড়ে দিয়েছি এবং শেষ ৩টিতে আমার শারীরিক WD লক্ষণ দেখা দিয়েছে (RX-এর সাথে থেমে গেছে)। আমি নরকে জ্বলছি। আরও ভাবছি যে অন্য কেউ কি প্রথম বা দ্বিতীয় সপ্তাহে ফিরে আসার মতো অনুভূতির চক্রের মধ্য দিয়ে যাচ্ছে?</v>
      </c>
    </row>
    <row r="1114" spans="1:3" ht="15" x14ac:dyDescent="0.25">
      <c r="A1114" s="3" t="s">
        <v>1111</v>
      </c>
      <c r="B1114" s="3" t="s">
        <v>997</v>
      </c>
      <c r="C1114" s="4" t="str">
        <f ca="1">IFERROR(__xludf.DUMMYFUNCTION("GOOGLETRANSLATE(A1114, ""auto"", ""bn"")"),"আমি ঘুমাতে পারছি না এবং গত কয়েকদিন ধরে আমি স্বাভাবিকের চেয়ে বেশি নিকোটিন গ্রহণ করেছি। আমার প্রথম মিটিংয়ে গিয়েছিলাম। আমার মনে হয় এটাই আমার অনেক সমস্যার সমাধান, অর্থাৎ সুস্থ থাকা।")</f>
        <v>আমি ঘুমাতে পারছি না এবং গত কয়েকদিন ধরে আমি স্বাভাবিকের চেয়ে বেশি নিকোটিন গ্রহণ করেছি। আমার প্রথম মিটিংয়ে গিয়েছিলাম। আমার মনে হয় এটাই আমার অনেক সমস্যার সমাধান, অর্থাৎ সুস্থ থাকা।</v>
      </c>
    </row>
    <row r="1115" spans="1:3" ht="15" x14ac:dyDescent="0.25">
      <c r="A1115" s="3" t="s">
        <v>1112</v>
      </c>
      <c r="B1115" s="3" t="s">
        <v>997</v>
      </c>
      <c r="C1115" s="4" t="str">
        <f ca="1">IFERROR(__xludf.DUMMYFUNCTION("GOOGLETRANSLATE(A1115, ""auto"", ""bn"")"),"আমি পেছনের গল্পটা বাদ দিচ্ছি। এটা অপ্রাসঙ্গিক নয়, শুধু এই সংক্ষিপ্ত কথাটা বলার চেষ্টা করছি। আমি (M31) ৬ বছর ধরে একটি সম্পর্কে আছি। কাকতালীয়ভাবে ৬ বছর আগে আমি আমার মদ্যপানের উপর নিয়ন্ত্রণ হারিয়ে ফেলেছিলাম। তাছাড়া, আমি এটি পরিচালনা করার জন্য যথাসাধ্য চ"&amp;"েষ্টা করেছিলাম, যা অবশ্যই আমি করতে পারিনি। তাছাড়া, আমি লজ্জিত এবং বিব্রত বোধ করছিলাম, এবং ভয় পেয়েছিলাম যে সে চলে যাবে। তাছাড়া, আমি অবশেষে 'ধরা' পড়েছিলাম, কারণ আপনি কেবল এত কিছু ব্যাখ্যা করতে পারেন। আমি 'ধরা' পড়ার পর আমার বান্ধবী এবং বাবা-মা প্রায় স"&amp;"বাইকে জানিয়েছিলেন - আমার বন্ধুরা, তার বাবা-মা, ইত্যাদি। এটি আমাকে অত্যন্ত অস্বস্তিকর করে তুলেছিল, কিন্তু আমি আমার গর্বকে গ্রাস করেছিলাম এবং আমি যা করতে হবে তা করেছি, কারণ তারা কেবল আমাকে সাহায্য করার চেষ্টা করছিল - আমি মদ্যপান ছেড়ে দিয়েছিলাম। আমি প্রায"&amp;"় ২ বছর ধরে এটি করেছি, কিন্তু ধূমপান চালিয়ে যাচ্ছি এবং আসলে কোনও প্রোগ্রামে কাজ করছি না। আমি নিশ্চিত নই যে AA আমার জন্য। তাছাড়া, আমি ১ বছরের সীমায় পৌঁছাতে সাহায্য করার জন্য গাঁজা ধূমপানকে কৃতিত্ব দিই, কিন্তু যখন আমি ২ বছরের সীমার কাছাকাছি এসে পৌঁছালাম,"&amp;" তখন আমি সত্যিই সিদ্ধান্ত নিলাম যে আমি কেবল শান্ত থাকতে চাই। তাছাড়া, আমি ধূমপান ছেড়ে দিয়েছি, কিন্তু ধূমপান ত্যাগের প্রক্রিয়ার জটিলতা দেখে আমি হতবাক। অনেক রাত ঘুম না আসা, চরম বিরক্তি এবং উদ্বেগের পর, আমি পান করেছিলাম। এটি ছিল এক কুৎসিত পুনরাবৃত্তি, এবং অদ্"&amp;"ভুতভাবে, মনে হচ্ছিল এটি সংযমের নামে ঘটেছে। যাই হোক, আমি এখানে। আমার বেশ অস্বস্তি বোধ হচ্ছে কারণ মনে হচ্ছে বাইরের সবাই আমাকে একটি প্রোগ্রামে কাজ শুরু করার জন্য খুঁজছে, কারণ গতবার আমি এটিই করছিলাম না, যদিও আমার ভালো ধারাবাহিকতা ছিল। আমি প্রায় দুই বছর ধরে প"&amp;"ান না করেই ছিলাম, এবং কেউ আমাকে আলাদাভাবে কিছু করার জন্য চাপ দিচ্ছিল না, যদিও আমাকে প্রতিদিন পাথর মারা হত। তাই আমি ধূমপান ছেড়ে দিয়েছি, অ্যালকোহল নেওয়া শুরু করেছি, এবং মনে হচ্ছে আমার বাবা-মা, আমার বান্ধবী এবং এমনকি তার বাবা-মাও অপেক্ষা করছেন যে আমি একটি প্"&amp;"রোগ্রামে কাজ শুরু করব কিনা, মূলত আমার AA-এর অভাবকে পুনরায় রোগের কারণ হিসাবে উল্লেখ করে। আমার এখন ৩২ দিন পরে, কোন গাঁজা নেই, কোন অ্যালকোহল নেই, এমনকি কফিও নেই। তবুও, আমার বান্ধবীর মা আক্ষরিক অর্থেই আমাকে জিজ্ঞাসা করেছিলেন যে আমি এখন সুস্থ হয়ে উঠছি কিনা। "&amp;"আমার বান্ধবী আমাকে ক্রমাগত জিজ্ঞাসা করছে যে আমি কি মিটিংয়ে যাব। আমার তার বাবা-মায়ের সাথে দেখা করা উচিত এবং তাদের আমার পরিস্থিতি সম্পর্কে জানানো উচিত, যা আমি বুঝতে পারি, কিন্তু এটা সত্যিই আমার উপর চাপ সৃষ্টি করে। তারা তাদের মেয়ের জন্য সেরাটা চাচ্ছে। কিন"&amp;"্তু আমি সত্যিই অস্বস্তিকর যে সবাই মনে করছে যে তারা জানে আমার জন্য কী ভালো। আমি দুই বছর ধরে মদ্যপান ছাড়াই কাটিয়েছি, এবং আমি এতে গর্বিত। আমাদের মতো মানুষদের মতো আমিও পড়ে গিয়েছিলাম। তাছাড়া, আমি নিজেকে আগের চেয়ে ভালো করে তুলেছি। তাছাড়া, আমি প্রায় ১৫ ব"&amp;"ছর ধরে এতটা শান্ত ছিলাম না। এবং আমি এটা ভালোবাসি। আমি বুঝতে পারছি যে গোলাপী মেঘের সম্ভাবনা রয়েছে, এবং এই সব। কিন্তু আমি মনে করি এই কারণেই আমি লিখছি। আমার বান্ধবী বলছে যে সে পরবর্তী রিল্যাপসের জন্য 'শুধু অপেক্ষা' করতে চায় না। এবং আমি জানি না এর প্রতি কী "&amp;"বলব। আমি সত্যিই মনে করি না যে মিটিংয়ে যোগদান করলে আবার রিল্যাপস রোধ করা যাবে। আমি তার সাথে খোলামেলাভাবে কথা বলার চেষ্টা করি এবং একই সাথে বোঝাপড়াও করি। সে সত্যিই এতটা সমর্থনকারী এবং তার যথাসাধ্য চেষ্টা করছে, যদিও এই বিষয়ে তার কোনও অভিজ্ঞতা নেই। আমি জানি"&amp;", ""আমি আর কখনও মদ্যপান করব না"" এই ধরনের প্রতিশ্রুতি দেওয়া আমার পক্ষে ঠিক নয়, শুধু তাকে ভালো বোধ করানোর জন্য। আমি তাকে বলেছি যে যদি এটা তার জন্য খুব বেশি হয়, তাহলে হয়তো সেটাই - তার জন্য খুব বেশি। তাছাড়া, আমি এইভাবে কঠোর হতে পারি, আত্ম-নাশকতা আমার মধ্যম "&amp;"নাম। পেছনে থাকার চেয়ে চলে যাওয়া সহজ, জানো? আমি তাকে গভীরভাবে যত্ন করি এবং আসলে এই বছর আমার প্রেমের প্রস্তাব দেওয়ার পরিকল্পনা ছিল। যেমনটি আমি বলেছিলাম, আমার বয়স ৩১, ৬ বছর ধরে একসাথে ছিলাম। আমি দুই বছর ধরে মদ্যপান ছাড়াই ছিলাম, সবকিছু ঠিকঠাক চলছিল। তারপ"&amp;"র আমি আবার প্রেমে পড়ি, এবং মনে হয় সবকিছু আবার আগের অবস্থানে ফিরে এসেছে, যদিও আমি আসলে সেভাবে অনুভব করি না। আমি কি তাকে যা প্রয়োজন তা দেই এবং তাকে বিরতি দেই, জেনে যে সে নিজে থেকে এই পরিস্থিতি মোকাবেলা করার জন্য প্রস্তুত নয়, বরং চেষ্টা করছে? নাকি আমি আম"&amp;"ার যা প্রয়োজন তা সম্পর্কে আমার নিজস্ব প্রবণতা এবং অনুভূতিকে সম্মান করি, এবং দেখি কিভাবে ধুলো জমে যায়? সম্পর্কগুলো আপোষের উপর নির্ভর করে, কিন্তু এটাও জানি যে তুমি নিজের প্রতি যত বেশি সত্যবাদী হতে পারো, দীর্ঘমেয়াদে তোমার সাফল্যের সম্ভাবনা তত বেশি। আমি প্"&amp;"রতিশ্রুতি কম দেই এবং অতিরিক্ত কাজ করি। আমি এমনই, এবং আমার কাছে যা ন্যায্য মনে হয়। কিন্তু সে আমার কাছ থেকে আরও বেশি পদক্ষেপ নিতে চায়, এই আশায় যে সে আরও নিশ্চিত হবে যে আবার কোনও রিল্যাপস হবে না। আমি তাকে সাহায্য করতে চাই, কিন্তু আমার মনে হয় না যে AA-তে "&amp;"পুরোদমে ঝাঁপিয়ে পড়াই আমার জন্য সমাধান। আবারও, আমি প্রায় দুই বছর ধরে মদ্যপান ছাড়াই কাটিয়েছি, একটি স্বল্প সময়ের জন্য রিল্যাপস ভোগ করেছি, এবং এখন আমি ফিরে এসেছি, সবকিছু থেকে মুক্তি পেয়েছি। এটা দারুন লাগছে, কিন্তু আমি এখনও আমার কাজের জন্য অর্থ প্রদান ক"&amp;"রছি। কারো কি এমন অনুভূতি হয়েছে? কোন নির্দেশনা? বাইরের ব্যাখ্যা খুঁজছি। অনেক ধন্যবাদ।")</f>
        <v>আমি পেছনের গল্পটা বাদ দিচ্ছি। এটা অপ্রাসঙ্গিক নয়, শুধু এই সংক্ষিপ্ত কথাটা বলার চেষ্টা করছি। আমি (M31) ৬ বছর ধরে একটি সম্পর্কে আছি। কাকতালীয়ভাবে ৬ বছর আগে আমি আমার মদ্যপানের উপর নিয়ন্ত্রণ হারিয়ে ফেলেছিলাম। তাছাড়া, আমি এটি পরিচালনা করার জন্য যথাসাধ্য চেষ্টা করেছিলাম, যা অবশ্যই আমি করতে পারিনি। তাছাড়া, আমি লজ্জিত এবং বিব্রত বোধ করছিলাম, এবং ভয় পেয়েছিলাম যে সে চলে যাবে। তাছাড়া, আমি অবশেষে 'ধরা' পড়েছিলাম, কারণ আপনি কেবল এত কিছু ব্যাখ্যা করতে পারেন। আমি 'ধরা' পড়ার পর আমার বান্ধবী এবং বাবা-মা প্রায় সবাইকে জানিয়েছিলেন - আমার বন্ধুরা, তার বাবা-মা, ইত্যাদি। এটি আমাকে অত্যন্ত অস্বস্তিকর করে তুলেছিল, কিন্তু আমি আমার গর্বকে গ্রাস করেছিলাম এবং আমি যা করতে হবে তা করেছি, কারণ তারা কেবল আমাকে সাহায্য করার চেষ্টা করছিল - আমি মদ্যপান ছেড়ে দিয়েছিলাম। আমি প্রায় ২ বছর ধরে এটি করেছি, কিন্তু ধূমপান চালিয়ে যাচ্ছি এবং আসলে কোনও প্রোগ্রামে কাজ করছি না। আমি নিশ্চিত নই যে AA আমার জন্য। তাছাড়া, আমি ১ বছরের সীমায় পৌঁছাতে সাহায্য করার জন্য গাঁজা ধূমপানকে কৃতিত্ব দিই, কিন্তু যখন আমি ২ বছরের সীমার কাছাকাছি এসে পৌঁছালাম, তখন আমি সত্যিই সিদ্ধান্ত নিলাম যে আমি কেবল শান্ত থাকতে চাই। তাছাড়া, আমি ধূমপান ছেড়ে দিয়েছি, কিন্তু ধূমপান ত্যাগের প্রক্রিয়ার জটিলতা দেখে আমি হতবাক। অনেক রাত ঘুম না আসা, চরম বিরক্তি এবং উদ্বেগের পর, আমি পান করেছিলাম। এটি ছিল এক কুৎসিত পুনরাবৃত্তি, এবং অদ্ভুতভাবে, মনে হচ্ছিল এটি সংযমের নামে ঘটেছে। যাই হোক, আমি এখানে। আমার বেশ অস্বস্তি বোধ হচ্ছে কারণ মনে হচ্ছে বাইরের সবাই আমাকে একটি প্রোগ্রামে কাজ শুরু করার জন্য খুঁজছে, কারণ গতবার আমি এটিই করছিলাম না, যদিও আমার ভালো ধারাবাহিকতা ছিল। আমি প্রায় দুই বছর ধরে পান না করেই ছিলাম, এবং কেউ আমাকে আলাদাভাবে কিছু করার জন্য চাপ দিচ্ছিল না, যদিও আমাকে প্রতিদিন পাথর মারা হত। তাই আমি ধূমপান ছেড়ে দিয়েছি, অ্যালকোহল নেওয়া শুরু করেছি, এবং মনে হচ্ছে আমার বাবা-মা, আমার বান্ধবী এবং এমনকি তার বাবা-মাও অপেক্ষা করছেন যে আমি একটি প্রোগ্রামে কাজ শুরু করব কিনা, মূলত আমার AA-এর অভাবকে পুনরায় রোগের কারণ হিসাবে উল্লেখ করে। আমার এখন ৩২ দিন পরে, কোন গাঁজা নেই, কোন অ্যালকোহল নেই, এমনকি কফিও নেই। তবুও, আমার বান্ধবীর মা আক্ষরিক অর্থেই আমাকে জিজ্ঞাসা করেছিলেন যে আমি এখন সুস্থ হয়ে উঠছি কিনা। আমার বান্ধবী আমাকে ক্রমাগত জিজ্ঞাসা করছে যে আমি কি মিটিংয়ে যাব। আমার তার বাবা-মায়ের সাথে দেখা করা উচিত এবং তাদের আমার পরিস্থিতি সম্পর্কে জানানো উচিত, যা আমি বুঝতে পারি, কিন্তু এটা সত্যিই আমার উপর চাপ সৃষ্টি করে। তারা তাদের মেয়ের জন্য সেরাটা চাচ্ছে। কিন্তু আমি সত্যিই অস্বস্তিকর যে সবাই মনে করছে যে তারা জানে আমার জন্য কী ভালো। আমি দুই বছর ধরে মদ্যপান ছাড়াই কাটিয়েছি, এবং আমি এতে গর্বিত। আমাদের মতো মানুষদের মতো আমিও পড়ে গিয়েছিলাম। তাছাড়া, আমি নিজেকে আগের চেয়ে ভালো করে তুলেছি। তাছাড়া, আমি প্রায় ১৫ বছর ধরে এতটা শান্ত ছিলাম না। এবং আমি এটা ভালোবাসি। আমি বুঝতে পারছি যে গোলাপী মেঘের সম্ভাবনা রয়েছে, এবং এই সব। কিন্তু আমি মনে করি এই কারণেই আমি লিখছি। আমার বান্ধবী বলছে যে সে পরবর্তী রিল্যাপসের জন্য 'শুধু অপেক্ষা' করতে চায় না। এবং আমি জানি না এর প্রতি কী বলব। আমি সত্যিই মনে করি না যে মিটিংয়ে যোগদান করলে আবার রিল্যাপস রোধ করা যাবে। আমি তার সাথে খোলামেলাভাবে কথা বলার চেষ্টা করি এবং একই সাথে বোঝাপড়াও করি। সে সত্যিই এতটা সমর্থনকারী এবং তার যথাসাধ্য চেষ্টা করছে, যদিও এই বিষয়ে তার কোনও অভিজ্ঞতা নেই। আমি জানি, "আমি আর কখনও মদ্যপান করব না" এই ধরনের প্রতিশ্রুতি দেওয়া আমার পক্ষে ঠিক নয়, শুধু তাকে ভালো বোধ করানোর জন্য। আমি তাকে বলেছি যে যদি এটা তার জন্য খুব বেশি হয়, তাহলে হয়তো সেটাই - তার জন্য খুব বেশি। তাছাড়া, আমি এইভাবে কঠোর হতে পারি, আত্ম-নাশকতা আমার মধ্যম নাম। পেছনে থাকার চেয়ে চলে যাওয়া সহজ, জানো? আমি তাকে গভীরভাবে যত্ন করি এবং আসলে এই বছর আমার প্রেমের প্রস্তাব দেওয়ার পরিকল্পনা ছিল। যেমনটি আমি বলেছিলাম, আমার বয়স ৩১, ৬ বছর ধরে একসাথে ছিলাম। আমি দুই বছর ধরে মদ্যপান ছাড়াই ছিলাম, সবকিছু ঠিকঠাক চলছিল। তারপর আমি আবার প্রেমে পড়ি, এবং মনে হয় সবকিছু আবার আগের অবস্থানে ফিরে এসেছে, যদিও আমি আসলে সেভাবে অনুভব করি না। আমি কি তাকে যা প্রয়োজন তা দেই এবং তাকে বিরতি দেই, জেনে যে সে নিজে থেকে এই পরিস্থিতি মোকাবেলা করার জন্য প্রস্তুত নয়, বরং চেষ্টা করছে? নাকি আমি আমার যা প্রয়োজন তা সম্পর্কে আমার নিজস্ব প্রবণতা এবং অনুভূতিকে সম্মান করি, এবং দেখি কিভাবে ধুলো জমে যায়? সম্পর্কগুলো আপোষের উপর নির্ভর করে, কিন্তু এটাও জানি যে তুমি নিজের প্রতি যত বেশি সত্যবাদী হতে পারো, দীর্ঘমেয়াদে তোমার সাফল্যের সম্ভাবনা তত বেশি। আমি প্রতিশ্রুতি কম দেই এবং অতিরিক্ত কাজ করি। আমি এমনই, এবং আমার কাছে যা ন্যায্য মনে হয়। কিন্তু সে আমার কাছ থেকে আরও বেশি পদক্ষেপ নিতে চায়, এই আশায় যে সে আরও নিশ্চিত হবে যে আবার কোনও রিল্যাপস হবে না। আমি তাকে সাহায্য করতে চাই, কিন্তু আমার মনে হয় না যে AA-তে পুরোদমে ঝাঁপিয়ে পড়াই আমার জন্য সমাধান। আবারও, আমি প্রায় দুই বছর ধরে মদ্যপান ছাড়াই কাটিয়েছি, একটি স্বল্প সময়ের জন্য রিল্যাপস ভোগ করেছি, এবং এখন আমি ফিরে এসেছি, সবকিছু থেকে মুক্তি পেয়েছি। এটা দারুন লাগছে, কিন্তু আমি এখনও আমার কাজের জন্য অর্থ প্রদান করছি। কারো কি এমন অনুভূতি হয়েছে? কোন নির্দেশনা? বাইরের ব্যাখ্যা খুঁজছি। অনেক ধন্যবাদ।</v>
      </c>
    </row>
    <row r="1116" spans="1:3" ht="15" x14ac:dyDescent="0.25">
      <c r="A1116" s="3" t="s">
        <v>1113</v>
      </c>
      <c r="B1116" s="3" t="s">
        <v>997</v>
      </c>
      <c r="C1116" s="4" t="str">
        <f ca="1">IFERROR(__xludf.DUMMYFUNCTION("GOOGLETRANSLATE(A1116, ""auto"", ""bn"")"),"এক মাসেরও বেশি সময় ধরে আমি প্রায় প্রতিদিনই মদ্যপান শুরু করেছি, ডিসেম্বরের শেষের দিকে শুরু হয়েছিল। এর আগে আমি কখনও এর সাথে বা অন্য কোনও পদার্থের সাথে লড়াই করিনি, আমার একমাত্র আসক্তি ছিল নিকোটিন আসক্তি, যা বিশেষভাবে জীবন ধ্বংসকারী নয়। আমি আশা করিনি যে আম"&amp;"ি এত তাড়াতাড়ি অ্যালকোহলে আসক্ত হব, আমি সবসময় এর স্বাদ ঘৃণা করতাম এবং কখনও ভাবতে পারিনি যে এটি বিশ্বের আমার প্রিয় জিনিসগুলির মধ্যে একটি হয়ে উঠবে। যখন আমি প্রথম মদ্যপান শুরু করি তখন আমি প্রায় সবসময়ই মাতাল অবস্থায় ভালো এবং স্বাচ্ছন্দ্য বোধ করতাম, কিন"&amp;"্তু এখন যখন আমি এর প্রভাবে থাকি তখন এটি আমাকে আরও বেশি কষ্ট দেয়। অ্যালকোহল আমার জন্য আরামদায়ক নয়, তবুও আমি আমার নতুন পাওয়া ছোট্ট ""শখ"" ছেড়ে দেওয়ার কথা ভাবতেও পারি না। এই মুহুর্তে আমি কেবল অভ্যাস এবং ""প্রয়োজনীয়তা"" থেকে এটি পান করছি।")</f>
        <v>এক মাসেরও বেশি সময় ধরে আমি প্রায় প্রতিদিনই মদ্যপান শুরু করেছি, ডিসেম্বরের শেষের দিকে শুরু হয়েছিল। এর আগে আমি কখনও এর সাথে বা অন্য কোনও পদার্থের সাথে লড়াই করিনি, আমার একমাত্র আসক্তি ছিল নিকোটিন আসক্তি, যা বিশেষভাবে জীবন ধ্বংসকারী নয়। আমি আশা করিনি যে আমি এত তাড়াতাড়ি অ্যালকোহলে আসক্ত হব, আমি সবসময় এর স্বাদ ঘৃণা করতাম এবং কখনও ভাবতে পারিনি যে এটি বিশ্বের আমার প্রিয় জিনিসগুলির মধ্যে একটি হয়ে উঠবে। যখন আমি প্রথম মদ্যপান শুরু করি তখন আমি প্রায় সবসময়ই মাতাল অবস্থায় ভালো এবং স্বাচ্ছন্দ্য বোধ করতাম, কিন্তু এখন যখন আমি এর প্রভাবে থাকি তখন এটি আমাকে আরও বেশি কষ্ট দেয়। অ্যালকোহল আমার জন্য আরামদায়ক নয়, তবুও আমি আমার নতুন পাওয়া ছোট্ট "শখ" ছেড়ে দেওয়ার কথা ভাবতেও পারি না। এই মুহুর্তে আমি কেবল অভ্যাস এবং "প্রয়োজনীয়তা" থেকে এটি পান করছি।</v>
      </c>
    </row>
    <row r="1117" spans="1:3" ht="15" x14ac:dyDescent="0.25">
      <c r="A1117" s="3" t="s">
        <v>1114</v>
      </c>
      <c r="B1117" s="3" t="s">
        <v>997</v>
      </c>
      <c r="C1117" s="4" t="str">
        <f ca="1">IFERROR(__xludf.DUMMYFUNCTION("GOOGLETRANSLATE(A1117, ""auto"", ""bn"")"),"৮% বোতল ওয়াইন পান করলাম এবং কয়েক ঘন্টা ক্লান্ত হয়ে পড়ার পর সহ্য করতে পারছিলাম না বমি বমি ভাব হচ্ছিল, বমি বমি ভাব হচ্ছিল এবং একজন প্রাক্তন বুলিমিক হিসেবে আমি তাকে সাহায্য করলাম। ঘুমাতে পারছিলাম না কারণ আমার খুব খারাপ লাগছিল, এবং মনে হচ্ছিল আমি মারা যাচ"&amp;"্ছি যা গ্রহণযোগ্য হবে। হাঁটতে এবং দাঁড়াতে পারছিলাম না, ট্রেন স্টেশনে যাওয়ার চেষ্টা করলাম কিন্তু কয়েক ঘন্টা পরে থামতে হল মাটিতে ভেজা এবং নোংরা শুয়ে রইলাম। মাঝরাতে বৃষ্টি হচ্ছিল। দুইজনের একাংশ খালি ছিল। এই সময় আমি ঈশ্বরের কাছে প্রার্থনা করলাম কারণ আমার"&amp;" মনে হচ্ছিল আমি হয়তো মারা যাব এবং আমি এটি সম্পর্কে উদাসীন বোধ করছিলাম, অথবা বরং আমার চিন্তাভাবনা প্রভাবিত হয়েছিল এবং কেবল উষ্ণ এবং তারপর মাটি থেকে ঠান্ডা হয়ে গিয়েছিল এবং এত অসুস্থ ছিল যে আমি সত্যিই খুব বেশি ভাবতে পারি না আমি সত্যিই খুব বেশি ভাবতে পারি"&amp;" না... আমি ভেবেছিলাম আমি ঈশ্বরের কাছে প্রার্থনা করব কিন্তু আল্লাহ আকবর ছাড়া অন্য কোনও শব্দ তৈরি করতে পারিনি এবং কয়েকবার প্রার্থনা করেছি এবং তারপর কোনওভাবে হাঁটার এবং ভিতরে যাওয়ার শক্তি পেয়েছি। ভিতরে 4 ঘন্টা ঘুমিয়েছি কিন্তু আমি খুব উষ্ণ, এবং আমি ভাবছি"&amp;" এই অভিজ্ঞতার পরে আমার কি ডাক্তারের সাথে দেখা করা উচিত?")</f>
        <v>৮% বোতল ওয়াইন পান করলাম এবং কয়েক ঘন্টা ক্লান্ত হয়ে পড়ার পর সহ্য করতে পারছিলাম না বমি বমি ভাব হচ্ছিল, বমি বমি ভাব হচ্ছিল এবং একজন প্রাক্তন বুলিমিক হিসেবে আমি তাকে সাহায্য করলাম। ঘুমাতে পারছিলাম না কারণ আমার খুব খারাপ লাগছিল, এবং মনে হচ্ছিল আমি মারা যাচ্ছি যা গ্রহণযোগ্য হবে। হাঁটতে এবং দাঁড়াতে পারছিলাম না, ট্রেন স্টেশনে যাওয়ার চেষ্টা করলাম কিন্তু কয়েক ঘন্টা পরে থামতে হল মাটিতে ভেজা এবং নোংরা শুয়ে রইলাম। মাঝরাতে বৃষ্টি হচ্ছিল। দুইজনের একাংশ খালি ছিল। এই সময় আমি ঈশ্বরের কাছে প্রার্থনা করলাম কারণ আমার মনে হচ্ছিল আমি হয়তো মারা যাব এবং আমি এটি সম্পর্কে উদাসীন বোধ করছিলাম, অথবা বরং আমার চিন্তাভাবনা প্রভাবিত হয়েছিল এবং কেবল উষ্ণ এবং তারপর মাটি থেকে ঠান্ডা হয়ে গিয়েছিল এবং এত অসুস্থ ছিল যে আমি সত্যিই খুব বেশি ভাবতে পারি না আমি সত্যিই খুব বেশি ভাবতে পারি না... আমি ভেবেছিলাম আমি ঈশ্বরের কাছে প্রার্থনা করব কিন্তু আল্লাহ আকবর ছাড়া অন্য কোনও শব্দ তৈরি করতে পারিনি এবং কয়েকবার প্রার্থনা করেছি এবং তারপর কোনওভাবে হাঁটার এবং ভিতরে যাওয়ার শক্তি পেয়েছি। ভিতরে 4 ঘন্টা ঘুমিয়েছি কিন্তু আমি খুব উষ্ণ, এবং আমি ভাবছি এই অভিজ্ঞতার পরে আমার কি ডাক্তারের সাথে দেখা করা উচিত?</v>
      </c>
    </row>
    <row r="1118" spans="1:3" ht="15" x14ac:dyDescent="0.25">
      <c r="A1118" s="3" t="s">
        <v>1115</v>
      </c>
      <c r="B1118" s="3" t="s">
        <v>997</v>
      </c>
      <c r="C1118" s="4" t="str">
        <f ca="1">IFERROR(__xludf.DUMMYFUNCTION("GOOGLETRANSLATE(A1118, ""auto"", ""bn"")"),"বাবা-মা/পরিবারকে মদ্যপানের সাথে মোকাবিলা করার জন্য কারো কোন পরামর্শ আছে? আমার বাবা-মা আল আনন এবং কিছু থেরাপি চেষ্টা করেছেন। রেফারেন্সের জন্য, আমার বোন ১৫+ বছর ধরে মদ্যপ এবং সম্প্রতি এটি খারাপ হয়ে গেছে। আমরা আশঙ্কা করছি যে সে আর বেশি দিন বেঁচে থাকবে না। য"&amp;"েকোনো পরামর্শ বা এমনকি পরামর্শের কথাও মূল্যবান।")</f>
        <v>বাবা-মা/পরিবারকে মদ্যপানের সাথে মোকাবিলা করার জন্য কারো কোন পরামর্শ আছে? আমার বাবা-মা আল আনন এবং কিছু থেরাপি চেষ্টা করেছেন। রেফারেন্সের জন্য, আমার বোন ১৫+ বছর ধরে মদ্যপ এবং সম্প্রতি এটি খারাপ হয়ে গেছে। আমরা আশঙ্কা করছি যে সে আর বেশি দিন বেঁচে থাকবে না। যেকোনো পরামর্শ বা এমনকি পরামর্শের কথাও মূল্যবান।</v>
      </c>
    </row>
    <row r="1119" spans="1:3" ht="15" x14ac:dyDescent="0.25">
      <c r="A1119" s="3" t="s">
        <v>1116</v>
      </c>
      <c r="B1119" s="3" t="s">
        <v>997</v>
      </c>
      <c r="C1119" s="4" t="str">
        <f ca="1">IFERROR(__xludf.DUMMYFUNCTION("GOOGLETRANSLATE(A1119, ""auto"", ""bn"")"),"আমি প্রতিদিন পান করি। দিনে মাত্র ৩, ৪, অথবা ৫টি সেল্টজার। অথবা ওয়াইন, অথবা শ্যাম্পেন, অথবা সিডার। সপ্তাহান্তে অবশ্যই আরও বেশি। গত কয়েক বছরে আমি হয়তো মোট ২০ বার পান করিনি, এবং সাধারণত তীব্র হ্যাংওভারের পরের দিনই। আমি সবসময় ভাবতাম এটা কোন সমস্যা নয় কার"&amp;"ণ আমি জানি আমি মদ্যপান বন্ধ করতে পারি, কিন্তু আমি চাইনি। এখন শুক্রবার, ১৩ ফেব্রুয়ারি, এবং আমি আমার সোফায় একা বসে অপেক্ষা করছি যে আমার স্বামী আসলেই আমাকে ছেড়ে চলে যাচ্ছে কিনা। যার জন্য আমি তাকে দোষ দেব না। আমার বয়স ২৫ এবং আমি ১৬ বছর বয়স থেকে মদ্যপান ক"&amp;"রছি। আমি কয়েক মাস ধরে পার্টি করেছি এবং প্রচুর পরিমাণে পান করেছি, বেশিরভাগ সময়ের চেয়ে বেশি সময় ধরে ক্লান্ত হয়ে পড়েছি। হয় বন্ধুর বাড়িতে বা পার্টিতে, অথবা বন্ধুর সাথে আমার ঘরে। যখন আমি ১৮ বছর বা তার কাছাকাছি ছিলাম, তখন আমার মা বা বাবা সাধারণত বোতল সর"&amp;"বরাহ করতেন, কারণ তারা অপরিচিত ব্যক্তির চেয়ে তাদের কাছ থেকে পান করাই পছন্দ করতেন। আর মদ্যপান যেখানেই শুরু হতো, আমি সবসময় সেখানেই থাকতাম, তাই আমাদের এই বিশ্বাস ছিল। মাঝে মাঝে ভাবি, যদি এত সহজলভ্য না থাকতো, তাহলে আমি কি এত বেশি মদ্যপান করতাম? কিন্তু আমার মন"&amp;"ে হয়, ১৯ বছর বয়সে যখন আমি আর আমার বয়ফ্রেন্ড একসাথে থাকতাম, তখন পর্যন্ত আমি বেশিরভাগ দিনই এটা করতাম না। আমাদের সব বন্ধুদের মধ্যে একমাত্র অ্যাপার্টমেন্ট ছিল, তাই লোকেরা সবসময় বাইরে থাকতো। আমরা প্রতি সপ্তাহান্তে মাত্র দু-একজনের মধ্যে ২-৪ বোতল হার্ড অ্যালকোহল"&amp;" পান করতাম। আমার বয়ফ্রেন্ড, এখন স্বামী, আমাদের সাথে মদ্যপান করত, কিন্তু সে আমার মতো এতটা মদ্যপান করত না। আমি বাড়ি ফিরে রান্নাঘরে লুকিয়ে ছবি তুলতাম যাতে সে জানত না যে আমি কতটা মদ্যপান করছি। আমরা তর্ক শুরু করেছিলাম কারণ আমি যেমন বলেছিলাম, যখন আমি ৫ ড্রিংকে"&amp;"র বেশি কিছু পান করি, তখন আমি প্রায় সবসময়ই অন্ধকারে থাকি। পরের দিন সকালে ঘুম থেকে উঠতাম, আমার খারাপ লাগা ছাড়া আর কিছুই মনে থাকতো না। আমি যা বলেছিলাম, যা আমি ভেঙে পড়েছিলাম, তাকে তা বলতে হতো। আমি যে ভয়াবহ মানুষ ছিলাম। আমি এভাবেই হার্ড অ্যালকোহল পান করা বন্ধ "&amp;"করে দিয়েছিলাম, কিন্তু আমি কখনও মদ্যপান বন্ধ করিনি। অন্ধকার রাত এবং মারামারি সবসময়ই হত, কিন্তু আরও বেশি ছড়িয়ে পড়ে। আর আমার মনে হয় এটা কোভিডের শুরুর দিকে ছিল, কিন্তু প্রতিদিন মদ্যপান শুরু করার অনেক আগে থেকেই। আমি কাজ থেকে বাড়ি ফিরে প্রায় সাথে সাথেই একটা"&amp;" পানীয় নিয়ে আসি। আমি মাতাল হয়ে যাওয়ার জন্য যথেষ্ট পান করি, কিন্তু অন্ধকার নয়। কিন্তু মাঝে মাঝে আমি বন্ধুর কাছে যাই, লোকজনকে ডেকে আনি, বাইরে যাই, এমনকি কাজের অনুষ্ঠানেও এত বেশি পান করি যে আমি চলে যাই। এটা যেন অন্য কেউ দখল করে নেয়, এবং পরের দিন আমার কিছু স"&amp;"্মৃতি থাকে যা আমাকে অসুস্থ করে তোলে। আমার সম্পর্ক নিখুঁত নয়, আমি শান্ত থাকি বা না থাকি, আমরা ঝগড়া করি। কিন্তু যখন আমরা মাতাল অবস্থায় ঝগড়া করি, তখন আমি এই সত্যটিকে উপেক্ষা করি যে সেই মানুষটি আমার নিজের, সে আমাকে ভালোবাসে এবং আমার যত্ন নেয়। কিছু একটা ঝ"&amp;"গড়া শুরু করে, এবং আমি বিস্ফোরিত হই। রাত বিস্ফোরিত হয়। আমরা চিৎকার করি এবং চিৎকার করি, এবং আমি অমার্জনীয় কথা বলি। আমি আমাদের বাড়িতে বিস্ফোরণ ঘটাই, আমি তার গাড়িতে বিস্ফোরণ ঘটাই। আমি একজন ক্ষিপ্ত মাতাল, এবং সে সবকিছুর ভার বহন করে। গত রাতটি ছিল সেই রাতগু"&amp;"লির মধ্যে আরেকটি। আমাদের এক সহকর্মীর মেয়ে, যে আমার সমবয়সী এবং বন্ধু, আমাদের বাড়ি নিয়ে গিয়েছিল, কিন্তু স্বাভাবিকভাবেই আমি খুব একটা নাচতে নাচতে এবং নিজেকে বোকা বানানো ছাড়া আর কিছুই মনে করতে পারি না। এর বাইরে, আমার তিনটি মুহূর্ত মনে আছে। আমার স্বামী আমার ফো"&amp;"নটা এত জোরে মাটিতে আঘাত করেছিল যে ফোনটা ভেঙে চুরমার হয়ে গিয়েছিল এবং বাঁকতে শুরু করেছিল, আমাদের বন্ধুরা এসেছিল কারণ আমি মনে করি আমি তাদের বলেছিলাম যে তারা পারবে, আর আমার স্বামী তাদের চলে যেতে চিৎকার করছিল। আর পরের দিন, আমি ঘুম থেকে উঠেই জেগে উঠলাম, জানি না"&amp;" কী দেখেছি বা শুনেছি। আমি এতটাই দিশেহারা ছিলাম যে আমি বুঝতে পারিনি যে সে বিছানায় আমার পাশে পর্ন দেখছে। হস্তমৈথুন এবং পর্নের ক্ষেত্রে আমাদের সম্পর্ক খুবই আরামদায়ক, কিন্তু সেই মুহূর্তে আমি খুব, খুব অস্বস্তি বোধ করছিলাম। আমরা সারা রাত ঝগড়া করেছি, যার জন্য আ"&amp;"মি এখনও জানি না কেন শুরু হয়েছিল, এবং তারপর ঘুম থেকে ওঠার জন্য। ঠিক যেমন বাথরুমে যাওয়া। আমি জানি তুমি বিরক্ত, কিন্তু আমি এখনও একজন মানুষ। আমরা আরও তর্ক করতে শুরু করেছিলাম, সে আমাকে বলেছিল যে সে আমাকে গত রাতের আমার ভিডিওগুলি দেখাবে চিৎকার করে এবং খারাপ কথা"&amp;" বলছে। সে বললো যে সে সকালে জিনিসপত্র গুছিয়ে চলে যাবে। সে চলে গেল, সে একটা নতুন ফোন নিয়ে এল। আমি যা খুশি করি। আর সে আবার চলে গেছে, হাতে কোন ব্যাগ নেই। আমাদের সম্পর্কটা নিখুঁত নয়। আর আমার মদ্যপানের সমস্যা আছে। যা কোনও লাভ করে না। আমি যখন এটা লিখছি তখনও আ"&amp;"মি নিজেকে প্রশ্ন করি, কিন্তু আমি আর মদ্যপান করতে চাই না। আমি আগেও এটা বলেছি, তবুও আমি কখনও মনে মনে এটা বলতে চাইনি। কিন্তু আমি এইভাবে অনুভব করতে চাই না। আমি ভাবতে চাই না যে আমি কী করেছি বা বলেছি, অথবা আমি কতটা বিব্রতকর ছিলাম, অথবা আমি আমার বন্ধু, সহকর্মী, "&amp;"আমার স্বামীকে কী বলব। আমি ভাবতে চাই না যে এই সময়টাতেই সে আসলে চলে যাবে কিনা।")</f>
        <v>আমি প্রতিদিন পান করি। দিনে মাত্র ৩, ৪, অথবা ৫টি সেল্টজার। অথবা ওয়াইন, অথবা শ্যাম্পেন, অথবা সিডার। সপ্তাহান্তে অবশ্যই আরও বেশি। গত কয়েক বছরে আমি হয়তো মোট ২০ বার পান করিনি, এবং সাধারণত তীব্র হ্যাংওভারের পরের দিনই। আমি সবসময় ভাবতাম এটা কোন সমস্যা নয় কারণ আমি জানি আমি মদ্যপান বন্ধ করতে পারি, কিন্তু আমি চাইনি। এখন শুক্রবার, ১৩ ফেব্রুয়ারি, এবং আমি আমার সোফায় একা বসে অপেক্ষা করছি যে আমার স্বামী আসলেই আমাকে ছেড়ে চলে যাচ্ছে কিনা। যার জন্য আমি তাকে দোষ দেব না। আমার বয়স ২৫ এবং আমি ১৬ বছর বয়স থেকে মদ্যপান করছি। আমি কয়েক মাস ধরে পার্টি করেছি এবং প্রচুর পরিমাণে পান করেছি, বেশিরভাগ সময়ের চেয়ে বেশি সময় ধরে ক্লান্ত হয়ে পড়েছি। হয় বন্ধুর বাড়িতে বা পার্টিতে, অথবা বন্ধুর সাথে আমার ঘরে। যখন আমি ১৮ বছর বা তার কাছাকাছি ছিলাম, তখন আমার মা বা বাবা সাধারণত বোতল সরবরাহ করতেন, কারণ তারা অপরিচিত ব্যক্তির চেয়ে তাদের কাছ থেকে পান করাই পছন্দ করতেন। আর মদ্যপান যেখানেই শুরু হতো, আমি সবসময় সেখানেই থাকতাম, তাই আমাদের এই বিশ্বাস ছিল। মাঝে মাঝে ভাবি, যদি এত সহজলভ্য না থাকতো, তাহলে আমি কি এত বেশি মদ্যপান করতাম? কিন্তু আমার মনে হয়, ১৯ বছর বয়সে যখন আমি আর আমার বয়ফ্রেন্ড একসাথে থাকতাম, তখন পর্যন্ত আমি বেশিরভাগ দিনই এটা করতাম না। আমাদের সব বন্ধুদের মধ্যে একমাত্র অ্যাপার্টমেন্ট ছিল, তাই লোকেরা সবসময় বাইরে থাকতো। আমরা প্রতি সপ্তাহান্তে মাত্র দু-একজনের মধ্যে ২-৪ বোতল হার্ড অ্যালকোহল পান করতাম। আমার বয়ফ্রেন্ড, এখন স্বামী, আমাদের সাথে মদ্যপান করত, কিন্তু সে আমার মতো এতটা মদ্যপান করত না। আমি বাড়ি ফিরে রান্নাঘরে লুকিয়ে ছবি তুলতাম যাতে সে জানত না যে আমি কতটা মদ্যপান করছি। আমরা তর্ক শুরু করেছিলাম কারণ আমি যেমন বলেছিলাম, যখন আমি ৫ ড্রিংকের বেশি কিছু পান করি, তখন আমি প্রায় সবসময়ই অন্ধকারে থাকি। পরের দিন সকালে ঘুম থেকে উঠতাম, আমার খারাপ লাগা ছাড়া আর কিছুই মনে থাকতো না। আমি যা বলেছিলাম, যা আমি ভেঙে পড়েছিলাম, তাকে তা বলতে হতো। আমি যে ভয়াবহ মানুষ ছিলাম। আমি এভাবেই হার্ড অ্যালকোহল পান করা বন্ধ করে দিয়েছিলাম, কিন্তু আমি কখনও মদ্যপান বন্ধ করিনি। অন্ধকার রাত এবং মারামারি সবসময়ই হত, কিন্তু আরও বেশি ছড়িয়ে পড়ে। আর আমার মনে হয় এটা কোভিডের শুরুর দিকে ছিল, কিন্তু প্রতিদিন মদ্যপান শুরু করার অনেক আগে থেকেই। আমি কাজ থেকে বাড়ি ফিরে প্রায় সাথে সাথেই একটা পানীয় নিয়ে আসি। আমি মাতাল হয়ে যাওয়ার জন্য যথেষ্ট পান করি, কিন্তু অন্ধকার নয়। কিন্তু মাঝে মাঝে আমি বন্ধুর কাছে যাই, লোকজনকে ডেকে আনি, বাইরে যাই, এমনকি কাজের অনুষ্ঠানেও এত বেশি পান করি যে আমি চলে যাই। এটা যেন অন্য কেউ দখল করে নেয়, এবং পরের দিন আমার কিছু স্মৃতি থাকে যা আমাকে অসুস্থ করে তোলে। আমার সম্পর্ক নিখুঁত নয়, আমি শান্ত থাকি বা না থাকি, আমরা ঝগড়া করি। কিন্তু যখন আমরা মাতাল অবস্থায় ঝগড়া করি, তখন আমি এই সত্যটিকে উপেক্ষা করি যে সেই মানুষটি আমার নিজের, সে আমাকে ভালোবাসে এবং আমার যত্ন নেয়। কিছু একটা ঝগড়া শুরু করে, এবং আমি বিস্ফোরিত হই। রাত বিস্ফোরিত হয়। আমরা চিৎকার করি এবং চিৎকার করি, এবং আমি অমার্জনীয় কথা বলি। আমি আমাদের বাড়িতে বিস্ফোরণ ঘটাই, আমি তার গাড়িতে বিস্ফোরণ ঘটাই। আমি একজন ক্ষিপ্ত মাতাল, এবং সে সবকিছুর ভার বহন করে। গত রাতটি ছিল সেই রাতগুলির মধ্যে আরেকটি। আমাদের এক সহকর্মীর মেয়ে, যে আমার সমবয়সী এবং বন্ধু, আমাদের বাড়ি নিয়ে গিয়েছিল, কিন্তু স্বাভাবিকভাবেই আমি খুব একটা নাচতে নাচতে এবং নিজেকে বোকা বানানো ছাড়া আর কিছুই মনে করতে পারি না। এর বাইরে, আমার তিনটি মুহূর্ত মনে আছে। আমার স্বামী আমার ফোনটা এত জোরে মাটিতে আঘাত করেছিল যে ফোনটা ভেঙে চুরমার হয়ে গিয়েছিল এবং বাঁকতে শুরু করেছিল, আমাদের বন্ধুরা এসেছিল কারণ আমি মনে করি আমি তাদের বলেছিলাম যে তারা পারবে, আর আমার স্বামী তাদের চলে যেতে চিৎকার করছিল। আর পরের দিন, আমি ঘুম থেকে উঠেই জেগে উঠলাম, জানি না কী দেখেছি বা শুনেছি। আমি এতটাই দিশেহারা ছিলাম যে আমি বুঝতে পারিনি যে সে বিছানায় আমার পাশে পর্ন দেখছে। হস্তমৈথুন এবং পর্নের ক্ষেত্রে আমাদের সম্পর্ক খুবই আরামদায়ক, কিন্তু সেই মুহূর্তে আমি খুব, খুব অস্বস্তি বোধ করছিলাম। আমরা সারা রাত ঝগড়া করেছি, যার জন্য আমি এখনও জানি না কেন শুরু হয়েছিল, এবং তারপর ঘুম থেকে ওঠার জন্য। ঠিক যেমন বাথরুমে যাওয়া। আমি জানি তুমি বিরক্ত, কিন্তু আমি এখনও একজন মানুষ। আমরা আরও তর্ক করতে শুরু করেছিলাম, সে আমাকে বলেছিল যে সে আমাকে গত রাতের আমার ভিডিওগুলি দেখাবে চিৎকার করে এবং খারাপ কথা বলছে। সে বললো যে সে সকালে জিনিসপত্র গুছিয়ে চলে যাবে। সে চলে গেল, সে একটা নতুন ফোন নিয়ে এল। আমি যা খুশি করি। আর সে আবার চলে গেছে, হাতে কোন ব্যাগ নেই। আমাদের সম্পর্কটা নিখুঁত নয়। আর আমার মদ্যপানের সমস্যা আছে। যা কোনও লাভ করে না। আমি যখন এটা লিখছি তখনও আমি নিজেকে প্রশ্ন করি, কিন্তু আমি আর মদ্যপান করতে চাই না। আমি আগেও এটা বলেছি, তবুও আমি কখনও মনে মনে এটা বলতে চাইনি। কিন্তু আমি এইভাবে অনুভব করতে চাই না। আমি ভাবতে চাই না যে আমি কী করেছি বা বলেছি, অথবা আমি কতটা বিব্রতকর ছিলাম, অথবা আমি আমার বন্ধু, সহকর্মী, আমার স্বামীকে কী বলব। আমি ভাবতে চাই না যে এই সময়টাতেই সে আসলে চলে যাবে কিনা।</v>
      </c>
    </row>
    <row r="1120" spans="1:3" ht="15" x14ac:dyDescent="0.25">
      <c r="A1120" s="3" t="s">
        <v>1117</v>
      </c>
      <c r="B1120" s="3" t="s">
        <v>997</v>
      </c>
      <c r="C1120" s="4" t="str">
        <f ca="1">IFERROR(__xludf.DUMMYFUNCTION("GOOGLETRANSLATE(A1120, ""auto"", ""bn"")"),"শুধু মনে পড়ছে সে কত মিষ্টি ছিল। আর এখন সে এত ঘৃণ্য এবং আমাকে এই অদ্ভুত রাগী কথোপকথনে জড়ানোর চেষ্টা করে। আর এটা খুবই অদ্ভুত এবং কঠিন। আমি চাই মদ সব জায়গায় না থাকুক। আমি টিভি দেখছি আর চরিত্রগুলো মদ্যপান করছে। আমার মা আর বেস্ট ফ্রেন্ড আজ রাতে মাতাল হয়ে আগা"&amp;"মীকাল নষ্ট হওয়ার কথা বলছে। আমার বয়ফ্রেন্ড যখন এই বোকা বোকা কথাগুলো বলছিল তখন সে মাতাল ছিল। আমি তার অদ্ভুত রাগী বিষয় এবং সে যা ভাবছে তাতে জড়াতে চাই না। এটা সত্যিই দুঃখজনক। আমি এতে জড়িত না হওয়ার এবং শান্ত থাকার জন্য যথাসাধ্য চেষ্টা করি। আমি মাঝে মাঝে শুধু স"&amp;"াহায্যকারী পরামর্শ দিই। যেদিন সে আরও শান্তি পাবে, আমি তার হৃদয় হব, সেই দিনটা নিয়ে আমি উত্তেজিত। আমরা তর্ক করি না। আমরা কখনও তর্ক করি না। কিন্তু আমি চিন্তিত যে একদিন আমরা করব। কারণ তার এখন যে ঘৃণা আছে। অথবা সে আমাকে কম পছন্দ করতে শুরু করবে কারণ আমি তর্ক ক"&amp;"রতে চাই না বা তার ঘৃণ্য ""নৈতিকতা"" এর সাথে একমত হতে চাই না। যদি আমি অস্তিত্বের বাইরে কিছু করতে পারি তবে তা হবে মদ।")</f>
        <v>শুধু মনে পড়ছে সে কত মিষ্টি ছিল। আর এখন সে এত ঘৃণ্য এবং আমাকে এই অদ্ভুত রাগী কথোপকথনে জড়ানোর চেষ্টা করে। আর এটা খুবই অদ্ভুত এবং কঠিন। আমি চাই মদ সব জায়গায় না থাকুক। আমি টিভি দেখছি আর চরিত্রগুলো মদ্যপান করছে। আমার মা আর বেস্ট ফ্রেন্ড আজ রাতে মাতাল হয়ে আগামীকাল নষ্ট হওয়ার কথা বলছে। আমার বয়ফ্রেন্ড যখন এই বোকা বোকা কথাগুলো বলছিল তখন সে মাতাল ছিল। আমি তার অদ্ভুত রাগী বিষয় এবং সে যা ভাবছে তাতে জড়াতে চাই না। এটা সত্যিই দুঃখজনক। আমি এতে জড়িত না হওয়ার এবং শান্ত থাকার জন্য যথাসাধ্য চেষ্টা করি। আমি মাঝে মাঝে শুধু সাহায্যকারী পরামর্শ দিই। যেদিন সে আরও শান্তি পাবে, আমি তার হৃদয় হব, সেই দিনটা নিয়ে আমি উত্তেজিত। আমরা তর্ক করি না। আমরা কখনও তর্ক করি না। কিন্তু আমি চিন্তিত যে একদিন আমরা করব। কারণ তার এখন যে ঘৃণা আছে। অথবা সে আমাকে কম পছন্দ করতে শুরু করবে কারণ আমি তর্ক করতে চাই না বা তার ঘৃণ্য "নৈতিকতা" এর সাথে একমত হতে চাই না। যদি আমি অস্তিত্বের বাইরে কিছু করতে পারি তবে তা হবে মদ।</v>
      </c>
    </row>
    <row r="1121" spans="1:3" ht="15" x14ac:dyDescent="0.25">
      <c r="A1121" s="3" t="s">
        <v>1118</v>
      </c>
      <c r="B1121" s="3" t="s">
        <v>997</v>
      </c>
      <c r="C1121" s="4" t="str">
        <f ca="1">IFERROR(__xludf.DUMMYFUNCTION("GOOGLETRANSLATE(A1121, ""auto"", ""bn"")"),"গত ৩ মাস ধরে আমি প্রতি দুই দিন অন্তর এক বোতল ভদকা শেষ করে আসছি, এমনকি যখন আমার কিছু করার থাকে, এবং এটি আসলে কোনও নেতিবাচক প্রভাব ফেলে না। আমি এখনও সবকিছু সম্পন্ন করি। গত ২ বছর ধরে আমি এটি অতিরিক্ত পরিমাণে পান করছি, কিন্তু আমি কয়েক সপ্তাহ বা এক মাস ধরে এম"&amp;"নভাবে পান করা বন্ধ করে দিয়েছিলাম যে আমি প্রায় পান করতেই চাইতাম না? এবং তারপর আবার পাগলের মতো পান করি। কিন্তু এখন আমার পান করার অভ্যাসে কোনও বিরতি নেই। আমি আমার শারীরিক স্বাস্থ্যের জন্য মদ্যপান বন্ধ করতে চাই কিন্তু সত্যি বলতে, আমি যখন পান করি তখন আমি আরও"&amp;" সহনীয় ব্যক্তি (অন্যদের এবং আমার জন্য এটি মোকাবেলা করা সহজ)। কী করব তা নিশ্চিত নই, আমি জানি এই অভ্যাসটি নিজেই ঠিক হয়ে যাবে, কিন্তু যখন এটি ভেঙে যায় তখন এটি ভেঙে যায়।")</f>
        <v>গত ৩ মাস ধরে আমি প্রতি দুই দিন অন্তর এক বোতল ভদকা শেষ করে আসছি, এমনকি যখন আমার কিছু করার থাকে, এবং এটি আসলে কোনও নেতিবাচক প্রভাব ফেলে না। আমি এখনও সবকিছু সম্পন্ন করি। গত ২ বছর ধরে আমি এটি অতিরিক্ত পরিমাণে পান করছি, কিন্তু আমি কয়েক সপ্তাহ বা এক মাস ধরে এমনভাবে পান করা বন্ধ করে দিয়েছিলাম যে আমি প্রায় পান করতেই চাইতাম না? এবং তারপর আবার পাগলের মতো পান করি। কিন্তু এখন আমার পান করার অভ্যাসে কোনও বিরতি নেই। আমি আমার শারীরিক স্বাস্থ্যের জন্য মদ্যপান বন্ধ করতে চাই কিন্তু সত্যি বলতে, আমি যখন পান করি তখন আমি আরও সহনীয় ব্যক্তি (অন্যদের এবং আমার জন্য এটি মোকাবেলা করা সহজ)। কী করব তা নিশ্চিত নই, আমি জানি এই অভ্যাসটি নিজেই ঠিক হয়ে যাবে, কিন্তু যখন এটি ভেঙে যায় তখন এটি ভেঙে যায়।</v>
      </c>
    </row>
    <row r="1122" spans="1:3" ht="15" x14ac:dyDescent="0.25">
      <c r="A1122" s="3" t="s">
        <v>1119</v>
      </c>
      <c r="B1122" s="3" t="s">
        <v>997</v>
      </c>
      <c r="C1122" s="4" t="str">
        <f ca="1">IFERROR(__xludf.DUMMYFUNCTION("GOOGLETRANSLATE(A1122, ""auto"", ""bn"")"),"বন্ধুরা, আমার মনে নেই পুরো দুই দিন মদ্যপান না করে কাটিয়েছি। রাত কাটানোর জন্য আমি ক্রমাগত এক বোতল ওয়াইন অথবা ৬ প্যাকেট ওয়াইন কিনে থাকি। সপ্তাহান্তে যখন আসে তখন আমি গড়ে দিনে অতিরিক্ত মদ্যপান করি। ৬ প্যাকেটের সাথে আরও কিছু, আমার সহনশীলতা আকাশছোঁয়া হয়ে "&amp;"গেছে যার ফলে আমি নিজেকে ভয় পাই কারণ আমি এত বেশি মদ্যপান করি যে আমি নিজেকে বিশ্বাস করি যে আমি নিজেকে অ্যালকোহলে বিষক্রিয়া দিয়েছি। আমি বুঝতে পারছি আমার একটি গুরুতর সমস্যা আছে, শুক্রবার রাত থেকে আমি কোনও পানীয় পান করিনি এবং আমার গরমের ঝলকানি এবং তীব্র উদ"&amp;"্বেগ হচ্ছে। আমি থামাতে চাইছি আমি পান করতে চাই না, কিন্তু আমার শরীর এটি চাইছে। তাছাড়া, আমি Xanax লিখে দিয়েছি যা আমি আজ রাত পর্যন্ত খাওয়ার জন্য অপেক্ষা করছি যাতে আমার উদ্বেগ কমাতে পারি। আমার কী করা উচিত? আমার কি ডাক্তারকে বলা উচিত? আমার লক্ষণগুলি কি আরও "&amp;"খারাপ হবে?")</f>
        <v>বন্ধুরা, আমার মনে নেই পুরো দুই দিন মদ্যপান না করে কাটিয়েছি। রাত কাটানোর জন্য আমি ক্রমাগত এক বোতল ওয়াইন অথবা ৬ প্যাকেট ওয়াইন কিনে থাকি। সপ্তাহান্তে যখন আসে তখন আমি গড়ে দিনে অতিরিক্ত মদ্যপান করি। ৬ প্যাকেটের সাথে আরও কিছু, আমার সহনশীলতা আকাশছোঁয়া হয়ে গেছে যার ফলে আমি নিজেকে ভয় পাই কারণ আমি এত বেশি মদ্যপান করি যে আমি নিজেকে বিশ্বাস করি যে আমি নিজেকে অ্যালকোহলে বিষক্রিয়া দিয়েছি। আমি বুঝতে পারছি আমার একটি গুরুতর সমস্যা আছে, শুক্রবার রাত থেকে আমি কোনও পানীয় পান করিনি এবং আমার গরমের ঝলকানি এবং তীব্র উদ্বেগ হচ্ছে। আমি থামাতে চাইছি আমি পান করতে চাই না, কিন্তু আমার শরীর এটি চাইছে। তাছাড়া, আমি Xanax লিখে দিয়েছি যা আমি আজ রাত পর্যন্ত খাওয়ার জন্য অপেক্ষা করছি যাতে আমার উদ্বেগ কমাতে পারি। আমার কী করা উচিত? আমার কি ডাক্তারকে বলা উচিত? আমার লক্ষণগুলি কি আরও খারাপ হবে?</v>
      </c>
    </row>
    <row r="1123" spans="1:3" ht="15" x14ac:dyDescent="0.25">
      <c r="A1123" s="3" t="s">
        <v>1120</v>
      </c>
      <c r="B1123" s="3" t="s">
        <v>997</v>
      </c>
      <c r="C1123" s="4" t="str">
        <f ca="1">IFERROR(__xludf.DUMMYFUNCTION("GOOGLETRANSLATE(A1123, ""auto"", ""bn"")"),"আমি আগে কখনও এখানে সক্রিয় ছিলাম না এবং এখানে-ওখানে কিছু পোস্ট পড়ছি এবং এখন আমার দ্বিতীয় অ্যাকাউন্ট থেকে এটি শেয়ার করছি; বেশিরভাগই মুখ ফুটে বলছি, কিন্তু যদি আপনি আমাকে কোনওভাবে সাহায্য করতে পারেন অথবা আপনি যদি একই রকম কিছুর মধ্য দিয়ে থাকেন, তাহলে আমি "&amp;"এটি সম্পর্কে শুনতে চাই। আমি সত্যিই জানি না গত কয়েক বছর ধরে আমার সাথে কী ঘটছে, তবে ক্রমশই আমি জানি যে আমি কিছু নির্দিষ্ট উপায়ে খারাপ আচরণ করছি এবং এর অবশ্যই খারাপ পরিণতি রয়েছে, যা আমি কেবল বিবেচনা করি এবং এমনকি সেগুলি আসার বিষয়েও চিন্তা করি না। তাছাড়া,"&amp;" আমি আমার জীবনকে আরও খারাপ হতে দিই; আমি প্রায় ১.৫ বছর ধরে অ্যালকোহল আসক্তির সাথে লড়াই করছি - এটি নিজেই আমার জীবনে একাধিক খারাপ প্রভাব ফেলেছে, স্বাস্থ্যের দিক থেকেও। আমি এবং অন্য ব্যক্তি যে মিটিংগুলির জন্য অপেক্ষা করছিলাম সেগুলিতে উপস্থিত না হওয়া, কেবল "&amp;"কারণ আগের রাতে (একা) ব্ল্যাকআউট হওয়া আমার কাছে আরও ""গুরুত্বপূর্ণ"" ছিল। আমি একদিন আমার শিফটে যাইনি, কারণ আমি খুব বেশি নেশাগ্রস্ত ছিলাম এবং কাজ করতে পারছিলাম না - তারপর এবং সেখানে (একই দিনে) আমি সিদ্ধান্ত নিলাম যে আমি ""যেভাবেই হোক ছেড়ে দিতে চাই"" (যদিও"&amp;" আমি সত্যিই সেই চাকরিটি পছন্দ করেছি)। আমার ডর্মে আমার জায়গাটি সম্পূর্ণ জগাখিচুড়ি, কয়েক মাস আগে একটি বিছানা পোকার উপদ্রব ছিল যা আমি এখনও পরিত্রাণ পেতে পারিনি (যদিও আমি একাধিকবার চেষ্টা করেছি, প্রচুর পরিমাণে বিছানা পোকামাকড়-বিরোধী রাসায়নিক ব্যবহার করেছ"&amp;"ি), এবং সেই ডর্মে কাজ করা লোকদের তা বলার পরিবর্তে, আমি কেবল আমার মুখ বন্ধ রেখেছিলাম, কখনও কখনও এমনকি মদ্যপানও চালিয়ে গিয়েছিলাম যাতে এটি ভুলে যায় এবং ""আগামীকাল এটির যত্ন নেয়""; কাকতালীয়ভাবে, আগামীকাল সেই দিন, তারা আমার ঘরটি ছেড়ে যাওয়ার দুই মাস আগে "&amp;"আমার ঘরে তল্লাশি চালাবে (কেউ চলে যাওয়ার আগে এটি কেবল একটি নিয়মিত জিনিস, আমি স্নাতক হওয়ার পরে অন্য কোথাও যাওয়ার সিদ্ধান্ত নিয়েছিলাম)। আমি জানি মদ্যপান অনেক সমস্যা তৈরি করেছে বা আরও গভীর করেছে, তবে আমি এটাও ভাবছি যে এটি কি বিপরীত নয়, অ্যালকোহলের অপব্য"&amp;"বহার আসলে কোনও বড় ঘটনার লক্ষণ নয়। (আমি ২৩ বছর বয়সী একজন ইউরোপে থাকি, আমার কখনও ""অ্যালকোহলের সাথে সুস্থ সম্পর্ক"" বলে বর্ণনা করা যায়নি, ২০১৯ সাল থেকে যখনই আমি মদ্যপান করতাম তখনই এটি আমার জন্য সবসময়ই অতিরিক্ত মদ্যপানের মতো ছিল। কিন্তু ২০২০ সালের অক্টোব"&amp;"রের দিকে, আমি প্রচুর পরিমাণে মদ্যপান শুরু করি এবং নিয়মিতভাবে মদ্যপান বন্ধ করে দেই)")</f>
        <v>আমি আগে কখনও এখানে সক্রিয় ছিলাম না এবং এখানে-ওখানে কিছু পোস্ট পড়ছি এবং এখন আমার দ্বিতীয় অ্যাকাউন্ট থেকে এটি শেয়ার করছি; বেশিরভাগই মুখ ফুটে বলছি, কিন্তু যদি আপনি আমাকে কোনওভাবে সাহায্য করতে পারেন অথবা আপনি যদি একই রকম কিছুর মধ্য দিয়ে থাকেন, তাহলে আমি এটি সম্পর্কে শুনতে চাই। আমি সত্যিই জানি না গত কয়েক বছর ধরে আমার সাথে কী ঘটছে, তবে ক্রমশই আমি জানি যে আমি কিছু নির্দিষ্ট উপায়ে খারাপ আচরণ করছি এবং এর অবশ্যই খারাপ পরিণতি রয়েছে, যা আমি কেবল বিবেচনা করি এবং এমনকি সেগুলি আসার বিষয়েও চিন্তা করি না। তাছাড়া, আমি আমার জীবনকে আরও খারাপ হতে দিই; আমি প্রায় ১.৫ বছর ধরে অ্যালকোহল আসক্তির সাথে লড়াই করছি - এটি নিজেই আমার জীবনে একাধিক খারাপ প্রভাব ফেলেছে, স্বাস্থ্যের দিক থেকেও। আমি এবং অন্য ব্যক্তি যে মিটিংগুলির জন্য অপেক্ষা করছিলাম সেগুলিতে উপস্থিত না হওয়া, কেবল কারণ আগের রাতে (একা) ব্ল্যাকআউট হওয়া আমার কাছে আরও "গুরুত্বপূর্ণ" ছিল। আমি একদিন আমার শিফটে যাইনি, কারণ আমি খুব বেশি নেশাগ্রস্ত ছিলাম এবং কাজ করতে পারছিলাম না - তারপর এবং সেখানে (একই দিনে) আমি সিদ্ধান্ত নিলাম যে আমি "যেভাবেই হোক ছেড়ে দিতে চাই" (যদিও আমি সত্যিই সেই চাকরিটি পছন্দ করেছি)। আমার ডর্মে আমার জায়গাটি সম্পূর্ণ জগাখিচুড়ি, কয়েক মাস আগে একটি বিছানা পোকার উপদ্রব ছিল যা আমি এখনও পরিত্রাণ পেতে পারিনি (যদিও আমি একাধিকবার চেষ্টা করেছি, প্রচুর পরিমাণে বিছানা পোকামাকড়-বিরোধী রাসায়নিক ব্যবহার করেছি), এবং সেই ডর্মে কাজ করা লোকদের তা বলার পরিবর্তে, আমি কেবল আমার মুখ বন্ধ রেখেছিলাম, কখনও কখনও এমনকি মদ্যপানও চালিয়ে গিয়েছিলাম যাতে এটি ভুলে যায় এবং "আগামীকাল এটির যত্ন নেয়"; কাকতালীয়ভাবে, আগামীকাল সেই দিন, তারা আমার ঘরটি ছেড়ে যাওয়ার দুই মাস আগে আমার ঘরে তল্লাশি চালাবে (কেউ চলে যাওয়ার আগে এটি কেবল একটি নিয়মিত জিনিস, আমি স্নাতক হওয়ার পরে অন্য কোথাও যাওয়ার সিদ্ধান্ত নিয়েছিলাম)। আমি জানি মদ্যপান অনেক সমস্যা তৈরি করেছে বা আরও গভীর করেছে, তবে আমি এটাও ভাবছি যে এটি কি বিপরীত নয়, অ্যালকোহলের অপব্যবহার আসলে কোনও বড় ঘটনার লক্ষণ নয়। (আমি ২৩ বছর বয়সী একজন ইউরোপে থাকি, আমার কখনও "অ্যালকোহলের সাথে সুস্থ সম্পর্ক" বলে বর্ণনা করা যায়নি, ২০১৯ সাল থেকে যখনই আমি মদ্যপান করতাম তখনই এটি আমার জন্য সবসময়ই অতিরিক্ত মদ্যপানের মতো ছিল। কিন্তু ২০২০ সালের অক্টোবরের দিকে, আমি প্রচুর পরিমাণে মদ্যপান শুরু করি এবং নিয়মিতভাবে মদ্যপান বন্ধ করে দেই)</v>
      </c>
    </row>
    <row r="1124" spans="1:3" ht="15" x14ac:dyDescent="0.25">
      <c r="A1124" s="3" t="s">
        <v>1121</v>
      </c>
      <c r="B1124" s="3" t="s">
        <v>997</v>
      </c>
      <c r="C1124" s="4" t="str">
        <f ca="1">IFERROR(__xludf.DUMMYFUNCTION("GOOGLETRANSLATE(A1124, ""auto"", ""bn"")"),"আমি যখন প্রাথমিক বিদ্যালয়ের শেষের দিকে ছিলাম, তখন আমার বাবা-মা দুজনেই কারখানার চাকরি হারিয়েছিলেন। সেই বছরই তাদের বিবাহবিচ্ছেদ হয়ে যায়। বাবা নিজের মতো করে চলে যান এবং আমি তার সাথে খুব একটা দেখা করিনি কারণ আমি পুরো সময় আমার মায়ের সাথে থাকতাম। তার মদ্যপান খু"&amp;"ব খারাপ হয়ে গিয়েছিল। ছোটবেলায় আমি এটা সামলাতে জানতাম না। অবশেষে ১৫ বছর বয়সে বাড়ি চলে গিয়েছিলাম এবং কিছুক্ষণের জন্য ঘুরে বেড়িয়েছিলাম। আট বছর এগিয়ে যান। আমার বয়স এখন ২৩। প্রাপ্তবয়স্ক। আমরা মাঝে মাঝে কথা বলি, কিন্তু ৩টার আগে (যখন সে মদ্যপান শুরু করে)। আমি দে"&amp;"রিতে সেখানে যাই। তার ইতিমধ্যেই কয়েকবার হয়ে গেছে। আমি তার মদ্যপান সম্পর্কে তার সাথে কথা বলার চেষ্টা করি। তাকে বলেছিলাম যে আমি ছোটবেলার মতো তার সাথেও ভালো সম্পর্ক রাখতে চাই। উল্লেখ করেছিলাম যে এটি ঘটার জন্য তাকে অন্তত আমার চারপাশে শান্ত থাকতে হবে। এটা তাকে "&amp;"রেগে গিয়েছিল। যেন একটা সুইচ উল্টে দেওয়া হয়েছে।")</f>
        <v>আমি যখন প্রাথমিক বিদ্যালয়ের শেষের দিকে ছিলাম, তখন আমার বাবা-মা দুজনেই কারখানার চাকরি হারিয়েছিলেন। সেই বছরই তাদের বিবাহবিচ্ছেদ হয়ে যায়। বাবা নিজের মতো করে চলে যান এবং আমি তার সাথে খুব একটা দেখা করিনি কারণ আমি পুরো সময় আমার মায়ের সাথে থাকতাম। তার মদ্যপান খুব খারাপ হয়ে গিয়েছিল। ছোটবেলায় আমি এটা সামলাতে জানতাম না। অবশেষে ১৫ বছর বয়সে বাড়ি চলে গিয়েছিলাম এবং কিছুক্ষণের জন্য ঘুরে বেড়িয়েছিলাম। আট বছর এগিয়ে যান। আমার বয়স এখন ২৩। প্রাপ্তবয়স্ক। আমরা মাঝে মাঝে কথা বলি, কিন্তু ৩টার আগে (যখন সে মদ্যপান শুরু করে)। আমি দেরিতে সেখানে যাই। তার ইতিমধ্যেই কয়েকবার হয়ে গেছে। আমি তার মদ্যপান সম্পর্কে তার সাথে কথা বলার চেষ্টা করি। তাকে বলেছিলাম যে আমি ছোটবেলার মতো তার সাথেও ভালো সম্পর্ক রাখতে চাই। উল্লেখ করেছিলাম যে এটি ঘটার জন্য তাকে অন্তত আমার চারপাশে শান্ত থাকতে হবে। এটা তাকে রেগে গিয়েছিল। যেন একটা সুইচ উল্টে দেওয়া হয়েছে।</v>
      </c>
    </row>
    <row r="1125" spans="1:3" ht="15" x14ac:dyDescent="0.25">
      <c r="A1125" s="3" t="s">
        <v>1122</v>
      </c>
      <c r="B1125" s="3" t="s">
        <v>997</v>
      </c>
      <c r="C1125" s="4" t="str">
        <f ca="1">IFERROR(__xludf.DUMMYFUNCTION("GOOGLETRANSLATE(A1125, ""auto"", ""bn"")"),"আমার (১৯ বছর) মদ্যপানের সমস্যা আছে। আমি জানি আমি ছোট, কিন্তু আমার অবশ্যই একটা সমস্যা ছিল, আর ALC আমার পক্ষে খুব সহজেই ধরা পড়ে। তাছাড়া, কোভিডের সময় আমি মদ্যপান শুরু করেছিলাম, যখন আমি যে অল-স্টেট ব্যান্ড ইভেন্টটি তৈরি করার জন্য অনেক পরিশ্রম করেছিলাম তা ব"&amp;"াতিল হয়ে যায়, এবং আমার মনে হয় আমার কয়েক মাসের কঠোর পরিশ্রম নষ্ট হয়ে যায়। খুব শীঘ্রই আমি প্রতিদিন রাতে ঘুমানোর জন্য মদ্যপান করছিলাম। আমি জানতাম না কিভাবে মদ্যপান বন্ধ করব এবং প্রায়শই অজ্ঞান হয়ে পড়তাম। অক্টোবরের শেষের দিকে, এক বিশেষ খারাপ রাতে যখন "&amp;"আমার এক বন্ধুর সাথে ঝগড়া হয়, তখন সে আমাকে পিছন থেকে লাফিয়ে আমার মুখ পুরোপুরি ফাটিয়ে দেয়। তাছাড়া, আমার মনে আছে, ছুরি ধরার চেষ্টা করার চেষ্টা করেও তা করতে পারিনি। ছিটকে পড়ার আগে আমার শেষ চিন্তা ছিল ""আমি এভাবেই মারা যাব?"" তারপর থেকে, আমি নিজেকে আরও "&amp;"ভালো করার জন্য কাজ করছি এবং এখন আমি প্রায় প্রতিদিন জিমে ব্যায়াম করি। এটি আমাকে আজকের এই অবস্থানে নিয়ে আসে। আমি আর আমার বন্ধু স্টেট পার্কে হাইকিং করতে যাচ্ছিলাম, কিন্তু পার্কিং লট পূর্ণ ছিল এবং আমি আমার ট্রাকটি ঘুরাতে পারিনি এবং পিছনে ফিরে যেতে হয়েছিল।"&amp;" আমি আমার ব্লাইন্ড স্পট এবং ব্যাকআপ ক্যামেরাটি পরীক্ষা করেছিলাম, কিন্তু আমার মনে হয় আমি যে ছোট গাছটিতে ফিরে এসেছি তা দেখতে পাইনি। আমি একটি নতুন ট্রাকটি নষ্ট করে ফেলেছি এবং আমার মনে হচ্ছে আমি পাগল হয়ে গেছি। তাছাড়া, আমি প্রায় এক ঘন্টা ধরে বেলভেডেরের বোত"&amp;"লের দিকে তাকিয়ে ছিলাম এবং অবশেষে আজ পান না করার সিদ্ধান্ত নিয়েছি। তাছাড়া, আমি নিজেকে আরও উন্নত করতে চাই এবং আমি জানি যদি আমি পান করি তাহলে আমি আবার সেই খরগোশের গর্তে যাব এবং আমার সমস্ত পরিশ্রম বৃথা যাবে। যেকোনো পরামর্শের জন্য কৃতজ্ঞ থাকব।")</f>
        <v>আমার (১৯ বছর) মদ্যপানের সমস্যা আছে। আমি জানি আমি ছোট, কিন্তু আমার অবশ্যই একটা সমস্যা ছিল, আর ALC আমার পক্ষে খুব সহজেই ধরা পড়ে। তাছাড়া, কোভিডের সময় আমি মদ্যপান শুরু করেছিলাম, যখন আমি যে অল-স্টেট ব্যান্ড ইভেন্টটি তৈরি করার জন্য অনেক পরিশ্রম করেছিলাম তা বাতিল হয়ে যায়, এবং আমার মনে হয় আমার কয়েক মাসের কঠোর পরিশ্রম নষ্ট হয়ে যায়। খুব শীঘ্রই আমি প্রতিদিন রাতে ঘুমানোর জন্য মদ্যপান করছিলাম। আমি জানতাম না কিভাবে মদ্যপান বন্ধ করব এবং প্রায়শই অজ্ঞান হয়ে পড়তাম। অক্টোবরের শেষের দিকে, এক বিশেষ খারাপ রাতে যখন আমার এক বন্ধুর সাথে ঝগড়া হয়, তখন সে আমাকে পিছন থেকে লাফিয়ে আমার মুখ পুরোপুরি ফাটিয়ে দেয়। তাছাড়া, আমার মনে আছে, ছুরি ধরার চেষ্টা করার চেষ্টা করেও তা করতে পারিনি। ছিটকে পড়ার আগে আমার শেষ চিন্তা ছিল "আমি এভাবেই মারা যাব?" তারপর থেকে, আমি নিজেকে আরও ভালো করার জন্য কাজ করছি এবং এখন আমি প্রায় প্রতিদিন জিমে ব্যায়াম করি। এটি আমাকে আজকের এই অবস্থানে নিয়ে আসে। আমি আর আমার বন্ধু স্টেট পার্কে হাইকিং করতে যাচ্ছিলাম, কিন্তু পার্কিং লট পূর্ণ ছিল এবং আমি আমার ট্রাকটি ঘুরাতে পারিনি এবং পিছনে ফিরে যেতে হয়েছিল। আমি আমার ব্লাইন্ড স্পট এবং ব্যাকআপ ক্যামেরাটি পরীক্ষা করেছিলাম, কিন্তু আমার মনে হয় আমি যে ছোট গাছটিতে ফিরে এসেছি তা দেখতে পাইনি। আমি একটি নতুন ট্রাকটি নষ্ট করে ফেলেছি এবং আমার মনে হচ্ছে আমি পাগল হয়ে গেছি। তাছাড়া, আমি প্রায় এক ঘন্টা ধরে বেলভেডেরের বোতলের দিকে তাকিয়ে ছিলাম এবং অবশেষে আজ পান না করার সিদ্ধান্ত নিয়েছি। তাছাড়া, আমি নিজেকে আরও উন্নত করতে চাই এবং আমি জানি যদি আমি পান করি তাহলে আমি আবার সেই খরগোশের গর্তে যাব এবং আমার সমস্ত পরিশ্রম বৃথা যাবে। যেকোনো পরামর্শের জন্য কৃতজ্ঞ থাকব।</v>
      </c>
    </row>
    <row r="1126" spans="1:3" ht="15" x14ac:dyDescent="0.25">
      <c r="A1126" s="3" t="s">
        <v>1123</v>
      </c>
      <c r="B1126" s="3" t="s">
        <v>997</v>
      </c>
      <c r="C1126" s="4" t="str">
        <f ca="1">IFERROR(__xludf.DUMMYFUNCTION("GOOGLETRANSLATE(A1126, ""auto"", ""bn"")"),"আমার হজমশক্তি খারাপ ছিল কিন্তু আমি দেড় দিনে কিছু খেয়ে ফেলি এবং আমার পেট ব্যাথা করছে যদিও আমি সমস্ত অ্যালকোহল বের করে দিয়েছি, কিন্তু আমার পেটে এখনও কিছু আছে। আমি জানি না, কিন্তু এটি তীব্র ব্যথার মতো কারণ এটি ব্যথা মোকাবেলা করার বা এটি দ্রুত দূর করার কোন"&amp;"ও টিপস হজম করবে না। শুধু ল্যাক্সেটিভ খেয়েছি কিন্তু আইজি বলেছে যে 1 থেকে 3 দিনের জন্য কাজ করবে না।")</f>
        <v>আমার হজমশক্তি খারাপ ছিল কিন্তু আমি দেড় দিনে কিছু খেয়ে ফেলি এবং আমার পেট ব্যাথা করছে যদিও আমি সমস্ত অ্যালকোহল বের করে দিয়েছি, কিন্তু আমার পেটে এখনও কিছু আছে। আমি জানি না, কিন্তু এটি তীব্র ব্যথার মতো কারণ এটি ব্যথা মোকাবেলা করার বা এটি দ্রুত দূর করার কোনও টিপস হজম করবে না। শুধু ল্যাক্সেটিভ খেয়েছি কিন্তু আইজি বলেছে যে 1 থেকে 3 দিনের জন্য কাজ করবে না।</v>
      </c>
    </row>
    <row r="1127" spans="1:3" ht="15" x14ac:dyDescent="0.25">
      <c r="A1127" s="3" t="s">
        <v>1124</v>
      </c>
      <c r="B1127" s="3" t="s">
        <v>997</v>
      </c>
      <c r="C1127" s="4" t="str">
        <f ca="1">IFERROR(__xludf.DUMMYFUNCTION("GOOGLETRANSLATE(A1127, ""auto"", ""bn"")"),"কিছু পটভূমি: আমার ৫৫ বছর বয়সী বোন কমপক্ষে তিন বছর ধরে চতুর্থ স্তরের লিভারের রোগে ভুগছেন। আমি সত্যিই অবাক হয়েছি যে তিনি এখনও আমাদের সাথে আছেন। তিনি অক্সিকোডোন গ্রহণ, মদ্যপান, ধূমপান এবং জমানো বন্ধ করার কোনও ইচ্ছা করেন না। তিনি লিভার ট্রান্সপ্ল্যান্টের তা"&amp;"লিকায় থাকতে পারতেন, কিন্তু তিনি ২ বছর ধরে মদ্যপান বন্ধ করতে চাননি। তাছাড়া, তিনি গত মাসে কম্প্রেসড ডিস্ক থেকে মুক্তি পাওয়ার জন্য পিঠের অস্ত্রোপচারের সিদ্ধান্ত নিয়েছিলেন। আমি বিশ্বাস করতে পারছি না যে কোনও ডাক্তার তার সহ-রোগের জন্য তার অস্ত্রোপচার করবেন। "&amp;"আমরা সকলেই তাকে এটি থেকে মুক্তি দেওয়ার চেষ্টা করেছি, কিন্তু তিনি প্রচুর ব্যথায় ভুগছিলেন (তাই অক্সিকোডোন)। অস্ত্রোপচার ঠিক হয়ে গেছে কিন্তু ৫ সপ্তাহ পরেও তিনি এখনও হাসপাতালে আছেন। দুই সপ্তাহ ধরে তার কোভিড ছিল তাই কাউকে দেখতে যেতে দেওয়া হয়নি। তার সুস্থ "&amp;"হওয়ার কয়েকদিন পর তার প্রেমিক আমাকে বলেছিল যে তার ত্বক এবং হাড় রয়েছে, যা সে ইতিমধ্যেই ছিল। সে দেখতে কঙ্কালের ত্বকের মতো। এটা ভয়াবহ। আমি যে হাসপাতালে সে আছে সেখান থেকে এক ঘন্টারও বেশি দূরে থাকি, তাই কোভিডের পর থেকে আমি প্রতিদিন এখানে আসিনি। ডাক্তার বলল"&amp;"েন, যদি তার মলত্যাগ নিয়মিত ভালো থাকে, তাহলে সে পুনর্বাসনে যেতে পারবে (শারীরিক থেরাপির জন্য, আসক্তির জন্য নয়)। তিন সপ্তাহ ধরে সে খুব একটা খায়নি। তাকে কী মলত্যাগ করতে হতে পারে? আমার মনে হয় আমার প্রশ্ন হলো, দ্রুত ওজন কমানোর বিষয়টি ডাক্তার কীভাবে সমাধান কর"&amp;"তে পারেননি, যতক্ষণ না আমি তাকে ফোন করে ভয় পাই। তারা একজন পুষ্টিবিদকে নিয়ে এসেছিলেন, কিন্তু তাতে কোনও লাভ হয়নি বলে মনে হচ্ছে। আমি তার লাঞ্চ ট্রে দেখছি। সে শুধু আধা কাপ কোলেসল খেয়েছে। এইটুকুই। আমি তাকে ছোট ছোট, আলাদাভাবে মোড়ানো পিনাট বাটার কাপ এনেছিলাম এ"&amp;"বং সে দুটি খেয়েছে। এছাড়াও, তার প্যারাসেন্টেসিসের কারণে হাসপাতাল প্রতি দুই দিনে তার পেট থেকে ৪ লিটার তরল অপসারণ করছে। ডাক্তার শপথ করে বলেন যে দীর্ঘ সময় ধরে হাসপাতালে থাকা ব্যক্তির জন্য এটি স্বাভাবিক। তিনি শপথ করে বলেন যে তিনি পুনর্বাসনে যাচ্ছেন। পুনর্বা"&amp;"সনে তার কী প্রয়োজন হবে? আমার মনে হয় সে হসপিসের জন্য প্রস্তুত। ডাক্তার বললেন না, সে নয়। আমি সত্যিই বিশ্বাস করি না যে আমার বোন এই অবস্থা থেকে সেরে উঠবে। অবশ্যই, যদি আমার বোনের সাথে অন্য কিছু ঘটে থাকে, এবং সে আমাকে তা জানাতে না চায়, তাহলে ডাক্তার আমাকে ব"&amp;"লতে পারবেন না।")</f>
        <v>কিছু পটভূমি: আমার ৫৫ বছর বয়সী বোন কমপক্ষে তিন বছর ধরে চতুর্থ স্তরের লিভারের রোগে ভুগছেন। আমি সত্যিই অবাক হয়েছি যে তিনি এখনও আমাদের সাথে আছেন। তিনি অক্সিকোডোন গ্রহণ, মদ্যপান, ধূমপান এবং জমানো বন্ধ করার কোনও ইচ্ছা করেন না। তিনি লিভার ট্রান্সপ্ল্যান্টের তালিকায় থাকতে পারতেন, কিন্তু তিনি ২ বছর ধরে মদ্যপান বন্ধ করতে চাননি। তাছাড়া, তিনি গত মাসে কম্প্রেসড ডিস্ক থেকে মুক্তি পাওয়ার জন্য পিঠের অস্ত্রোপচারের সিদ্ধান্ত নিয়েছিলেন। আমি বিশ্বাস করতে পারছি না যে কোনও ডাক্তার তার সহ-রোগের জন্য তার অস্ত্রোপচার করবেন। আমরা সকলেই তাকে এটি থেকে মুক্তি দেওয়ার চেষ্টা করেছি, কিন্তু তিনি প্রচুর ব্যথায় ভুগছিলেন (তাই অক্সিকোডোন)। অস্ত্রোপচার ঠিক হয়ে গেছে কিন্তু ৫ সপ্তাহ পরেও তিনি এখনও হাসপাতালে আছেন। দুই সপ্তাহ ধরে তার কোভিড ছিল তাই কাউকে দেখতে যেতে দেওয়া হয়নি। তার সুস্থ হওয়ার কয়েকদিন পর তার প্রেমিক আমাকে বলেছিল যে তার ত্বক এবং হাড় রয়েছে, যা সে ইতিমধ্যেই ছিল। সে দেখতে কঙ্কালের ত্বকের মতো। এটা ভয়াবহ। আমি যে হাসপাতালে সে আছে সেখান থেকে এক ঘন্টারও বেশি দূরে থাকি, তাই কোভিডের পর থেকে আমি প্রতিদিন এখানে আসিনি। ডাক্তার বললেন, যদি তার মলত্যাগ নিয়মিত ভালো থাকে, তাহলে সে পুনর্বাসনে যেতে পারবে (শারীরিক থেরাপির জন্য, আসক্তির জন্য নয়)। তিন সপ্তাহ ধরে সে খুব একটা খায়নি। তাকে কী মলত্যাগ করতে হতে পারে? আমার মনে হয় আমার প্রশ্ন হলো, দ্রুত ওজন কমানোর বিষয়টি ডাক্তার কীভাবে সমাধান করতে পারেননি, যতক্ষণ না আমি তাকে ফোন করে ভয় পাই। তারা একজন পুষ্টিবিদকে নিয়ে এসেছিলেন, কিন্তু তাতে কোনও লাভ হয়নি বলে মনে হচ্ছে। আমি তার লাঞ্চ ট্রে দেখছি। সে শুধু আধা কাপ কোলেসল খেয়েছে। এইটুকুই। আমি তাকে ছোট ছোট, আলাদাভাবে মোড়ানো পিনাট বাটার কাপ এনেছিলাম এবং সে দুটি খেয়েছে। এছাড়াও, তার প্যারাসেন্টেসিসের কারণে হাসপাতাল প্রতি দুই দিনে তার পেট থেকে ৪ লিটার তরল অপসারণ করছে। ডাক্তার শপথ করে বলেন যে দীর্ঘ সময় ধরে হাসপাতালে থাকা ব্যক্তির জন্য এটি স্বাভাবিক। তিনি শপথ করে বলেন যে তিনি পুনর্বাসনে যাচ্ছেন। পুনর্বাসনে তার কী প্রয়োজন হবে? আমার মনে হয় সে হসপিসের জন্য প্রস্তুত। ডাক্তার বললেন না, সে নয়। আমি সত্যিই বিশ্বাস করি না যে আমার বোন এই অবস্থা থেকে সেরে উঠবে। অবশ্যই, যদি আমার বোনের সাথে অন্য কিছু ঘটে থাকে, এবং সে আমাকে তা জানাতে না চায়, তাহলে ডাক্তার আমাকে বলতে পারবেন না।</v>
      </c>
    </row>
    <row r="1128" spans="1:3" ht="15" x14ac:dyDescent="0.25">
      <c r="A1128" s="3" t="s">
        <v>1125</v>
      </c>
      <c r="B1128" s="3" t="s">
        <v>997</v>
      </c>
      <c r="C1128" s="4" t="str">
        <f ca="1">IFERROR(__xludf.DUMMYFUNCTION("GOOGLETRANSLATE(A1128, ""auto"", ""bn"")"),"এর পটভূমি হলো - আমি একজন মধ্যবয়সী মানুষ, দুই সন্তানের পরিবার ভালো, ভালো চাকরি করে ভালো টাকা আয় করি। তবে, মদের সাথে আমার সবসময়ই খারাপ সম্পর্ক ছিল। ছোটবেলায় যদিও আমি সপ্তাহে মাত্র একবার বা দুবার মদ্যপান করতাম/বেজে উঠতাম, আমি কিছু বোকামি করতাম, মারামারি কর"&amp;"তাম, মাঝে মাঝে একজন বোকা স্বামীতে পরিণত হতাম। সত্যি বলতে, আমি কখনও জেল বা হাসপাতালে যাইনি, তাতে আমি সত্যিই অবাক। কোভিড লকডাউনের সময় আমি পরিমিত মদ্যপান করার সিদ্ধান্ত নিয়েছিলাম, আমি বাড়িতে খুব বেশি মদ্যপান করিনি। খুব বেশি মদ্যপান করিনি - সম্ভবত ১২ মাসে "&amp;"৩-৪ বার। তাই আমি সফলভাবে একজন পরিমিত মদ্যপায়ী হয়ে উঠি। যাইহোক, কয়েক মাস আগে, আমি এক বন্ধুর কাছে গিয়েছিলাম এবং দুই বাচ্চা নিয়ে মদ্যপান করে বাড়ি ফিরেছিলাম। এটি করার সময় কারও সাথে কিছুটা রোড-রেগ তর্কও হয়েছিল। কোনও দুর্ঘটনা বা কেউ আহত হয়নি, তবে আপনি "&amp;"বিশ্বাস করতে পারবেন না যে আমি যা ঘটেছে তা এবং নিজেকে কতটা ঘৃণা করি - আগে কখনও করিনি এবং আমি এমন খারাপ কাজ করে এমন লোকদের ঘৃণা করি। আমার এখনও একটি সমস্যা আছে যে মাঝে মাঝে আমার মদ্যপান বন্ধ করার মতো আত্ম-নিয়ন্ত্রণ থাকে না। এর ফলে আমি এমন এক পর্যায়ে এসে পৌ"&amp;"ঁছেছি যেখানে আমার সামনে কয়েকটি বিকল্প আছে: সম্পূর্ণরূপে মদ্যপান ত্যাগ করা, শুধুমাত্র বিশেষ অনুষ্ঠানে যেমন নববর্ষ, জন্মদিন ইত্যাদিতে মদ্যপান করা, কখনও ২ বারের বেশি পান করা এবং মাঝে মাঝে যেমন খাবারের সাথে এক গ্লাস ওয়াইন পান করা। লোকেরা কী সঠিক বিকল্প বলে "&amp;"মনে করে এবং কেন তা সম্পর্কে তাদের মতামত শুনতে চাই কারণ আমার কোন ধারণা নেই কী করব।")</f>
        <v>এর পটভূমি হলো - আমি একজন মধ্যবয়সী মানুষ, দুই সন্তানের পরিবার ভালো, ভালো চাকরি করে ভালো টাকা আয় করি। তবে, মদের সাথে আমার সবসময়ই খারাপ সম্পর্ক ছিল। ছোটবেলায় যদিও আমি সপ্তাহে মাত্র একবার বা দুবার মদ্যপান করতাম/বেজে উঠতাম, আমি কিছু বোকামি করতাম, মারামারি করতাম, মাঝে মাঝে একজন বোকা স্বামীতে পরিণত হতাম। সত্যি বলতে, আমি কখনও জেল বা হাসপাতালে যাইনি, তাতে আমি সত্যিই অবাক। কোভিড লকডাউনের সময় আমি পরিমিত মদ্যপান করার সিদ্ধান্ত নিয়েছিলাম, আমি বাড়িতে খুব বেশি মদ্যপান করিনি। খুব বেশি মদ্যপান করিনি - সম্ভবত ১২ মাসে ৩-৪ বার। তাই আমি সফলভাবে একজন পরিমিত মদ্যপায়ী হয়ে উঠি। যাইহোক, কয়েক মাস আগে, আমি এক বন্ধুর কাছে গিয়েছিলাম এবং দুই বাচ্চা নিয়ে মদ্যপান করে বাড়ি ফিরেছিলাম। এটি করার সময় কারও সাথে কিছুটা রোড-রেগ তর্কও হয়েছিল। কোনও দুর্ঘটনা বা কেউ আহত হয়নি, তবে আপনি বিশ্বাস করতে পারবেন না যে আমি যা ঘটেছে তা এবং নিজেকে কতটা ঘৃণা করি - আগে কখনও করিনি এবং আমি এমন খারাপ কাজ করে এমন লোকদের ঘৃণা করি। আমার এখনও একটি সমস্যা আছে যে মাঝে মাঝে আমার মদ্যপান বন্ধ করার মতো আত্ম-নিয়ন্ত্রণ থাকে না। এর ফলে আমি এমন এক পর্যায়ে এসে পৌঁছেছি যেখানে আমার সামনে কয়েকটি বিকল্প আছে: সম্পূর্ণরূপে মদ্যপান ত্যাগ করা, শুধুমাত্র বিশেষ অনুষ্ঠানে যেমন নববর্ষ, জন্মদিন ইত্যাদিতে মদ্যপান করা, কখনও ২ বারের বেশি পান করা এবং মাঝে মাঝে যেমন খাবারের সাথে এক গ্লাস ওয়াইন পান করা। লোকেরা কী সঠিক বিকল্প বলে মনে করে এবং কেন তা সম্পর্কে তাদের মতামত শুনতে চাই কারণ আমার কোন ধারণা নেই কী করব।</v>
      </c>
    </row>
    <row r="1129" spans="1:3" ht="15" x14ac:dyDescent="0.25">
      <c r="A1129" s="3" t="s">
        <v>1126</v>
      </c>
      <c r="B1129" s="3" t="s">
        <v>997</v>
      </c>
      <c r="C1129" s="4" t="str">
        <f ca="1">IFERROR(__xludf.DUMMYFUNCTION("GOOGLETRANSLATE(A1129, ""auto"", ""bn"")"),"প্রায় পাঁচ বছর আগে, আমি (৩৬ বছর বয়সী) আমার স্বাচ্ছন্দ্যের চেয়ে একটু বেশি মদ্যপান শুরু করেছিলাম, যা আমার কাছে একেবারেই আলাদা ছিল কারণ এর আগে আমি কখনও মদ্যপান করিনি। তারপর আমি একটি নতুন শহরে চাকরি নিতে চলে যাই যেখানে কাজের পরিবেশ বিষাক্ত হয়ে ওঠে এবং সেখান "&amp;"থেকে ছুটিতে যাই এবং এর কিছুক্ষণ পরেই কোভিড আক্রান্ত হয়। তারপর থেকে, আমার মদ্যপান নিয়ন্ত্রণের বাইরে চলে গেছে এবং আমি জানি না কী করব। আমি মিটিংয়ে গিয়েছি এবং তারা কোনও সাহায্য খুঁজে পাচ্ছি না - সাধারণত, অনেক পুরুষই কথা বলে যে তাদের আসলে মদ্যপানের কোনও কা"&amp;"রণ ছিল না কিন্তু তারা করত, এবং তারা পুরো মিটিংয়ে অংশ নেয় যেখানে কোনও মহিলা কখনও কথা বলে না। আমি মহিলা-নির্দিষ্ট গোষ্ঠীগুলি খুঁজছিলাম কিন্তু তারা সবাই অনলাইনে থাকে যা আমি চেষ্টাও করেছি, এবং এটি আমাকে সংযোগ বিচ্ছিন্ন করে ফেলেছে। আমি দ্য সিনক্লেয়ার মেথড প"&amp;"ড়ছি এবং ওষুধটি চেষ্টা করেছি যা আমি যখন মোটেও মদ্যপান করছিলাম না তখনও আমাকে তীব্র বমি বমি ভাব এবং শুষ্ক-হেভিঙে ফেলেছিল। তাছাড়া, আমার একজন কাউন্সেলর এবং একজন মনোরোগ বিশেষজ্ঞ আছেন এবং আমি ডায়েরি করার চেষ্টা করি, কিন্তু মনে হচ্ছে আমি খুব ভালো থাকবো এবং তারপ"&amp;"র প্রতি তিন বা চার দিন পর, আমি উত্তেজিত হয়ে পড়বো এবং অতিরিক্ত মাদক গ্রহণ করবো। আমি নিজের উপর খুব বিরক্ত এবং মনে হচ্ছে আমি নিজেকে এবং আমার পরিবারকে মারাত্মকভাবে হতাশ করছি। আমার সঙ্গী এবং মেয়ে অবিশ্বাস্যভাবে সমর্থন করেছে, কিন্তু আমি জানি এটি একটি বড় ক্ষ"&amp;"তি করছে এবং আমি যদি নিজেকে ঠিক করতে পারতাম। আমি আর নিশ্চিত নই যে কী করব কিন্তু খুব ভয় পাচ্ছি (যা অবাক করার মতো নয় কারণ আমার চরম সামাজিক উদ্বেগ ব্যাধি, প্রধান বিষণ্ণতা ব্যাধি এবং PTSD আছে যা আমি খুব ছোটবেলা থেকেই বিদ্যমান)। আমি খুব হতাশ বোধ করছি।")</f>
        <v>প্রায় পাঁচ বছর আগে, আমি (৩৬ বছর বয়সী) আমার স্বাচ্ছন্দ্যের চেয়ে একটু বেশি মদ্যপান শুরু করেছিলাম, যা আমার কাছে একেবারেই আলাদা ছিল কারণ এর আগে আমি কখনও মদ্যপান করিনি। তারপর আমি একটি নতুন শহরে চাকরি নিতে চলে যাই যেখানে কাজের পরিবেশ বিষাক্ত হয়ে ওঠে এবং সেখান থেকে ছুটিতে যাই এবং এর কিছুক্ষণ পরেই কোভিড আক্রান্ত হয়। তারপর থেকে, আমার মদ্যপান নিয়ন্ত্রণের বাইরে চলে গেছে এবং আমি জানি না কী করব। আমি মিটিংয়ে গিয়েছি এবং তারা কোনও সাহায্য খুঁজে পাচ্ছি না - সাধারণত, অনেক পুরুষই কথা বলে যে তাদের আসলে মদ্যপানের কোনও কারণ ছিল না কিন্তু তারা করত, এবং তারা পুরো মিটিংয়ে অংশ নেয় যেখানে কোনও মহিলা কখনও কথা বলে না। আমি মহিলা-নির্দিষ্ট গোষ্ঠীগুলি খুঁজছিলাম কিন্তু তারা সবাই অনলাইনে থাকে যা আমি চেষ্টাও করেছি, এবং এটি আমাকে সংযোগ বিচ্ছিন্ন করে ফেলেছে। আমি দ্য সিনক্লেয়ার মেথড পড়ছি এবং ওষুধটি চেষ্টা করেছি যা আমি যখন মোটেও মদ্যপান করছিলাম না তখনও আমাকে তীব্র বমি বমি ভাব এবং শুষ্ক-হেভিঙে ফেলেছিল। তাছাড়া, আমার একজন কাউন্সেলর এবং একজন মনোরোগ বিশেষজ্ঞ আছেন এবং আমি ডায়েরি করার চেষ্টা করি, কিন্তু মনে হচ্ছে আমি খুব ভালো থাকবো এবং তারপর প্রতি তিন বা চার দিন পর, আমি উত্তেজিত হয়ে পড়বো এবং অতিরিক্ত মাদক গ্রহণ করবো। আমি নিজের উপর খুব বিরক্ত এবং মনে হচ্ছে আমি নিজেকে এবং আমার পরিবারকে মারাত্মকভাবে হতাশ করছি। আমার সঙ্গী এবং মেয়ে অবিশ্বাস্যভাবে সমর্থন করেছে, কিন্তু আমি জানি এটি একটি বড় ক্ষতি করছে এবং আমি যদি নিজেকে ঠিক করতে পারতাম। আমি আর নিশ্চিত নই যে কী করব কিন্তু খুব ভয় পাচ্ছি (যা অবাক করার মতো নয় কারণ আমার চরম সামাজিক উদ্বেগ ব্যাধি, প্রধান বিষণ্ণতা ব্যাধি এবং PTSD আছে যা আমি খুব ছোটবেলা থেকেই বিদ্যমান)। আমি খুব হতাশ বোধ করছি।</v>
      </c>
    </row>
    <row r="1130" spans="1:3" ht="15" x14ac:dyDescent="0.25">
      <c r="A1130" s="3" t="s">
        <v>1127</v>
      </c>
      <c r="B1130" s="3" t="s">
        <v>997</v>
      </c>
      <c r="C1130" s="4" t="str">
        <f ca="1">IFERROR(__xludf.DUMMYFUNCTION("GOOGLETRANSLATE(A1130, ""auto"", ""bn"")"),"আমি ১৬ বছর বয়সে মদ্যপান শুরু করেছিলাম এবং ৯ বছর পর আমি শুধু পার্টি করতে যাই। অবশেষে আমি এই ত্যাগকে কাটিয়ে উঠেছি - তাই শারীরিকভাবে, কঠিন অংশটি শেষ হয়ে গেছে। কিন্তু যখন আমি এখনও একজন অদক্ষ নাগরিক হিসেবে ঋণের মধ্যে থাকি এবং স্বাভাবিক সুযোগগুলি বহু বছর পিছ"&amp;"নে পড়ে থাকি, তখন এটি নতুন করে শুরু করার মতো মনে হয় না। আমি জীবনের সমস্ত লালিত অভিজ্ঞতা অর্জন করতে চাই; ভ্রমণ, ভ্রমণ (আমি একজন বৈদ্যুতিক/বেস গিটারিস্ট) কিন্তু ভরণপোষণের জন্য একটি ঘর এবং অদম্য ঋণের সাথে, আমি যেন বাস মিস করেছি। এটা এমন যে একটি দেশ যদি এখনও"&amp;" যুদ্ধবিধ্বস্ত থাকে তবে ঠিক শান্তিতে ফিরে যেতে পারে না।")</f>
        <v>আমি ১৬ বছর বয়সে মদ্যপান শুরু করেছিলাম এবং ৯ বছর পর আমি শুধু পার্টি করতে যাই। অবশেষে আমি এই ত্যাগকে কাটিয়ে উঠেছি - তাই শারীরিকভাবে, কঠিন অংশটি শেষ হয়ে গেছে। কিন্তু যখন আমি এখনও একজন অদক্ষ নাগরিক হিসেবে ঋণের মধ্যে থাকি এবং স্বাভাবিক সুযোগগুলি বহু বছর পিছনে পড়ে থাকি, তখন এটি নতুন করে শুরু করার মতো মনে হয় না। আমি জীবনের সমস্ত লালিত অভিজ্ঞতা অর্জন করতে চাই; ভ্রমণ, ভ্রমণ (আমি একজন বৈদ্যুতিক/বেস গিটারিস্ট) কিন্তু ভরণপোষণের জন্য একটি ঘর এবং অদম্য ঋণের সাথে, আমি যেন বাস মিস করেছি। এটা এমন যে একটি দেশ যদি এখনও যুদ্ধবিধ্বস্ত থাকে তবে ঠিক শান্তিতে ফিরে যেতে পারে না।</v>
      </c>
    </row>
    <row r="1131" spans="1:3" ht="15" x14ac:dyDescent="0.25">
      <c r="A1131" s="3" t="s">
        <v>1128</v>
      </c>
      <c r="B1131" s="3" t="s">
        <v>997</v>
      </c>
      <c r="C1131" s="4" t="str">
        <f ca="1">IFERROR(__xludf.DUMMYFUNCTION("GOOGLETRANSLATE(A1131, ""auto"", ""bn"")"),"সে বারবার বলতে থাকে যে সে ঠিক আছে। আমি জানতাম না কিভাবে তাকে আর সাহায্য করব। সে AA তে যেতে অস্বীকৃতি জানায়, কোন প্রোগ্রামে যেতে অস্বীকৃতি জানায়, অথবা কোন মনোরোগ বিশেষজ্ঞের কাছে যেতে অস্বীকৃতি জানায়। সে দর্শনার্থীদের নিতে শুরু করে কিন্তু কেন সে আর তা পে"&amp;"তে পারে না তার অজুহাত দেখাতে থাকে। তাছাড়া, সে আমার পিছনে লুকিয়ে মদ খেতে থাকে, এমনকি আমার রুমমেটদের কাছ থেকে মদ চুরি করে। আমি তাকে ফিরে পেতে চাই। আমি তাকে সমর্থন করতে চাই। তার নিজের বাবা-মা এবং বোনেরা আমাকে বলেছিল যে আমার তাকে ছেড়ে চলে যাওয়া উচিত। আমার"&amp;" মনে হচ্ছে আমি তাকে এই পথে যেতে দেখে নিজেকে হারিয়ে ফেলছি। সে এখন তাকে ছেড়ে যাওয়ার জন্য আমাকে দোষারোপ করে, সে যখন সুস্থ হচ্ছিল তখন আমি তার কাছে সবচেয়ে খারাপ ব্যক্তি ছিলাম কারণ আমি তাকে বলেছিলাম যে সে তাকে সাহায্য করার চেষ্টা করে এমন লোকদের ঠেলে দেয়, য"&amp;"েমন তার পরিবার এবং আমি দূরে সরে যাই এবং তার সাহায্যকারী বন্ধুদের সাথে বাইরে যায় যারা মদ্যপান করে, এবং তারপর তারাও কঠোর মাদক সেবন করে। সে জিজ্ঞাসা করে কেন আমি তাকে তার মতোই গ্রহণ করতে পারি না, এবং সত্য হল যে আমি তাকে আর মদ্যপান করে মৃত্যুর দিকে তাকাতে পার"&amp;"ছি না। তারপর সে বলল যে সে আমাকে তার জীবন থেকে সরিয়ে দিতে চায়, তাই আমি তার সাথে আর কথা বলিনি।")</f>
        <v>সে বারবার বলতে থাকে যে সে ঠিক আছে। আমি জানতাম না কিভাবে তাকে আর সাহায্য করব। সে AA তে যেতে অস্বীকৃতি জানায়, কোন প্রোগ্রামে যেতে অস্বীকৃতি জানায়, অথবা কোন মনোরোগ বিশেষজ্ঞের কাছে যেতে অস্বীকৃতি জানায়। সে দর্শনার্থীদের নিতে শুরু করে কিন্তু কেন সে আর তা পেতে পারে না তার অজুহাত দেখাতে থাকে। তাছাড়া, সে আমার পিছনে লুকিয়ে মদ খেতে থাকে, এমনকি আমার রুমমেটদের কাছ থেকে মদ চুরি করে। আমি তাকে ফিরে পেতে চাই। আমি তাকে সমর্থন করতে চাই। তার নিজের বাবা-মা এবং বোনেরা আমাকে বলেছিল যে আমার তাকে ছেড়ে চলে যাওয়া উচিত। আমার মনে হচ্ছে আমি তাকে এই পথে যেতে দেখে নিজেকে হারিয়ে ফেলছি। সে এখন তাকে ছেড়ে যাওয়ার জন্য আমাকে দোষারোপ করে, সে যখন সুস্থ হচ্ছিল তখন আমি তার কাছে সবচেয়ে খারাপ ব্যক্তি ছিলাম কারণ আমি তাকে বলেছিলাম যে সে তাকে সাহায্য করার চেষ্টা করে এমন লোকদের ঠেলে দেয়, যেমন তার পরিবার এবং আমি দূরে সরে যাই এবং তার সাহায্যকারী বন্ধুদের সাথে বাইরে যায় যারা মদ্যপান করে, এবং তারপর তারাও কঠোর মাদক সেবন করে। সে জিজ্ঞাসা করে কেন আমি তাকে তার মতোই গ্রহণ করতে পারি না, এবং সত্য হল যে আমি তাকে আর মদ্যপান করে মৃত্যুর দিকে তাকাতে পারছি না। তারপর সে বলল যে সে আমাকে তার জীবন থেকে সরিয়ে দিতে চায়, তাই আমি তার সাথে আর কথা বলিনি।</v>
      </c>
    </row>
    <row r="1132" spans="1:3" ht="15" x14ac:dyDescent="0.25">
      <c r="A1132" s="3" t="s">
        <v>1129</v>
      </c>
      <c r="B1132" s="3" t="s">
        <v>997</v>
      </c>
      <c r="C1132" s="4" t="str">
        <f ca="1">IFERROR(__xludf.DUMMYFUNCTION("GOOGLETRANSLATE(A1132, ""auto"", ""bn"")"),"আমার স্পষ্ট করে বলা উচিত যে আমি মদ্যপ নই। গত বছর ২১ বছর বয়সে আমার মাসিক হয়েছিল, যখন আমি রাতে ২-৩ গ্লাস ওয়াইন পান করতাম, কিন্তু কখনও বোতলে ভরে তা করিনি। আমি এটা লিখছি কারণ আমি জানতে আগ্রহী যে লোকেরা কীভাবে শুরু করেছিল। আমার পছন্দের ওষুধ হল গাঁজা, এবং যখ"&amp;"ন আমি এতে জড়িয়ে পড়ি, তখন আমি কখনই অস্বস্তি বোধ করি না। মাঝে মাঝে এখন আমি নিজেকে ভীত বা উদ্বিগ্ন বোধ করি, কিন্তু কখনও শারীরিকভাবে অসুস্থ বোধ করি না। অ্যালকোহল আমার জন্য প্রায়শই অস্বস্তিকর। কখনও কখনও আমি যখন খারাপ থাকি তখন আমি কিছুটা মদ্যপান করি, কিন্তু"&amp;" এটি প্রায়শই হ্যাংওভারে পরিণত হয়, এবং এমনকি যদি তা না হয় তবে আমি প্রায়শই নিজেকে খুব খারাপ বোধ করি যদি আমি প্রচুর পরিমাণে মদ্যপান করি। এটি সম্ভবত ব্যক্তিত্ব বা জেনেটিক্সের সাথে সম্পর্কিত কিছু, তবে আমি নিজেকে এই পদার্থের উপর নির্ভর করার কল্পনা করতে পারি"&amp;" না, যদি না আমি বোকা ছিলাম এবং নিজেকে নিয়মিত মদ্যপানে স্বাচ্ছন্দ্য বোধ করতাম। আমার মনে হয় আমার প্রশ্ন হল, সহনশীলতা তৈরি করার আগে আপনি কি মদ্যপান থেকে অসুস্থ বোধ করেন? আমি কল্পনাও করতে পারি না যে আমি প্রতি রাতে মাতাল হয়ে পড়ি কারণ আমি যখন প্রচুর পরিমাণে"&amp;" মদ্যপান করি তখন আমি খুব অসুস্থ বোধ করি। তাছাড়া, যখন আমি সবসময় ফ্রিজে ওয়াইন রাখতাম, তখন আমার মনে হতো আমি এটা বুঝতে পারবো, কিন্তু তারপরও যদি আমি খুব বেশি পরিমাণে ওয়াইন খাই তাহলে আমার খুব খারাপ লাগবে এবং আমার খুব খারাপ হ্যাংওভার হবে। তাছাড়া, আমি এখনও মাঝে"&amp;" মাঝে অ্যালকোহলকে ক্রাচ হিসেবে ব্যবহার করি, তাই আমি মনে করি আপনাদের সকলকে জিজ্ঞাসা করছি কারণ আমি এই সাব-ট্যাব সম্পর্কে যথেষ্ট পড়েছি যে মদ্যপান এমন কিছু নয় যার শিকার আমি হতে চাই। তাছাড়া, আপনাদের সকলের কাছ থেকে শোনার জন্য আমি অধীর আগ্রহে অপেক্ষা করছি; আমি "&amp;"জানি মাদকাসক্তির সাব-ট্যাব লুকিয়ে থাকা অদ্ভুত, কিন্তু আমার পরিবারে অনেক মদ্যপ আছে এবং এটি আমাকে সবসময় নিজের সম্পর্কে চিন্তিত করে তোলে।")</f>
        <v>আমার স্পষ্ট করে বলা উচিত যে আমি মদ্যপ নই। গত বছর ২১ বছর বয়সে আমার মাসিক হয়েছিল, যখন আমি রাতে ২-৩ গ্লাস ওয়াইন পান করতাম, কিন্তু কখনও বোতলে ভরে তা করিনি। আমি এটা লিখছি কারণ আমি জানতে আগ্রহী যে লোকেরা কীভাবে শুরু করেছিল। আমার পছন্দের ওষুধ হল গাঁজা, এবং যখন আমি এতে জড়িয়ে পড়ি, তখন আমি কখনই অস্বস্তি বোধ করি না। মাঝে মাঝে এখন আমি নিজেকে ভীত বা উদ্বিগ্ন বোধ করি, কিন্তু কখনও শারীরিকভাবে অসুস্থ বোধ করি না। অ্যালকোহল আমার জন্য প্রায়শই অস্বস্তিকর। কখনও কখনও আমি যখন খারাপ থাকি তখন আমি কিছুটা মদ্যপান করি, কিন্তু এটি প্রায়শই হ্যাংওভারে পরিণত হয়, এবং এমনকি যদি তা না হয় তবে আমি প্রায়শই নিজেকে খুব খারাপ বোধ করি যদি আমি প্রচুর পরিমাণে মদ্যপান করি। এটি সম্ভবত ব্যক্তিত্ব বা জেনেটিক্সের সাথে সম্পর্কিত কিছু, তবে আমি নিজেকে এই পদার্থের উপর নির্ভর করার কল্পনা করতে পারি না, যদি না আমি বোকা ছিলাম এবং নিজেকে নিয়মিত মদ্যপানে স্বাচ্ছন্দ্য বোধ করতাম। আমার মনে হয় আমার প্রশ্ন হল, সহনশীলতা তৈরি করার আগে আপনি কি মদ্যপান থেকে অসুস্থ বোধ করেন? আমি কল্পনাও করতে পারি না যে আমি প্রতি রাতে মাতাল হয়ে পড়ি কারণ আমি যখন প্রচুর পরিমাণে মদ্যপান করি তখন আমি খুব অসুস্থ বোধ করি। তাছাড়া, যখন আমি সবসময় ফ্রিজে ওয়াইন রাখতাম, তখন আমার মনে হতো আমি এটা বুঝতে পারবো, কিন্তু তারপরও যদি আমি খুব বেশি পরিমাণে ওয়াইন খাই তাহলে আমার খুব খারাপ লাগবে এবং আমার খুব খারাপ হ্যাংওভার হবে। তাছাড়া, আমি এখনও মাঝে মাঝে অ্যালকোহলকে ক্রাচ হিসেবে ব্যবহার করি, তাই আমি মনে করি আপনাদের সকলকে জিজ্ঞাসা করছি কারণ আমি এই সাব-ট্যাব সম্পর্কে যথেষ্ট পড়েছি যে মদ্যপান এমন কিছু নয় যার শিকার আমি হতে চাই। তাছাড়া, আপনাদের সকলের কাছ থেকে শোনার জন্য আমি অধীর আগ্রহে অপেক্ষা করছি; আমি জানি মাদকাসক্তির সাব-ট্যাব লুকিয়ে থাকা অদ্ভুত, কিন্তু আমার পরিবারে অনেক মদ্যপ আছে এবং এটি আমাকে সবসময় নিজের সম্পর্কে চিন্তিত করে তোলে।</v>
      </c>
    </row>
    <row r="1133" spans="1:3" ht="15" x14ac:dyDescent="0.25">
      <c r="A1133" s="3" t="s">
        <v>1130</v>
      </c>
      <c r="B1133" s="3" t="s">
        <v>997</v>
      </c>
      <c r="C1133" s="4" t="str">
        <f ca="1">IFERROR(__xludf.DUMMYFUNCTION("GOOGLETRANSLATE(A1133, ""auto"", ""bn"")"),"আমি প্রথম বর্ষের বিশ্ববিদ্যালয়ের ছাত্র এবং আমি আসলে বিশ্ববিদ্যালয়ের আগে মদ্যপান করতাম না (১৬ বছর বয়সে মাত্র দু-একটি পানীয় খেয়েছিলাম)। পাঁচ মাস আগে যখন থেকে আমি বিশ্ববিদ্যালয় শুরু করি, তখন থেকে প্রায় প্রতি সপ্তাহান্তে আমি ক্লাবে বা আমার বিশ্ববিদ্যাল"&amp;"য়ের বন্ধুদের সাথে পাব যেতে যেতে নিজেকে সপ্তাহে একবার মদ্যপান করতে দেখি। যত বেশি মদ্যপান শুরু করি, ততই আমি আরও হিংস্র হয়ে উঠি। আমি আমার পুরুষ ফ্ল্যাটমেটদের পিছনে একাধিকবার ঘুষি মারতাম। আমি অনেক লোককে গালিগালাজ করতাম, কিন্তু বেশিরভাগ সময় আমি আমার ফ্ল্যাট"&amp;"মেটের একজনকে গালিগালাজ করতাম, যদিও সে আমার দেখা সবচেয়ে ভালো মানুষদের মধ্যে একজন। তাছাড়া, আমি অকারণে লোকেদের উপর ভয়ঙ্কর অশ্লীল কথা বলতাম। আমি আমাদের রান্নাঘরের দেয়ালে ছোট ছোট কাচের বোতল ছুঁড়ে মেরেছি। তাছাড়া, আমি আমার ফ্ল্যাটমেটকে পায়ে এত জোরে লাথি ম"&amp;"েরেছিলাম যে তার শরীরে আঘাত লেগেছে। তাছাড়া, আমি অন্য কোথাও পালিয়ে যাই এবং এভাবেই আমি আমার বন্ধুদের হারাতে থাকি। এটা চলতেই থাকে। অন্য কিছু নিয়ে আমাদের মধ্যে ঝগড়া হয় এবং এখন আমার এবং আমার ফ্ল্যাটমেটদের মধ্যে ঝামেলা হয়। অবশেষে ফ্যানের উপর একটা বাজে কথা "&amp;"এসে পড়ল যখন আমার ফ্ল্যাটমেটরা বলল যে আমার সাথে বাইরে যেতে তাদের এখন অস্বস্তি হচ্ছে। তারা বলে যে তাদের মনে হয় তাদের সবসময় আমার দেখাশোনা করতে হবে যা তাদের রাত নষ্ট করবে। আমি সবসময় পরের দিন সকালে জিজ্ঞাসা করি যে আমি কি তাদের রাত নষ্ট করেছি, এবং তারা বলত "&amp;"""না?"" কিন্তু আমি জানি এটা মিথ্যা। আমার এক ফ্ল্যাটমেটের সাথে আমার মদ্যপান নিয়ে কথা হয়েছিল, এবং সে প্রায় বলেছিল যে আমি যখন মাতাল থাকি তখন আমি সম্পূর্ণ ভিন্ন মানুষ। সে আমাকে এই শব্দগুলিতে মাতাল বর্ণনা করেছিল: ""তুমি লাল দেখতে পাও?""। সে আমাকে মাতাল অবস্"&amp;"থায় আমি যা করি তার সবই বলেছিল, এবং আমি ভীত হয়ে পড়েছিলাম, কারণ আমি কখনই এই ধরণের কোনও কাজই করব না। সে বলল, ""তুমি একজন সুন্দর মানুষ, কিন্তু যখন তুমি মাতাল হও তখন তুমি এত রাগান্বিত এবং আক্রমণাত্মক হও?"" এবং সে বলে যে ফ্ল্যাটের বেশিরভাগ সমস্যা অন্যদের প্র"&amp;"তি আমার মাতাল আচরণের কারণে। আমি কেবল জানতে চাই যে আমার মাতাল হয়ে সম্পূর্ণ ভিন্ন মানুষ হওয়ার কারণ কী হতে পারে? আমার জীবনে সমস্যা আছে, আর মদ্যপান আর আক্রমণাত্মক আচরণের মাধ্যমে আমি সেগুলো ভুলভাবে সামলাই, কিন্তু আমি এটাও ভাবছি যে আমি কি একজন মানুষ হিসেবে এম"&amp;"নই এবং আমার মাতালতা কি আসল আমার পরিচয় দেয়? তাছাড়া, মাঝে মাঝে আমারও মনে হয় আমি একজন বিরক্তিকর মানুষ হতে পারি, তাই আমি মদ্যপান করব যাতে আমি আরও কিছুটা উত্তেজনাপূর্ণ এবং উদ্যমী হতে পারি। তাছাড়া, আমি কীভাবে আমার মদ্যপানকে শান্ত করতে পারি এবং তারপরও ভালো "&amp;"সময় কাটাতে পারি সে সম্পর্কেও পরামর্শ চাইছি। এই পুরো পরিস্থিতি আমাকে মদ্যপান থেকে বিরত রেখেছে এবং আমি সবসময় প্রতিশ্রুতি দিই যে আমি ততটা মদ্যপান বন্ধ করতে পারব কিন্তু পরের দিন আমরা বাইরে যাওয়ার পর আবার সেই চক্রে ফিরে আসি, এবং আমি আবার একই স্তরে মদ্যপান ক"&amp;"রি। স্পষ্টতই, আমার ফ্ল্যাটমেটদের জন্য এবং বিশেষ করে আমার জন্য এটি বেশ ক্লান্তিকর হয়ে উঠছে।")</f>
        <v>আমি প্রথম বর্ষের বিশ্ববিদ্যালয়ের ছাত্র এবং আমি আসলে বিশ্ববিদ্যালয়ের আগে মদ্যপান করতাম না (১৬ বছর বয়সে মাত্র দু-একটি পানীয় খেয়েছিলাম)। পাঁচ মাস আগে যখন থেকে আমি বিশ্ববিদ্যালয় শুরু করি, তখন থেকে প্রায় প্রতি সপ্তাহান্তে আমি ক্লাবে বা আমার বিশ্ববিদ্যালয়ের বন্ধুদের সাথে পাব যেতে যেতে নিজেকে সপ্তাহে একবার মদ্যপান করতে দেখি। যত বেশি মদ্যপান শুরু করি, ততই আমি আরও হিংস্র হয়ে উঠি। আমি আমার পুরুষ ফ্ল্যাটমেটদের পিছনে একাধিকবার ঘুষি মারতাম। আমি অনেক লোককে গালিগালাজ করতাম, কিন্তু বেশিরভাগ সময় আমি আমার ফ্ল্যাটমেটের একজনকে গালিগালাজ করতাম, যদিও সে আমার দেখা সবচেয়ে ভালো মানুষদের মধ্যে একজন। তাছাড়া, আমি অকারণে লোকেদের উপর ভয়ঙ্কর অশ্লীল কথা বলতাম। আমি আমাদের রান্নাঘরের দেয়ালে ছোট ছোট কাচের বোতল ছুঁড়ে মেরেছি। তাছাড়া, আমি আমার ফ্ল্যাটমেটকে পায়ে এত জোরে লাথি মেরেছিলাম যে তার শরীরে আঘাত লেগেছে। তাছাড়া, আমি অন্য কোথাও পালিয়ে যাই এবং এভাবেই আমি আমার বন্ধুদের হারাতে থাকি। এটা চলতেই থাকে। অন্য কিছু নিয়ে আমাদের মধ্যে ঝগড়া হয় এবং এখন আমার এবং আমার ফ্ল্যাটমেটদের মধ্যে ঝামেলা হয়। অবশেষে ফ্যানের উপর একটা বাজে কথা এসে পড়ল যখন আমার ফ্ল্যাটমেটরা বলল যে আমার সাথে বাইরে যেতে তাদের এখন অস্বস্তি হচ্ছে। তারা বলে যে তাদের মনে হয় তাদের সবসময় আমার দেখাশোনা করতে হবে যা তাদের রাত নষ্ট করবে। আমি সবসময় পরের দিন সকালে জিজ্ঞাসা করি যে আমি কি তাদের রাত নষ্ট করেছি, এবং তারা বলত "না?" কিন্তু আমি জানি এটা মিথ্যা। আমার এক ফ্ল্যাটমেটের সাথে আমার মদ্যপান নিয়ে কথা হয়েছিল, এবং সে প্রায় বলেছিল যে আমি যখন মাতাল থাকি তখন আমি সম্পূর্ণ ভিন্ন মানুষ। সে আমাকে এই শব্দগুলিতে মাতাল বর্ণনা করেছিল: "তুমি লাল দেখতে পাও?"। সে আমাকে মাতাল অবস্থায় আমি যা করি তার সবই বলেছিল, এবং আমি ভীত হয়ে পড়েছিলাম, কারণ আমি কখনই এই ধরণের কোনও কাজই করব না। সে বলল, "তুমি একজন সুন্দর মানুষ, কিন্তু যখন তুমি মাতাল হও তখন তুমি এত রাগান্বিত এবং আক্রমণাত্মক হও?" এবং সে বলে যে ফ্ল্যাটের বেশিরভাগ সমস্যা অন্যদের প্রতি আমার মাতাল আচরণের কারণে। আমি কেবল জানতে চাই যে আমার মাতাল হয়ে সম্পূর্ণ ভিন্ন মানুষ হওয়ার কারণ কী হতে পারে? আমার জীবনে সমস্যা আছে, আর মদ্যপান আর আক্রমণাত্মক আচরণের মাধ্যমে আমি সেগুলো ভুলভাবে সামলাই, কিন্তু আমি এটাও ভাবছি যে আমি কি একজন মানুষ হিসেবে এমনই এবং আমার মাতালতা কি আসল আমার পরিচয় দেয়? তাছাড়া, মাঝে মাঝে আমারও মনে হয় আমি একজন বিরক্তিকর মানুষ হতে পারি, তাই আমি মদ্যপান করব যাতে আমি আরও কিছুটা উত্তেজনাপূর্ণ এবং উদ্যমী হতে পারি। তাছাড়া, আমি কীভাবে আমার মদ্যপানকে শান্ত করতে পারি এবং তারপরও ভালো সময় কাটাতে পারি সে সম্পর্কেও পরামর্শ চাইছি। এই পুরো পরিস্থিতি আমাকে মদ্যপান থেকে বিরত রেখেছে এবং আমি সবসময় প্রতিশ্রুতি দিই যে আমি ততটা মদ্যপান বন্ধ করতে পারব কিন্তু পরের দিন আমরা বাইরে যাওয়ার পর আবার সেই চক্রে ফিরে আসি, এবং আমি আবার একই স্তরে মদ্যপান করি। স্পষ্টতই, আমার ফ্ল্যাটমেটদের জন্য এবং বিশেষ করে আমার জন্য এটি বেশ ক্লান্তিকর হয়ে উঠছে।</v>
      </c>
    </row>
    <row r="1134" spans="1:3" ht="15" x14ac:dyDescent="0.25">
      <c r="A1134" s="3" t="s">
        <v>1131</v>
      </c>
      <c r="B1134" s="3" t="s">
        <v>997</v>
      </c>
      <c r="C1134" s="4" t="str">
        <f ca="1">IFERROR(__xludf.DUMMYFUNCTION("GOOGLETRANSLATE(A1134, ""auto"", ""bn"")"),"আমি আর আমার স্বামী ৩ সপ্তাহ ধরে মদ্যপান করতে গিয়েছিলাম এবং অ্যালকোহলের বিষক্রিয়া এবং খাদ্যনালীতে ছিদ্রের কারণে সে মারা গেল। ডিসেম্বর মাসটা আমাদের জন্য ভয়াবহ ছিল এবং আমি ভেবেছিলাম আমরা শিখবো কিন্তু যখন আমরা মদ ছেড়ে দিলাম তখন সে আড়াই দিন ধরে বমি করে, এ"&amp;"বং সে ধড়ফড় করে পড়ে গেল এবং কথা বলতে পারল না। ২ তারিখে আমি তাকে হারিয়ে ফেললাম। এটা একটা চোখ খুলে দেওয়ার মতো অভিজ্ঞতা। তখন থেকে আমি পরিষ্কার।")</f>
        <v>আমি আর আমার স্বামী ৩ সপ্তাহ ধরে মদ্যপান করতে গিয়েছিলাম এবং অ্যালকোহলের বিষক্রিয়া এবং খাদ্যনালীতে ছিদ্রের কারণে সে মারা গেল। ডিসেম্বর মাসটা আমাদের জন্য ভয়াবহ ছিল এবং আমি ভেবেছিলাম আমরা শিখবো কিন্তু যখন আমরা মদ ছেড়ে দিলাম তখন সে আড়াই দিন ধরে বমি করে, এবং সে ধড়ফড় করে পড়ে গেল এবং কথা বলতে পারল না। ২ তারিখে আমি তাকে হারিয়ে ফেললাম। এটা একটা চোখ খুলে দেওয়ার মতো অভিজ্ঞতা। তখন থেকে আমি পরিষ্কার।</v>
      </c>
    </row>
    <row r="1135" spans="1:3" ht="15" x14ac:dyDescent="0.25">
      <c r="A1135" s="3" t="s">
        <v>1132</v>
      </c>
      <c r="B1135" s="3" t="s">
        <v>997</v>
      </c>
      <c r="C1135" s="4" t="str">
        <f ca="1">IFERROR(__xludf.DUMMYFUNCTION("GOOGLETRANSLATE(A1135, ""auto"", ""bn"")"),"আমি শারীরিক আসক্তির জন্য মদ্যপান বন্ধ করে দিয়েছি। আমার মদ্যপানের কোনও ইচ্ছা নেই, কিন্তু মদ্যপান না করার ৫ দিনে আমার ১৪ পাউন্ড ওজন কমেছে, যা বেশ পাগলাটে। প্রথম ২.৫ দিন খুব খারাপ কেটেছিল কিন্তু তারপর থেকে আমি আরও ভালো বোধ করতে থাকি। এখনও ভালো ঘুম হচ্ছে না,"&amp;" তবে মেলাটোনিন কিছুটা সাহায্য করছে এবং পাগলাটে স্বপ্ন দেখাচ্ছে।")</f>
        <v>আমি শারীরিক আসক্তির জন্য মদ্যপান বন্ধ করে দিয়েছি। আমার মদ্যপানের কোনও ইচ্ছা নেই, কিন্তু মদ্যপান না করার ৫ দিনে আমার ১৪ পাউন্ড ওজন কমেছে, যা বেশ পাগলাটে। প্রথম ২.৫ দিন খুব খারাপ কেটেছিল কিন্তু তারপর থেকে আমি আরও ভালো বোধ করতে থাকি। এখনও ভালো ঘুম হচ্ছে না, তবে মেলাটোনিন কিছুটা সাহায্য করছে এবং পাগলাটে স্বপ্ন দেখাচ্ছে।</v>
      </c>
    </row>
    <row r="1136" spans="1:3" ht="15" x14ac:dyDescent="0.25">
      <c r="A1136" s="3" t="s">
        <v>1133</v>
      </c>
      <c r="B1136" s="3" t="s">
        <v>997</v>
      </c>
      <c r="C1136" s="4" t="str">
        <f ca="1">IFERROR(__xludf.DUMMYFUNCTION("GOOGLETRANSLATE(A1136, ""auto"", ""bn"")"),"আমি আসলে খুব একটা মদ্যপান করি না এবং কখনও পারিনি। আমি নিজেকে বলার চেষ্টা করি যে আমার কাছে মাত্র কয়েকটি থাকবে কিন্তু প্রতিবার যখনই কিছু থাকে তখন আমি পরের দিন ভোর পর্যন্ত থামি না। আমি প্রতিবারই এত অনুশোচনা নিয়ে ঘুম থেকে উঠি, নিজের জন্য এবং আমার ব্যক্তিত্ব"&amp;"ের জন্য লজ্জিত, আমি আর কখনও আমার মুখ দেখাতে চাই না কিন্তু আফসোস, প্রতি সপ্তাহান্তে আমি আবার সেই একই কাজ করি যা আমি নিজেকে বলতাম যে আমি করব না। আমার শহরে মদ্যপান ছাড়া মেলামেশা করা কঠিন, এখানে সবাই এটা করে। আমার বয়স মাত্র ২২ এবং মদ্যপান আমার জীবনে ইতিমধ্য"&amp;"েই খারাপ জিনিস, এই সবের সবচেয়ে খারাপ দিক হল আমার মৃগীরোগ আছে তাই আমি প্রতিবারই নিজেকে খিঁচুনির ঝুঁকিতে ফেলি। আমি সত্যিই জানি না আর কি করব এবং আমি এই বিষয়ে কারও সাথে কথা বলতে পারি না কারণ তারা আমাকে কেবল বক্তৃতা দেয় এবং হাল ছেড়ে দিতে বলে, তুমি শান্ত থা"&amp;"কার মজা করতে পারো ইত্যাদি তাই আমি রেডিটের দিকে ঝুঁকছি।")</f>
        <v>আমি আসলে খুব একটা মদ্যপান করি না এবং কখনও পারিনি। আমি নিজেকে বলার চেষ্টা করি যে আমার কাছে মাত্র কয়েকটি থাকবে কিন্তু প্রতিবার যখনই কিছু থাকে তখন আমি পরের দিন ভোর পর্যন্ত থামি না। আমি প্রতিবারই এত অনুশোচনা নিয়ে ঘুম থেকে উঠি, নিজের জন্য এবং আমার ব্যক্তিত্বের জন্য লজ্জিত, আমি আর কখনও আমার মুখ দেখাতে চাই না কিন্তু আফসোস, প্রতি সপ্তাহান্তে আমি আবার সেই একই কাজ করি যা আমি নিজেকে বলতাম যে আমি করব না। আমার শহরে মদ্যপান ছাড়া মেলামেশা করা কঠিন, এখানে সবাই এটা করে। আমার বয়স মাত্র ২২ এবং মদ্যপান আমার জীবনে ইতিমধ্যেই খারাপ জিনিস, এই সবের সবচেয়ে খারাপ দিক হল আমার মৃগীরোগ আছে তাই আমি প্রতিবারই নিজেকে খিঁচুনির ঝুঁকিতে ফেলি। আমি সত্যিই জানি না আর কি করব এবং আমি এই বিষয়ে কারও সাথে কথা বলতে পারি না কারণ তারা আমাকে কেবল বক্তৃতা দেয় এবং হাল ছেড়ে দিতে বলে, তুমি শান্ত থাকার মজা করতে পারো ইত্যাদি তাই আমি রেডিটের দিকে ঝুঁকছি।</v>
      </c>
    </row>
    <row r="1137" spans="1:3" ht="15" x14ac:dyDescent="0.25">
      <c r="A1137" s="3" t="s">
        <v>1134</v>
      </c>
      <c r="B1137" s="3" t="s">
        <v>997</v>
      </c>
      <c r="C1137" s="4" t="str">
        <f ca="1">IFERROR(__xludf.DUMMYFUNCTION("GOOGLETRANSLATE(A1137, ""auto"", ""bn"")"),"মহামারী চলাকালীন, আমার (৩০°F) অ্যালকোহলের সাথে সম্পর্ক বিষাক্ত হয়ে উঠেছে। অক্টোবর মাস থেকে, আমি ভালো সাফল্যের সাথে এটিকে আমার জীবন থেকে কেটে ফেলার চেষ্টা করছি। দুর্ভাগ্যবশত আমার স্বামী (২৯°M) আমার সিদ্ধান্তের বিরুদ্ধে চাপ দিচ্ছেন। তিনি ক্যারিয়ারের জন্য "&amp;"ক্রাফ্ট বিয়ার তৈরি করেন। তিনি বুঝতে পারেন না কেন আমি কেবল একবার পান করতে পারি না, এবং আমি সৎভাবে বলেছি ""এটি কখনও কেবল একবার হয় না।"" ব্যক্তিগতভাবে আমার জন্য, গুঞ্জন শুরু হওয়ার সাথে সাথেই আমি আরও বেশি চাই যতক্ষণ না আমি দেখতে পাই না। গত সপ্তাহান্তে আমি "&amp;"সস্তা ওয়াইন কিনতাম এবং হ্যাংওভারের জন্য একটি দিন হারিয়ে ফেলি। এই ভুল আমাকে বিব্রত এবং রাগান্বিত করেছে, কিন্তু আমার স্বামী আবারও চাপ দিচ্ছে। কেউ কি বলার উপায় আছে যে কেবল একটি পান করা কীভাবে অসম্ভব?")</f>
        <v>মহামারী চলাকালীন, আমার (৩০°F) অ্যালকোহলের সাথে সম্পর্ক বিষাক্ত হয়ে উঠেছে। অক্টোবর মাস থেকে, আমি ভালো সাফল্যের সাথে এটিকে আমার জীবন থেকে কেটে ফেলার চেষ্টা করছি। দুর্ভাগ্যবশত আমার স্বামী (২৯°M) আমার সিদ্ধান্তের বিরুদ্ধে চাপ দিচ্ছেন। তিনি ক্যারিয়ারের জন্য ক্রাফ্ট বিয়ার তৈরি করেন। তিনি বুঝতে পারেন না কেন আমি কেবল একবার পান করতে পারি না, এবং আমি সৎভাবে বলেছি "এটি কখনও কেবল একবার হয় না।" ব্যক্তিগতভাবে আমার জন্য, গুঞ্জন শুরু হওয়ার সাথে সাথেই আমি আরও বেশি চাই যতক্ষণ না আমি দেখতে পাই না। গত সপ্তাহান্তে আমি সস্তা ওয়াইন কিনতাম এবং হ্যাংওভারের জন্য একটি দিন হারিয়ে ফেলি। এই ভুল আমাকে বিব্রত এবং রাগান্বিত করেছে, কিন্তু আমার স্বামী আবারও চাপ দিচ্ছে। কেউ কি বলার উপায় আছে যে কেবল একটি পান করা কীভাবে অসম্ভব?</v>
      </c>
    </row>
    <row r="1138" spans="1:3" ht="15" x14ac:dyDescent="0.25">
      <c r="A1138" s="3" t="s">
        <v>1135</v>
      </c>
      <c r="B1138" s="3" t="s">
        <v>997</v>
      </c>
      <c r="C1138" s="4" t="str">
        <f ca="1">IFERROR(__xludf.DUMMYFUNCTION("GOOGLETRANSLATE(A1138, ""auto"", ""bn"")"),"আজ রাতে ডেট করতে রাজি হয়ে গেলাম কারণ আমার মা ভয় পেয়ে গিয়েছিলেন যে এটা আমার সংযমের সাথে কতটা খারাপ আচরণ করবে। আর এখন আমি শুধু রাত ১২টায় খোলা আমার দোকানে গাড়ি চালিয়ে যেতে চাই এবং পান করতে চাই, এই খারাপ জিনিসটা, মনে হচ্ছে আমি ৩য় দিন পার করতে পারছি না, আর মনে"&amp;" হচ্ছে যেন সবসময় চেষ্টা করে যাচ্ছি।")</f>
        <v>আজ রাতে ডেট করতে রাজি হয়ে গেলাম কারণ আমার মা ভয় পেয়ে গিয়েছিলেন যে এটা আমার সংযমের সাথে কতটা খারাপ আচরণ করবে। আর এখন আমি শুধু রাত ১২টায় খোলা আমার দোকানে গাড়ি চালিয়ে যেতে চাই এবং পান করতে চাই, এই খারাপ জিনিসটা, মনে হচ্ছে আমি ৩য় দিন পার করতে পারছি না, আর মনে হচ্ছে যেন সবসময় চেষ্টা করে যাচ্ছি।</v>
      </c>
    </row>
    <row r="1139" spans="1:3" ht="15" x14ac:dyDescent="0.25">
      <c r="A1139" s="3" t="s">
        <v>1136</v>
      </c>
      <c r="B1139" s="3" t="s">
        <v>997</v>
      </c>
      <c r="C1139" s="4" t="str">
        <f ca="1">IFERROR(__xludf.DUMMYFUNCTION("GOOGLETRANSLATE(A1139, ""auto"", ""bn"")"),"গত রাতে কয়েক ঘন্টার মধ্যে আমার ১৩টি অতিরিক্ত ইনজেকশন হয়েছে। BAC দিয়ে পরীক্ষা করে দেখলাম, আমার কোমায় চলে যাওয়ার কথা। স্পষ্টতই, আমি ছিলাম না। আর পরের দিন পর্যন্ত আমি ঠিকই ছিলাম যতটা একজন মদ্যপ হতে পারে। কেন? ? আমি ছোট। ৫'২ এবং ওজন ৫৫ কেজি। যতই পান করি না ক"&amp;"েন, আমার কখনও বমি বমি ভাব হয় না। ৮ ঘন্টা পরেও, আমার রক্তে অ্যালকোহল নেই। এর কোনও মানে হয় না।")</f>
        <v>গত রাতে কয়েক ঘন্টার মধ্যে আমার ১৩টি অতিরিক্ত ইনজেকশন হয়েছে। BAC দিয়ে পরীক্ষা করে দেখলাম, আমার কোমায় চলে যাওয়ার কথা। স্পষ্টতই, আমি ছিলাম না। আর পরের দিন পর্যন্ত আমি ঠিকই ছিলাম যতটা একজন মদ্যপ হতে পারে। কেন? ? আমি ছোট। ৫'২ এবং ওজন ৫৫ কেজি। যতই পান করি না কেন, আমার কখনও বমি বমি ভাব হয় না। ৮ ঘন্টা পরেও, আমার রক্তে অ্যালকোহল নেই। এর কোনও মানে হয় না।</v>
      </c>
    </row>
    <row r="1140" spans="1:3" ht="15" x14ac:dyDescent="0.25">
      <c r="A1140" s="3" t="s">
        <v>1137</v>
      </c>
      <c r="B1140" s="3" t="s">
        <v>997</v>
      </c>
      <c r="C1140" s="4" t="str">
        <f ca="1">IFERROR(__xludf.DUMMYFUNCTION("GOOGLETRANSLATE(A1140, ""auto"", ""bn"")"),"আমি সবেমাত্র ডিটক্স থেকে বেরিয়ে এসেছি, আর আমি চিন্তিত যে তারা আমার সম্মতি ছাড়াই আমাকে অ্যান্টাবুস দিয়েছে। তারা এটা করতে পারে না, তাই না? তারা আমাকে এটা বলেছিল এবং আমি বলেছিলাম যে আমি এটা চাই না। আমি নিশ্চিত যে ডিটক্সে থাকাকালীন তারা তোমাকে এটা দেবে না "&amp;"কারণ এটি কাউকে খুব অসুস্থ করে তুলতে পারে। কিন্তু আমি ভীত। আমি মাত্র ৩ দিন সেখানে ছিলাম। কেউ আমার মন শান্ত করেছে কারণ আমি একটু পান করতে চাই। আমার প্রত্যাহারের লক্ষণগুলি পুরোপুরি চলে যায়নি, তবে তারা আমাকে ছেড়ে দিয়েছে কারণ আমার শেক চলে গেছে।")</f>
        <v>আমি সবেমাত্র ডিটক্স থেকে বেরিয়ে এসেছি, আর আমি চিন্তিত যে তারা আমার সম্মতি ছাড়াই আমাকে অ্যান্টাবুস দিয়েছে। তারা এটা করতে পারে না, তাই না? তারা আমাকে এটা বলেছিল এবং আমি বলেছিলাম যে আমি এটা চাই না। আমি নিশ্চিত যে ডিটক্সে থাকাকালীন তারা তোমাকে এটা দেবে না কারণ এটি কাউকে খুব অসুস্থ করে তুলতে পারে। কিন্তু আমি ভীত। আমি মাত্র ৩ দিন সেখানে ছিলাম। কেউ আমার মন শান্ত করেছে কারণ আমি একটু পান করতে চাই। আমার প্রত্যাহারের লক্ষণগুলি পুরোপুরি চলে যায়নি, তবে তারা আমাকে ছেড়ে দিয়েছে কারণ আমার শেক চলে গেছে।</v>
      </c>
    </row>
    <row r="1141" spans="1:3" ht="15" x14ac:dyDescent="0.25">
      <c r="A1141" s="3" t="s">
        <v>1138</v>
      </c>
      <c r="B1141" s="3" t="s">
        <v>997</v>
      </c>
      <c r="C1141" s="4" t="str">
        <f ca="1">IFERROR(__xludf.DUMMYFUNCTION("GOOGLETRANSLATE(A1141, ""auto"", ""bn"")"),"এই সবের সাথে আমি নতুন, কিন্তু আমি একরকম পার পেয়ে গেছি এবং কিছু অন্তর্দৃষ্টি চাই। এক দশকেরও বেশি সময় ধরে মদ্যপান আমার জীবনের একটি বিশাল অংশ। যখন আমি বলি আমি মদ্যপান করি, তখন আমি বলতে চাই যে আমি মদ্যপান করি। সকালে নয়, বিকেলে এবং তারপর থেকে। আমি এমন এক পর"&amp;"্যায়ে পৌঁছেছি যেখানে আমি এটিকে ঘৃণা করি এবং আমার শরীর বন্ধ হয়ে যাচ্ছে। আমি ডাক্তারের কাছে যেতে ভয় পাচ্ছি, কিন্তু আমি অনুভব করতে পারছি যে আমার শরীর আমার উপর ছেড়ে দিচ্ছে। আমি দুর্বল, ক্ষুধা নেই এবং মনে হচ্ছে আমি এটি চালিয়ে যাচ্ছি কারণ আমাকে এটি করতে হব"&amp;"ে। আমি ভয় পাচ্ছি যে থামলে আমার শরীর বন্ধ হয়ে যাবে। তাছাড়া, আমার অন্যান্য আসক্তিও ছিল, কিন্তু এটি এমন একটি আসক্তি যা এতটাই সাধারণ এবং আমার ব্যক্তিগত জীবনে খুব বেশি প্রভাব ফেলেনি। যেকোনো অন্তর্দৃষ্টি সাহায্য করে।")</f>
        <v>এই সবের সাথে আমি নতুন, কিন্তু আমি একরকম পার পেয়ে গেছি এবং কিছু অন্তর্দৃষ্টি চাই। এক দশকেরও বেশি সময় ধরে মদ্যপান আমার জীবনের একটি বিশাল অংশ। যখন আমি বলি আমি মদ্যপান করি, তখন আমি বলতে চাই যে আমি মদ্যপান করি। সকালে নয়, বিকেলে এবং তারপর থেকে। আমি এমন এক পর্যায়ে পৌঁছেছি যেখানে আমি এটিকে ঘৃণা করি এবং আমার শরীর বন্ধ হয়ে যাচ্ছে। আমি ডাক্তারের কাছে যেতে ভয় পাচ্ছি, কিন্তু আমি অনুভব করতে পারছি যে আমার শরীর আমার উপর ছেড়ে দিচ্ছে। আমি দুর্বল, ক্ষুধা নেই এবং মনে হচ্ছে আমি এটি চালিয়ে যাচ্ছি কারণ আমাকে এটি করতে হবে। আমি ভয় পাচ্ছি যে থামলে আমার শরীর বন্ধ হয়ে যাবে। তাছাড়া, আমার অন্যান্য আসক্তিও ছিল, কিন্তু এটি এমন একটি আসক্তি যা এতটাই সাধারণ এবং আমার ব্যক্তিগত জীবনে খুব বেশি প্রভাব ফেলেনি। যেকোনো অন্তর্দৃষ্টি সাহায্য করে।</v>
      </c>
    </row>
    <row r="1142" spans="1:3" ht="15" x14ac:dyDescent="0.25">
      <c r="A1142" s="3" t="s">
        <v>1139</v>
      </c>
      <c r="B1142" s="3" t="s">
        <v>997</v>
      </c>
      <c r="C1142" s="4" t="str">
        <f ca="1">IFERROR(__xludf.DUMMYFUNCTION("GOOGLETRANSLATE(A1142, ""auto"", ""bn"")"),"আমি নিশ্চিত যে একজন মদ্যপ ব্যক্তির সাথে ডেটিং করার বিষয়ে এই প্রশ্নটি বেশ কয়েকজনকে জিজ্ঞাসা করা হয়েছে (আসলে আমি অনুসন্ধান করেছি এবং বেশ কয়েকটি দেখেছি... কিন্তু বেশিরভাগই স্বীকার করার এবং সাহায্য নেওয়ার মতো পর্যায়ে নেই), তাই যদি এটি পুনরাবৃত্তি বলে মন"&amp;"ে হয় তবে ক্ষমাপ্রার্থী। আমি খুব বেশি দিন ধরে এই লোকটির সাথে ডেটিং করিনি, এবং আমরা সম্প্রতি একচেটিয়া হয়ে উঠেছি। তার যোগাযোগ স্বাভাবিকের চেয়ে অনেক কমে গেছে... মূলত এই গত সপ্তাহে। এবং আমি কেন তা জানতে পেরেছি, আমি বিশ্বাস করি গতকাল। তার সাথে দীর্ঘক্ষণ কথা"&amp;" বলেছিলাম যেখানে সে আমাকে জানিয়েছিল যে সে একজন মদ্যপ। সে এখন ছয় মাস ধরে সংযত... সম্প্রতি যখন আমরা ডেটিং শুরু করি তখন পর্যন্ত। আমরা কয়েকটি ডেটে মদ্যপান করেছি - আমার পরামর্শ (সুশির জন্য, ইত্যাদি), এবং সেই আলোচনা করার পরিবর্তে, সে তার সংযম ভেঙেছে।")</f>
        <v>আমি নিশ্চিত যে একজন মদ্যপ ব্যক্তির সাথে ডেটিং করার বিষয়ে এই প্রশ্নটি বেশ কয়েকজনকে জিজ্ঞাসা করা হয়েছে (আসলে আমি অনুসন্ধান করেছি এবং বেশ কয়েকটি দেখেছি... কিন্তু বেশিরভাগই স্বীকার করার এবং সাহায্য নেওয়ার মতো পর্যায়ে নেই), তাই যদি এটি পুনরাবৃত্তি বলে মনে হয় তবে ক্ষমাপ্রার্থী। আমি খুব বেশি দিন ধরে এই লোকটির সাথে ডেটিং করিনি, এবং আমরা সম্প্রতি একচেটিয়া হয়ে উঠেছি। তার যোগাযোগ স্বাভাবিকের চেয়ে অনেক কমে গেছে... মূলত এই গত সপ্তাহে। এবং আমি কেন তা জানতে পেরেছি, আমি বিশ্বাস করি গতকাল। তার সাথে দীর্ঘক্ষণ কথা বলেছিলাম যেখানে সে আমাকে জানিয়েছিল যে সে একজন মদ্যপ। সে এখন ছয় মাস ধরে সংযত... সম্প্রতি যখন আমরা ডেটিং শুরু করি তখন পর্যন্ত। আমরা কয়েকটি ডেটে মদ্যপান করেছি - আমার পরামর্শ (সুশির জন্য, ইত্যাদি), এবং সেই আলোচনা করার পরিবর্তে, সে তার সংযম ভেঙেছে।</v>
      </c>
    </row>
    <row r="1143" spans="1:3" ht="15" x14ac:dyDescent="0.25">
      <c r="A1143" s="3" t="s">
        <v>1140</v>
      </c>
      <c r="B1143" s="3" t="s">
        <v>997</v>
      </c>
      <c r="C1143" s="4" t="str">
        <f ca="1">IFERROR(__xludf.DUMMYFUNCTION("GOOGLETRANSLATE(A1143, ""auto"", ""bn"")"),"আমি ফলিক অ্যাসিড এবং থায়ামিন খাচ্ছি। ঐ ওষুধগুলো খাওয়া কি ঠিক হবে, নাকি এটা আমাকে অসুস্থ করে তুলবে?? আমি জানি এমন একটা ওষুধ আছে যা খেলে তুমি সত্যিই অসুস্থ হয়ে পড়বে, কিন্তু আমাকে সেই ওষুধটি দেওয়া হয়নি।")</f>
        <v>আমি ফলিক অ্যাসিড এবং থায়ামিন খাচ্ছি। ঐ ওষুধগুলো খাওয়া কি ঠিক হবে, নাকি এটা আমাকে অসুস্থ করে তুলবে?? আমি জানি এমন একটা ওষুধ আছে যা খেলে তুমি সত্যিই অসুস্থ হয়ে পড়বে, কিন্তু আমাকে সেই ওষুধটি দেওয়া হয়নি।</v>
      </c>
    </row>
    <row r="1144" spans="1:3" ht="15" x14ac:dyDescent="0.25">
      <c r="A1144" s="3" t="s">
        <v>1141</v>
      </c>
      <c r="B1144" s="3" t="s">
        <v>997</v>
      </c>
      <c r="C1144" s="4" t="str">
        <f ca="1">IFERROR(__xludf.DUMMYFUNCTION("GOOGLETRANSLATE(A1144, ""auto"", ""bn"")"),"কয়েকদিনের মধ্যে আমার মাথাব্যথা কমে গেছে। আমার আর কোনও প্রত্যাহারের লক্ষণ নেই এবং আমার শক্তির মাত্রা অবশ্যই বেশি। তবে, যা সামান্যতমও সহজ হয়নি তা হল একঘেয়েমি মোকাবেলা করা। আমার মনে হয় না এর জন্য আমি আর অ্যালকোহলকে দোষ দিতে পারি, এটি ডোপামিন। ১ মাস পরে আ"&amp;"মি নিজেকে আরও বেশি জাঙ্ক ফুড খাচ্ছি, ঘন্টার পর ঘন্টা টিকটক ঘুরে দেখছি, বছরের পর বছর ধরে প্রাপ্তবয়স্কদের কন্টেন্ট সাইটগুলিতে ঘুরে দেখছি। এখন দ্রুত ডোপামিন গ্রহণের সময়; ইন্টারনেট, বিনোদন, পার্টি, জাঙ্ক ফুড বা যৌন আনন্দ নেই। এমনকি আমি উষ্ণ স্নানও বন্ধ করে "&amp;"দিচ্ছি। ১ সপ্তাহের জন্য বই পড়া, ধ্যান, স্বাস্থ্যকর খাবার এবং ঘুম। এই জিনিসটি কাটিয়ে ওঠার মূল চাবিকাঠি।")</f>
        <v>কয়েকদিনের মধ্যে আমার মাথাব্যথা কমে গেছে। আমার আর কোনও প্রত্যাহারের লক্ষণ নেই এবং আমার শক্তির মাত্রা অবশ্যই বেশি। তবে, যা সামান্যতমও সহজ হয়নি তা হল একঘেয়েমি মোকাবেলা করা। আমার মনে হয় না এর জন্য আমি আর অ্যালকোহলকে দোষ দিতে পারি, এটি ডোপামিন। ১ মাস পরে আমি নিজেকে আরও বেশি জাঙ্ক ফুড খাচ্ছি, ঘন্টার পর ঘন্টা টিকটক ঘুরে দেখছি, বছরের পর বছর ধরে প্রাপ্তবয়স্কদের কন্টেন্ট সাইটগুলিতে ঘুরে দেখছি। এখন দ্রুত ডোপামিন গ্রহণের সময়; ইন্টারনেট, বিনোদন, পার্টি, জাঙ্ক ফুড বা যৌন আনন্দ নেই। এমনকি আমি উষ্ণ স্নানও বন্ধ করে দিচ্ছি। ১ সপ্তাহের জন্য বই পড়া, ধ্যান, স্বাস্থ্যকর খাবার এবং ঘুম। এই জিনিসটি কাটিয়ে ওঠার মূল চাবিকাঠি।</v>
      </c>
    </row>
    <row r="1145" spans="1:3" ht="15" x14ac:dyDescent="0.25">
      <c r="A1145" s="3" t="s">
        <v>1142</v>
      </c>
      <c r="B1145" s="3" t="s">
        <v>997</v>
      </c>
      <c r="C1145" s="4" t="str">
        <f ca="1">IFERROR(__xludf.DUMMYFUNCTION("GOOGLETRANSLATE(A1145, ""auto"", ""bn"")"),"পটভূমি: আমার সৎ বাবা বহু বছর ধরে মাদকাসক্ত। তিনি জানেন, তিনি দুবার ডিটক্সিফিকেশন করেছেন এবং প্রতি সপ্তাহে আসক্তদের একটি দল + থেরাপিতে যোগ দিচ্ছেন। আমার পরিবারের প্রতি - বিশেষ করে আমার মায়ের প্রতি এত বছর ধরে বিষাক্ত আচরণ করার পর, এটি একটি স্বস্তির বিষয় ছ"&amp;"িল। এখন, প্রায়শই, তিনি আবার মদ্যপান শুরু করেন। কারণ তিনি ""ঘুমাতে পারেন না""। আমার মা খুব ক্লান্ত, এক বছরের মধ্যে তার দ্বিতীয় ক্যান্সার ধরা পড়েছে এবং তিনি আর তাকে সামলাতে পারছেন না। তিনি আর যেতে পারছেন না কারণ আমি যেমন বলেছিলাম - তিনি কেবল ক্যান্সারের "&amp;"সাথে লড়াই করেছিলেন এবং কাজ করতে পারেন না, + তাদের একসাথে একটি ছেলে আছে যা সবকিছুকে আরও কঠিন করে তোলে। সংক্ষেপে, কোভিডকে পরাজিত করার পর তিনি আমাকে তার সাথে কথা বলতে বলেছিলেন। আমি সত্যিই জানি না কিভাবে তার সাথে কথা বলব কারণ আমি প্রায় দশ বছর আগে এই বিষাক্ত"&amp;" পরিবার থেকে বেরিয়ে এসেছি (আমার বয়স ২৭)। আমি এখন আমার বাবার সাথে মানিয়ে নিচ্ছি কারণ আমি আর পাঞ্চিং ব্যাগ হতে পারছি না। তাছাড়া, আমি তাকে ভালোবাসি কিন্তু একই সাথে সে আমার পরিবারের সাথে যা করছে তার জন্য আমি তাকে ঘৃণা করি। আমি শেষ যা চাই তা হল গ্রুপ এবং এ"&amp;"কক থেরাপিতে তার যে কোনও অগ্রগতি নষ্ট করা। কী বলা উচিত / কী বলা উচিত নয় তার কোন পরামর্শ আছে যাতে সে আবার নিরাময়ের পথে ফিরে আসতে পারে? কারণ তার বয়স ৬২ এবং কয়েক সপ্তাহ আগে তার ডাক্তার তাকে বলেছিলেন যে যদি সে আবার মদ্যপান শুরু করে তবে তার মৃত্যু হতে পারে।"&amp;" কোনও বানান ভুলের জন্য দুঃখিত, আমি জার্মান।")</f>
        <v>পটভূমি: আমার সৎ বাবা বহু বছর ধরে মাদকাসক্ত। তিনি জানেন, তিনি দুবার ডিটক্সিফিকেশন করেছেন এবং প্রতি সপ্তাহে আসক্তদের একটি দল + থেরাপিতে যোগ দিচ্ছেন। আমার পরিবারের প্রতি - বিশেষ করে আমার মায়ের প্রতি এত বছর ধরে বিষাক্ত আচরণ করার পর, এটি একটি স্বস্তির বিষয় ছিল। এখন, প্রায়শই, তিনি আবার মদ্যপান শুরু করেন। কারণ তিনি "ঘুমাতে পারেন না"। আমার মা খুব ক্লান্ত, এক বছরের মধ্যে তার দ্বিতীয় ক্যান্সার ধরা পড়েছে এবং তিনি আর তাকে সামলাতে পারছেন না। তিনি আর যেতে পারছেন না কারণ আমি যেমন বলেছিলাম - তিনি কেবল ক্যান্সারের সাথে লড়াই করেছিলেন এবং কাজ করতে পারেন না, + তাদের একসাথে একটি ছেলে আছে যা সবকিছুকে আরও কঠিন করে তোলে। সংক্ষেপে, কোভিডকে পরাজিত করার পর তিনি আমাকে তার সাথে কথা বলতে বলেছিলেন। আমি সত্যিই জানি না কিভাবে তার সাথে কথা বলব কারণ আমি প্রায় দশ বছর আগে এই বিষাক্ত পরিবার থেকে বেরিয়ে এসেছি (আমার বয়স ২৭)। আমি এখন আমার বাবার সাথে মানিয়ে নিচ্ছি কারণ আমি আর পাঞ্চিং ব্যাগ হতে পারছি না। তাছাড়া, আমি তাকে ভালোবাসি কিন্তু একই সাথে সে আমার পরিবারের সাথে যা করছে তার জন্য আমি তাকে ঘৃণা করি। আমি শেষ যা চাই তা হল গ্রুপ এবং একক থেরাপিতে তার যে কোনও অগ্রগতি নষ্ট করা। কী বলা উচিত / কী বলা উচিত নয় তার কোন পরামর্শ আছে যাতে সে আবার নিরাময়ের পথে ফিরে আসতে পারে? কারণ তার বয়স ৬২ এবং কয়েক সপ্তাহ আগে তার ডাক্তার তাকে বলেছিলেন যে যদি সে আবার মদ্যপান শুরু করে তবে তার মৃত্যু হতে পারে। কোনও বানান ভুলের জন্য দুঃখিত, আমি জার্মান।</v>
      </c>
    </row>
    <row r="1146" spans="1:3" ht="15" x14ac:dyDescent="0.25">
      <c r="A1146" s="3" t="s">
        <v>1143</v>
      </c>
      <c r="B1146" s="3" t="s">
        <v>997</v>
      </c>
      <c r="C1146" s="4" t="str">
        <f ca="1">IFERROR(__xludf.DUMMYFUNCTION("GOOGLETRANSLATE(A1146, ""auto"", ""bn"")"),"কিন্তু গত শনিবার আমি নিজে ৭৫০ মিলিলিটার ইজার খেয়ে ফেলেছি, কিন্তু পরের দিন খুব হালকা হ্যাংওভার ছাড়া আর কোনও নেতিবাচক পার্শ্বপ্রতিক্রিয়া হয়নি। এর মানে কি আমার মদ্যপানের প্রতি স্বাভাবিক জিনগত প্রবণতা আছে, যদি আমি স্বাভাবিকভাবেই এত অ্যালকোহল প্রক্রিয়াজাত"&amp;" করতে পারি এবং তা দুর্বল করে না? আমি তুলনামূলকভাবে খালি পেটে এটি খেয়েছিলাম এবং সেদিন মোটেও হাইড্রেট করিনি, এটা তো বলাই বাহুল্য যে আমার সহনশীলতা শূন্যের কাছাকাছি হওয়া উচিত কারণ আমি প্রায়শই এত বেশি মদ্যপান করি না যে এটি বিকাশ লাভ করে। আমার একমাত্র স্থায়"&amp;"ী প্রভাব হল কিছু স্মৃতি/ঘনত্বের সমস্যা যা উদ্বেগজনক, কিন্তু আমি এই প্রভাবকে আমার স্নায়বিক হওয়ার প্রবণতা এবং আমার সমস্যাগুলিকে এমন ঘটনাগুলির সাথে মিথ্যাভাবে যুক্ত করার জন্য দায়ী করতে ইচ্ছুক যেগুলির সাথে এর কোনও সম্পর্ক নেই। আমি যা জিজ্ঞাসা করছি তার মূল "&amp;"কথা হল, ""অন্য সকলের"" মতোই আমার উপর কি একই পরিমাণ স্নায়বিক ক্ষতি/শারীরিক ক্ষতি করা হচ্ছে, কিন্তু আমি প্রকাশ্যে বলতে পারছি না? নাকি পদার্থের প্রতি আমার স্বাভাবিক প্রতিরোধ গড়ের চেয়ে যথেষ্ট বেশি?")</f>
        <v>কিন্তু গত শনিবার আমি নিজে ৭৫০ মিলিলিটার ইজার খেয়ে ফেলেছি, কিন্তু পরের দিন খুব হালকা হ্যাংওভার ছাড়া আর কোনও নেতিবাচক পার্শ্বপ্রতিক্রিয়া হয়নি। এর মানে কি আমার মদ্যপানের প্রতি স্বাভাবিক জিনগত প্রবণতা আছে, যদি আমি স্বাভাবিকভাবেই এত অ্যালকোহল প্রক্রিয়াজাত করতে পারি এবং তা দুর্বল করে না? আমি তুলনামূলকভাবে খালি পেটে এটি খেয়েছিলাম এবং সেদিন মোটেও হাইড্রেট করিনি, এটা তো বলাই বাহুল্য যে আমার সহনশীলতা শূন্যের কাছাকাছি হওয়া উচিত কারণ আমি প্রায়শই এত বেশি মদ্যপান করি না যে এটি বিকাশ লাভ করে। আমার একমাত্র স্থায়ী প্রভাব হল কিছু স্মৃতি/ঘনত্বের সমস্যা যা উদ্বেগজনক, কিন্তু আমি এই প্রভাবকে আমার স্নায়বিক হওয়ার প্রবণতা এবং আমার সমস্যাগুলিকে এমন ঘটনাগুলির সাথে মিথ্যাভাবে যুক্ত করার জন্য দায়ী করতে ইচ্ছুক যেগুলির সাথে এর কোনও সম্পর্ক নেই। আমি যা জিজ্ঞাসা করছি তার মূল কথা হল, "অন্য সকলের" মতোই আমার উপর কি একই পরিমাণ স্নায়বিক ক্ষতি/শারীরিক ক্ষতি করা হচ্ছে, কিন্তু আমি প্রকাশ্যে বলতে পারছি না? নাকি পদার্থের প্রতি আমার স্বাভাবিক প্রতিরোধ গড়ের চেয়ে যথেষ্ট বেশি?</v>
      </c>
    </row>
    <row r="1147" spans="1:3" ht="15" x14ac:dyDescent="0.25">
      <c r="A1147" s="3" t="s">
        <v>1144</v>
      </c>
      <c r="B1147" s="3" t="s">
        <v>997</v>
      </c>
      <c r="C1147" s="4" t="str">
        <f ca="1">IFERROR(__xludf.DUMMYFUNCTION("GOOGLETRANSLATE(A1147, ""auto"", ""bn"")"),"জুলাই মাসে আমি ইনপেশেন্ট চিকিৎসা থেকে বেরিয়ে আসি, তারপর আমি একটি বহির্বিভাগীয় চিকিৎসায় ছিলাম যেখানে আজীবন সংযমের উপায় হিসেবে AA-এর উপর জোর দেওয়া হত। আমি AA-তে গিয়েছিলাম কারণ এটি একটি প্রয়োজনীয়তা ছিল, এবং এটিই আমার করার কথা ছিল। তাছাড়া, আমি AA-তে গ"&amp;"িয়েছিলাম কারণ এটি চিকিৎসার জন্য একটি প্রয়োজনীয়তা ছিল এবং আমি ধাপগুলি কাজ শুরু করেছিলাম। এবং আমি বুঝতে পেরেছিলাম যে AA আসলে আমার জন্য কিছুই করছে না। লোকেরা যা ভাগ করে নিয়েছে তার জন্য আমি আসলে কিছুই পাইনি। তাই, আমি কেবল থামিয়ে দিয়েছি। আমি আমার সংযমের "&amp;"মধ্যে কোনও পার্থক্য লক্ষ্য করিনি। আমার একটি অংশ কেবল চিন্তিত যে আমি কোনও প্রোগ্রাম ছাড়াই দীর্ঘমেয়াদী সংযম বজায় রাখতে পারব কিনা। আমি এখন প্রায় 9 মাস সংযম বজায় রেখেছি (যা আইনত মদ্যপান করার পর থেকে আমি সবচেয়ে বেশি সময় ধরে মদ্যপান করতে পেরেছি)। তাহলে, "&amp;"এটি দীর্ঘ হয়ে গেছে, কিন্তু আমি ভাবছি যে লোকেরা সংযম বজায় রাখার জন্য AA ছাড়াও কী করেছে?")</f>
        <v>জুলাই মাসে আমি ইনপেশেন্ট চিকিৎসা থেকে বেরিয়ে আসি, তারপর আমি একটি বহির্বিভাগীয় চিকিৎসায় ছিলাম যেখানে আজীবন সংযমের উপায় হিসেবে AA-এর উপর জোর দেওয়া হত। আমি AA-তে গিয়েছিলাম কারণ এটি একটি প্রয়োজনীয়তা ছিল, এবং এটিই আমার করার কথা ছিল। তাছাড়া, আমি AA-তে গিয়েছিলাম কারণ এটি চিকিৎসার জন্য একটি প্রয়োজনীয়তা ছিল এবং আমি ধাপগুলি কাজ শুরু করেছিলাম। এবং আমি বুঝতে পেরেছিলাম যে AA আসলে আমার জন্য কিছুই করছে না। লোকেরা যা ভাগ করে নিয়েছে তার জন্য আমি আসলে কিছুই পাইনি। তাই, আমি কেবল থামিয়ে দিয়েছি। আমি আমার সংযমের মধ্যে কোনও পার্থক্য লক্ষ্য করিনি। আমার একটি অংশ কেবল চিন্তিত যে আমি কোনও প্রোগ্রাম ছাড়াই দীর্ঘমেয়াদী সংযম বজায় রাখতে পারব কিনা। আমি এখন প্রায় 9 মাস সংযম বজায় রেখেছি (যা আইনত মদ্যপান করার পর থেকে আমি সবচেয়ে বেশি সময় ধরে মদ্যপান করতে পেরেছি)। তাহলে, এটি দীর্ঘ হয়ে গেছে, কিন্তু আমি ভাবছি যে লোকেরা সংযম বজায় রাখার জন্য AA ছাড়াও কী করেছে?</v>
      </c>
    </row>
    <row r="1148" spans="1:3" ht="15" x14ac:dyDescent="0.25">
      <c r="A1148" s="3" t="s">
        <v>1145</v>
      </c>
      <c r="B1148" s="3" t="s">
        <v>997</v>
      </c>
      <c r="C1148" s="4" t="str">
        <f ca="1">IFERROR(__xludf.DUMMYFUNCTION("GOOGLETRANSLATE(A1148, ""auto"", ""bn"")"),"রক্ত পরীক্ষায় দেখা যায় যে ২৩ বছর বয়সে আমার ফ্যাটি লিভার রোগ হয়েছে এবং মদ্যপানের কারণে আমার বাবার কিডনি বিকল হয়ে পড়েছে। আমি বলতে চাইতাম যে আমি আমার জন্যই মদ্যপান বন্ধ করে দিয়েছি, কিন্তু আমি বন্ধ করে দিয়েছি কারণ তার সাথে যা ঘটেছিল তা আমাকে ভয় পাইয়েছিল এবং আ"&amp;"মি তাকে সহায়তা করতে চেয়েছিলাম। তারপর থেকে ৫ মাস কেটে গেছে। আমি আগে কড়া মদ খেতাম। আর এখন আর খাই না। তাছাড়া, কয়েক মাস পর নিজেকে বলেছিলাম যে ওয়াইন ঠিক আছে। আর কিছুদিনের জন্য তো তাই হয়েছে! আমি কেবল মদ্যপান করছিলাম, আর সপ্তাহান্তেও। আমি ঠিক আছি, তাই না? আমি আ"&amp;"মার বাবার মতো মদ্যপান করি না, তাই না? তাছাড়া, আমি কতটা মদ্যপান করি তাও নিয়ন্ত্রণ করতে পারি। এটা সহজ! ভুল। আমি নিজেকে বারবার মদ্যপান করতে দেখি। এটা ওয়াইন, কড়া মদ নয়, তাই এটা এমন কিছু, কিন্তু আমি নিজেকে এক রাতে প্রায় ২ লিটার পান করতে দেখেছি। একাধিকবার, এ"&amp;"মনকি কাজের রাতেও যখন আমি চাই না। এটা বাড়তে শুরু করেছে এবং এটি আমাকে ভয় পাই। আমি বুঝতে পারছি যে আমি আসলে অলসভাবে মদ্যপান করতে পারি না। আমি আমার বাবার মেয়ে। তাছাড়া, আমার এটার প্রতি একটা রুচি আছে। তাছাড়া, আমি থামতে চাই। তাছাড়া, আমি আবার চেষ্টা করতে চাই।"&amp;" তাছাড়া, আমার কাছে অনেক ক্লাব সোডা আছে। এটা আগের মতো নয়। আমি এই মুহূর্তে খুব একটা জনপ্রিয়তাও চাই না। আমি শুধু ভালো মকটেল বিকল্প চাই যা একই রকম স্বাদ দেয়। আমি জানি না। আমার বয়স ২৩ বছর এবং আমি বোকা। তোমাদের সকলের কোন পরামর্শ বা রেসিপি থাকলে আমাকে বলুন।"&amp;" যদি এটা বোকা মনে হয় তাহলে দুঃখিত।")</f>
        <v>রক্ত পরীক্ষায় দেখা যায় যে ২৩ বছর বয়সে আমার ফ্যাটি লিভার রোগ হয়েছে এবং মদ্যপানের কারণে আমার বাবার কিডনি বিকল হয়ে পড়েছে। আমি বলতে চাইতাম যে আমি আমার জন্যই মদ্যপান বন্ধ করে দিয়েছি, কিন্তু আমি বন্ধ করে দিয়েছি কারণ তার সাথে যা ঘটেছিল তা আমাকে ভয় পাইয়েছিল এবং আমি তাকে সহায়তা করতে চেয়েছিলাম। তারপর থেকে ৫ মাস কেটে গেছে। আমি আগে কড়া মদ খেতাম। আর এখন আর খাই না। তাছাড়া, কয়েক মাস পর নিজেকে বলেছিলাম যে ওয়াইন ঠিক আছে। আর কিছুদিনের জন্য তো তাই হয়েছে! আমি কেবল মদ্যপান করছিলাম, আর সপ্তাহান্তেও। আমি ঠিক আছি, তাই না? আমি আমার বাবার মতো মদ্যপান করি না, তাই না? তাছাড়া, আমি কতটা মদ্যপান করি তাও নিয়ন্ত্রণ করতে পারি। এটা সহজ! ভুল। আমি নিজেকে বারবার মদ্যপান করতে দেখি। এটা ওয়াইন, কড়া মদ নয়, তাই এটা এমন কিছু, কিন্তু আমি নিজেকে এক রাতে প্রায় ২ লিটার পান করতে দেখেছি। একাধিকবার, এমনকি কাজের রাতেও যখন আমি চাই না। এটা বাড়তে শুরু করেছে এবং এটি আমাকে ভয় পাই। আমি বুঝতে পারছি যে আমি আসলে অলসভাবে মদ্যপান করতে পারি না। আমি আমার বাবার মেয়ে। তাছাড়া, আমার এটার প্রতি একটা রুচি আছে। তাছাড়া, আমি থামতে চাই। তাছাড়া, আমি আবার চেষ্টা করতে চাই। তাছাড়া, আমার কাছে অনেক ক্লাব সোডা আছে। এটা আগের মতো নয়। আমি এই মুহূর্তে খুব একটা জনপ্রিয়তাও চাই না। আমি শুধু ভালো মকটেল বিকল্প চাই যা একই রকম স্বাদ দেয়। আমি জানি না। আমার বয়স ২৩ বছর এবং আমি বোকা। তোমাদের সকলের কোন পরামর্শ বা রেসিপি থাকলে আমাকে বলুন। যদি এটা বোকা মনে হয় তাহলে দুঃখিত।</v>
      </c>
    </row>
    <row r="1149" spans="1:3" ht="15" x14ac:dyDescent="0.25">
      <c r="A1149" s="3" t="s">
        <v>1146</v>
      </c>
      <c r="B1149" s="3" t="s">
        <v>997</v>
      </c>
      <c r="C1149" s="4" t="str">
        <f ca="1">IFERROR(__xludf.DUMMYFUNCTION("GOOGLETRANSLATE(A1149, ""auto"", ""bn"")"),"তাই আমার কিছু প্রত্যাহারের লক্ষণ দেখা দেয় যেমন কাঁপুনি, এবং মাঝে মাঝে আমার ঠান্ডা ঘাম হয় বলে মনে হয়। তবে, আমি কল্পনাও করতে পারিনি যে সপ্তাহে ৪০+ ঘন্টা কাজ করার পরেও প্রত্যাহারের লক্ষণগুলির মধ্য দিয়ে যেতে হবে। আপনি কীভাবে এটি মোকাবেলা করেছেন? কিছু PTO "&amp;"নির্ধারণ করা কি বুদ্ধিমানের কাজ হবে? নাকি লক্ষণগুলি পরিচালনাযোগ্য? আমি বুঝতে পারি যে এটি ব্যক্তির উপর নির্ভর করে পরিবর্তিত হবে। আমি নিজের কোনও ধরণের ঘুমের আশা করি না। এটাই আমার সবচেয়ে বড় ভয়। এটি এমন পর্যায়ে পৌঁছেছে যে আমি ALC ছাড়া বাজেভাবে ঘুমিয়ে পড"&amp;"়ি। আমাকে পুরো ৮ ঘন্টা ধরে বেশ মাতাল থাকতে হবে (আমি জানি এটি খারাপ শোনাচ্ছে)। আপডেট: আমার ভাইয়ের সাথে কথা বলার পর, আমি ধীরে ধীরে আমার সেবন সীমিত করার পরিকল্পনা করছি যতক্ষণ না আমি সম্পূর্ণরূপে বন্ধ করতে পারি। আমি তাকে জবাবদিহি করতে বলেছিলাম, এবং সে আমাকে "&amp;"এই সমস্যার মধ্য দিয়ে যেতে সাহায্য করবে। আমরা একটি পরিকল্পনা বাস্তবায়ন করতে যাচ্ছি।")</f>
        <v>তাই আমার কিছু প্রত্যাহারের লক্ষণ দেখা দেয় যেমন কাঁপুনি, এবং মাঝে মাঝে আমার ঠান্ডা ঘাম হয় বলে মনে হয়। তবে, আমি কল্পনাও করতে পারিনি যে সপ্তাহে ৪০+ ঘন্টা কাজ করার পরেও প্রত্যাহারের লক্ষণগুলির মধ্য দিয়ে যেতে হবে। আপনি কীভাবে এটি মোকাবেলা করেছেন? কিছু PTO নির্ধারণ করা কি বুদ্ধিমানের কাজ হবে? নাকি লক্ষণগুলি পরিচালনাযোগ্য? আমি বুঝতে পারি যে এটি ব্যক্তির উপর নির্ভর করে পরিবর্তিত হবে। আমি নিজের কোনও ধরণের ঘুমের আশা করি না। এটাই আমার সবচেয়ে বড় ভয়। এটি এমন পর্যায়ে পৌঁছেছে যে আমি ALC ছাড়া বাজেভাবে ঘুমিয়ে পড়ি। আমাকে পুরো ৮ ঘন্টা ধরে বেশ মাতাল থাকতে হবে (আমি জানি এটি খারাপ শোনাচ্ছে)। আপডেট: আমার ভাইয়ের সাথে কথা বলার পর, আমি ধীরে ধীরে আমার সেবন সীমিত করার পরিকল্পনা করছি যতক্ষণ না আমি সম্পূর্ণরূপে বন্ধ করতে পারি। আমি তাকে জবাবদিহি করতে বলেছিলাম, এবং সে আমাকে এই সমস্যার মধ্য দিয়ে যেতে সাহায্য করবে। আমরা একটি পরিকল্পনা বাস্তবায়ন করতে যাচ্ছি।</v>
      </c>
    </row>
    <row r="1150" spans="1:3" ht="15" x14ac:dyDescent="0.25">
      <c r="A1150" s="3" t="s">
        <v>1147</v>
      </c>
      <c r="B1150" s="3" t="s">
        <v>997</v>
      </c>
      <c r="C1150" s="4" t="str">
        <f ca="1">IFERROR(__xludf.DUMMYFUNCTION("GOOGLETRANSLATE(A1150, ""auto"", ""bn"")"),"প্রথমত। আমি জেলে ছিলাম, মাদক সেবন করতাম এবং সাধারণভাবে খারাপ আচরণ করতাম। তাই আমি গভীর সহানুভূতি এবং বোধগম্যতার জায়গা থেকে এই সিদ্ধান্তে পৌঁছেছি। তাকে জনি বলা যাক - আমার প্রতিবেশী। আমাদের উপরে কোয়াড্রাপ্লেক্সে থাকে। সে একজন তীব্র মদ্যপ। প্রায় শেষ পর্যায"&amp;"়ে, গুরুতর স্বাস্থ্য সমস্যায় ভুগছে। রক্ত ​​জমাট বাঁধা, লিভার ফেইলিওর, আপনিই বলুন। সে অন্য রাতে তার ৮ বছরের মেয়ের ফোন কলের উত্তর দিচ্ছিল না, তাই সে আমাদের সাথে যোগাযোগ করে জিজ্ঞাসা করেছিল যে আমরা কি তার দরজায় কড়া নাড়ব? স্পষ্টতই তার মেয়ের একমাত্র হেফা"&amp;"জত তার? আমার দৃষ্টিতে এটি একটি সমস্যা, এটি একটি শিশুর জন্য স্বাস্থ্যকর পরিবেশ নয়। বাড়িটি একটি দুর্যোগ - সে তার রাজ্যে ঘরের কাজকর্ম ঠিকমতো করতে পারে না।")</f>
        <v>প্রথমত। আমি জেলে ছিলাম, মাদক সেবন করতাম এবং সাধারণভাবে খারাপ আচরণ করতাম। তাই আমি গভীর সহানুভূতি এবং বোধগম্যতার জায়গা থেকে এই সিদ্ধান্তে পৌঁছেছি। তাকে জনি বলা যাক - আমার প্রতিবেশী। আমাদের উপরে কোয়াড্রাপ্লেক্সে থাকে। সে একজন তীব্র মদ্যপ। প্রায় শেষ পর্যায়ে, গুরুতর স্বাস্থ্য সমস্যায় ভুগছে। রক্ত ​​জমাট বাঁধা, লিভার ফেইলিওর, আপনিই বলুন। সে অন্য রাতে তার ৮ বছরের মেয়ের ফোন কলের উত্তর দিচ্ছিল না, তাই সে আমাদের সাথে যোগাযোগ করে জিজ্ঞাসা করেছিল যে আমরা কি তার দরজায় কড়া নাড়ব? স্পষ্টতই তার মেয়ের একমাত্র হেফাজত তার? আমার দৃষ্টিতে এটি একটি সমস্যা, এটি একটি শিশুর জন্য স্বাস্থ্যকর পরিবেশ নয়। বাড়িটি একটি দুর্যোগ - সে তার রাজ্যে ঘরের কাজকর্ম ঠিকমতো করতে পারে না।</v>
      </c>
    </row>
    <row r="1151" spans="1:3" ht="15" x14ac:dyDescent="0.25">
      <c r="A1151" s="3" t="s">
        <v>1148</v>
      </c>
      <c r="B1151" s="3" t="s">
        <v>997</v>
      </c>
      <c r="C1151" s="4" t="str">
        <f ca="1">IFERROR(__xludf.DUMMYFUNCTION("GOOGLETRANSLATE(A1151, ""auto"", ""bn"")"),"তাই আমি ১৪ বছর বয়স থেকে বেশ মদ্যপান করছি এবং প্রায় দেড় বছর ধরে একজন সক্রিয় মদ্যপ। মাস দুয়েক আগে আমি কমিউনিটি ডিটক্সের চেষ্টা করার সিদ্ধান্ত নিয়েছিলাম এবং তা গৃহীত হয়েছিল। আমি আগে কখনও এতটা মদ্যপানে লিপ্ত হইনি এবং স্বীকার করতেই হবে যে এটি বেশ তীব্র হয়ে "&amp;"গেছে। সোমবার আমি ডায়াজেপাম ইনজেকশন/IV (তারা কী করবে তা নিশ্চিত নই) এবং থায়ামিন ইনজেকশন দিয়ে আমার ডিটক্স শুরু করি, এই প্রক্রিয়ায় এক সপ্তাহ সময় লাগবে। এর আগে কেউ কি এইরকম অভিজ্ঞতা পেয়েছেন? আমি পুরো প্রক্রিয়াটি নিয়ে সত্যিই বেশ উদ্বিগ্ন এবং এর উপরে একটি প্য"&amp;"ানিক ডিসঅর্ডারও কোনও লাভ করে না। কিছু সাধারণ পরামর্শ বা অভিজ্ঞতা শুনতে ভালো লাগবে!")</f>
        <v>তাই আমি ১৪ বছর বয়স থেকে বেশ মদ্যপান করছি এবং প্রায় দেড় বছর ধরে একজন সক্রিয় মদ্যপ। মাস দুয়েক আগে আমি কমিউনিটি ডিটক্সের চেষ্টা করার সিদ্ধান্ত নিয়েছিলাম এবং তা গৃহীত হয়েছিল। আমি আগে কখনও এতটা মদ্যপানে লিপ্ত হইনি এবং স্বীকার করতেই হবে যে এটি বেশ তীব্র হয়ে গেছে। সোমবার আমি ডায়াজেপাম ইনজেকশন/IV (তারা কী করবে তা নিশ্চিত নই) এবং থায়ামিন ইনজেকশন দিয়ে আমার ডিটক্স শুরু করি, এই প্রক্রিয়ায় এক সপ্তাহ সময় লাগবে। এর আগে কেউ কি এইরকম অভিজ্ঞতা পেয়েছেন? আমি পুরো প্রক্রিয়াটি নিয়ে সত্যিই বেশ উদ্বিগ্ন এবং এর উপরে একটি প্যানিক ডিসঅর্ডারও কোনও লাভ করে না। কিছু সাধারণ পরামর্শ বা অভিজ্ঞতা শুনতে ভালো লাগবে!</v>
      </c>
    </row>
    <row r="1152" spans="1:3" ht="15" x14ac:dyDescent="0.25">
      <c r="A1152" s="3" t="s">
        <v>1149</v>
      </c>
      <c r="B1152" s="3" t="s">
        <v>997</v>
      </c>
      <c r="C1152" s="4" t="str">
        <f ca="1">IFERROR(__xludf.DUMMYFUNCTION("GOOGLETRANSLATE(A1152, ""auto"", ""bn"")"),"আমি আমার বয়ফ্রেন্ডের সাথে পাঁচ বছর ধরে আছি। তার মদ্যপ প্রবণতার কারণে পুরো ব্যাপারটাই একটা রোলার কোস্টারের মতো হয়ে গেছে। আমরা DUI, অতিরিক্ত মদ্যপান, অতিরিক্ত এবং ক্রমাগত ব্ল্যাকআউট এবং সম্প্রতি একটি ছোট গাড়ি দুর্ঘটনার মধ্য দিয়ে গেছি (সৌভাগ্যক্রমে কেউ আ"&amp;"হত হয়নি)। প্রতিবারই যখনই তার সাথে কথা বলেছি, আমি উন্নতির ছোট ছোট ইঙ্গিত দেখতে পাচ্ছি, কিন্তু কখনও সম্পূর্ণরূপে ঘুরে দাঁড়াতে পারিনি... মূলত ""সন্তুষ্ট"" করার জন্য আমি সর্বনিম্ন চেষ্টা করছি। এবার আমি একটি আল্টিমেটাম দিয়েছি, মদ্যপান বন্ধ করে AA বা থেরাপিস"&amp;"্টের কাছে যাব, অথবা আমি তাকে ছেড়ে দেব। সে স্পষ্টতই এই ধারণাটি ভালভাবে নিচ্ছে না। আমার দুর্বলতা খুঁজে বের করার জন্য সে আমার উপর যেকোনো কিছু ছুঁড়ে মারছে। অনিচ্ছা সত্ত্বেও আমাকে বলছে যে সে এটা করবে, কিন্তু আমি যদি আল্টিমেটাম দেই তবে আমি তাকে ভালোবাসতে পারব"&amp;" না। বিয়ার ব্রিউয়ার হওয়ার তার জীবনের স্বপ্ন নষ্ট করার জন্য আমাকে দোষারোপ করছে। আমাকে বলছে যে তাকে কেবল কত পানীয় পান করবে তার একটি সীমা নির্ধারণ করতে হবে এবং শুধুমাত্র কাজের ছুটির দিনে। সে বিশ্বাস করে যে ""অন্য কেউ? সমস্যা আছে এবং তার সমস্যা গুরুতর নয়"&amp;"।"" কাঁদতে বা রাগ করতে না পেরে সঠিক শব্দ খুঁজে বের করতে আমার খুব কষ্ট হচ্ছে। আমি তার প্রতি আমার সমর্থন এবং সংযম প্রকাশ করতে চাই, তবে যদি সে সাহায্য না পায় বা না পায় তবে আমি চলে যাওয়ার সিদ্ধান্তে দৃঢ় থাকতে চাই।")</f>
        <v>আমি আমার বয়ফ্রেন্ডের সাথে পাঁচ বছর ধরে আছি। তার মদ্যপ প্রবণতার কারণে পুরো ব্যাপারটাই একটা রোলার কোস্টারের মতো হয়ে গেছে। আমরা DUI, অতিরিক্ত মদ্যপান, অতিরিক্ত এবং ক্রমাগত ব্ল্যাকআউট এবং সম্প্রতি একটি ছোট গাড়ি দুর্ঘটনার মধ্য দিয়ে গেছি (সৌভাগ্যক্রমে কেউ আহত হয়নি)। প্রতিবারই যখনই তার সাথে কথা বলেছি, আমি উন্নতির ছোট ছোট ইঙ্গিত দেখতে পাচ্ছি, কিন্তু কখনও সম্পূর্ণরূপে ঘুরে দাঁড়াতে পারিনি... মূলত "সন্তুষ্ট" করার জন্য আমি সর্বনিম্ন চেষ্টা করছি। এবার আমি একটি আল্টিমেটাম দিয়েছি, মদ্যপান বন্ধ করে AA বা থেরাপিস্টের কাছে যাব, অথবা আমি তাকে ছেড়ে দেব। সে স্পষ্টতই এই ধারণাটি ভালভাবে নিচ্ছে না। আমার দুর্বলতা খুঁজে বের করার জন্য সে আমার উপর যেকোনো কিছু ছুঁড়ে মারছে। অনিচ্ছা সত্ত্বেও আমাকে বলছে যে সে এটা করবে, কিন্তু আমি যদি আল্টিমেটাম দেই তবে আমি তাকে ভালোবাসতে পারব না। বিয়ার ব্রিউয়ার হওয়ার তার জীবনের স্বপ্ন নষ্ট করার জন্য আমাকে দোষারোপ করছে। আমাকে বলছে যে তাকে কেবল কত পানীয় পান করবে তার একটি সীমা নির্ধারণ করতে হবে এবং শুধুমাত্র কাজের ছুটির দিনে। সে বিশ্বাস করে যে "অন্য কেউ? সমস্যা আছে এবং তার সমস্যা গুরুতর নয়।" কাঁদতে বা রাগ করতে না পেরে সঠিক শব্দ খুঁজে বের করতে আমার খুব কষ্ট হচ্ছে। আমি তার প্রতি আমার সমর্থন এবং সংযম প্রকাশ করতে চাই, তবে যদি সে সাহায্য না পায় বা না পায় তবে আমি চলে যাওয়ার সিদ্ধান্তে দৃঢ় থাকতে চাই।</v>
      </c>
    </row>
    <row r="1153" spans="1:3" ht="15" x14ac:dyDescent="0.25">
      <c r="A1153" s="3" t="s">
        <v>1150</v>
      </c>
      <c r="B1153" s="3" t="s">
        <v>997</v>
      </c>
      <c r="C1153" s="4" t="str">
        <f ca="1">IFERROR(__xludf.DUMMYFUNCTION("GOOGLETRANSLATE(A1153, ""auto"", ""bn"")"),"আমি (৩৩ফ) ৭ মাস ধরে একজন পুরুষের (৩৬ মিলিয়ন) সাথে ডেটিং করছি। রবিবার, আমি সকাল ১০টা থেকে বিকেল ৩টা পর্যন্ত (একটি বাড়িতে জন্মদিনের ব্রাঞ্চ) তার এবং আমার বন্ধুদের সাথে এতটাই মদ্যপান করেছি যে আমি তার সাথে এবং আমার বন্ধুদের সাথে ঘুরঘুর করছিলাম। সে মদ্যপান ক"&amp;"রেছে কিন্তু মাতাল হয়নি। হোস্ট স্পার্কলিং ওয়াইন ঢেলে দিয়েছে, আর আমি শুধু পান করতে থাকি। আমি খাইনি। আমি বাড়ি ফিরে আসার কথা পুরোপুরি মনে করতে পারছি না - আমার প্রেমিক গাড়ি চালিয়ে এসেছিল। তাছাড়া, আমার মনে আছে, আমি বাড়িতে ফিরে এসেছি, এবং আমার মনে আছে আম"&amp;"রা সেক্স করেছি, কিন্তু আমার সব মনে নেই। তাছাড়া, আমি স্পষ্টতই ঘুমাতে গিয়েছিলাম এবং রাত ৮টায় ঘুম থেকে উঠেছিলাম, সেই সময়ে আমার মনে ছিল না যে আমি ঘুমাতে গিয়েছিলাম, এবং দিন নষ্ট করা এবং নিয়ন্ত্রণ হারিয়ে ফেলার জন্য আমি নিজের উপর খুব দুঃখিত/বিরক্ত ছিলাম। "&amp;"আমার প্রেমিক আমার সাথে ভালো ব্যবহার করেছিল এবং আমাকে জল এনে দিয়েছিল, কিন্তু তারপর সে সোমবার এবং মঙ্গলবার খুব দূরে ছিল। মৌখিক বা শারীরিকভাবে স্নেহের জন্য দরপত্রের কোনও সাড়া দেয়নি। মঙ্গলবার সে আমাকে বললো যে ৭ মাসের মধ্যে আমি এটা তৃতীয়বার করলাম, আর এর ঘন"&amp;" ঘন ব্যবহার এমন একটা ব্যাপার যা সে সামলাতে পারছে না। সে বলেছে সম্পর্কটা সম্পর্কে সবকিছুই অসাধারণ (আমি বেশিরভাগ ক্ষেত্রেই একমত), কিন্তু যখন আমি মাতাল থাকি তখন তার একটা সমস্যা হয়। ৩ বার (একটি সঙ্গীত অনুষ্ঠান এবং ২ দিন) ছাড়া, আমি সপ্তাহান্তে এবং মাঝে মাঝে "&amp;"সপ্তাহের দিনগুলিতে ১-৩ গ্লাস ওয়াইন খাই। আমি আবার কখনও ব্ল্যাকআউট না হওয়ার জন্য আমার মদ্যপান নিয়ন্ত্রণ করতে চাই। এটি এমন কিছু যা আমি আমার বয়ফ্রেন্ডের সাথে ডেট করার আগে কাজ করতে চেয়েছিলাম, আমার নিজের স্বাস্থ্যের জন্য, যদিও এটি কাজের উপর প্রভাব ফেলেনি এ"&amp;"বং কেউ কখনও আমার কাছে এটি নিয়ে আসেনি। আমি একজন শান্ত, দয়ালু ব্যক্তি, কিন্তু আমার বয়ফ্রেন্ড বলে যে ব্ল্যাকআউটের সময় আমি তাকে ব্যক্তিগতভাবে আক্রমণ করতে শুরু করি এবং খারাপ আচরণ করি। সে রবিবার বললো, আমি তাকে গাড়ি চালানোর প্রতি মনোভাব দিয়েছিলাম, যেখানে আ"&amp;"মি চোখ বুলিয়েছিলাম এবং ""স্পষ্টতই তুমি গাড়ি চালাচ্ছ"" বলেছিলাম, এবং তারপর আমি তাকে বলেছিলাম যে সেদিনের আগের কিছু কাজের জন্য আমি তার উপর বিরক্ত ছিলাম, কিন্তু আমি এটি নিয়ে কথা বলতে চাইনি। আমার কাছে, এই জিনিসগুলো আদর্শ মনে হচ্ছে না, কিন্তু ভয়ঙ্করও নয়। য"&amp;"েমন, আমিও ব্ল্যাকআউট হতে চাই না বা অভদ্র হতে চাই না, এবং আমি দুঃখিত। কিন্তু, আমি কখনও তাকে নাম ধরে ডাকিনি বা ইচ্ছাকৃতভাবে তাকে আঘাত করিনি, তাই আমার মনে হয় আমি কেবল ভয় পাচ্ছি যে যদি আমি ভুল করে ৩টির বেশি পানীয় পান করি, তাহলে সে আমার থেকে দূরে সরে যাবে অ"&amp;"থবা আমার সাথে সম্পর্ক ছিন্ন করবে, যদিও আমিও এই ধরণের অতিরিক্ত পর্ব বন্ধ করতে চাই। এছাড়াও, যতবার আমি ব্ল্যাকআউট হয়েছি, আমার প্রেমিক সেখানে ছিল, এবং প্রতিবার যখন আমরা ব্ল্যাকআউটের সময় বাড়িতে ফিরে সেক্স করেছি। আমি এর কিছু অংশ মনে রাখি, এবং তাই এটি আমাকে "&amp;"বিরক্ত করে যে সে সেক্স করতে ইচ্ছুক, কিন্তু আমার আচরণেও বিরক্ত। ব্ল্যাকআউট ২ এর পরে, সে আমাকে বলেছিল যে তার মা একজন মদ্যপ এবং তাই এটি তাকে কারও যত্ন নিতে বাধ্য করে, কিন্তু সে আমার উপর নিয়ন্ত্রণ ছেড়ে দিতে পারে না কারণ আমি এখন তার সঙ্গী, এবং অবিবাহিত নই, এ"&amp;"বং সে কেবল তা করতে পারে না। প্রশ্ন: আমি আমার ব্ল্যাকিং আউটের সম্ভাবনাও ০% এ কমাতে চাই। আমি আমার বয়ফ্রেন্ডকে ভালোবাসি এবং আমি চাই সে খুশি এবং স্বাচ্ছন্দ্য বোধ করুক। আমি কেবল ভয় পাচ্ছি যে আমার বয়ফ্রেন্ড এমন আচরণ করছে যেন আমি যা করেছি তা খারাপ, এবং আমি সঠ"&amp;"িক ভারসাম্য বজায় রাখার চেষ্টা করছি। তাছাড়া, আমি ভয় পাচ্ছি যে সম্ভবত আমাকে আমার চেয়েও খারাপ মনে করা হবে, তবে আমি যদি সত্যিই খারাপ কিছু করি তবে আমি তার মালিকানাও নিতে চাই। পরিশেষে, আমি সমস্যার সমাধান করতে চাই। কোন পরামর্শ?")</f>
        <v>আমি (৩৩ফ) ৭ মাস ধরে একজন পুরুষের (৩৬ মিলিয়ন) সাথে ডেটিং করছি। রবিবার, আমি সকাল ১০টা থেকে বিকেল ৩টা পর্যন্ত (একটি বাড়িতে জন্মদিনের ব্রাঞ্চ) তার এবং আমার বন্ধুদের সাথে এতটাই মদ্যপান করেছি যে আমি তার সাথে এবং আমার বন্ধুদের সাথে ঘুরঘুর করছিলাম। সে মদ্যপান করেছে কিন্তু মাতাল হয়নি। হোস্ট স্পার্কলিং ওয়াইন ঢেলে দিয়েছে, আর আমি শুধু পান করতে থাকি। আমি খাইনি। আমি বাড়ি ফিরে আসার কথা পুরোপুরি মনে করতে পারছি না - আমার প্রেমিক গাড়ি চালিয়ে এসেছিল। তাছাড়া, আমার মনে আছে, আমি বাড়িতে ফিরে এসেছি, এবং আমার মনে আছে আমরা সেক্স করেছি, কিন্তু আমার সব মনে নেই। তাছাড়া, আমি স্পষ্টতই ঘুমাতে গিয়েছিলাম এবং রাত ৮টায় ঘুম থেকে উঠেছিলাম, সেই সময়ে আমার মনে ছিল না যে আমি ঘুমাতে গিয়েছিলাম, এবং দিন নষ্ট করা এবং নিয়ন্ত্রণ হারিয়ে ফেলার জন্য আমি নিজের উপর খুব দুঃখিত/বিরক্ত ছিলাম। আমার প্রেমিক আমার সাথে ভালো ব্যবহার করেছিল এবং আমাকে জল এনে দিয়েছিল, কিন্তু তারপর সে সোমবার এবং মঙ্গলবার খুব দূরে ছিল। মৌখিক বা শারীরিকভাবে স্নেহের জন্য দরপত্রের কোনও সাড়া দেয়নি। মঙ্গলবার সে আমাকে বললো যে ৭ মাসের মধ্যে আমি এটা তৃতীয়বার করলাম, আর এর ঘন ঘন ব্যবহার এমন একটা ব্যাপার যা সে সামলাতে পারছে না। সে বলেছে সম্পর্কটা সম্পর্কে সবকিছুই অসাধারণ (আমি বেশিরভাগ ক্ষেত্রেই একমত), কিন্তু যখন আমি মাতাল থাকি তখন তার একটা সমস্যা হয়। ৩ বার (একটি সঙ্গীত অনুষ্ঠান এবং ২ দিন) ছাড়া, আমি সপ্তাহান্তে এবং মাঝে মাঝে সপ্তাহের দিনগুলিতে ১-৩ গ্লাস ওয়াইন খাই। আমি আবার কখনও ব্ল্যাকআউট না হওয়ার জন্য আমার মদ্যপান নিয়ন্ত্রণ করতে চাই। এটি এমন কিছু যা আমি আমার বয়ফ্রেন্ডের সাথে ডেট করার আগে কাজ করতে চেয়েছিলাম, আমার নিজের স্বাস্থ্যের জন্য, যদিও এটি কাজের উপর প্রভাব ফেলেনি এবং কেউ কখনও আমার কাছে এটি নিয়ে আসেনি। আমি একজন শান্ত, দয়ালু ব্যক্তি, কিন্তু আমার বয়ফ্রেন্ড বলে যে ব্ল্যাকআউটের সময় আমি তাকে ব্যক্তিগতভাবে আক্রমণ করতে শুরু করি এবং খারাপ আচরণ করি। সে রবিবার বললো, আমি তাকে গাড়ি চালানোর প্রতি মনোভাব দিয়েছিলাম, যেখানে আমি চোখ বুলিয়েছিলাম এবং "স্পষ্টতই তুমি গাড়ি চালাচ্ছ" বলেছিলাম, এবং তারপর আমি তাকে বলেছিলাম যে সেদিনের আগের কিছু কাজের জন্য আমি তার উপর বিরক্ত ছিলাম, কিন্তু আমি এটি নিয়ে কথা বলতে চাইনি। আমার কাছে, এই জিনিসগুলো আদর্শ মনে হচ্ছে না, কিন্তু ভয়ঙ্করও নয়। যেমন, আমিও ব্ল্যাকআউট হতে চাই না বা অভদ্র হতে চাই না, এবং আমি দুঃখিত। কিন্তু, আমি কখনও তাকে নাম ধরে ডাকিনি বা ইচ্ছাকৃতভাবে তাকে আঘাত করিনি, তাই আমার মনে হয় আমি কেবল ভয় পাচ্ছি যে যদি আমি ভুল করে ৩টির বেশি পানীয় পান করি, তাহলে সে আমার থেকে দূরে সরে যাবে অথবা আমার সাথে সম্পর্ক ছিন্ন করবে, যদিও আমিও এই ধরণের অতিরিক্ত পর্ব বন্ধ করতে চাই। এছাড়াও, যতবার আমি ব্ল্যাকআউট হয়েছি, আমার প্রেমিক সেখানে ছিল, এবং প্রতিবার যখন আমরা ব্ল্যাকআউটের সময় বাড়িতে ফিরে সেক্স করেছি। আমি এর কিছু অংশ মনে রাখি, এবং তাই এটি আমাকে বিরক্ত করে যে সে সেক্স করতে ইচ্ছুক, কিন্তু আমার আচরণেও বিরক্ত। ব্ল্যাকআউট ২ এর পরে, সে আমাকে বলেছিল যে তার মা একজন মদ্যপ এবং তাই এটি তাকে কারও যত্ন নিতে বাধ্য করে, কিন্তু সে আমার উপর নিয়ন্ত্রণ ছেড়ে দিতে পারে না কারণ আমি এখন তার সঙ্গী, এবং অবিবাহিত নই, এবং সে কেবল তা করতে পারে না। প্রশ্ন: আমি আমার ব্ল্যাকিং আউটের সম্ভাবনাও ০% এ কমাতে চাই। আমি আমার বয়ফ্রেন্ডকে ভালোবাসি এবং আমি চাই সে খুশি এবং স্বাচ্ছন্দ্য বোধ করুক। আমি কেবল ভয় পাচ্ছি যে আমার বয়ফ্রেন্ড এমন আচরণ করছে যেন আমি যা করেছি তা খারাপ, এবং আমি সঠিক ভারসাম্য বজায় রাখার চেষ্টা করছি। তাছাড়া, আমি ভয় পাচ্ছি যে সম্ভবত আমাকে আমার চেয়েও খারাপ মনে করা হবে, তবে আমি যদি সত্যিই খারাপ কিছু করি তবে আমি তার মালিকানাও নিতে চাই। পরিশেষে, আমি সমস্যার সমাধান করতে চাই। কোন পরামর্শ?</v>
      </c>
    </row>
    <row r="1154" spans="1:3" ht="15" x14ac:dyDescent="0.25">
      <c r="A1154" s="3" t="s">
        <v>1151</v>
      </c>
      <c r="B1154" s="3" t="s">
        <v>997</v>
      </c>
      <c r="C1154" s="4" t="str">
        <f ca="1">IFERROR(__xludf.DUMMYFUNCTION("GOOGLETRANSLATE(A1154, ""auto"", ""bn"")"),"আমি আসলে জানি না কিভাবে শুরু করবো, কিন্তু আমি এই বলে শুরু করবো যে আমি হয়তো ১৬ বা ১৭ বছর বয়স থেকে প্রায় প্রতিদিনই মদ্যপান করছি? আমি ঠিক জানি না এটা কিভাবে এবং কেন শুরু হয়েছিল। তাছাড়া, আমার মনে হয় আমার অনুভূতিটা ভালো লেগেছে, এবং তারপর আমি এটাকে আমার জীবন"&amp;" দখল করতে দিয়েছি। তাছাড়া, সম্প্রতি আমার বয়স ২৫ বছর হয়েছে এবং এটা সত্যিই আমাকে কষ্ট দিচ্ছে। তাছাড়া, আমি জানতাম আমার একটা সমস্যা আছে, কিন্তু আমার আত্ম-যৌক্তিকতা ছিল ""আমি প্রতিদিন কাজে যাই, আমার একটা ভালো চাকরি আছে, আমি যা করার কথা তাই করি, আমার একটা বাড়"&amp;"ি আছে, এবং এটা আমার জীবনে কোন প্রভাব ফেলছে না""। ঠিক কখন থেকে এটা শুরু হয়েছে তা আমি জানি না, তবে সপ্তাহে কমপক্ষে ৪ বা ৫ বার আমি মদ্যপান করি যতক্ষণ না আমি ক্লান্ত হয়ে যাই। তাছাড়া, আমি ভোর ৫ টায় কাজের জন্য ঘুম থেকে উঠি, খারাপ লাগে, মনে হয় আমি আসলে মারা "&amp;"যাচ্ছি। তাছাড়া, আমার নিজেকে একেবারেই খারাপ লাগছে এবং আমি প্রতিদিন সকালে নিজেকে বলি যে আমি আজ মদ্যপান করব না। আমার শিফটের প্রথম ৫ ঘন্টা, হয়তো ৮ ঘন্টা, আমার এখনও সেইরকমই মনে হয়, কিন্তু সন্ধ্যা ৭টা (ঘড়ির বাইরের সময়) যতই ঘনিয়ে আসছে, আমি শুধু আমার কাজের "&amp;"কাছাকাছি মদের দোকানের কথা ভাবি। (আমি স্পষ্টতই জানি ওটা কোথায়) আমি ঘড়ির বাইরে যাই, আমার ট্রাকে যাই, এবং চিন্তাটা মাথা থেকে ঝেড়ে ফেলার চেষ্টা করি। এটা কখনোই কাজ করে না। আমি মদের দোকানে গাড়ি চালিয়ে আমার পছন্দের পানীয় কিনে ফেলি, এবং পার্কিং লট থেকে বের "&amp;"হওয়ার আগে আমি কিছু পানীয় পান করার জন্যও অপেক্ষা করতে পারি না। আমি বাড়িতে ফিরে যাই, হয়তো খাই না, এটা নির্ভর করে আমি কতটা মাতাল বা আগের রাতের ক্ষুধার্ততার উপর। তারপর পরের দিন পুনরাবৃত্তি করি। ছুটির দিনে আমিও একই কাজ করি, আমি ঘুম থেকে উঠে পান করি না। আমি"&amp;" এটা নিয়ে ভাবি না, আবারও মদ্যপান ছেড়ে দেওয়ার কথা ভাবি কারণ আমার সম্পূর্ণ খারাপ লাগছে এবং এখন আমি আমার শরীরকে ধ্বংস করে দিচ্ছি। বেশিরভাগ দিন আমি সন্ধ্যা পর্যন্ত পানীয়ের প্রতি আকাঙ্ক্ষা শুরু করি না বা এটি নিয়ে ভাবি না। তারপর, দ্বিধা ছাড়াই আমি রাতের জন"&amp;"্য আমার বোতল কিনে আসি। সারাক্ষণ, আমার মাথায়, এমনকি মদের দোকানের পার্কিং লটে বসেও আমি সেখানে বসে ভাবি যে আমি কী করছি। এই সপ্তাহে চতুর্থবারের মতো সোফায় অজ্ঞান হওয়ার পর দিনের পর দিন নিজেকে বলি যে আমি বিরক্তিকর। আমি একজন কার্যকরী মদ্যপ।")</f>
        <v>আমি আসলে জানি না কিভাবে শুরু করবো, কিন্তু আমি এই বলে শুরু করবো যে আমি হয়তো ১৬ বা ১৭ বছর বয়স থেকে প্রায় প্রতিদিনই মদ্যপান করছি? আমি ঠিক জানি না এটা কিভাবে এবং কেন শুরু হয়েছিল। তাছাড়া, আমার মনে হয় আমার অনুভূতিটা ভালো লেগেছে, এবং তারপর আমি এটাকে আমার জীবন দখল করতে দিয়েছি। তাছাড়া, সম্প্রতি আমার বয়স ২৫ বছর হয়েছে এবং এটা সত্যিই আমাকে কষ্ট দিচ্ছে। তাছাড়া, আমি জানতাম আমার একটা সমস্যা আছে, কিন্তু আমার আত্ম-যৌক্তিকতা ছিল "আমি প্রতিদিন কাজে যাই, আমার একটা ভালো চাকরি আছে, আমি যা করার কথা তাই করি, আমার একটা বাড়ি আছে, এবং এটা আমার জীবনে কোন প্রভাব ফেলছে না"। ঠিক কখন থেকে এটা শুরু হয়েছে তা আমি জানি না, তবে সপ্তাহে কমপক্ষে ৪ বা ৫ বার আমি মদ্যপান করি যতক্ষণ না আমি ক্লান্ত হয়ে যাই। তাছাড়া, আমি ভোর ৫ টায় কাজের জন্য ঘুম থেকে উঠি, খারাপ লাগে, মনে হয় আমি আসলে মারা যাচ্ছি। তাছাড়া, আমার নিজেকে একেবারেই খারাপ লাগছে এবং আমি প্রতিদিন সকালে নিজেকে বলি যে আমি আজ মদ্যপান করব না। আমার শিফটের প্রথম ৫ ঘন্টা, হয়তো ৮ ঘন্টা, আমার এখনও সেইরকমই মনে হয়, কিন্তু সন্ধ্যা ৭টা (ঘড়ির বাইরের সময়) যতই ঘনিয়ে আসছে, আমি শুধু আমার কাজের কাছাকাছি মদের দোকানের কথা ভাবি। (আমি স্পষ্টতই জানি ওটা কোথায়) আমি ঘড়ির বাইরে যাই, আমার ট্রাকে যাই, এবং চিন্তাটা মাথা থেকে ঝেড়ে ফেলার চেষ্টা করি। এটা কখনোই কাজ করে না। আমি মদের দোকানে গাড়ি চালিয়ে আমার পছন্দের পানীয় কিনে ফেলি, এবং পার্কিং লট থেকে বের হওয়ার আগে আমি কিছু পানীয় পান করার জন্যও অপেক্ষা করতে পারি না। আমি বাড়িতে ফিরে যাই, হয়তো খাই না, এটা নির্ভর করে আমি কতটা মাতাল বা আগের রাতের ক্ষুধার্ততার উপর। তারপর পরের দিন পুনরাবৃত্তি করি। ছুটির দিনে আমিও একই কাজ করি, আমি ঘুম থেকে উঠে পান করি না। আমি এটা নিয়ে ভাবি না, আবারও মদ্যপান ছেড়ে দেওয়ার কথা ভাবি কারণ আমার সম্পূর্ণ খারাপ লাগছে এবং এখন আমি আমার শরীরকে ধ্বংস করে দিচ্ছি। বেশিরভাগ দিন আমি সন্ধ্যা পর্যন্ত পানীয়ের প্রতি আকাঙ্ক্ষা শুরু করি না বা এটি নিয়ে ভাবি না। তারপর, দ্বিধা ছাড়াই আমি রাতের জন্য আমার বোতল কিনে আসি। সারাক্ষণ, আমার মাথায়, এমনকি মদের দোকানের পার্কিং লটে বসেও আমি সেখানে বসে ভাবি যে আমি কী করছি। এই সপ্তাহে চতুর্থবারের মতো সোফায় অজ্ঞান হওয়ার পর দিনের পর দিন নিজেকে বলি যে আমি বিরক্তিকর। আমি একজন কার্যকরী মদ্যপ।</v>
      </c>
    </row>
    <row r="1155" spans="1:3" ht="15" x14ac:dyDescent="0.25">
      <c r="A1155" s="3" t="s">
        <v>1152</v>
      </c>
      <c r="B1155" s="3" t="s">
        <v>997</v>
      </c>
      <c r="C1155" s="4" t="str">
        <f ca="1">IFERROR(__xludf.DUMMYFUNCTION("GOOGLETRANSLATE(A1155, ""auto"", ""bn"")"),"আমি বাইপোলার এবং যতই চেষ্টা করি না কেন, আমি এটা নিয়ন্ত্রণ করতে পারছি না। আমি এটা ঠান্ডা করার জন্য অ্যালকোহল ব্যবহার করছি, কিন্তু এখন সেটা খারাপভাবে চলছে। তাছাড়া, আমি গত ২০ বছর ধরে মাঝে মাঝে মদ্যপান করছি, এবং আমার বয়স ২০ এর কোঠার শেষের দিকে। বেশ অল্প বয"&amp;"়সেই শুরু করেছি। এখন খুব মাতাল এবং পরের রাতের জন্যও থাকব যতক্ষণ না আমার শরীর শেষ হয়ে যায়। কারো সাথে কথা বলা ভালো হবে - এই বিষয়ে না বলাই ভালো। আমি জানতে চাই তোমার দিন কেমন গেল এবং তোমার সপ্তাহ কেমন গেল। তুমি কি আমার মনের কথা খুলে বলতে চাও? সবকিছু বলো। এ"&amp;"ই সপ্তাহটা কেমন গেল তা নিয়ে কথা বলতে চাও? সবকিছু বলো। আমি যেকোনো বিষয়ে কথা বলতে চাই।")</f>
        <v>আমি বাইপোলার এবং যতই চেষ্টা করি না কেন, আমি এটা নিয়ন্ত্রণ করতে পারছি না। আমি এটা ঠান্ডা করার জন্য অ্যালকোহল ব্যবহার করছি, কিন্তু এখন সেটা খারাপভাবে চলছে। তাছাড়া, আমি গত ২০ বছর ধরে মাঝে মাঝে মদ্যপান করছি, এবং আমার বয়স ২০ এর কোঠার শেষের দিকে। বেশ অল্প বয়সেই শুরু করেছি। এখন খুব মাতাল এবং পরের রাতের জন্যও থাকব যতক্ষণ না আমার শরীর শেষ হয়ে যায়। কারো সাথে কথা বলা ভালো হবে - এই বিষয়ে না বলাই ভালো। আমি জানতে চাই তোমার দিন কেমন গেল এবং তোমার সপ্তাহ কেমন গেল। তুমি কি আমার মনের কথা খুলে বলতে চাও? সবকিছু বলো। এই সপ্তাহটা কেমন গেল তা নিয়ে কথা বলতে চাও? সবকিছু বলো। আমি যেকোনো বিষয়ে কথা বলতে চাই।</v>
      </c>
    </row>
    <row r="1156" spans="1:3" ht="15" x14ac:dyDescent="0.25">
      <c r="A1156" s="3" t="s">
        <v>1153</v>
      </c>
      <c r="B1156" s="3" t="s">
        <v>997</v>
      </c>
      <c r="C1156" s="4" t="str">
        <f ca="1">IFERROR(__xludf.DUMMYFUNCTION("GOOGLETRANSLATE(A1156, ""auto"", ""bn"")"),"যদি তুমি এই বইটি পড়ো এবং এর মূলনীতিগুলো সফলভাবে কাজে লাগাও। আমি পুরো মানসিকতার পরিবর্তনের সাথে লড়াই করছি। পুরোটা ইচ্ছাশক্তির ব্যাপার নয়। আমার মদ্যপান একটি মোকাবিলা করার কৌশল এবং এটি কাটিয়ে ওঠা কঠিন। তবে, আমি এখনও পুরো বইটি পড়িনি, তাই হয়তো কিছু অধ্যায় "&amp;"এই বিষয়টি নিয়ে আলোচনা করবে।")</f>
        <v>যদি তুমি এই বইটি পড়ো এবং এর মূলনীতিগুলো সফলভাবে কাজে লাগাও। আমি পুরো মানসিকতার পরিবর্তনের সাথে লড়াই করছি। পুরোটা ইচ্ছাশক্তির ব্যাপার নয়। আমার মদ্যপান একটি মোকাবিলা করার কৌশল এবং এটি কাটিয়ে ওঠা কঠিন। তবে, আমি এখনও পুরো বইটি পড়িনি, তাই হয়তো কিছু অধ্যায় এই বিষয়টি নিয়ে আলোচনা করবে।</v>
      </c>
    </row>
    <row r="1157" spans="1:3" ht="15" x14ac:dyDescent="0.25">
      <c r="A1157" s="3" t="s">
        <v>1154</v>
      </c>
      <c r="B1157" s="3" t="s">
        <v>997</v>
      </c>
      <c r="C1157" s="4" t="str">
        <f ca="1">IFERROR(__xludf.DUMMYFUNCTION("GOOGLETRANSLATE(A1157, ""auto"", ""bn"")"),"আমি মাত্র ৬ মাসের জন্য মধ্যপ্রাচ্য থেকে ফিরে এসেছি। আমি একটি শুষ্ক দেশে অবস্থান করছিলাম এবং ক্রিসমাস এবং নববর্ষের ছুটি ছাড়া, যেখানে ৩টি পানীয় অনুমোদিত ছিল, আমি এই সময়ের জন্য একটিও বিয়ার পান করিনি। আমি আমার ২ সপ্তাহের বিশ্রাম এবং পুনরুদ্ধারে ফিরে এসেছি"&amp;" এবং আমার বান্ধবীর সাথে কিছুক্ষণের জন্য ঘাঁটি থেকে দূরে থাকার জন্য থাকি। সে যখন কাজে থাকে তখন আমি কিছু কাজ সেরে ফেলি এবং উৎপাদনশীল বোধ করি, তবে এই সমস্ত সময় হাতে রেখে আমি অবসর সময়ে স্থানীয় বারে গিয়ে পান করতে চাই। আমি ফিরে আসার পর থেকে (১৩ দিন) প্রতিদি"&amp;"ন কমপক্ষে একটি পানীয় পান করেছি। আমি নিশ্চিত নই যে আমি হারিয়ে যাওয়া সময়ের ক্ষতি পূরণ করছি এবং কেবল একটি তৃষ্ণা মেটাচ্ছি, নাকি আমি একঘেয়েমি থেকে পান করছি। আমি নিশ্চিত নই যে এটি সম্পর্কে কীভাবে অনুভব করব। হয়তো আমি নিজেকে মারধর করছি এবং নিজেকে বিশ্রাম ন"&amp;"িতে দিচ্ছি না, অথবা সম্ভবত আমার কোনও গুরুতর সমস্যা আছে।")</f>
        <v>আমি মাত্র ৬ মাসের জন্য মধ্যপ্রাচ্য থেকে ফিরে এসেছি। আমি একটি শুষ্ক দেশে অবস্থান করছিলাম এবং ক্রিসমাস এবং নববর্ষের ছুটি ছাড়া, যেখানে ৩টি পানীয় অনুমোদিত ছিল, আমি এই সময়ের জন্য একটিও বিয়ার পান করিনি। আমি আমার ২ সপ্তাহের বিশ্রাম এবং পুনরুদ্ধারে ফিরে এসেছি এবং আমার বান্ধবীর সাথে কিছুক্ষণের জন্য ঘাঁটি থেকে দূরে থাকার জন্য থাকি। সে যখন কাজে থাকে তখন আমি কিছু কাজ সেরে ফেলি এবং উৎপাদনশীল বোধ করি, তবে এই সমস্ত সময় হাতে রেখে আমি অবসর সময়ে স্থানীয় বারে গিয়ে পান করতে চাই। আমি ফিরে আসার পর থেকে (১৩ দিন) প্রতিদিন কমপক্ষে একটি পানীয় পান করেছি। আমি নিশ্চিত নই যে আমি হারিয়ে যাওয়া সময়ের ক্ষতি পূরণ করছি এবং কেবল একটি তৃষ্ণা মেটাচ্ছি, নাকি আমি একঘেয়েমি থেকে পান করছি। আমি নিশ্চিত নই যে এটি সম্পর্কে কীভাবে অনুভব করব। হয়তো আমি নিজেকে মারধর করছি এবং নিজেকে বিশ্রাম নিতে দিচ্ছি না, অথবা সম্ভবত আমার কোনও গুরুতর সমস্যা আছে।</v>
      </c>
    </row>
    <row r="1158" spans="1:3" ht="15" x14ac:dyDescent="0.25">
      <c r="A1158" s="3" t="s">
        <v>1155</v>
      </c>
      <c r="B1158" s="3" t="s">
        <v>997</v>
      </c>
      <c r="C1158" s="4" t="str">
        <f ca="1">IFERROR(__xludf.DUMMYFUNCTION("GOOGLETRANSLATE(A1158, ""auto"", ""bn"")"),"আমি এই অ্যাকাউন্টটি তৈরি করেছি কারণ আমি প্রায় ৫ মাস ধরে প্রতিদিন মদ্যপান করছি (আমি যখন মদ্যপান ছেড়ে দিতে বাধ্য হয়েছিলাম তখন থেকেই আমি মদ্যপান শুরু করেছিলাম কারণ আমার দেশ থেকে আসা মানুষটি এটি অবৈধ বলে ভয় পাচ্ছিল, এবং তখন থেকেই আমি প্রতিদিন মদ্যপান করছি) এব"&amp;"ং আমি ছেড়ে দেওয়ার কথা ভাবছি। এটা সম্ভব কিনা জানি না কিন্তু আমার মনে হয় যখন আমি ""ধরুন মদ্যপান"" করি তখন থেকেই মদ্যপান বন্ধ করে দেওয়ার প্রবণতা দেখা দিতে শুরু করে। এগুলো কি মদ্যপানের মতো শোনাচ্ছে? আমি অসুস্থ বোধ করি, আমার মাথাব্যথা থাকে, আমি দুর্বল এবং ক্"&amp;"ষুধার্ত বোধ করি কিন্তু মাতাল না হওয়া পর্যন্ত কিছুই ক্ষুধার্ত বলে মনে হয় না, এবং আমার চোখের পাতা এবং ভ্রুতে এলোমেলোভাবে টান অনুভব করে, আমার পেটে ব্যথা হয় এবং দিনে কয়েকবার মদ্যপান করতে হয়। আমিও ভাবছি যে রাতে ৪ ক্যান সাইডার (৮.৪%) পান করা কতটা খারাপ এবং "&amp;"চিকিৎসা সহায়তা ছাড়া এখনই আমার পক্ষে ঠান্ডা টার্কি ছেড়ে দেওয়া সম্ভব কিনা। আমি একজন ২২ বছর বয়সী মহিলা, যদি এটি জানতে সাহায্য করে।")</f>
        <v>আমি এই অ্যাকাউন্টটি তৈরি করেছি কারণ আমি প্রায় ৫ মাস ধরে প্রতিদিন মদ্যপান করছি (আমি যখন মদ্যপান ছেড়ে দিতে বাধ্য হয়েছিলাম তখন থেকেই আমি মদ্যপান শুরু করেছিলাম কারণ আমার দেশ থেকে আসা মানুষটি এটি অবৈধ বলে ভয় পাচ্ছিল, এবং তখন থেকেই আমি প্রতিদিন মদ্যপান করছি) এবং আমি ছেড়ে দেওয়ার কথা ভাবছি। এটা সম্ভব কিনা জানি না কিন্তু আমার মনে হয় যখন আমি "ধরুন মদ্যপান" করি তখন থেকেই মদ্যপান বন্ধ করে দেওয়ার প্রবণতা দেখা দিতে শুরু করে। এগুলো কি মদ্যপানের মতো শোনাচ্ছে? আমি অসুস্থ বোধ করি, আমার মাথাব্যথা থাকে, আমি দুর্বল এবং ক্ষুধার্ত বোধ করি কিন্তু মাতাল না হওয়া পর্যন্ত কিছুই ক্ষুধার্ত বলে মনে হয় না, এবং আমার চোখের পাতা এবং ভ্রুতে এলোমেলোভাবে টান অনুভব করে, আমার পেটে ব্যথা হয় এবং দিনে কয়েকবার মদ্যপান করতে হয়। আমিও ভাবছি যে রাতে ৪ ক্যান সাইডার (৮.৪%) পান করা কতটা খারাপ এবং চিকিৎসা সহায়তা ছাড়া এখনই আমার পক্ষে ঠান্ডা টার্কি ছেড়ে দেওয়া সম্ভব কিনা। আমি একজন ২২ বছর বয়সী মহিলা, যদি এটি জানতে সাহায্য করে।</v>
      </c>
    </row>
    <row r="1159" spans="1:3" ht="15" x14ac:dyDescent="0.25">
      <c r="A1159" s="3" t="s">
        <v>1156</v>
      </c>
      <c r="B1159" s="3" t="s">
        <v>997</v>
      </c>
      <c r="C1159" s="4" t="str">
        <f ca="1">IFERROR(__xludf.DUMMYFUNCTION("GOOGLETRANSLATE(A1159, ""auto"", ""bn"")"),"৯ মাসের বমি বমি ভাবের অভ্যাস ভেঙে এখন সপ্তাহান্তে সপ্তাহে একবার মদ্যপান করি। এটা সবসময় এভাবেই শুরু হয়। তারপর আমি সপ্তাহে কয়েকবার শুরু করব এবং তারপর আবার দিনে একবার মদ্যপান করব। হয়তো নাও হতে পারে। এখন আমি প্রতিদিন মদ্যপান করতে বাধ্য বোধ করি না। দেখা যা"&amp;"ক কী হয়। শুভ সকালও! আমি ভোর ৩-৪টার দিকে নিজেকে বমি করতে বাধ্য করেছিলাম, তাই এখন আমার ভালো লাগবে, এবং এটা কাজ করেছে।")</f>
        <v>৯ মাসের বমি বমি ভাবের অভ্যাস ভেঙে এখন সপ্তাহান্তে সপ্তাহে একবার মদ্যপান করি। এটা সবসময় এভাবেই শুরু হয়। তারপর আমি সপ্তাহে কয়েকবার শুরু করব এবং তারপর আবার দিনে একবার মদ্যপান করব। হয়তো নাও হতে পারে। এখন আমি প্রতিদিন মদ্যপান করতে বাধ্য বোধ করি না। দেখা যাক কী হয়। শুভ সকালও! আমি ভোর ৩-৪টার দিকে নিজেকে বমি করতে বাধ্য করেছিলাম, তাই এখন আমার ভালো লাগবে, এবং এটা কাজ করেছে।</v>
      </c>
    </row>
    <row r="1160" spans="1:3" ht="15" x14ac:dyDescent="0.25">
      <c r="A1160" s="3" t="s">
        <v>1157</v>
      </c>
      <c r="B1160" s="3" t="s">
        <v>997</v>
      </c>
      <c r="C1160" s="4" t="str">
        <f ca="1">IFERROR(__xludf.DUMMYFUNCTION("GOOGLETRANSLATE(A1160, ""auto"", ""bn"")"),"আমি নিজেও মদ্যপ নই, জীবনে মাত্র ৪ বার মদ্যপান করেছি, যদিও গত প্রায় দুই মাসেই মদ্যপানের অভিজ্ঞতা হয়েছে। আমি এমন একটি পরিবার থেকে এসেছি যাদের মদ্যপানের অভিজ্ঞতা অনেক দীর্ঘ। সেই কারণেই আমার বন্ধুরা অবশেষে আমাকে বোঝানোর আগে পর্যন্ত আমি একেবারেই মদ্যপান করতে"&amp;" অস্বীকৃতি জানিয়েছিলাম, এবং এখনও আমি মদ্যপান করতে অস্বীকৃতি জানাই, যদি না আমি নির্দিষ্টভাবে সেই দিনটিকে মদ্যপানের দিন হিসেবে নির্দিষ্ট করে থাকি (অর্থাৎ, কোনও সাধারণ বিয়ার বা অন্য কিছু)। আমি আবিষ্কার করেছি যে আমার পরিবার যেমন তাদের অভিজ্ঞতা বর্ণনা করেছে,"&amp;" আমি কখনও মদ্যপানের প্রতি আকাঙ্ক্ষা পোষণ করি না, তবে আমি এখনও কতবার মদ্যপান করি তা নিয়ে সতর্ক। মাসে ২-৩ বার বাইরে যাওয়া কি খুব বেশি? এটি কি আমার মধ্যে আসক্তি তৈরি করতে পারে? এখন যেহেতু আমি যথেষ্ট পরিমাণে মদ্যপান করেছি, আমি মনে করি না যে আমি মদ্যপানকারী "&amp;"হওয়ার ঝুঁকিতে আছি, তবে আমি এটাও জানি যে এটি একটি পিচ্ছিল ঢাল হতে পারে।")</f>
        <v>আমি নিজেও মদ্যপ নই, জীবনে মাত্র ৪ বার মদ্যপান করেছি, যদিও গত প্রায় দুই মাসেই মদ্যপানের অভিজ্ঞতা হয়েছে। আমি এমন একটি পরিবার থেকে এসেছি যাদের মদ্যপানের অভিজ্ঞতা অনেক দীর্ঘ। সেই কারণেই আমার বন্ধুরা অবশেষে আমাকে বোঝানোর আগে পর্যন্ত আমি একেবারেই মদ্যপান করতে অস্বীকৃতি জানিয়েছিলাম, এবং এখনও আমি মদ্যপান করতে অস্বীকৃতি জানাই, যদি না আমি নির্দিষ্টভাবে সেই দিনটিকে মদ্যপানের দিন হিসেবে নির্দিষ্ট করে থাকি (অর্থাৎ, কোনও সাধারণ বিয়ার বা অন্য কিছু)। আমি আবিষ্কার করেছি যে আমার পরিবার যেমন তাদের অভিজ্ঞতা বর্ণনা করেছে, আমি কখনও মদ্যপানের প্রতি আকাঙ্ক্ষা পোষণ করি না, তবে আমি এখনও কতবার মদ্যপান করি তা নিয়ে সতর্ক। মাসে ২-৩ বার বাইরে যাওয়া কি খুব বেশি? এটি কি আমার মধ্যে আসক্তি তৈরি করতে পারে? এখন যেহেতু আমি যথেষ্ট পরিমাণে মদ্যপান করেছি, আমি মনে করি না যে আমি মদ্যপানকারী হওয়ার ঝুঁকিতে আছি, তবে আমি এটাও জানি যে এটি একটি পিচ্ছিল ঢাল হতে পারে।</v>
      </c>
    </row>
    <row r="1161" spans="1:3" ht="15" x14ac:dyDescent="0.25">
      <c r="A1161" s="3" t="s">
        <v>1158</v>
      </c>
      <c r="B1161" s="3" t="s">
        <v>997</v>
      </c>
      <c r="C1161" s="4" t="str">
        <f ca="1">IFERROR(__xludf.DUMMYFUNCTION("GOOGLETRANSLATE(A1161, ""auto"", ""bn"")"),"আরেকটা বাঁক নিচ্ছি, লজ্জা পাচ্ছি। পুরো শিফটটা কাঁপতে কাঁপতে কেটে গেল, এমনকি বাথরুমে বমিও হয়ে গেল। শত শত অপরিচিত লোকের সামনে নিজেকে লজ্জা পেলাম। আমার বারবার মনে হচ্ছে আমি একেবারে তলানিতে পৌঁছে গেছি, হয়তো এটা নাও হতে পারে, কিন্তু আমার ভুল সিদ্ধান্তের জন্য"&amp;" আমি লজ্জিত বোধ করছি।")</f>
        <v>আরেকটা বাঁক নিচ্ছি, লজ্জা পাচ্ছি। পুরো শিফটটা কাঁপতে কাঁপতে কেটে গেল, এমনকি বাথরুমে বমিও হয়ে গেল। শত শত অপরিচিত লোকের সামনে নিজেকে লজ্জা পেলাম। আমার বারবার মনে হচ্ছে আমি একেবারে তলানিতে পৌঁছে গেছি, হয়তো এটা নাও হতে পারে, কিন্তু আমার ভুল সিদ্ধান্তের জন্য আমি লজ্জিত বোধ করছি।</v>
      </c>
    </row>
    <row r="1162" spans="1:3" ht="15" x14ac:dyDescent="0.25">
      <c r="A1162" s="3" t="s">
        <v>1159</v>
      </c>
      <c r="B1162" s="3" t="s">
        <v>997</v>
      </c>
      <c r="C1162" s="4" t="str">
        <f ca="1">IFERROR(__xludf.DUMMYFUNCTION("GOOGLETRANSLATE(A1162, ""auto"", ""bn"")"),"আজ এক মাস পূর্ণ করলাম, থামার কোনও পরিকল্পনা নেই! আমি দেখতে আরও সুন্দর এবং ভালো বোধ করছি। আমি আরও উৎসাহী। এখনই ধীরে ধীরে জেনোভেস সস দিয়ে পাস্তা রান্না করছি, আর আজ রাতের জন্য কি আমি নিজেই রুটি বানাবো? আমি যে NA ওয়াইন কিনেছি তার সাথে এটি দারুন লাগবে।")</f>
        <v>আজ এক মাস পূর্ণ করলাম, থামার কোনও পরিকল্পনা নেই! আমি দেখতে আরও সুন্দর এবং ভালো বোধ করছি। আমি আরও উৎসাহী। এখনই ধীরে ধীরে জেনোভেস সস দিয়ে পাস্তা রান্না করছি, আর আজ রাতের জন্য কি আমি নিজেই রুটি বানাবো? আমি যে NA ওয়াইন কিনেছি তার সাথে এটি দারুন লাগবে।</v>
      </c>
    </row>
    <row r="1163" spans="1:3" ht="15" x14ac:dyDescent="0.25">
      <c r="A1163" s="3" t="s">
        <v>1160</v>
      </c>
      <c r="B1163" s="3" t="s">
        <v>997</v>
      </c>
      <c r="C1163" s="4" t="str">
        <f ca="1">IFERROR(__xludf.DUMMYFUNCTION("GOOGLETRANSLATE(A1163, ""auto"", ""bn"")"),"আমার মনে হয় আমার কথা বলা উচিত। আশা করি কেউ আমার সাথে কথা বলতে পারবে। বিএফ আর আমি ৬ বছর ধরে একসাথে আছি। আমরা কখনো ঝগড়া বা তর্ক করি না, মাঝে মাঝে বিভিন্ন সামাজিক ধারণা নিয়ে আমাদের মতবিরোধ হয়, কিন্তু সেগুলো সবসময় শান্তভাবে আলোচনা করা হয়। আমরা একে অপরকে"&amp;" অনেক ভালোবাসি। আমাদের সম্পর্ক খুব ভালো। গত এক বছর ধরে তার মদ্যপানের সমস্যা ছিল যা আরও খারাপ হয়েছে। সে কয়েক সপ্তাহ ধরে থেরাপিতে আছে। আমি জানতে পেরেছি তার থেরাপিস্ট তাকে বলেছেন যে তাকে সুস্থ হওয়ার আগে অবিবাহিত থাকার প্রতিশ্রুতি দিতে হবে। আমি জিজ্ঞাসা কর"&amp;"েছিলাম যে তার পরামর্শ সম্পর্কে সে কেমন অনুভব করে, এবং সে বলল, ""আমি একা থাকতে ভয় পাচ্ছি। কিন্তু আমার মনে হয় আমি একমত যে এর অর্থ কী তা আমার বুঝতে হবে""। তাই হ্যাঁ, সে এখন সত্যিই দুঃখিত। আমি তাকে বললাম, যে মুহূর্ত থেকে সে এই সমস্যাগুলি তৈরি করতে শুরু করেছ"&amp;"ে সেই মুহূর্ত থেকেই আমি বুঝতে পেরেছি যে আমাদের সম্পর্কের চেয়ে তার ব্যক্তিগত সুস্থতা প্রথমে আসা উচিত। মানে, আমি জানতাম আমাদের কম আড্ডা হবে, সে কম স্নেহ দেবে, তার একা সময় কাটানোর প্রয়োজন হবে, তাকে হয়তো হাসপাতালে যেতে হবে ইত্যাদি। আমি চাই সে নিজের যত্ন ন"&amp;"েবে। আমি তাকে এটা ব্যাখ্যা করেছিলাম, আমি বলেছিলাম যে আমি কেবল তার প্রয়োজন/চাইলে ভালোবাসা প্রদানের জন্য এখানে থাকতে চাই, এবং সে জানতে পারে যে আমি এখানে কেবল তার জন্য, আমার সমস্ত ভালোবাসা তার জন্য। সমস্ত উত্থান-পতনের মধ্যে তাকে সমর্থন করার জন্য আমি তার সাথ"&amp;"ে আছি। আমি ব্যাখ্যা করেছিলাম যে প্রেমের দিক থেকে আমার কোনও প্রত্যাশা নেই। আমি কেবল আমাদের যে মুহূর্তগুলি উপভোগ করতে চাই। মাঝে মাঝে ঘুমানো, এলোমেলো মিষ্টি মেসেজ, যাই হোক না কেন, জানো? আমি এই ধারণার সাথে একমত। আমি অন্য কারো সাথে আগ্রহী হতে আগ্রহী নই, তাই এট"&amp;"া এমন নয় যে সে আমাকে আরও বেশি উপলব্ধ/মনোযোগী/যাই হোক না কেন সঙ্গী পেতে বাধা দিচ্ছে। তাকে নিজের জন্য আরও বেশি সময় দিতে হবে এতে আমার কোনও ক্ষতি হয় না। আমি বুঝতে পারি যে তাকেও এটি মেনে নিতে সক্ষম হতে হবে। চিকিৎসাগতভাবে বলতে গেলে কী ঠিক না ভুল তা আমি জানি "&amp;"না। আমরা যদি বিবাহিত হতাম তবে সে কি তাকে বিবাহবিচ্ছেদ করতে বলত?? দুর্ভাগ্যবশত আমি এই বিষয়ে সত্যিই দুঃখিত। আমার মনে হচ্ছে আমার সম্পূর্ণ মতামত ছাড়াই সিদ্ধান্ত নেওয়া হচ্ছে, কিন্তু ব্রেক আপ কি ঠিক তাই নয়? হয়তো আমার কাছে কোনও উপায় নেই এবং আমি কেমন অনুভব কর"&amp;"ছি তাতে আসলেই কিছু যায় আসে না? কারণ একজন মদ্যপ হওয়াটা তাকে সত্যিই মেরে ফেলতে পারে। আমি কান্না থামাতে পারছি না। আমি যখন তাকে বললাম যে সে নিজের উপর মনোযোগ দিলে আমি ঠিক আছি, তখন সে এখনও আমার বার্তার উত্তর দেয়নি। আমি কোনও উত্তরের জন্য চাপ দিচ্ছি না, আমি কেবল"&amp;" অপেক্ষা করব এবং ধৈর্য ধরব। সাধারণত যখন জীবনের এই ধরণের খারাপ অনুভূতি পাই, তখন খারাপ জিনিস ঘটে। আমি খুব বিরক্ত।")</f>
        <v>আমার মনে হয় আমার কথা বলা উচিত। আশা করি কেউ আমার সাথে কথা বলতে পারবে। বিএফ আর আমি ৬ বছর ধরে একসাথে আছি। আমরা কখনো ঝগড়া বা তর্ক করি না, মাঝে মাঝে বিভিন্ন সামাজিক ধারণা নিয়ে আমাদের মতবিরোধ হয়, কিন্তু সেগুলো সবসময় শান্তভাবে আলোচনা করা হয়। আমরা একে অপরকে অনেক ভালোবাসি। আমাদের সম্পর্ক খুব ভালো। গত এক বছর ধরে তার মদ্যপানের সমস্যা ছিল যা আরও খারাপ হয়েছে। সে কয়েক সপ্তাহ ধরে থেরাপিতে আছে। আমি জানতে পেরেছি তার থেরাপিস্ট তাকে বলেছেন যে তাকে সুস্থ হওয়ার আগে অবিবাহিত থাকার প্রতিশ্রুতি দিতে হবে। আমি জিজ্ঞাসা করেছিলাম যে তার পরামর্শ সম্পর্কে সে কেমন অনুভব করে, এবং সে বলল, "আমি একা থাকতে ভয় পাচ্ছি। কিন্তু আমার মনে হয় আমি একমত যে এর অর্থ কী তা আমার বুঝতে হবে"। তাই হ্যাঁ, সে এখন সত্যিই দুঃখিত। আমি তাকে বললাম, যে মুহূর্ত থেকে সে এই সমস্যাগুলি তৈরি করতে শুরু করেছে সেই মুহূর্ত থেকেই আমি বুঝতে পেরেছি যে আমাদের সম্পর্কের চেয়ে তার ব্যক্তিগত সুস্থতা প্রথমে আসা উচিত। মানে, আমি জানতাম আমাদের কম আড্ডা হবে, সে কম স্নেহ দেবে, তার একা সময় কাটানোর প্রয়োজন হবে, তাকে হয়তো হাসপাতালে যেতে হবে ইত্যাদি। আমি চাই সে নিজের যত্ন নেবে। আমি তাকে এটা ব্যাখ্যা করেছিলাম, আমি বলেছিলাম যে আমি কেবল তার প্রয়োজন/চাইলে ভালোবাসা প্রদানের জন্য এখানে থাকতে চাই, এবং সে জানতে পারে যে আমি এখানে কেবল তার জন্য, আমার সমস্ত ভালোবাসা তার জন্য। সমস্ত উত্থান-পতনের মধ্যে তাকে সমর্থন করার জন্য আমি তার সাথে আছি। আমি ব্যাখ্যা করেছিলাম যে প্রেমের দিক থেকে আমার কোনও প্রত্যাশা নেই। আমি কেবল আমাদের যে মুহূর্তগুলি উপভোগ করতে চাই। মাঝে মাঝে ঘুমানো, এলোমেলো মিষ্টি মেসেজ, যাই হোক না কেন, জানো? আমি এই ধারণার সাথে একমত। আমি অন্য কারো সাথে আগ্রহী হতে আগ্রহী নই, তাই এটা এমন নয় যে সে আমাকে আরও বেশি উপলব্ধ/মনোযোগী/যাই হোক না কেন সঙ্গী পেতে বাধা দিচ্ছে। তাকে নিজের জন্য আরও বেশি সময় দিতে হবে এতে আমার কোনও ক্ষতি হয় না। আমি বুঝতে পারি যে তাকেও এটি মেনে নিতে সক্ষম হতে হবে। চিকিৎসাগতভাবে বলতে গেলে কী ঠিক না ভুল তা আমি জানি না। আমরা যদি বিবাহিত হতাম তবে সে কি তাকে বিবাহবিচ্ছেদ করতে বলত?? দুর্ভাগ্যবশত আমি এই বিষয়ে সত্যিই দুঃখিত। আমার মনে হচ্ছে আমার সম্পূর্ণ মতামত ছাড়াই সিদ্ধান্ত নেওয়া হচ্ছে, কিন্তু ব্রেক আপ কি ঠিক তাই নয়? হয়তো আমার কাছে কোনও উপায় নেই এবং আমি কেমন অনুভব করছি তাতে আসলেই কিছু যায় আসে না? কারণ একজন মদ্যপ হওয়াটা তাকে সত্যিই মেরে ফেলতে পারে। আমি কান্না থামাতে পারছি না। আমি যখন তাকে বললাম যে সে নিজের উপর মনোযোগ দিলে আমি ঠিক আছি, তখন সে এখনও আমার বার্তার উত্তর দেয়নি। আমি কোনও উত্তরের জন্য চাপ দিচ্ছি না, আমি কেবল অপেক্ষা করব এবং ধৈর্য ধরব। সাধারণত যখন জীবনের এই ধরণের খারাপ অনুভূতি পাই, তখন খারাপ জিনিস ঘটে। আমি খুব বিরক্ত।</v>
      </c>
    </row>
    <row r="1164" spans="1:3" ht="15" x14ac:dyDescent="0.25">
      <c r="A1164" s="3" t="s">
        <v>1161</v>
      </c>
      <c r="B1164" s="3" t="s">
        <v>997</v>
      </c>
      <c r="C1164" s="4" t="str">
        <f ca="1">IFERROR(__xludf.DUMMYFUNCTION("GOOGLETRANSLATE(A1164, ""auto"", ""bn"")"),"আমি প্রায় ৫ দিন ধরে মদ্যপান ছাড়া আছি। ১১ বছরের মধ্যে সবচেয়ে বেশি সময় ধরে আমি মদ্যপান ছাড়ি ছিলাম মাত্র কয়েকদিন। ঋতুস্রাব বন্ধ হওয়ার কারণে আমাকে ভ্যালিয়াম ছেড়ে দিতে হয়েছিল, আর আজ ভ্যালিয়ামের শেষ দিন। আমি ৫ মিলিগ্রামের একটি পিল খাই, তারপর আমার কাজ শেষ। তাছাড"&amp;"়া, আমি খুব কমই উদ্বেগ অনুভব করি, ঝাঁকুনি এবং সবকিছু চলে যায়। তাছাড়া, মদ্যপান ছেড়ে দেওয়ার সিদ্ধান্ত নিয়ে আমি খুব গর্বিত কারণ এটি আমার জীবন নষ্ট করে দিচ্ছিল, এবং সকালে দু-একটি ইনজেকশন না নিয়ে আমি দিন কাটাতেও পারছিলাম না। আশা করি আজকের পরে এবং ভ্যালিয়াম সম"&amp;"্পূর্ণরূপে শেষ হওয়ার পরও আমি ঠিক বোধ করছি। ভ্যালিয়াম ডিটক্সের সাথে অন্য কেউ ডিটক্স শেষ হওয়ার পরে তাদের অভিজ্ঞতা ভাগ করে নিতে পারবে? অথবা একই রকম গল্প?")</f>
        <v>আমি প্রায় ৫ দিন ধরে মদ্যপান ছাড়া আছি। ১১ বছরের মধ্যে সবচেয়ে বেশি সময় ধরে আমি মদ্যপান ছাড়ি ছিলাম মাত্র কয়েকদিন। ঋতুস্রাব বন্ধ হওয়ার কারণে আমাকে ভ্যালিয়াম ছেড়ে দিতে হয়েছিল, আর আজ ভ্যালিয়ামের শেষ দিন। আমি ৫ মিলিগ্রামের একটি পিল খাই, তারপর আমার কাজ শেষ। তাছাড়া, আমি খুব কমই উদ্বেগ অনুভব করি, ঝাঁকুনি এবং সবকিছু চলে যায়। তাছাড়া, মদ্যপান ছেড়ে দেওয়ার সিদ্ধান্ত নিয়ে আমি খুব গর্বিত কারণ এটি আমার জীবন নষ্ট করে দিচ্ছিল, এবং সকালে দু-একটি ইনজেকশন না নিয়ে আমি দিন কাটাতেও পারছিলাম না। আশা করি আজকের পরে এবং ভ্যালিয়াম সম্পূর্ণরূপে শেষ হওয়ার পরও আমি ঠিক বোধ করছি। ভ্যালিয়াম ডিটক্সের সাথে অন্য কেউ ডিটক্স শেষ হওয়ার পরে তাদের অভিজ্ঞতা ভাগ করে নিতে পারবে? অথবা একই রকম গল্প?</v>
      </c>
    </row>
    <row r="1165" spans="1:3" ht="15" x14ac:dyDescent="0.25">
      <c r="A1165" s="3" t="s">
        <v>1162</v>
      </c>
      <c r="B1165" s="3" t="s">
        <v>997</v>
      </c>
      <c r="C1165" s="4" t="str">
        <f ca="1">IFERROR(__xludf.DUMMYFUNCTION("GOOGLETRANSLATE(A1165, ""auto"", ""bn"")"),"২৮F। দিনের বেলায় কয়েকটা ইনজেকশন নিতে গিয়েছিলাম, আর সন্ধ্যা নামতেই আরও বেশি ইনজেকশন নিতে লাগলাম। আমার মনে হয় আমি নির্বাক, বোবা, বিভ্রান্ত আর বিষণ্ণ বোধ করছি। ঘুম থেকে উঠেই একটা ইনজেকশন নিতে ইচ্ছে করছে। গত কয়েকদিন ধরে উদ্বেগ আকাশচুম্বী হয়ে উঠেছে, আর যখনই কি"&amp;"ছু পরিবর্তন হচ্ছে না (ডিহাইড্রেশনের কারণে) তখনও আমি সবকিছু পরিবর্তন হতে দেখছি (প্রচণ্ড পানিশূন্যতা)। এত স্বার্থপর। আমার একটা অংশ এটার পরোয়া করে না, কিন্তু আমার ভেতরেও আছে। আমি জানি আমি ধীরে ধীরে নিজেকে শেষ করে দিচ্ছি, কিছু অনুভব করার জন্য সরাসরি ইনজেকশন ন"&amp;"িচ্ছি। আমার কুয়াশাচ্ছন্ন লাগছে, আর গত সপ্তাহে পূর্ণ নিঃশ্বাস নেওয়াটা একটু কঠিন।")</f>
        <v>২৮F। দিনের বেলায় কয়েকটা ইনজেকশন নিতে গিয়েছিলাম, আর সন্ধ্যা নামতেই আরও বেশি ইনজেকশন নিতে লাগলাম। আমার মনে হয় আমি নির্বাক, বোবা, বিভ্রান্ত আর বিষণ্ণ বোধ করছি। ঘুম থেকে উঠেই একটা ইনজেকশন নিতে ইচ্ছে করছে। গত কয়েকদিন ধরে উদ্বেগ আকাশচুম্বী হয়ে উঠেছে, আর যখনই কিছু পরিবর্তন হচ্ছে না (ডিহাইড্রেশনের কারণে) তখনও আমি সবকিছু পরিবর্তন হতে দেখছি (প্রচণ্ড পানিশূন্যতা)। এত স্বার্থপর। আমার একটা অংশ এটার পরোয়া করে না, কিন্তু আমার ভেতরেও আছে। আমি জানি আমি ধীরে ধীরে নিজেকে শেষ করে দিচ্ছি, কিছু অনুভব করার জন্য সরাসরি ইনজেকশন নিচ্ছি। আমার কুয়াশাচ্ছন্ন লাগছে, আর গত সপ্তাহে পূর্ণ নিঃশ্বাস নেওয়াটা একটু কঠিন।</v>
      </c>
    </row>
    <row r="1166" spans="1:3" ht="15" x14ac:dyDescent="0.25">
      <c r="A1166" s="3" t="s">
        <v>1163</v>
      </c>
      <c r="B1166" s="3" t="s">
        <v>997</v>
      </c>
      <c r="C1166" s="4" t="str">
        <f ca="1">IFERROR(__xludf.DUMMYFUNCTION("GOOGLETRANSLATE(A1166, ""auto"", ""bn"")"),"আমি কয়েক বছর ধরে আমার আসক্তির সাথে লড়াই করছি। আমি একজন ডাক্তারের কাছে গিয়েছিলাম এবং আমার অ্যালকোহলিক হেপাটাইটিস ধরা পড়ে। তিনি আমাকে বেজোস এবং অন্য কিছু ওষুধ দিয়েছিলেন কারণ প্রত্যাহার অসহনীয় ছিল, যেমনটি আপনারা সবাই জানেন। তবুও, আমি ৪৮ ঘন্টাও পার করতে"&amp;" পারছি না। বেজোস কাঁপুনিতে সাহায্য করে, কিন্তু আমার একেবারেই খারাপ অনুভূতি হয়। যেন ২৪/৭ তীব্র অ্যাসিড ট্রিপ। আমি ইনপেশেন্ট ডিটক্সও বিবেচনা করছি। প্রত্যাহারের সবচেয়ে খারাপ সময় কাটিয়ে ওঠার জন্য আপনার কি কোন পরামর্শ আছে?")</f>
        <v>আমি কয়েক বছর ধরে আমার আসক্তির সাথে লড়াই করছি। আমি একজন ডাক্তারের কাছে গিয়েছিলাম এবং আমার অ্যালকোহলিক হেপাটাইটিস ধরা পড়ে। তিনি আমাকে বেজোস এবং অন্য কিছু ওষুধ দিয়েছিলেন কারণ প্রত্যাহার অসহনীয় ছিল, যেমনটি আপনারা সবাই জানেন। তবুও, আমি ৪৮ ঘন্টাও পার করতে পারছি না। বেজোস কাঁপুনিতে সাহায্য করে, কিন্তু আমার একেবারেই খারাপ অনুভূতি হয়। যেন ২৪/৭ তীব্র অ্যাসিড ট্রিপ। আমি ইনপেশেন্ট ডিটক্সও বিবেচনা করছি। প্রত্যাহারের সবচেয়ে খারাপ সময় কাটিয়ে ওঠার জন্য আপনার কি কোন পরামর্শ আছে?</v>
      </c>
    </row>
    <row r="1167" spans="1:3" ht="15" x14ac:dyDescent="0.25">
      <c r="A1167" s="3" t="s">
        <v>1164</v>
      </c>
      <c r="B1167" s="3" t="s">
        <v>997</v>
      </c>
      <c r="C1167" s="4" t="str">
        <f ca="1">IFERROR(__xludf.DUMMYFUNCTION("GOOGLETRANSLATE(A1167, ""auto"", ""bn"")"),"প্রথমেই দুঃখিত যদি এই পোস্টটি উপযুক্ত না হয়, যদি না হয়, তাহলে এটি সরিয়ে ফেলুন। এছাড়াও, ইংরেজি আমার মাতৃভাষা নয়, তাই এই পোস্টে কিছু ভুল থাকতে পারে। আমি একজন নাবালক, এবং যেহেতু আমি আইনত মদ্যপানের জন্য যথেষ্ট বয়স্ক হয়েছি, তাই স্কুলের চাপ মোকাবেলা করার"&amp;" জন্য আমি মদ্যপানের অভ্যাস গড়ে তুলেছি। আমার একাধিক আসক্তির সমস্যা আছে, এবং আমি চাই না যে আরেকটি আসক্তি আমাকে কষ্ট দেয়। তাছাড়া, আমি কেবল ওয়াইন পান করি, তবে আমি সপ্তাহে একাধিকবার সন্ধ্যায় এটি করি এবং এটি সর্বদা কমপক্ষে একাধিক কাপ। তাছাড়া, এটি করা বন্ধ ক"&amp;"রা আমার পক্ষে কঠিন হয়ে পড়েছে, আমি কোনওভাবে নিজেকে বোঝাই যে এটি এত খারাপ নয়। তারপর আমি মদ্যপান করি, পরে অপরাধবোধ করি এবং কিছুই পরিবর্তন হয়নি। আমি মদ্যপানের পরিণতি জানি এবং যখন এটি এখনও পুরোপুরি আসক্তি না হয় তখন আমি এই অভ্যাস থেকে মুক্তি পেতে চাই, কিন্"&amp;"তু আমি জানি না কীভাবে, এবং আমি কিছুটা ভয় পাই। এর সাথে সাহায্য করার জন্য কি কোনও টিপস বা কিছু আছে? আমি কেবল থামানোর চেষ্টা করেছি, কিন্তু এটি মোটেও কাজ করেনি। আমার আসক্তির সমস্যা আছে এবং ভবিষ্যতে যদি এভাবে চলতে থাকে, তাহলে আমি সত্যিই নিজেকে মাছের মতো মদ্যপ"&amp;"ান করতে দেখছি। তাছাড়া, আমি আরও কফি পান করার চেষ্টা করেছি (আমি জানি না এর কোন মানে হয় কিনা) কিন্তু এতে আমার কাঁপুনি লেগেছে কারণ আমি ইতিমধ্যেই প্রতিদিন কমপক্ষে ২ লিটার কফি পান করি। তাছাড়া, যদি এটি সর্বত্র ছড়িয়ে পড়ে তবে আমি দুঃখিত, যেকোনো পরামর্শের জন্"&amp;"য কৃতজ্ঞ।")</f>
        <v>প্রথমেই দুঃখিত যদি এই পোস্টটি উপযুক্ত না হয়, যদি না হয়, তাহলে এটি সরিয়ে ফেলুন। এছাড়াও, ইংরেজি আমার মাতৃভাষা নয়, তাই এই পোস্টে কিছু ভুল থাকতে পারে। আমি একজন নাবালক, এবং যেহেতু আমি আইনত মদ্যপানের জন্য যথেষ্ট বয়স্ক হয়েছি, তাই স্কুলের চাপ মোকাবেলা করার জন্য আমি মদ্যপানের অভ্যাস গড়ে তুলেছি। আমার একাধিক আসক্তির সমস্যা আছে, এবং আমি চাই না যে আরেকটি আসক্তি আমাকে কষ্ট দেয়। তাছাড়া, আমি কেবল ওয়াইন পান করি, তবে আমি সপ্তাহে একাধিকবার সন্ধ্যায় এটি করি এবং এটি সর্বদা কমপক্ষে একাধিক কাপ। তাছাড়া, এটি করা বন্ধ করা আমার পক্ষে কঠিন হয়ে পড়েছে, আমি কোনওভাবে নিজেকে বোঝাই যে এটি এত খারাপ নয়। তারপর আমি মদ্যপান করি, পরে অপরাধবোধ করি এবং কিছুই পরিবর্তন হয়নি। আমি মদ্যপানের পরিণতি জানি এবং যখন এটি এখনও পুরোপুরি আসক্তি না হয় তখন আমি এই অভ্যাস থেকে মুক্তি পেতে চাই, কিন্তু আমি জানি না কীভাবে, এবং আমি কিছুটা ভয় পাই। এর সাথে সাহায্য করার জন্য কি কোনও টিপস বা কিছু আছে? আমি কেবল থামানোর চেষ্টা করেছি, কিন্তু এটি মোটেও কাজ করেনি। আমার আসক্তির সমস্যা আছে এবং ভবিষ্যতে যদি এভাবে চলতে থাকে, তাহলে আমি সত্যিই নিজেকে মাছের মতো মদ্যপান করতে দেখছি। তাছাড়া, আমি আরও কফি পান করার চেষ্টা করেছি (আমি জানি না এর কোন মানে হয় কিনা) কিন্তু এতে আমার কাঁপুনি লেগেছে কারণ আমি ইতিমধ্যেই প্রতিদিন কমপক্ষে ২ লিটার কফি পান করি। তাছাড়া, যদি এটি সর্বত্র ছড়িয়ে পড়ে তবে আমি দুঃখিত, যেকোনো পরামর্শের জন্য কৃতজ্ঞ।</v>
      </c>
    </row>
    <row r="1168" spans="1:3" ht="15" x14ac:dyDescent="0.25">
      <c r="A1168" s="3" t="s">
        <v>1165</v>
      </c>
      <c r="B1168" s="3" t="s">
        <v>997</v>
      </c>
      <c r="C1168" s="4" t="str">
        <f ca="1">IFERROR(__xludf.DUMMYFUNCTION("GOOGLETRANSLATE(A1168, ""auto"", ""bn"")"),"ওয়াল স্ক্রল করার সময় আমি খুব বেশি সক্রিয় ব্যবহারকারী দেখতে পাচ্ছি না। এটা দুঃখজনক যে, তিন দিন আগের বিষয়গুলি খুব বেশি মনোযোগ পায়নি। আমি কাউকে দোষারোপ করি না। এটা কেবল একটি সত্য যে এখানকার লোকেরা সাহায্যের জন্য চেষ্টা করছে, কিন্তু তাদের কোনও সাড়া নেই।"&amp;" তবে আমি সমস্ত লেখকদের ধন্যবাদ জানাই কারণ এটি আমাকে বিভ্রান্ত হতে সাহায্য করেছে! আমি আমার পোস্টের কথা বলছি না। এটি কেবল পোস্ট করা হয়েছিল।")</f>
        <v>ওয়াল স্ক্রল করার সময় আমি খুব বেশি সক্রিয় ব্যবহারকারী দেখতে পাচ্ছি না। এটা দুঃখজনক যে, তিন দিন আগের বিষয়গুলি খুব বেশি মনোযোগ পায়নি। আমি কাউকে দোষারোপ করি না। এটা কেবল একটি সত্য যে এখানকার লোকেরা সাহায্যের জন্য চেষ্টা করছে, কিন্তু তাদের কোনও সাড়া নেই। তবে আমি সমস্ত লেখকদের ধন্যবাদ জানাই কারণ এটি আমাকে বিভ্রান্ত হতে সাহায্য করেছে! আমি আমার পোস্টের কথা বলছি না। এটি কেবল পোস্ট করা হয়েছিল।</v>
      </c>
    </row>
    <row r="1169" spans="1:3" ht="15" x14ac:dyDescent="0.25">
      <c r="A1169" s="3" t="s">
        <v>1166</v>
      </c>
      <c r="B1169" s="3" t="s">
        <v>997</v>
      </c>
      <c r="C1169" s="4" t="str">
        <f ca="1">IFERROR(__xludf.DUMMYFUNCTION("GOOGLETRANSLATE(A1169, ""auto"", ""bn"")"),"আমার মা এবং বাবার বিয়ের প্রায় ২০ বছর হয়ে গেছে। কিন্তু আমার বাবা গত কয়েকবার মদ্যপ এবং মা আর এটা সহ্য করতে পারছেন না। আমরা যতবারই তার সাথে এই বিষয়ে কথা বলি না কেন, সে শুধু কথা উড়িয়ে দেয়, রসিকতা করে, তারপর স্বাভাবিকভাবেই চলতে থাকে। দিনের বেলায় সে একজন অসাধার"&amp;"ণ বাবা এবং স্বামী, কিন্তু একটা নির্দিষ্ট ঘন্টারও বেশি সময় পার হয়ে যাওয়ার পর সে অসহ্য হয়ে ওঠে। সে কাজ থেকে বাড়ি ফিরে মাতাল হয়ে বারবার বকবক করে, নিজের মতামত জোর করে চাপিয়ে দেয়, অভদ্র এবং বেশ অপ্রতিরোধ্য আচরণ করে। আমি এতে ক্লান্ত, আমার মা এতে ক্লান্ত। আমি কী"&amp;"ভাবে তাকে বোঝাবো যে তার সমস্যা আছে? আমি মরিয়া।")</f>
        <v>আমার মা এবং বাবার বিয়ের প্রায় ২০ বছর হয়ে গেছে। কিন্তু আমার বাবা গত কয়েকবার মদ্যপ এবং মা আর এটা সহ্য করতে পারছেন না। আমরা যতবারই তার সাথে এই বিষয়ে কথা বলি না কেন, সে শুধু কথা উড়িয়ে দেয়, রসিকতা করে, তারপর স্বাভাবিকভাবেই চলতে থাকে। দিনের বেলায় সে একজন অসাধারণ বাবা এবং স্বামী, কিন্তু একটা নির্দিষ্ট ঘন্টারও বেশি সময় পার হয়ে যাওয়ার পর সে অসহ্য হয়ে ওঠে। সে কাজ থেকে বাড়ি ফিরে মাতাল হয়ে বারবার বকবক করে, নিজের মতামত জোর করে চাপিয়ে দেয়, অভদ্র এবং বেশ অপ্রতিরোধ্য আচরণ করে। আমি এতে ক্লান্ত, আমার মা এতে ক্লান্ত। আমি কীভাবে তাকে বোঝাবো যে তার সমস্যা আছে? আমি মরিয়া।</v>
      </c>
    </row>
    <row r="1170" spans="1:3" ht="15" x14ac:dyDescent="0.25">
      <c r="A1170" s="3" t="s">
        <v>1167</v>
      </c>
      <c r="B1170" s="3" t="s">
        <v>997</v>
      </c>
      <c r="C1170" s="4" t="str">
        <f ca="1">IFERROR(__xludf.DUMMYFUNCTION("GOOGLETRANSLATE(A1170, ""auto"", ""bn"")"),"তার কথাবার্তা সত্যিই ঝাপসা, আর সে পানিও খাবে না। আমি তার নিরাপত্তার জন্য সত্যিই চিন্তিত, কিন্তু ফোনে কথা বলা ছাড়া আর কীভাবে সাহায্য করব জানি না, নিশ্চিত করতে হবে যে সে পাশে শুয়ে আছে। আমি কি কোন জরুরি নম্বরে ফোন করতে পারি? আমি তার ঠিকানা বা পদবি জানি না "&amp;"কারণ আমরা রেডিটে দেখা করেছিলাম এবং ডিসকর্ডে কথা বলেছিলাম। দয়া করে সাহায্য করুন সে তার কথাগুলো ভয়ানকভাবে ঝাপসা করছে।")</f>
        <v>তার কথাবার্তা সত্যিই ঝাপসা, আর সে পানিও খাবে না। আমি তার নিরাপত্তার জন্য সত্যিই চিন্তিত, কিন্তু ফোনে কথা বলা ছাড়া আর কীভাবে সাহায্য করব জানি না, নিশ্চিত করতে হবে যে সে পাশে শুয়ে আছে। আমি কি কোন জরুরি নম্বরে ফোন করতে পারি? আমি তার ঠিকানা বা পদবি জানি না কারণ আমরা রেডিটে দেখা করেছিলাম এবং ডিসকর্ডে কথা বলেছিলাম। দয়া করে সাহায্য করুন সে তার কথাগুলো ভয়ানকভাবে ঝাপসা করছে।</v>
      </c>
    </row>
    <row r="1171" spans="1:3" ht="15" x14ac:dyDescent="0.25">
      <c r="A1171" s="3" t="s">
        <v>1168</v>
      </c>
      <c r="B1171" s="3" t="s">
        <v>997</v>
      </c>
      <c r="C1171" s="4" t="str">
        <f ca="1">IFERROR(__xludf.DUMMYFUNCTION("GOOGLETRANSLATE(A1171, ""auto"", ""bn"")"),"আমাকে সত্যিই থামতে হবে। আমি সপ্তাহান্তে এটা ধরে রাখতে পারছি না। তাছাড়া, আজ রাতে আমি শুধু এইটা খেতে পারব না। বাইরে থেকে আমার সবকিছুই আছে। অবিশ্বাস্যভাবে সফল ক্যারিয়ার, দুই বছরের কঠিন সময়ের পর সুস্থ হয়ে ওঠা বিয়ে, সুন্দর বাড়ি, আর চমৎকার পরিবার। কিন্তু "&amp;"ধুর, মদ্যপান এই সবকিছুর অন্তর্নিহিত কারণ। প্রতি সপ্তাহে আমি যে পরিমাণ টাকা মদ্যপানে ডুবিয়ে থাকি তা খুবই বিরক্তিকর। আমি আর নিয়ন্ত্রণ করতে পারছি না। এটা আমার শরীর, আমার ঘুম, আমার মস্তিষ্কের কার্যকারিতা নষ্ট করে দিচ্ছে। আমি চেষ্টা করে যাই এবং সবাই ভাবে যে "&amp;"আমি এখনও ভালো করছি। কিন্তু তারপর আমার একটি মেয়েদের রাত হয় এবং যদিও আমি নিজেকে নিয়ন্ত্রণ করতে বাধ্য করার জন্য মাত্র একটি পানীয় আমার সাথে নিয়ে এসেছিলাম, আমি এমন কিছু পান করি যা হোস্ট টেনে টেনে রাখে এবং আমার পরিকল্পনা শেষ হয়ে যায়। আমি অতিরিক্ত শেয়ার "&amp;"করি এবং তাদের এমন কিছু বলি যা আমার আসলে খাওয়া উচিত নয়। আজ আমি ভয়ে ভরা। আমি কি আমার বন্ধুদের ড্যামেজ কন্ট্রোল করার জন্য টেক্সট করি? পরের বার দেখা না হওয়া পর্যন্ত এটা উপেক্ষা করি? আজ তারা কি আমার সম্পর্কে কথা বলছে? এটা নিয়ে আমার পেটে একটা সমস্যা আছে। আর"&amp;" যদি আমি মদ্যপান না করতাম, তাহলে আমি তা করতাম না। আমার একটা ট্রিপ আসছে এবং আমি যতটা উত্তেজিত, ততটাই মদ্যপান নিয়েও চিন্তিত। এটা একটা অতিরিক্ত মদ্যপানকারী দল, কিন্তু আমি সবসময় অন্য সবার তুলনায় অতিরিক্ত মদ্যপান করি। আমি নিজেকে অতিরিক্ত মদ্যপান এবং নিজেকে নি"&amp;"য়ন্ত্রণে রাখার উপায় বের করার চেষ্টা করছি এবং সাধারণ মানুষের আগে থেকে এই ধরণের পরিকল্পনা করার প্রয়োজন নেই। অন্য সংযমী উপধারাটি মদ্যপানের বিকল্প হিসেবে কিছু করার কথা বলে। আচ্ছা, যখন আমার জীবনের বেশিরভাগ মদ্যপান একঘেয়ে হয়ে যায়, তখন আমার কী করা উচিত? বাস"&amp;"া থেকে কাজ করা, ডে-কেয়ার থেকে বাচ্চা আনা, বাড়িতে আসা, এক মিনিটের জন্য খেলা, রাতের খাবার তৈরি করা, বাচ্চাদের সাথে টিভি/খেলা দেখা, ঘুমানো, স্বামীর সাথে টিভি দেখা। দিনের পর দিন সবসময় একই রকম। আমি জিমে যেতে পারি না বা সবসময় ব্যায়াম করতে পারি না, যখন আমার স"&amp;"ন্তানের বাবা-মা হওয়ার এবং তার সাথে সময় কাটানোর প্রয়োজন (এবং চাই!) হওয়ার পরামর্শ দেওয়ার জন্য। আমি সবসময় ঘরে আটকে থাকি, এবং আমি বিরক্ত হই। সপ্তাহে একদিন রাত জিমে গেলেও এটা থামবে না, কারণ যখন আমি সপ্তাহে একদিন রাতে জিমে যেতাম তখনও বাড়ি ফেরার পথে ওয়াইন খেয"&amp;"়ে ফেলতাম। মদ্যপান সবকিছুকে কম বিরক্তিকর করে তোলে। আমি যখন নিয়মিত জীবনের কাজ করি তখন মদ্যপান সবসময় আমার সাথেই থাকে। যখন এটি প্রক্রিয়ার একটি অংশ হয়ে ওঠে এবং কার্যত আমার হাতের অংশ হয়ে যায় তখন আমি কীভাবে এটি থেকে মুক্তি পাব? কিন্তু আমি এইরকম অনুভূতিতে "&amp;"ক্লান্ত, কাজ করার সময় খুব হালকাভাবে ক্ষুধার্ত এবং আমার ক্রিয়াকলাপের জন্য উদ্বিগ্ন এবং বিষণ্ণ বোধ করি। আমাকে নিজেরাই উপায় খুঁজে বের করতে হবে। আমি মদ্যপানের সময় অন্য কিছু দিয়ে ""প্রতিস্থাপন"" করতে পারি না কারণ আমি স্বাভাবিক দৈনন্দিন পারিবারিক/ঘরের রুটি"&amp;"ন করার সময় মদ্যপান করতাম। এগুলি সর্বদা একই রকম থাকবে এবং আমাকে কেবল আমি জানি না, টেপটি এগিয়ে চালাতে হবে। এই অনুভূতির কথা নিজেকে মনে করিয়ে দিন। আমার থেরাপিস্টের সাথে কথা বলুন। আরও নিয়মিত ঘর থেকে বেরিয়ে যাওয়ার জন্য আমার শখের মধ্যে আরও ডুব দিন। যাই হোক"&amp;" না কেন। আমি আর নিয়ন্ত্রণ করতে পারছি না, এবং আমি এই ব্যক্তি হতে যাচ্ছি না। আমি এখনই আমার ছেড়ে দেওয়ার অ্যাপটি রিসেট করেছি এবং অভিশাপ আমাকে সত্যিই এটির সাথে লেগে থাকতে হবে।")</f>
        <v>আমাকে সত্যিই থামতে হবে। আমি সপ্তাহান্তে এটা ধরে রাখতে পারছি না। তাছাড়া, আজ রাতে আমি শুধু এইটা খেতে পারব না। বাইরে থেকে আমার সবকিছুই আছে। অবিশ্বাস্যভাবে সফল ক্যারিয়ার, দুই বছরের কঠিন সময়ের পর সুস্থ হয়ে ওঠা বিয়ে, সুন্দর বাড়ি, আর চমৎকার পরিবার। কিন্তু ধুর, মদ্যপান এই সবকিছুর অন্তর্নিহিত কারণ। প্রতি সপ্তাহে আমি যে পরিমাণ টাকা মদ্যপানে ডুবিয়ে থাকি তা খুবই বিরক্তিকর। আমি আর নিয়ন্ত্রণ করতে পারছি না। এটা আমার শরীর, আমার ঘুম, আমার মস্তিষ্কের কার্যকারিতা নষ্ট করে দিচ্ছে। আমি চেষ্টা করে যাই এবং সবাই ভাবে যে আমি এখনও ভালো করছি। কিন্তু তারপর আমার একটি মেয়েদের রাত হয় এবং যদিও আমি নিজেকে নিয়ন্ত্রণ করতে বাধ্য করার জন্য মাত্র একটি পানীয় আমার সাথে নিয়ে এসেছিলাম, আমি এমন কিছু পান করি যা হোস্ট টেনে টেনে রাখে এবং আমার পরিকল্পনা শেষ হয়ে যায়। আমি অতিরিক্ত শেয়ার করি এবং তাদের এমন কিছু বলি যা আমার আসলে খাওয়া উচিত নয়। আজ আমি ভয়ে ভরা। আমি কি আমার বন্ধুদের ড্যামেজ কন্ট্রোল করার জন্য টেক্সট করি? পরের বার দেখা না হওয়া পর্যন্ত এটা উপেক্ষা করি? আজ তারা কি আমার সম্পর্কে কথা বলছে? এটা নিয়ে আমার পেটে একটা সমস্যা আছে। আর যদি আমি মদ্যপান না করতাম, তাহলে আমি তা করতাম না। আমার একটা ট্রিপ আসছে এবং আমি যতটা উত্তেজিত, ততটাই মদ্যপান নিয়েও চিন্তিত। এটা একটা অতিরিক্ত মদ্যপানকারী দল, কিন্তু আমি সবসময় অন্য সবার তুলনায় অতিরিক্ত মদ্যপান করি। আমি নিজেকে অতিরিক্ত মদ্যপান এবং নিজেকে নিয়ন্ত্রণে রাখার উপায় বের করার চেষ্টা করছি এবং সাধারণ মানুষের আগে থেকে এই ধরণের পরিকল্পনা করার প্রয়োজন নেই। অন্য সংযমী উপধারাটি মদ্যপানের বিকল্প হিসেবে কিছু করার কথা বলে। আচ্ছা, যখন আমার জীবনের বেশিরভাগ মদ্যপান একঘেয়ে হয়ে যায়, তখন আমার কী করা উচিত? বাসা থেকে কাজ করা, ডে-কেয়ার থেকে বাচ্চা আনা, বাড়িতে আসা, এক মিনিটের জন্য খেলা, রাতের খাবার তৈরি করা, বাচ্চাদের সাথে টিভি/খেলা দেখা, ঘুমানো, স্বামীর সাথে টিভি দেখা। দিনের পর দিন সবসময় একই রকম। আমি জিমে যেতে পারি না বা সবসময় ব্যায়াম করতে পারি না, যখন আমার সন্তানের বাবা-মা হওয়ার এবং তার সাথে সময় কাটানোর প্রয়োজন (এবং চাই!) হওয়ার পরামর্শ দেওয়ার জন্য। আমি সবসময় ঘরে আটকে থাকি, এবং আমি বিরক্ত হই। সপ্তাহে একদিন রাত জিমে গেলেও এটা থামবে না, কারণ যখন আমি সপ্তাহে একদিন রাতে জিমে যেতাম তখনও বাড়ি ফেরার পথে ওয়াইন খেয়ে ফেলতাম। মদ্যপান সবকিছুকে কম বিরক্তিকর করে তোলে। আমি যখন নিয়মিত জীবনের কাজ করি তখন মদ্যপান সবসময় আমার সাথেই থাকে। যখন এটি প্রক্রিয়ার একটি অংশ হয়ে ওঠে এবং কার্যত আমার হাতের অংশ হয়ে যায় তখন আমি কীভাবে এটি থেকে মুক্তি পাব? কিন্তু আমি এইরকম অনুভূতিতে ক্লান্ত, কাজ করার সময় খুব হালকাভাবে ক্ষুধার্ত এবং আমার ক্রিয়াকলাপের জন্য উদ্বিগ্ন এবং বিষণ্ণ বোধ করি। আমাকে নিজেরাই উপায় খুঁজে বের করতে হবে। আমি মদ্যপানের সময় অন্য কিছু দিয়ে "প্রতিস্থাপন" করতে পারি না কারণ আমি স্বাভাবিক দৈনন্দিন পারিবারিক/ঘরের রুটিন করার সময় মদ্যপান করতাম। এগুলি সর্বদা একই রকম থাকবে এবং আমাকে কেবল আমি জানি না, টেপটি এগিয়ে চালাতে হবে। এই অনুভূতির কথা নিজেকে মনে করিয়ে দিন। আমার থেরাপিস্টের সাথে কথা বলুন। আরও নিয়মিত ঘর থেকে বেরিয়ে যাওয়ার জন্য আমার শখের মধ্যে আরও ডুব দিন। যাই হোক না কেন। আমি আর নিয়ন্ত্রণ করতে পারছি না, এবং আমি এই ব্যক্তি হতে যাচ্ছি না। আমি এখনই আমার ছেড়ে দেওয়ার অ্যাপটি রিসেট করেছি এবং অভিশাপ আমাকে সত্যিই এটির সাথে লেগে থাকতে হবে।</v>
      </c>
    </row>
    <row r="1172" spans="1:3" ht="15" x14ac:dyDescent="0.25">
      <c r="A1172" s="3" t="s">
        <v>1169</v>
      </c>
      <c r="B1172" s="3" t="s">
        <v>997</v>
      </c>
      <c r="C1172" s="4" t="str">
        <f ca="1">IFERROR(__xludf.DUMMYFUNCTION("GOOGLETRANSLATE(A1172, ""auto"", ""bn"")"),"ইংরেজি ভাষা মাতৃভাষা নয়। আমার বিষণ্ণতা এবং উদ্বেগ আছে। এটি ছয় মাস আগে ধরা পড়েছিল। কিন্তু দশ বছর ধরে আমি এর সাথে লড়াই করছি। তাই দীর্ঘদিন ধরে আমার সহবাসের প্রক্রিয়া ছিল অ্যালকোহল। আমি এখন ওষুধ খাচ্ছি (জানি যে অ্যালকোহল নিষিদ্ধ)। এবং থেরাপিও নিচ্ছি। কিন"&amp;"্তু মাঝে মাঝে, অথবা প্রায়শই আমি আমার আসক্তির জন্য ফিরে আসি। আমার সঙ্গী দীর্ঘদিন ধরে ওমেগা চায় এবং কিনে ফেলে। আমি তখন বলেছিলাম আমার আসক্তিকে ঘৃণা করি, আমি এটি পান করব না। কিন্তু এখন আমার সঙ্গীর সাথে আমার খুব কষ্ট হচ্ছে। সে আলাদা হয়ে যায়। কেন তা কোন ব্য"&amp;"াপার না। সে এখনও আমাকে ভালোবাসে। কিন্তু এখন আমি বিয়ার খেয়েছি এবং তার টাকিলা চালিয়ে যেতে চাই। আমি আগামীকাল আরেকটি বোতল কিনব, তাই সে লক্ষ্য করবে না। কিন্তু আমার খারাপ লাগছে। এবং আমি ইউফোরিয়ার পর্বটি দেখেছি যখন প্রধান চরিত্রটি তার আত্মীয়দের ক্ষতি করছিল।"&amp;" এবং আমি তা চাই না। কিন্তু আমি যা অনুভব করছি তা আমি অনুভব করতে পারি না। কখনও কখনও এটি হয় অ্যালকোহল বা নিজের ক্ষতি করার মতো মনে হয় এবং উপযুক্ত। আমি সত্যিই চাই না যে তুমি আমাকে বলো যে তোমার মনে হয় এটা করা উচিত নয়, এটা তোমার জন্য খারাপ ইত্যাদি। তুমি কি আ"&amp;"মার অবস্থানে ছিলে?")</f>
        <v>ইংরেজি ভাষা মাতৃভাষা নয়। আমার বিষণ্ণতা এবং উদ্বেগ আছে। এটি ছয় মাস আগে ধরা পড়েছিল। কিন্তু দশ বছর ধরে আমি এর সাথে লড়াই করছি। তাই দীর্ঘদিন ধরে আমার সহবাসের প্রক্রিয়া ছিল অ্যালকোহল। আমি এখন ওষুধ খাচ্ছি (জানি যে অ্যালকোহল নিষিদ্ধ)। এবং থেরাপিও নিচ্ছি। কিন্তু মাঝে মাঝে, অথবা প্রায়শই আমি আমার আসক্তির জন্য ফিরে আসি। আমার সঙ্গী দীর্ঘদিন ধরে ওমেগা চায় এবং কিনে ফেলে। আমি তখন বলেছিলাম আমার আসক্তিকে ঘৃণা করি, আমি এটি পান করব না। কিন্তু এখন আমার সঙ্গীর সাথে আমার খুব কষ্ট হচ্ছে। সে আলাদা হয়ে যায়। কেন তা কোন ব্যাপার না। সে এখনও আমাকে ভালোবাসে। কিন্তু এখন আমি বিয়ার খেয়েছি এবং তার টাকিলা চালিয়ে যেতে চাই। আমি আগামীকাল আরেকটি বোতল কিনব, তাই সে লক্ষ্য করবে না। কিন্তু আমার খারাপ লাগছে। এবং আমি ইউফোরিয়ার পর্বটি দেখেছি যখন প্রধান চরিত্রটি তার আত্মীয়দের ক্ষতি করছিল। এবং আমি তা চাই না। কিন্তু আমি যা অনুভব করছি তা আমি অনুভব করতে পারি না। কখনও কখনও এটি হয় অ্যালকোহল বা নিজের ক্ষতি করার মতো মনে হয় এবং উপযুক্ত। আমি সত্যিই চাই না যে তুমি আমাকে বলো যে তোমার মনে হয় এটা করা উচিত নয়, এটা তোমার জন্য খারাপ ইত্যাদি। তুমি কি আমার অবস্থানে ছিলে?</v>
      </c>
    </row>
    <row r="1173" spans="1:3" ht="15" x14ac:dyDescent="0.25">
      <c r="A1173" s="3" t="s">
        <v>1170</v>
      </c>
      <c r="B1173" s="3" t="s">
        <v>997</v>
      </c>
      <c r="C1173" s="4" t="str">
        <f ca="1">IFERROR(__xludf.DUMMYFUNCTION("GOOGLETRANSLATE(A1173, ""auto"", ""bn"")"),"গত তিন মাস ধরে আমি প্রায় ৫ দিন ধরে অস্থির, আমি জানি এটা স্বাস্থ্যকর নয়, কিন্তু আসলে আমি জানি না কী করব। আমি এখন কলেজে আছি এবং প্রতিদিন আমি খুব ক্লান্ত হয়ে ক্লাসে যাই। আমি অনেক অ্যাসাইনমেন্ট নেশাগ্রস্ত অবস্থায় করেছি। আসল কথা হলো, আমি সবসময়ই নিখুঁত নম্বর "&amp;"পাই। গত সেমিস্টারগুলো আমার সেরা নম্বর ছিল, যদিও তখনই আমার মদ্যপান কিছুটা খারাপ হয়েছিল। এই সপ্তাহে আমি আমার সব ক্লাসেই শান্তভাবে গিয়েছি, কিন্তু আমার উদ্বেগ আরও খারাপ লাগছে। গতকাল আমি মদ্যপান করিনি, কিন্তু আমি ঘুমাতে পারিনি, এবং এখন আজ রাতে আমার একটি রাতের "&amp;"ক্লাস আছে। আমার বাড়ির প্রতিটি ঘরেও অ্যালকোহল আছে, বাথরুম ছাড়া, যার ফলে বাথরুম ছাড়া ক্ষুধা উপেক্ষা করা একটু কঠিন। আমি বুঝতে পারি আমার মানসিক স্বাস্থ্য খারাপ হচ্ছে, কিন্তু মাঝে মাঝে মদ্যপানের সময় আমি ভালো বোধ করি। আমি আর আমার রুমমেটদের কথা বলে বোঝাতে চাই"&amp;" না, কিন্তু আমার এমন অনেক বন্ধু নেই যাদের সাথে আমি কথা বলতে স্বাচ্ছন্দ্য বোধ করি।")</f>
        <v>গত তিন মাস ধরে আমি প্রায় ৫ দিন ধরে অস্থির, আমি জানি এটা স্বাস্থ্যকর নয়, কিন্তু আসলে আমি জানি না কী করব। আমি এখন কলেজে আছি এবং প্রতিদিন আমি খুব ক্লান্ত হয়ে ক্লাসে যাই। আমি অনেক অ্যাসাইনমেন্ট নেশাগ্রস্ত অবস্থায় করেছি। আসল কথা হলো, আমি সবসময়ই নিখুঁত নম্বর পাই। গত সেমিস্টারগুলো আমার সেরা নম্বর ছিল, যদিও তখনই আমার মদ্যপান কিছুটা খারাপ হয়েছিল। এই সপ্তাহে আমি আমার সব ক্লাসেই শান্তভাবে গিয়েছি, কিন্তু আমার উদ্বেগ আরও খারাপ লাগছে। গতকাল আমি মদ্যপান করিনি, কিন্তু আমি ঘুমাতে পারিনি, এবং এখন আজ রাতে আমার একটি রাতের ক্লাস আছে। আমার বাড়ির প্রতিটি ঘরেও অ্যালকোহল আছে, বাথরুম ছাড়া, যার ফলে বাথরুম ছাড়া ক্ষুধা উপেক্ষা করা একটু কঠিন। আমি বুঝতে পারি আমার মানসিক স্বাস্থ্য খারাপ হচ্ছে, কিন্তু মাঝে মাঝে মদ্যপানের সময় আমি ভালো বোধ করি। আমি আর আমার রুমমেটদের কথা বলে বোঝাতে চাই না, কিন্তু আমার এমন অনেক বন্ধু নেই যাদের সাথে আমি কথা বলতে স্বাচ্ছন্দ্য বোধ করি।</v>
      </c>
    </row>
    <row r="1174" spans="1:3" ht="15" x14ac:dyDescent="0.25">
      <c r="A1174" s="3" t="s">
        <v>1171</v>
      </c>
      <c r="B1174" s="3" t="s">
        <v>997</v>
      </c>
      <c r="C1174" s="4" t="str">
        <f ca="1">IFERROR(__xludf.DUMMYFUNCTION("GOOGLETRANSLATE(A1174, ""auto"", ""bn"")"),"তো, আমার বয়স ২০ বছর, আমার আইনি বয়স ২১ বছর, আমার মনে হয় গত সপ্তাহে আমি অতিরিক্ত কাজ করে আমার শরীরকে খুব বেশি কষ্ট দিয়েছি, আর আজ আমি জরুরি চিকিৎসা কেন্দ্রে যাচ্ছি আশা করি নিজের শারীরিক পরীক্ষা করাবো এবং এমন জায়গায় যাব যেখানে আমি ধূমপান ছেড়ে দিতে সাহায্য করব"&amp;"ো। তো, আমি এটা জিজ্ঞাসা করার জন্য বলছি, কেউ কি জানেন যদি আমি ডাক্তারের কাছে যাই, তাদের বলি যে আমার সাহায্যের প্রয়োজন এবং আমি অপ্রাপ্তবয়স্ক এবং মদ্যপান করছি, তাহলে কি তারা আমাকে আইনের ঝামেলায় ফেলতে পারে?... আরেকটি বিষয় আমি যোগ করতে পারি, আমি CA U.S. তে থাক"&amp;"ি।")</f>
        <v>তো, আমার বয়স ২০ বছর, আমার আইনি বয়স ২১ বছর, আমার মনে হয় গত সপ্তাহে আমি অতিরিক্ত কাজ করে আমার শরীরকে খুব বেশি কষ্ট দিয়েছি, আর আজ আমি জরুরি চিকিৎসা কেন্দ্রে যাচ্ছি আশা করি নিজের শারীরিক পরীক্ষা করাবো এবং এমন জায়গায় যাব যেখানে আমি ধূমপান ছেড়ে দিতে সাহায্য করবো। তো, আমি এটা জিজ্ঞাসা করার জন্য বলছি, কেউ কি জানেন যদি আমি ডাক্তারের কাছে যাই, তাদের বলি যে আমার সাহায্যের প্রয়োজন এবং আমি অপ্রাপ্তবয়স্ক এবং মদ্যপান করছি, তাহলে কি তারা আমাকে আইনের ঝামেলায় ফেলতে পারে?... আরেকটি বিষয় আমি যোগ করতে পারি, আমি CA U.S. তে থাকি।</v>
      </c>
    </row>
    <row r="1175" spans="1:3" ht="15" x14ac:dyDescent="0.25">
      <c r="A1175" s="3" t="s">
        <v>1172</v>
      </c>
      <c r="B1175" s="3" t="s">
        <v>997</v>
      </c>
      <c r="C1175" s="4" t="str">
        <f ca="1">IFERROR(__xludf.DUMMYFUNCTION("GOOGLETRANSLATE(A1175, ""auto"", ""bn"")"),"আমি শুরুতেই বলবো, অনেকদিন ধরে আমি প্রতি রাতে এক বোতল টাকিলা পান করতাম। টেকিলা আমার জন্য বিষ ছিল, কিন্তু আমি ভদকা খেয়ে ফেলতাম। এটা তখনকার কথা, যখন আমি আমার নির্যাতনকারী বাবা-মায়ের সাথে থাকতাম, দুই বছরেরও বেশি সময় আগে। তারপর থেকে, আমি আমার জীবন সম্পূর্ণর"&amp;"ূপে বদলে ফেলেছি: অস্ট্রেলিয়ায় চলে এসেছি, আমার সবচেয়ে ভালো বন্ধুর সাথে বিয়ে করেছি, অবশেষে এন্ডোমেট্রিওসিস ধরা পড়েছে ইত্যাদি। প্রায় ৬ মাস আগে আমার বিআইএল আমার প্রতি প্রতিকূল আচরণ শুরু না করা পর্যন্ত সবকিছু ঠিক ছিল (সে শারীরিক/শারীরিকভাবে হিংস্র নয় কি"&amp;"ন্তু মৌখিক এবং মানসিকভাবে সে খুব হিংস্র)। আমার শ্বশুর-শাশুড়ি আমাকে আশ্বস্ত করেছেন যে আমি এটা ঠিক করছি কিন্তু আমি তা করছি না। আমার স্বামীও এটা বুঝতে পারছেন কিন্তু বর্তমানে আমরা যে পরিস্থিতিতে আছি (কোভিড থেকে সেরে উঠছি যা পরিবারের একজন সদস্যের কাছ থেকে আমা"&amp;"দের কাছে এসেছে) তাতে আমরা চাকরি পেতে এবং নিরাপদে বাইরে যেতে পারিনি। এবং এই অনিরাপদ অনুভূতি এবং আমার প্রতি ক্রমাগত রাগের কারণে আমি সত্যিই আবার পান করতে চেয়েছিলাম। প্যান্ট্রিতে এক বোতল ওয়াইন আছে। হাঁটার দূরত্বে একটা বোতলের দোকান আছে। আমি নিজেকে ক্রমশ")</f>
        <v>আমি শুরুতেই বলবো, অনেকদিন ধরে আমি প্রতি রাতে এক বোতল টাকিলা পান করতাম। টেকিলা আমার জন্য বিষ ছিল, কিন্তু আমি ভদকা খেয়ে ফেলতাম। এটা তখনকার কথা, যখন আমি আমার নির্যাতনকারী বাবা-মায়ের সাথে থাকতাম, দুই বছরেরও বেশি সময় আগে। তারপর থেকে, আমি আমার জীবন সম্পূর্ণরূপে বদলে ফেলেছি: অস্ট্রেলিয়ায় চলে এসেছি, আমার সবচেয়ে ভালো বন্ধুর সাথে বিয়ে করেছি, অবশেষে এন্ডোমেট্রিওসিস ধরা পড়েছে ইত্যাদি। প্রায় ৬ মাস আগে আমার বিআইএল আমার প্রতি প্রতিকূল আচরণ শুরু না করা পর্যন্ত সবকিছু ঠিক ছিল (সে শারীরিক/শারীরিকভাবে হিংস্র নয় কিন্তু মৌখিক এবং মানসিকভাবে সে খুব হিংস্র)। আমার শ্বশুর-শাশুড়ি আমাকে আশ্বস্ত করেছেন যে আমি এটা ঠিক করছি কিন্তু আমি তা করছি না। আমার স্বামীও এটা বুঝতে পারছেন কিন্তু বর্তমানে আমরা যে পরিস্থিতিতে আছি (কোভিড থেকে সেরে উঠছি যা পরিবারের একজন সদস্যের কাছ থেকে আমাদের কাছে এসেছে) তাতে আমরা চাকরি পেতে এবং নিরাপদে বাইরে যেতে পারিনি। এবং এই অনিরাপদ অনুভূতি এবং আমার প্রতি ক্রমাগত রাগের কারণে আমি সত্যিই আবার পান করতে চেয়েছিলাম। প্যান্ট্রিতে এক বোতল ওয়াইন আছে। হাঁটার দূরত্বে একটা বোতলের দোকান আছে। আমি নিজেকে ক্রমশ</v>
      </c>
    </row>
    <row r="1176" spans="1:3" ht="15" x14ac:dyDescent="0.25">
      <c r="A1176" s="3" t="s">
        <v>1173</v>
      </c>
      <c r="B1176" s="3" t="s">
        <v>997</v>
      </c>
      <c r="C1176" s="4" t="str">
        <f ca="1">IFERROR(__xludf.DUMMYFUNCTION("GOOGLETRANSLATE(A1176, ""auto"", ""bn"")"),"কয়েক বছর ধরে (চতুর্থ ধাপ!) ধূমপান ছাড়ার জন্য সংগ্রাম করার পর অবশেষে আমি ৩০ দিন সুস্থ হয়েছি! এখনও আমার ইচ্ছাগুলো থাকে এবং সমাজে মনে করিয়ে দেওয়ার কোনও অভাব নেই, কিন্তু অবশেষে আমার মনে হচ্ছে এখন আমার কিছুটা নিয়ন্ত্রণ আছে! সময়ও নিখুঁত। আমার স্ত্রীর দিদ"&amp;"িমা আইসিইউতে আছেন, এবং তিনি সম্ভবত এই পরিস্থিতি থেকে বেরিয়ে আসবেন না, তাই আমি আসলে তার জন্য উপস্থিত থাকতে পারব। কোনওভাবে তিনি আমার সাথে এই পরিস্থিতির মুখোমুখি হয়েছিলেন। তিনি সর্বদা আমার উপর বিশ্বাস রেখেছিলেন এবং তার সর্বোচ্চ সাধ্যমতো আমাকে সমর্থন করেছিল"&amp;"েন। আমার ভাইও আমাদের সাথে থাকেন, এবং তিনি NA তে ৬ মাস সুস্থ আছেন, তাই আমাদের পুরো বাড়ি এখন সুস্থ। আমি যখন ৩০ দিন পূর্ণ করি তখন তিনি আমাকে তার ৩০ দিনের টিপও দিয়েছিলেন। আমি NA বা AA বা অন্য কিছুতে যাই না, তবে আমি আগেও মিটিংয়ে গিয়েছি তাই আমি জানি এর অর্থ"&amp;" কতটা। আমি সত্যিই IRL কারো সাথে এই বিষয়ে কথা বলিনি, তাই আমি কেবল এটি আমার বুক থেকে সরিয়ে নিতে চেয়েছিলাম। সকলের জন্য শুভকামনা! যদি কারো কাছে এটা অসম্ভব মনে হয়, তাহলে আমার কাছ থেকে এটা নিয়ে নাও: এটা অসম্ভব নয়, শুধু খুব কঠিন। কিন্তু সম্ভব। এবং এটা খুবই"&amp;" মূল্যবান।")</f>
        <v>কয়েক বছর ধরে (চতুর্থ ধাপ!) ধূমপান ছাড়ার জন্য সংগ্রাম করার পর অবশেষে আমি ৩০ দিন সুস্থ হয়েছি! এখনও আমার ইচ্ছাগুলো থাকে এবং সমাজে মনে করিয়ে দেওয়ার কোনও অভাব নেই, কিন্তু অবশেষে আমার মনে হচ্ছে এখন আমার কিছুটা নিয়ন্ত্রণ আছে! সময়ও নিখুঁত। আমার স্ত্রীর দিদিমা আইসিইউতে আছেন, এবং তিনি সম্ভবত এই পরিস্থিতি থেকে বেরিয়ে আসবেন না, তাই আমি আসলে তার জন্য উপস্থিত থাকতে পারব। কোনওভাবে তিনি আমার সাথে এই পরিস্থিতির মুখোমুখি হয়েছিলেন। তিনি সর্বদা আমার উপর বিশ্বাস রেখেছিলেন এবং তার সর্বোচ্চ সাধ্যমতো আমাকে সমর্থন করেছিলেন। আমার ভাইও আমাদের সাথে থাকেন, এবং তিনি NA তে ৬ মাস সুস্থ আছেন, তাই আমাদের পুরো বাড়ি এখন সুস্থ। আমি যখন ৩০ দিন পূর্ণ করি তখন তিনি আমাকে তার ৩০ দিনের টিপও দিয়েছিলেন। আমি NA বা AA বা অন্য কিছুতে যাই না, তবে আমি আগেও মিটিংয়ে গিয়েছি তাই আমি জানি এর অর্থ কতটা। আমি সত্যিই IRL কারো সাথে এই বিষয়ে কথা বলিনি, তাই আমি কেবল এটি আমার বুক থেকে সরিয়ে নিতে চেয়েছিলাম। সকলের জন্য শুভকামনা! যদি কারো কাছে এটা অসম্ভব মনে হয়, তাহলে আমার কাছ থেকে এটা নিয়ে নাও: এটা অসম্ভব নয়, শুধু খুব কঠিন। কিন্তু সম্ভব। এবং এটা খুবই মূল্যবান।</v>
      </c>
    </row>
    <row r="1177" spans="1:3" ht="15" x14ac:dyDescent="0.25">
      <c r="A1177" s="3" t="s">
        <v>1174</v>
      </c>
      <c r="B1177" s="3" t="s">
        <v>997</v>
      </c>
      <c r="C1177" s="4" t="str">
        <f ca="1">IFERROR(__xludf.DUMMYFUNCTION("GOOGLETRANSLATE(A1177, ""auto"", ""bn"")"),"শিরোনামে যেমন বলা আছে, আমি ভর্তির জন্য ৬ মাস অপেক্ষা করছি। আমি আসলে আমার সংযম বজায় রেখেছি কারণ আমি সুস্থ থাকার জন্য একটি বিশাল প্রতিশ্রুতি দিয়েছিলাম। এবং আমি জানি কিভাবে এটা করতে হয় কারণ আমি আগেও অনেকবার এটি করেছি। আমি সবসময় ফিরে যেতাম এবং তারপর কয়েক"&amp;" সপ্তাহ ধরে মদ্যপান করতাম। তাই আমি ২ থেকে ১১ মাস ধরে মদ্যপান করি, এবং তারপর এক বা তিন সপ্তাহ ধরে মদ্যপান করি। এটা আমার মাতৃত্ব। আমি সেই চক্র ভাঙার চেষ্টা করছি। এটা কঠিন, আমি চাই ওরা আমাকে ভর্তি করুক, কিন্তু কোভিডের অপেক্ষার সময়গুলি জ্যোতির্বিদ্যাগত, আচ্ছ"&amp;"া এটা একটু বাড়াবাড়ি হতে পারে হা হা তারা আমাকে অপেক্ষা করতে বাধ্য করছে! সবাই অপেক্ষা করছে! এটা খারাপ, হা হা আমি বুঝতে পারছি, কোভিড, ছোট বিছানা, দীর্ঘ অপেক্ষার সময়। এটি মূলত ছুটিতে যাচ্ছে। আমি গত ৯ মাস ধরে আমার এক শোবার ঘরে একা ছিলাম। এক বছর ধরে কাজের আঘ"&amp;"াতের জন্য বাইরে। তাই আমি কাজে ফিরে যাওয়ার আগে চিকিৎসা নেওয়ার চেষ্টা করছি। আমি সত্যিই আশা করি শীঘ্রই আমি ভর্তি হতে পারব। আমার নিজের জন্য এটা সত্যিই কঠিন ছিল। কিন্তু পড়া, প্রার্থনা, ধ্যান, CBT, এইসব কিছু হাতিয়ার আমি ভারসাম্য বজায় রাখার জন্য ব্যবহার করি"&amp;"। তাই আমি খুশি এবং আমি ঠিক আছি। আমি সত্যিই চিকিৎসা নিতে চাই হা হা। ঘরোয়া জীবন কঠিন বন্ধু। এমনকি যখন আমি কাজ করি তখনও আমি ধনী ব্যক্তি নই। তাই এখন যেহেতু আমি কিছুদিন ধরে কাজ থেকে বেরিয়েছি, তাই মনে হচ্ছে আমি এটা অনুভব করছি। আমার কাছে যা করার জন্য যথেষ্ট আছ"&amp;"ে। এবং আমি দিনে দুবার হেঁটে যাই এবং বিনামূল্যে খাবারের জন্য ড্রপ আউট করি। ব্যায়ামের জন্য এবং কাজে ফিরে না আসা পর্যন্ত নিজেকে ভাসিয়ে রাখার জন্য। আমি যা করতে হবে তা করি। তবে আমি সেখানে একটি গরম মিনিটের জন্য অপেক্ষা করছি। এমনকি যদি এটি কঠিন হয়, যা আমি নিশ"&amp;"্চিত যে এটি তার নিজস্ব উপায়ে হবে, এটি ভিন্ন হতে চলেছে, এটি নতুন উপায়ে মজাদার এবং চ্যালেঞ্জিং হবে। আমি আশা করি আমি শীঘ্রই এতে যোগদান করতে পারব। যারা যোগদানের জন্য অপেক্ষা করছে তাদের জন্য জুমে তাদের একটি মিটিং আছে।")</f>
        <v>শিরোনামে যেমন বলা আছে, আমি ভর্তির জন্য ৬ মাস অপেক্ষা করছি। আমি আসলে আমার সংযম বজায় রেখেছি কারণ আমি সুস্থ থাকার জন্য একটি বিশাল প্রতিশ্রুতি দিয়েছিলাম। এবং আমি জানি কিভাবে এটা করতে হয় কারণ আমি আগেও অনেকবার এটি করেছি। আমি সবসময় ফিরে যেতাম এবং তারপর কয়েক সপ্তাহ ধরে মদ্যপান করতাম। তাই আমি ২ থেকে ১১ মাস ধরে মদ্যপান করি, এবং তারপর এক বা তিন সপ্তাহ ধরে মদ্যপান করি। এটা আমার মাতৃত্ব। আমি সেই চক্র ভাঙার চেষ্টা করছি। এটা কঠিন, আমি চাই ওরা আমাকে ভর্তি করুক, কিন্তু কোভিডের অপেক্ষার সময়গুলি জ্যোতির্বিদ্যাগত, আচ্ছা এটা একটু বাড়াবাড়ি হতে পারে হা হা তারা আমাকে অপেক্ষা করতে বাধ্য করছে! সবাই অপেক্ষা করছে! এটা খারাপ, হা হা আমি বুঝতে পারছি, কোভিড, ছোট বিছানা, দীর্ঘ অপেক্ষার সময়। এটি মূলত ছুটিতে যাচ্ছে। আমি গত ৯ মাস ধরে আমার এক শোবার ঘরে একা ছিলাম। এক বছর ধরে কাজের আঘাতের জন্য বাইরে। তাই আমি কাজে ফিরে যাওয়ার আগে চিকিৎসা নেওয়ার চেষ্টা করছি। আমি সত্যিই আশা করি শীঘ্রই আমি ভর্তি হতে পারব। আমার নিজের জন্য এটা সত্যিই কঠিন ছিল। কিন্তু পড়া, প্রার্থনা, ধ্যান, CBT, এইসব কিছু হাতিয়ার আমি ভারসাম্য বজায় রাখার জন্য ব্যবহার করি। তাই আমি খুশি এবং আমি ঠিক আছি। আমি সত্যিই চিকিৎসা নিতে চাই হা হা। ঘরোয়া জীবন কঠিন বন্ধু। এমনকি যখন আমি কাজ করি তখনও আমি ধনী ব্যক্তি নই। তাই এখন যেহেতু আমি কিছুদিন ধরে কাজ থেকে বেরিয়েছি, তাই মনে হচ্ছে আমি এটা অনুভব করছি। আমার কাছে যা করার জন্য যথেষ্ট আছে। এবং আমি দিনে দুবার হেঁটে যাই এবং বিনামূল্যে খাবারের জন্য ড্রপ আউট করি। ব্যায়ামের জন্য এবং কাজে ফিরে না আসা পর্যন্ত নিজেকে ভাসিয়ে রাখার জন্য। আমি যা করতে হবে তা করি। তবে আমি সেখানে একটি গরম মিনিটের জন্য অপেক্ষা করছি। এমনকি যদি এটি কঠিন হয়, যা আমি নিশ্চিত যে এটি তার নিজস্ব উপায়ে হবে, এটি ভিন্ন হতে চলেছে, এটি নতুন উপায়ে মজাদার এবং চ্যালেঞ্জিং হবে। আমি আশা করি আমি শীঘ্রই এতে যোগদান করতে পারব। যারা যোগদানের জন্য অপেক্ষা করছে তাদের জন্য জুমে তাদের একটি মিটিং আছে।</v>
      </c>
    </row>
    <row r="1178" spans="1:3" ht="15" x14ac:dyDescent="0.25">
      <c r="A1178" s="3" t="s">
        <v>1175</v>
      </c>
      <c r="B1178" s="3" t="s">
        <v>997</v>
      </c>
      <c r="C1178" s="4" t="str">
        <f ca="1">IFERROR(__xludf.DUMMYFUNCTION("GOOGLETRANSLATE(A1178, ""auto"", ""bn"")"),"প্রায় ৫ বছর ধরে প্রতিদিন ১০টির বেশি বিয়ার খাচ্ছি, আমার বয়স এখনও ২০ এর কোঠার শুরুর দিকে। আমার বাম পাশে ব্যথা হচ্ছে যা প্রায় দেড় বছর ধরে ঝটকা লাগার মতো অথবা প্রতিদিন ব্যথা করে। ২ জন ডাক্তারের কাছে গিয়েছি, কিন্তু তারা কিছুই বলেনি যে ভালো লাগছে। বাম কলারবোন"&amp;" থেকে শুরু করে বাম স্তনবৃন্ত পর্যন্ত, বগলের উপর এবং নীচের অংশ পর্যন্ত। অন্য কারো কি এটা হয়েছে? হয়তো স্মিথের নিচে পুশ আপ করছে।")</f>
        <v>প্রায় ৫ বছর ধরে প্রতিদিন ১০টির বেশি বিয়ার খাচ্ছি, আমার বয়স এখনও ২০ এর কোঠার শুরুর দিকে। আমার বাম পাশে ব্যথা হচ্ছে যা প্রায় দেড় বছর ধরে ঝটকা লাগার মতো অথবা প্রতিদিন ব্যথা করে। ২ জন ডাক্তারের কাছে গিয়েছি, কিন্তু তারা কিছুই বলেনি যে ভালো লাগছে। বাম কলারবোন থেকে শুরু করে বাম স্তনবৃন্ত পর্যন্ত, বগলের উপর এবং নীচের অংশ পর্যন্ত। অন্য কারো কি এটা হয়েছে? হয়তো স্মিথের নিচে পুশ আপ করছে।</v>
      </c>
    </row>
    <row r="1179" spans="1:3" ht="15" x14ac:dyDescent="0.25">
      <c r="A1179" s="3" t="s">
        <v>1176</v>
      </c>
      <c r="B1179" s="3" t="s">
        <v>997</v>
      </c>
      <c r="C1179" s="4" t="str">
        <f ca="1">IFERROR(__xludf.DUMMYFUNCTION("GOOGLETRANSLATE(A1179, ""auto"", ""bn"")"),"প্রথম দিনই মানসিকভাবে কিছুটা দুর্বল হয়ে পড়েছিলাম - স্বাভাবিকের চেয়ে বেশি এবং সাহায্যের জন্য সুইসাইড হেল্পলাইনে ফোন করেছিলাম। আমি .522 (ওফ) BAC নিয়ে হাসপাতালে গিয়েছিলাম এবং অনেক Librium এবং Asian খাওয়ার পর দ্রুত সুস্থ হয়ে উঠি। tapering খারাপ - আমি এ"&amp;"খন 5 দিনের জন্য Asian এর মাত্রা কমিয়েছি এবং এটি প্রায় আবার স্বাভাবিক হওয়ার মতো। তারা আমাকে 5 দিন রাখতে চেয়েছিল, কিন্তু আমি এটাকে ভুল বলে মনে করছিলাম। আমার মনে হয় আমি ভালো আছি আমি কি একটু Asian নিয়ে বাড়ি যেতে পারি? নার্স এবং ডাক্তার প্রথমে না বলেছিল"&amp;" এবং আমি বলেছিলাম ভালো? আমি চলে এসেছি। তারা শেষ পর্যন্ত Asian কে টেপার শেষ করার জন্য দিয়েছিল।")</f>
        <v>প্রথম দিনই মানসিকভাবে কিছুটা দুর্বল হয়ে পড়েছিলাম - স্বাভাবিকের চেয়ে বেশি এবং সাহায্যের জন্য সুইসাইড হেল্পলাইনে ফোন করেছিলাম। আমি .522 (ওফ) BAC নিয়ে হাসপাতালে গিয়েছিলাম এবং অনেক Librium এবং Asian খাওয়ার পর দ্রুত সুস্থ হয়ে উঠি। tapering খারাপ - আমি এখন 5 দিনের জন্য Asian এর মাত্রা কমিয়েছি এবং এটি প্রায় আবার স্বাভাবিক হওয়ার মতো। তারা আমাকে 5 দিন রাখতে চেয়েছিল, কিন্তু আমি এটাকে ভুল বলে মনে করছিলাম। আমার মনে হয় আমি ভালো আছি আমি কি একটু Asian নিয়ে বাড়ি যেতে পারি? নার্স এবং ডাক্তার প্রথমে না বলেছিল এবং আমি বলেছিলাম ভালো? আমি চলে এসেছি। তারা শেষ পর্যন্ত Asian কে টেপার শেষ করার জন্য দিয়েছিল।</v>
      </c>
    </row>
    <row r="1180" spans="1:3" ht="15" x14ac:dyDescent="0.25">
      <c r="A1180" s="3" t="s">
        <v>1177</v>
      </c>
      <c r="B1180" s="3" t="s">
        <v>997</v>
      </c>
      <c r="C1180" s="4" t="str">
        <f ca="1">IFERROR(__xludf.DUMMYFUNCTION("GOOGLETRANSLATE(A1180, ""auto"", ""bn"")"),"প্রেক্ষাপটের জন্য, আমার সিজোএফেক্টিভ ডিসঅর্ডার এবং সিপিটিএসডি আছে, এবং আরও অনেক কিছু। আমি ১১/১৫-১২/৭ তারিখে পুনর্বাসনে ছিলাম। যথেষ্ট সময় হয়নি, এবং এখন পুনর্বাসন (টিএন-এর র‍্যাঞ্চ, সেখানে যেও না) ক্লায়েন্টদের সাথে দুর্ব্যবহারের জন্য তদন্তাধীন। ২০২১ সালে"&amp;"র জানুয়ারিতে আমার একটি মর্মান্তিক ঘটনা ঘটেছিল যা উটের কোমর ভেঙে দিয়েছিল, আপনি হয়তো বলতে পারেন, এবং এর ফলে বসন্ত এবং গ্রীষ্মে চাকরির জন্য ছুটে যাওয়া এবং বন্ধুত্ব ছিন্ন করার ঘটনা ঘটে। নভেম্বরে, বন্ধুহীন এবং মরিয়া, আমি পুনর্বাসনে গিয়েছিলাম এবং ক্রিসমাস"&amp;" পর্যন্ত ৩৪ দিন সুস্থ ছিলাম। তারপর থেকে, আমি প্রতিদিন মদ্যপান করছি - প্রথমে রাতে দু'একটি বিয়ার এবং এখন আমি কেবল নিশ্চিহ্ন হয়ে যাচ্ছি, সাথে আগাছা এবং বড়ি। আমার বাবা-মা আমাকে সপ্তাহে অল্প পরিমাণ টাকা দিচ্ছেন যতক্ষণ না আমার অক্ষমতা (আশা করা যায়) অনুমোদিত"&amp;" হয় যা প্রায় এক বছর সময় নিতে পারে। আমি আমার ""ভাতার চেয়ে বেশি পান করছি? যেহেতু ২২ বছর বয়সী একজন তা চালিয়ে যেতে পারে। সিজোএফেক্টিভ ডিসঅর্ডার এবং আমার মেজাজের অস্থিরতা এবং/অথবা স্পষ্টতার কারণে আমি মানসিকভাবে কাজ করতে অক্ষম। আমি আর পুনর্বাসনে বিশ্বাস ক"&amp;"রি না। দীর্ঘস্থায়ী এবং দুর্বলকারী ব্যাধিতে আক্রান্ত ব্যক্তি হিসেবে আমি মদ্যপান এবং মাদকাসক্তি না করে নিজেকে বিস্মৃতির দিকে না নিয়ে যাওয়ার কোনও মানে দেখি না।")</f>
        <v>প্রেক্ষাপটের জন্য, আমার সিজোএফেক্টিভ ডিসঅর্ডার এবং সিপিটিএসডি আছে, এবং আরও অনেক কিছু। আমি ১১/১৫-১২/৭ তারিখে পুনর্বাসনে ছিলাম। যথেষ্ট সময় হয়নি, এবং এখন পুনর্বাসন (টিএন-এর র‍্যাঞ্চ, সেখানে যেও না) ক্লায়েন্টদের সাথে দুর্ব্যবহারের জন্য তদন্তাধীন। ২০২১ সালের জানুয়ারিতে আমার একটি মর্মান্তিক ঘটনা ঘটেছিল যা উটের কোমর ভেঙে দিয়েছিল, আপনি হয়তো বলতে পারেন, এবং এর ফলে বসন্ত এবং গ্রীষ্মে চাকরির জন্য ছুটে যাওয়া এবং বন্ধুত্ব ছিন্ন করার ঘটনা ঘটে। নভেম্বরে, বন্ধুহীন এবং মরিয়া, আমি পুনর্বাসনে গিয়েছিলাম এবং ক্রিসমাস পর্যন্ত ৩৪ দিন সুস্থ ছিলাম। তারপর থেকে, আমি প্রতিদিন মদ্যপান করছি - প্রথমে রাতে দু'একটি বিয়ার এবং এখন আমি কেবল নিশ্চিহ্ন হয়ে যাচ্ছি, সাথে আগাছা এবং বড়ি। আমার বাবা-মা আমাকে সপ্তাহে অল্প পরিমাণ টাকা দিচ্ছেন যতক্ষণ না আমার অক্ষমতা (আশা করা যায়) অনুমোদিত হয় যা প্রায় এক বছর সময় নিতে পারে। আমি আমার "ভাতার চেয়ে বেশি পান করছি? যেহেতু ২২ বছর বয়সী একজন তা চালিয়ে যেতে পারে। সিজোএফেক্টিভ ডিসঅর্ডার এবং আমার মেজাজের অস্থিরতা এবং/অথবা স্পষ্টতার কারণে আমি মানসিকভাবে কাজ করতে অক্ষম। আমি আর পুনর্বাসনে বিশ্বাস করি না। দীর্ঘস্থায়ী এবং দুর্বলকারী ব্যাধিতে আক্রান্ত ব্যক্তি হিসেবে আমি মদ্যপান এবং মাদকাসক্তি না করে নিজেকে বিস্মৃতির দিকে না নিয়ে যাওয়ার কোনও মানে দেখি না।</v>
      </c>
    </row>
    <row r="1181" spans="1:3" ht="15" x14ac:dyDescent="0.25">
      <c r="A1181" s="3" t="s">
        <v>1178</v>
      </c>
      <c r="B1181" s="3" t="s">
        <v>997</v>
      </c>
      <c r="C1181" s="4" t="str">
        <f ca="1">IFERROR(__xludf.DUMMYFUNCTION("GOOGLETRANSLATE(A1181, ""auto"", ""bn"")"),"আমার বয়স ২৩, ১৬-১৭ বছর বয়স থেকে আমি মদ্যপান করছি। আমি প্রতিদিন মদ্যপান করি না, হয়তো মাসে ৩-৪ বার। কিন্তু আমি প্রচুর মদ্যপান করি, আর যখন আমি বেশি মদ্যপান করি তখন আমার মনে হয় শেষবার যখন আমি এক রাতে পুরো পঞ্চমবার মদ্যপান করেছিলাম। আমি এত মদ্যপান পছন্দ করি না"&amp;", এতে আমার খারাপ লাগে, এবং প্রতিবারই আমি অনুশোচনা, উদ্বেগ ইত্যাদি অনুভব করি। বিশেষ করে কারণ আমি যখন এত মদ্যপান করি তখন আমি কিছু সত্যিই বিব্রতকর কাজ করতে পারি। কিন্তু ছেড়ে দেওয়ার প্রাথমিক বাধা কাটিয়ে উঠতে আমার সমস্যা হচ্ছে। প্রায় এক সপ্তাহ বা তারও বেশি "&amp;"সময় পরে, আমি ছেড়ে দেওয়ার ব্যাপারে আগ্রহ হারিয়ে ফেলি এবং আমি কখন আমার পরবর্তী ছোট্ট মদ্যপান করব তা পরিকল্পনা করতে শুরু করি। আমি প্রায় ২ বছর ধরে এই সমস্যা মোকাবেলা করছি এবং এটি অবিশ্বাস্যভাবে হতাশাজনক। ৩-৪ দিন হয়ে গেছে এবং আমি এখনও ভালো করছি, কিন্তু আ"&amp;"মার কেবল এক সপ্তাহের মধ্যেই আমার মাথায় এটা ঢুকে যাবে যে আমি আসলে ছাড়তে চাই না, এবং আমি আবার পান করব।")</f>
        <v>আমার বয়স ২৩, ১৬-১৭ বছর বয়স থেকে আমি মদ্যপান করছি। আমি প্রতিদিন মদ্যপান করি না, হয়তো মাসে ৩-৪ বার। কিন্তু আমি প্রচুর মদ্যপান করি, আর যখন আমি বেশি মদ্যপান করি তখন আমার মনে হয় শেষবার যখন আমি এক রাতে পুরো পঞ্চমবার মদ্যপান করেছিলাম। আমি এত মদ্যপান পছন্দ করি না, এতে আমার খারাপ লাগে, এবং প্রতিবারই আমি অনুশোচনা, উদ্বেগ ইত্যাদি অনুভব করি। বিশেষ করে কারণ আমি যখন এত মদ্যপান করি তখন আমি কিছু সত্যিই বিব্রতকর কাজ করতে পারি। কিন্তু ছেড়ে দেওয়ার প্রাথমিক বাধা কাটিয়ে উঠতে আমার সমস্যা হচ্ছে। প্রায় এক সপ্তাহ বা তারও বেশি সময় পরে, আমি ছেড়ে দেওয়ার ব্যাপারে আগ্রহ হারিয়ে ফেলি এবং আমি কখন আমার পরবর্তী ছোট্ট মদ্যপান করব তা পরিকল্পনা করতে শুরু করি। আমি প্রায় ২ বছর ধরে এই সমস্যা মোকাবেলা করছি এবং এটি অবিশ্বাস্যভাবে হতাশাজনক। ৩-৪ দিন হয়ে গেছে এবং আমি এখনও ভালো করছি, কিন্তু আমার কেবল এক সপ্তাহের মধ্যেই আমার মাথায় এটা ঢুকে যাবে যে আমি আসলে ছাড়তে চাই না, এবং আমি আবার পান করব।</v>
      </c>
    </row>
    <row r="1182" spans="1:3" ht="15" x14ac:dyDescent="0.25">
      <c r="A1182" s="3" t="s">
        <v>1179</v>
      </c>
      <c r="B1182" s="3" t="s">
        <v>997</v>
      </c>
      <c r="C1182" s="4" t="str">
        <f ca="1">IFERROR(__xludf.DUMMYFUNCTION("GOOGLETRANSLATE(A1182, ""auto"", ""bn"")"),"আমার অবস্থা এত খারাপ। আমি খুব লজ্জিত, তবুও আমি কোনও পরিবর্তন আনছি না। দয়া করে বলুন, বিকাল ৩:৩০ টায় বারে কিছু পানীয় পান করার অভ্যাসটা কীভাবে কাটিয়ে উঠবো? আমি এই জীবনকে ঘৃণা করি এবং অজ্ঞতায় মারা যাওয়ার চেয়ে সমাধানের জন্য লড়াই করাই ভালো।")</f>
        <v>আমার অবস্থা এত খারাপ। আমি খুব লজ্জিত, তবুও আমি কোনও পরিবর্তন আনছি না। দয়া করে বলুন, বিকাল ৩:৩০ টায় বারে কিছু পানীয় পান করার অভ্যাসটা কীভাবে কাটিয়ে উঠবো? আমি এই জীবনকে ঘৃণা করি এবং অজ্ঞতায় মারা যাওয়ার চেয়ে সমাধানের জন্য লড়াই করাই ভালো।</v>
      </c>
    </row>
    <row r="1183" spans="1:3" ht="15" x14ac:dyDescent="0.25">
      <c r="A1183" s="3" t="s">
        <v>1180</v>
      </c>
      <c r="B1183" s="3" t="s">
        <v>997</v>
      </c>
      <c r="C1183" s="4" t="str">
        <f ca="1">IFERROR(__xludf.DUMMYFUNCTION("GOOGLETRANSLATE(A1183, ""auto"", ""bn"")"),"যদি ভুল সাবরেডিট ব্যবহার করা হয়ে থাকে, তাহলে আমি ক্ষমা চাইছি, কিন্তু আমার মনে হয় এখানেই মানুষ আমার অনুভূতির প্রতি সহানুভূতিশীল হতে পারে। যদি কেউ দেখে এবং আমার কথা বুঝতে পারে, তাহলে প্রায় পুরো বিশ্ব একমত যে মূল চরিত্রটি সবচেয়ে খারাপ জিনিস, এবং সে পুরো শহর "&amp;"এবং আশেপাশের সম্পর্ক নষ্ট করে দিয়েছে। যদি আপনি অনুষ্ঠানটি না দেখেন, তাহলে আমি জানি না কেউ আগ্রহী কিনা, তবে আমি স্পয়লার ছাড়াই একটি TLDR দিতে পারি, তবে আমি কেবল খুব কৌতূহলী; প্রধান চরিত্রটি মাদকাসক্ত এবং তার প্রেমময়/সমর্থক পরিবার এবং বন্ধুবান্ধব রয়েছে কি"&amp;"ন্তু সে পুনরায় আক্রমণ করেছে এবং (একটি বেশ নিষ্ঠুর, আমি যোগ করতে পারি) সংঘর্ষের শিকার হয়েছে। এই বিশেষ পর্বটি সম্পর্কে আমি যাদের সাথে কথা বলেছি তাদের বেশিরভাগেরই (অন্তত যাদের সম্পর্কে আমি জানি) কোনও ধরণের মাদকাসক্তির সমস্যা ছিল না। তবে তার একটি আসক্তি আছে"&amp;"। এটি স্পষ্টতই টিভির জন্য নাটকীয়, তবে আমি সংগ্রামটি জানি এবং এটি সম্পূর্ণরূপে দূরে নয়। আমার মনে হয় এটি আরও চোখ খুলে দেওয়ার মতো যে আমি তার প্রতি সহানুভূতি ছাড়া আর কিছুই অনুভব করি না।")</f>
        <v>যদি ভুল সাবরেডিট ব্যবহার করা হয়ে থাকে, তাহলে আমি ক্ষমা চাইছি, কিন্তু আমার মনে হয় এখানেই মানুষ আমার অনুভূতির প্রতি সহানুভূতিশীল হতে পারে। যদি কেউ দেখে এবং আমার কথা বুঝতে পারে, তাহলে প্রায় পুরো বিশ্ব একমত যে মূল চরিত্রটি সবচেয়ে খারাপ জিনিস, এবং সে পুরো শহর এবং আশেপাশের সম্পর্ক নষ্ট করে দিয়েছে। যদি আপনি অনুষ্ঠানটি না দেখেন, তাহলে আমি জানি না কেউ আগ্রহী কিনা, তবে আমি স্পয়লার ছাড়াই একটি TLDR দিতে পারি, তবে আমি কেবল খুব কৌতূহলী; প্রধান চরিত্রটি মাদকাসক্ত এবং তার প্রেমময়/সমর্থক পরিবার এবং বন্ধুবান্ধব রয়েছে কিন্তু সে পুনরায় আক্রমণ করেছে এবং (একটি বেশ নিষ্ঠুর, আমি যোগ করতে পারি) সংঘর্ষের শিকার হয়েছে। এই বিশেষ পর্বটি সম্পর্কে আমি যাদের সাথে কথা বলেছি তাদের বেশিরভাগেরই (অন্তত যাদের সম্পর্কে আমি জানি) কোনও ধরণের মাদকাসক্তির সমস্যা ছিল না। তবে তার একটি আসক্তি আছে। এটি স্পষ্টতই টিভির জন্য নাটকীয়, তবে আমি সংগ্রামটি জানি এবং এটি সম্পূর্ণরূপে দূরে নয়। আমার মনে হয় এটি আরও চোখ খুলে দেওয়ার মতো যে আমি তার প্রতি সহানুভূতি ছাড়া আর কিছুই অনুভব করি না।</v>
      </c>
    </row>
    <row r="1184" spans="1:3" ht="15" x14ac:dyDescent="0.25">
      <c r="A1184" s="3" t="s">
        <v>1181</v>
      </c>
      <c r="B1184" s="3" t="s">
        <v>997</v>
      </c>
      <c r="C1184" s="4" t="str">
        <f ca="1">IFERROR(__xludf.DUMMYFUNCTION("GOOGLETRANSLATE(A1184, ""auto"", ""bn"")"),"আমার (F23) একজন সঙ্গী আছে (M23) যে বয়সকাল থেকেই মদ্যপানের সাথে ভুগছে। সে একটি অকার্যকর পরিবার থেকে এসেছে, তার বাবাও একজন মদ্যপ এবং তার সাথে থাকার জন্য বিশেষভাবে উপযুক্ত নয়। আমরা গত বছর দেখা করেছিলাম এবং সে প্রায় এসেছিল এবং কখনও চলে যায়নি, তাই আমার মা এ"&amp;"বং আমার সাথে থাকে। সে আমার দেখা সবচেয়ে আশ্চর্যজনক ব্যক্তি, এবং সে আমাকে অনেক উপায়ে সম্পূর্ণ করে। আমরা তাকে অনেক ভালোবাসি। এখন, যারা নিজের জন্য অন্যদের কষ্ট দেয় তাদের একজন হতে চাই না, তবে এটা মনে রাখা গুরুত্বপূর্ণ যে আমার বাবা গত বছর মদ্যপানের কারণে অগ্"&amp;"ন্যাশয়ের ক্যান্সারে আক্রান্ত হয়ে মারা গেছেন। আমি প্রতিদিন নিজেকে ঘৃণা করি কারণ তাকে অসুস্থ হওয়া বন্ধ করার জন্য যথেষ্ট কিছু করতে পারিনি, এবং আমি যে মানুষটির সাথে বাকি জীবন কাটাতে চাই তাকে আমি একই জিনিসের শিকার হতে দেব না। আমি জোর দিয়ে বলতে চাই, আমি চাই"&amp;" সে শেষ পর্যন্ত নিজের জন্য ভালো হয়ে উঠুক, কিন্তু আমাদের উভয়ের প্রাপ্য সুখী জীবনও একসাথে পাক।")</f>
        <v>আমার (F23) একজন সঙ্গী আছে (M23) যে বয়সকাল থেকেই মদ্যপানের সাথে ভুগছে। সে একটি অকার্যকর পরিবার থেকে এসেছে, তার বাবাও একজন মদ্যপ এবং তার সাথে থাকার জন্য বিশেষভাবে উপযুক্ত নয়। আমরা গত বছর দেখা করেছিলাম এবং সে প্রায় এসেছিল এবং কখনও চলে যায়নি, তাই আমার মা এবং আমার সাথে থাকে। সে আমার দেখা সবচেয়ে আশ্চর্যজনক ব্যক্তি, এবং সে আমাকে অনেক উপায়ে সম্পূর্ণ করে। আমরা তাকে অনেক ভালোবাসি। এখন, যারা নিজের জন্য অন্যদের কষ্ট দেয় তাদের একজন হতে চাই না, তবে এটা মনে রাখা গুরুত্বপূর্ণ যে আমার বাবা গত বছর মদ্যপানের কারণে অগ্ন্যাশয়ের ক্যান্সারে আক্রান্ত হয়ে মারা গেছেন। আমি প্রতিদিন নিজেকে ঘৃণা করি কারণ তাকে অসুস্থ হওয়া বন্ধ করার জন্য যথেষ্ট কিছু করতে পারিনি, এবং আমি যে মানুষটির সাথে বাকি জীবন কাটাতে চাই তাকে আমি একই জিনিসের শিকার হতে দেব না। আমি জোর দিয়ে বলতে চাই, আমি চাই সে শেষ পর্যন্ত নিজের জন্য ভালো হয়ে উঠুক, কিন্তু আমাদের উভয়ের প্রাপ্য সুখী জীবনও একসাথে পাক।</v>
      </c>
    </row>
    <row r="1185" spans="1:3" ht="15" x14ac:dyDescent="0.25">
      <c r="A1185" s="3" t="s">
        <v>1182</v>
      </c>
      <c r="B1185" s="3" t="s">
        <v>997</v>
      </c>
      <c r="C1185" s="4" t="str">
        <f ca="1">IFERROR(__xludf.DUMMYFUNCTION("GOOGLETRANSLATE(A1185, ""auto"", ""bn"")"),"শিরোনামে যেমনটা বলা হয়েছে - আমি কয়েকদিনের জন্য থেমে যাই এবং আমার মেজাজ সামলাতে অসুবিধা হয়; আমি এখন আমার জীবনে অনেক কিছুর মধ্য দিয়ে যাচ্ছি (বিবাহবিচ্ছেদ, এবং প্রাক্তন প্রেমিক অন্তত বলতে গেলে ন্যায্য আচরণ করছে না) কিন্তু আমি লক্ষ্য করেছি যে মঙ্গলবার এসে আমি"&amp;" মানসিক চাপে ভুগতে শুরু করেছি। এফি এখন (কোন নির্দিষ্ট কারণ ছাড়াই) রেগে আছে এবং আমি ঝগড়া করতে চাই, এবং আমি জানি যে কয়েকটি পানীয়ই সবকিছু ঠিক করে দেবে। এই মুহূর্তে, আমি কেবল সপ্তাহান্তে আমার মদ্যপানকে কিছুটা পরিমিত করার চেষ্টা করছি। বর্তমান অভ্যাস হল ওয়া"&amp;"ইন (সন্ধ্যায় ১-২ বোতল) এবং অদ্ভুত হুইস্কি। রবিবার দেড় গ্লাস খেয়েছিলাম, গতকাল কিছুই ছিল না।")</f>
        <v>শিরোনামে যেমনটা বলা হয়েছে - আমি কয়েকদিনের জন্য থেমে যাই এবং আমার মেজাজ সামলাতে অসুবিধা হয়; আমি এখন আমার জীবনে অনেক কিছুর মধ্য দিয়ে যাচ্ছি (বিবাহবিচ্ছেদ, এবং প্রাক্তন প্রেমিক অন্তত বলতে গেলে ন্যায্য আচরণ করছে না) কিন্তু আমি লক্ষ্য করেছি যে মঙ্গলবার এসে আমি মানসিক চাপে ভুগতে শুরু করেছি। এফি এখন (কোন নির্দিষ্ট কারণ ছাড়াই) রেগে আছে এবং আমি ঝগড়া করতে চাই, এবং আমি জানি যে কয়েকটি পানীয়ই সবকিছু ঠিক করে দেবে। এই মুহূর্তে, আমি কেবল সপ্তাহান্তে আমার মদ্যপানকে কিছুটা পরিমিত করার চেষ্টা করছি। বর্তমান অভ্যাস হল ওয়াইন (সন্ধ্যায় ১-২ বোতল) এবং অদ্ভুত হুইস্কি। রবিবার দেড় গ্লাস খেয়েছিলাম, গতকাল কিছুই ছিল না।</v>
      </c>
    </row>
    <row r="1186" spans="1:3" ht="15" x14ac:dyDescent="0.25">
      <c r="A1186" s="3" t="s">
        <v>1183</v>
      </c>
      <c r="B1186" s="3" t="s">
        <v>997</v>
      </c>
      <c r="C1186" s="4" t="str">
        <f ca="1">IFERROR(__xludf.DUMMYFUNCTION("GOOGLETRANSLATE(A1186, ""auto"", ""bn"")"),"আমার বাবা প্রায় ৩০ বছর ধরে মদ্যপান করেন, তিনি বেশ কর্মক্ষম, তিনি সাধারণত মদ্যপান করেন না, অন্তত আমি তা দেখতে পাই না, তবে তিনি প্রতিদিন মদ্যপান করেন এবং যখন পান করেন না, তখন তিনি প্রচুর কাঁপুন। শীঘ্রই আমার শহরে একটি অস্ত্রোপচার করতে যাচ্ছি যা আমার শহর থেকে"&amp;" ৫ ঘন্টার ড্রাইভ দূরে, তিনি বলেছিলেন যে তিনি আমাকে হাসপাতাল থেকে নিয়ে আসবেন (যাইহোক, এটিই আমার বাড়িতে পৌঁছানোর একমাত্র সুযোগ) কিন্তু আমি ভয় পাচ্ছি কারণ তিনি যদি গাড়ি চালানোর সিদ্ধান্ত নেন তবে তিনি মদ্যপান করতে পারবেন না, এবং এটি অনেক দীর্ঘ পথ, এবং কখন"&amp;"ও কখনও যখন আমি তার সাথে আধ ঘন্টা গাড়িতে থাকি তখন আমি তার হাত দেখি এবং আমার জীবনের জন্য ভয় পাই, আমি গাড়ি দুর্ঘটনায় মারা যেতে চাই না কারণ গাড়ি চালানোর মাঝখানে তার খিঁচুনি হয়। এটি প্রতিরোধ করার জন্য তিনি কি কিছু করতে পারেন? নিরাপদে ডিটক্স করার জন্য তিন"&amp;"ি কখনও হাসপাতালে যাবেন না।")</f>
        <v>আমার বাবা প্রায় ৩০ বছর ধরে মদ্যপান করেন, তিনি বেশ কর্মক্ষম, তিনি সাধারণত মদ্যপান করেন না, অন্তত আমি তা দেখতে পাই না, তবে তিনি প্রতিদিন মদ্যপান করেন এবং যখন পান করেন না, তখন তিনি প্রচুর কাঁপুন। শীঘ্রই আমার শহরে একটি অস্ত্রোপচার করতে যাচ্ছি যা আমার শহর থেকে ৫ ঘন্টার ড্রাইভ দূরে, তিনি বলেছিলেন যে তিনি আমাকে হাসপাতাল থেকে নিয়ে আসবেন (যাইহোক, এটিই আমার বাড়িতে পৌঁছানোর একমাত্র সুযোগ) কিন্তু আমি ভয় পাচ্ছি কারণ তিনি যদি গাড়ি চালানোর সিদ্ধান্ত নেন তবে তিনি মদ্যপান করতে পারবেন না, এবং এটি অনেক দীর্ঘ পথ, এবং কখনও কখনও যখন আমি তার সাথে আধ ঘন্টা গাড়িতে থাকি তখন আমি তার হাত দেখি এবং আমার জীবনের জন্য ভয় পাই, আমি গাড়ি দুর্ঘটনায় মারা যেতে চাই না কারণ গাড়ি চালানোর মাঝখানে তার খিঁচুনি হয়। এটি প্রতিরোধ করার জন্য তিনি কি কিছু করতে পারেন? নিরাপদে ডিটক্স করার জন্য তিনি কখনও হাসপাতালে যাবেন না।</v>
      </c>
    </row>
    <row r="1187" spans="1:3" ht="15" x14ac:dyDescent="0.25">
      <c r="A1187" s="3" t="s">
        <v>1184</v>
      </c>
      <c r="B1187" s="3" t="s">
        <v>997</v>
      </c>
      <c r="C1187" s="4" t="str">
        <f ca="1">IFERROR(__xludf.DUMMYFUNCTION("GOOGLETRANSLATE(A1187, ""auto"", ""bn"")"),"যদি আমি সপ্তাহান্তে মজা করার পরের দিন ঠান্ডা পানীয় খাই, এবং আমি যা বলতে চাইছি তা হল স্বাভাবিক সপ্তাহান্তের চেয়ে বেশি, আমি মাঝে মাঝে ঘুমানোর চেষ্টা করার সময় কিছু শুনতে পাই, যেমন একবার আমি ভেবেছিলাম আমার কাজের ভ্যানের দরজা বন্ধ হয়ে যাওয়ার কথা শুনেছি মন"&amp;"ে হচ্ছে কেউ জিনিস চুরি করছে কিন্তু কেউ নেই, আবার কেউ সামনের দরজায় একবার ধাক্কা দিয়েছে, আবার কেউ নেই। যেকোনো ধরণের হ্যালুসিনেশনের ক্ষেত্রে এটি অনেক দূরে, কেবল ঘুমের প্রথম পর্যায়ে শোনা যায় কিন্তু যদি আমি সারাদিন জেগে থাকি তবে আর কিছুই নয়। আমি আসলে প্রত"&amp;"ি রাতে ঘুমের সাহায্য হিসেবে এটি করি কিন্তু বোকামি। মেলাটোনিন কাজ করে না এবং অন্য কিছুই কাজ করে বলে মনে হয় না। তুমি কি মনে করো টেপারিং অফ কাজ করা উচিত নাকি আমার সাহায্যের প্রয়োজন হবে? আমি যা অনুভব করছি তা DT হিসাবে শ্রেণীবদ্ধ করা হবে বলে মনে করি না, তবে "&amp;"যখন আমি এটি লিখছি, আমি গত সপ্তাহান্তের ঘুমের জন্য আমার শয়নকালের শট নিচ্ছি কিন্তু আমি বুঝতে পারছি আমার শরীর ""বিষয়টি কেটে ফেলছে?"" আজ রাতে যদি আমি এটা না করি, তাহলে আমি অবশ্যই বাজে কথা শুনতে পাব কারণ গত দুই দিন ধরে আমি বেশ মদ্যপান করছিলাম এবং আরাম করছিলা"&amp;"ম, গত তিন মাস ধরে নতুন বাড়িতে যাওয়ার পর, বন্যার কারণে একটি ঘর মেরামত করছিলাম এবং নতুন ঘর পুনর্নির্মাণ করছিলাম, এবং এই জঘন্য বাজারের সাথে এটি করছিলাম এবং বাজারের কারণে প্রায় গৃহহীন হয়ে পড়েছিলাম। গত কয়েক মাস ধরে অনেক ক্ষতি হয়েছে কিন্তু আমি আশা করি আম"&amp;"ি খুব বেশি দূরে নেই এবং আমি কাজ না করেই এটিকে অঙ্কুরেই শেষ করতে পারব কারণ অনেক লোক ভ্রুকুটি করবে। আমি সবার কাছ থেকে কিছু মতামত চাই, ধীরে ধীরে নিজেকে ছোট করা কেমন, অথবা যাদের সাহায্যের প্রয়োজন ছিল এবং যাদের নিরাপত্তার জন্য আমাকে পর্যবেক্ষণ করা হয়েছিল। আম"&amp;"ার মনে হয় আমি এখন এমন পর্যায়ে পৌঁছেছি যেখানে আমার এটিকে ঘুরিয়ে দেওয়া দরকার এবং যে কারও মতামতের প্রশংসা করব।")</f>
        <v>যদি আমি সপ্তাহান্তে মজা করার পরের দিন ঠান্ডা পানীয় খাই, এবং আমি যা বলতে চাইছি তা হল স্বাভাবিক সপ্তাহান্তের চেয়ে বেশি, আমি মাঝে মাঝে ঘুমানোর চেষ্টা করার সময় কিছু শুনতে পাই, যেমন একবার আমি ভেবেছিলাম আমার কাজের ভ্যানের দরজা বন্ধ হয়ে যাওয়ার কথা শুনেছি মনে হচ্ছে কেউ জিনিস চুরি করছে কিন্তু কেউ নেই, আবার কেউ সামনের দরজায় একবার ধাক্কা দিয়েছে, আবার কেউ নেই। যেকোনো ধরণের হ্যালুসিনেশনের ক্ষেত্রে এটি অনেক দূরে, কেবল ঘুমের প্রথম পর্যায়ে শোনা যায় কিন্তু যদি আমি সারাদিন জেগে থাকি তবে আর কিছুই নয়। আমি আসলে প্রতি রাতে ঘুমের সাহায্য হিসেবে এটি করি কিন্তু বোকামি। মেলাটোনিন কাজ করে না এবং অন্য কিছুই কাজ করে বলে মনে হয় না। তুমি কি মনে করো টেপারিং অফ কাজ করা উচিত নাকি আমার সাহায্যের প্রয়োজন হবে? আমি যা অনুভব করছি তা DT হিসাবে শ্রেণীবদ্ধ করা হবে বলে মনে করি না, তবে যখন আমি এটি লিখছি, আমি গত সপ্তাহান্তের ঘুমের জন্য আমার শয়নকালের শট নিচ্ছি কিন্তু আমি বুঝতে পারছি আমার শরীর "বিষয়টি কেটে ফেলছে?" আজ রাতে যদি আমি এটা না করি, তাহলে আমি অবশ্যই বাজে কথা শুনতে পাব কারণ গত দুই দিন ধরে আমি বেশ মদ্যপান করছিলাম এবং আরাম করছিলাম, গত তিন মাস ধরে নতুন বাড়িতে যাওয়ার পর, বন্যার কারণে একটি ঘর মেরামত করছিলাম এবং নতুন ঘর পুনর্নির্মাণ করছিলাম, এবং এই জঘন্য বাজারের সাথে এটি করছিলাম এবং বাজারের কারণে প্রায় গৃহহীন হয়ে পড়েছিলাম। গত কয়েক মাস ধরে অনেক ক্ষতি হয়েছে কিন্তু আমি আশা করি আমি খুব বেশি দূরে নেই এবং আমি কাজ না করেই এটিকে অঙ্কুরেই শেষ করতে পারব কারণ অনেক লোক ভ্রুকুটি করবে। আমি সবার কাছ থেকে কিছু মতামত চাই, ধীরে ধীরে নিজেকে ছোট করা কেমন, অথবা যাদের সাহায্যের প্রয়োজন ছিল এবং যাদের নিরাপত্তার জন্য আমাকে পর্যবেক্ষণ করা হয়েছিল। আমার মনে হয় আমি এখন এমন পর্যায়ে পৌঁছেছি যেখানে আমার এটিকে ঘুরিয়ে দেওয়া দরকার এবং যে কারও মতামতের প্রশংসা করব।</v>
      </c>
    </row>
    <row r="1188" spans="1:3" ht="15" x14ac:dyDescent="0.25">
      <c r="A1188" s="3" t="s">
        <v>1185</v>
      </c>
      <c r="B1188" s="3" t="s">
        <v>997</v>
      </c>
      <c r="C1188" s="4" t="str">
        <f ca="1">IFERROR(__xludf.DUMMYFUNCTION("GOOGLETRANSLATE(A1188, ""auto"", ""bn"")"),"যখন আমি এখনও মদ্যপান করতাম, তখন আমি মদ্যপান বন্ধ করার জন্য গাঁজা ব্যবহার করতাম, যখন আমার মনে হতো আমি ব্ল্যাকআউট মাতাল হতে চাই, এবং আমি জানতাম যে আমি পারব না কারণ আমার পরের দিন কাজ থাকে অথবা আমি যা-ই করতাম, একটা জয়েন্ট জ্বালানোর জন্য, এবং এটি প্রায় সবসময"&amp;"়ই আমার আরও মদের প্রতি আকাঙ্ক্ষা দূর করে দিত, এবং এটি পরের দিন হ্যাংওভারকে উল্লেখযোগ্যভাবে উন্নত করে তুলত। এছাড়াও, আমি ধূমপান ত্যাগ এবং হ্যাংওভারে সাহায্য করার জন্য আগাছা ব্যবহার করতাম, এটি হয় আমাকে ঘুমিয়ে ফেলত অথবা কেবল বমি বমি ভাব দূর করে দিত। আমি এক"&amp;" বছর আট মাস ধরে সুস্থ ছিলাম এবং ধূমপান ত্যাগ করা আমার জন্য সত্যিই কঠিন হয়ে উঠছিল, আমার আট মাস ধরে আমি ধূমপান করিনি কারণ আমার সুযোগ ছিল না, এবং এখন আমার আর সুযোগ নেই, আমার মনে হচ্ছে এটি ছাড়া আমি কিছুটা লড়াই করছি। তোমরা কি তোমাদের সুস্থ যাত্রায় একইভাবে "&amp;"আগাছা ব্যবহার করেছ?")</f>
        <v>যখন আমি এখনও মদ্যপান করতাম, তখন আমি মদ্যপান বন্ধ করার জন্য গাঁজা ব্যবহার করতাম, যখন আমার মনে হতো আমি ব্ল্যাকআউট মাতাল হতে চাই, এবং আমি জানতাম যে আমি পারব না কারণ আমার পরের দিন কাজ থাকে অথবা আমি যা-ই করতাম, একটা জয়েন্ট জ্বালানোর জন্য, এবং এটি প্রায় সবসময়ই আমার আরও মদের প্রতি আকাঙ্ক্ষা দূর করে দিত, এবং এটি পরের দিন হ্যাংওভারকে উল্লেখযোগ্যভাবে উন্নত করে তুলত। এছাড়াও, আমি ধূমপান ত্যাগ এবং হ্যাংওভারে সাহায্য করার জন্য আগাছা ব্যবহার করতাম, এটি হয় আমাকে ঘুমিয়ে ফেলত অথবা কেবল বমি বমি ভাব দূর করে দিত। আমি এক বছর আট মাস ধরে সুস্থ ছিলাম এবং ধূমপান ত্যাগ করা আমার জন্য সত্যিই কঠিন হয়ে উঠছিল, আমার আট মাস ধরে আমি ধূমপান করিনি কারণ আমার সুযোগ ছিল না, এবং এখন আমার আর সুযোগ নেই, আমার মনে হচ্ছে এটি ছাড়া আমি কিছুটা লড়াই করছি। তোমরা কি তোমাদের সুস্থ যাত্রায় একইভাবে আগাছা ব্যবহার করেছ?</v>
      </c>
    </row>
    <row r="1189" spans="1:3" ht="15" x14ac:dyDescent="0.25">
      <c r="A1189" s="3" t="s">
        <v>1186</v>
      </c>
      <c r="B1189" s="3" t="s">
        <v>997</v>
      </c>
      <c r="C1189" s="4" t="str">
        <f ca="1">IFERROR(__xludf.DUMMYFUNCTION("GOOGLETRANSLATE(A1189, ""auto"", ""bn"")"),"আমার স্ত্রী আর আমি অনেক কষ্টের মধ্য দিয়েছি। আমাদের দুটি বাচ্চা আছে এবং একটি নির্মাণ কোম্পানির দ্বারা প্রতারিত হওয়ার কারণে প্রায় থাকার জায়গা হারিয়ে ফেলি, যারা আমাদের টাকা নিয়ে নিয়েছিল এবং আমাদের ঘর বানিয়ে দেয়নি। সত্যি কথা বলতে, তার আগেও আমার মেয়ের জন্মের প"&amp;"র থেকে আমার স্ত্রী প্রতিদিন (প্রতিদিন এক বোতল) নিয়মিত মদ পান করতে শুরু করে। তারপর থেকে, আমাদের আরেকটি বাচ্চা হয় এবং আমাদের যত সমস্যা ছিল, পরিস্থিতি আরও খারাপ হতে থাকে। তার জীবন সহজ ছিল না এবং ঈশ্বর জানেন আমিও তাকে সমর্থন করেছি কিন্তু প্রতিদিন সে ১ থেকে ২ "&amp;"বোতল মদ পান করে এবং এটি আলোচনার ঝড় তোলে। এটি তার জন্য, আমার জন্য এবং আরও গুরুত্বপূর্ণভাবে আমাদের বাচ্চাদের জন্য স্বাস্থ্যকর নয়। আমি এই বিষয়ে কথা বলেছি কিন্তু তার জন্য, এটি সর্বদা এই সত্যে নেমে আসে যে সে সমস্যা নয়। আমার পরিবারের সবাই লক্ষ্য করেছে, পূর্"&amp;"ববর্তী সামাজিক সাক্ষাৎগুলি তাকে সম্পূর্ণরূপে মাতাল করে এবং আমরা ঘন্টার পর ঘন্টা ঝগড়া করে এবং এখনও আমিই সমস্যায় আছি শুধুমাত্র এই সহজ সত্যের কারণে যে আমি তার মনের অবস্থা উল্লেখ করেছি। আমি সম্পূর্ণরূপে আটকা পড়েছি এবং এই পর্যায়ে কিছু পরিবর্তন করতে অক্ষম ব"&amp;"োধ করছি। তার একজন মনোরোগ বিশেষজ্ঞ ছিলেন যার সাথে তিনি পরামর্শ করছিলেন, কিন্তু তিনি কেবল মনোরোগ বিশেষজ্ঞের সাথে যা ভাগ করে নিতে চান তা ভাগ করে নেন এবং তার মদ্যপান কোনও সমস্যা নয়। আমি অসংখ্য নিবন্ধ পড়েছি যেখানে প্রায় বলা হয়েছে যে তাকে সাহায্যের জন্য ঘুম থ"&amp;"েকে উঠতে হবে। আমার আশঙ্কা হল যে তার এই অসহায়ত্ব দীর্ঘস্থায়ী হতে পারে অথবা আমার এবং আমার বাচ্চাদের জন্য ভয়াবহ পরিণতি ডেকে আনতে পারে। যেকোনো টিপস, পরামর্শ স্বাগত জানানো হবে...")</f>
        <v>আমার স্ত্রী আর আমি অনেক কষ্টের মধ্য দিয়েছি। আমাদের দুটি বাচ্চা আছে এবং একটি নির্মাণ কোম্পানির দ্বারা প্রতারিত হওয়ার কারণে প্রায় থাকার জায়গা হারিয়ে ফেলি, যারা আমাদের টাকা নিয়ে নিয়েছিল এবং আমাদের ঘর বানিয়ে দেয়নি। সত্যি কথা বলতে, তার আগেও আমার মেয়ের জন্মের পর থেকে আমার স্ত্রী প্রতিদিন (প্রতিদিন এক বোতল) নিয়মিত মদ পান করতে শুরু করে। তারপর থেকে, আমাদের আরেকটি বাচ্চা হয় এবং আমাদের যত সমস্যা ছিল, পরিস্থিতি আরও খারাপ হতে থাকে। তার জীবন সহজ ছিল না এবং ঈশ্বর জানেন আমিও তাকে সমর্থন করেছি কিন্তু প্রতিদিন সে ১ থেকে ২ বোতল মদ পান করে এবং এটি আলোচনার ঝড় তোলে। এটি তার জন্য, আমার জন্য এবং আরও গুরুত্বপূর্ণভাবে আমাদের বাচ্চাদের জন্য স্বাস্থ্যকর নয়। আমি এই বিষয়ে কথা বলেছি কিন্তু তার জন্য, এটি সর্বদা এই সত্যে নেমে আসে যে সে সমস্যা নয়। আমার পরিবারের সবাই লক্ষ্য করেছে, পূর্ববর্তী সামাজিক সাক্ষাৎগুলি তাকে সম্পূর্ণরূপে মাতাল করে এবং আমরা ঘন্টার পর ঘন্টা ঝগড়া করে এবং এখনও আমিই সমস্যায় আছি শুধুমাত্র এই সহজ সত্যের কারণে যে আমি তার মনের অবস্থা উল্লেখ করেছি। আমি সম্পূর্ণরূপে আটকা পড়েছি এবং এই পর্যায়ে কিছু পরিবর্তন করতে অক্ষম বোধ করছি। তার একজন মনোরোগ বিশেষজ্ঞ ছিলেন যার সাথে তিনি পরামর্শ করছিলেন, কিন্তু তিনি কেবল মনোরোগ বিশেষজ্ঞের সাথে যা ভাগ করে নিতে চান তা ভাগ করে নেন এবং তার মদ্যপান কোনও সমস্যা নয়। আমি অসংখ্য নিবন্ধ পড়েছি যেখানে প্রায় বলা হয়েছে যে তাকে সাহায্যের জন্য ঘুম থেকে উঠতে হবে। আমার আশঙ্কা হল যে তার এই অসহায়ত্ব দীর্ঘস্থায়ী হতে পারে অথবা আমার এবং আমার বাচ্চাদের জন্য ভয়াবহ পরিণতি ডেকে আনতে পারে। যেকোনো টিপস, পরামর্শ স্বাগত জানানো হবে...</v>
      </c>
    </row>
    <row r="1190" spans="1:3" ht="15" x14ac:dyDescent="0.25">
      <c r="A1190" s="3" t="s">
        <v>1187</v>
      </c>
      <c r="B1190" s="3" t="s">
        <v>997</v>
      </c>
      <c r="C1190" s="4" t="str">
        <f ca="1">IFERROR(__xludf.DUMMYFUNCTION("GOOGLETRANSLATE(A1190, ""auto"", ""bn"")"),"তো, আমার বয়স ১৭, আর সম্প্রতি বুঝতে পারছি আমার হয়তো মদের সমস্যা আছে। সংক্ষেপে বলতে গেলে, কয়েক মাস আগে, আমার খুব খারাপ লাগছিল, আর আমি আমার খালার ফ্রিজে রাখা মদ পান করেছিলাম....আর পরে খুব খুশি হয়েছিলাম। পরের দিনও একই কথা বলেছিলাম। তারপর, আমি বিরতি নিয়েছিলাম"&amp;", কিন্তু এক সপ্তাহেরও বেশি সময় পর আবারও তাই করলাম, এবার টানা ৩ দিন, একটা রাতে যখন আমি আরও মাতাল হওয়ার জন্য মাউথওয়াশ পান করার কথা ভাবছিলাম। যা আমাকে একটু ভয় পাই। তবে আমার সবচেয়ে বড় চিন্তা হলো, আমি এখন প্রায় মদ্যপানের দিকে ঝুঁকে পড়ি। যদি আমি দুঃখিত, রাগান্ব"&amp;"িত, অসাড় বোধ করি, সুখী হতে চাই...আক্ষরিক অর্থেই কিছু, আমি মদের দিকে ঝুঁকে পড়ি। যদিও আমার বাবা-মা খুব বেশি মদ্যপান করেন না, তাই আমি এতদিন পারিনি। এটা আসলেই সমস্যা কিনা তা নিয়ে আমার সন্দেহ হওয়ার কারণ হল, মাঝে মাঝে আমি নিজেকে নিয়ন্ত্রণ করতে পেরেছি। আমি ক্রমা"&amp;"গত এটি নিয়ে ভাবি, কিন্তু অন্তত কিছু সময় আমি এই চিন্তাভাবনাগুলো নিয়ন্ত্রণ করতে পারি।")</f>
        <v>তো, আমার বয়স ১৭, আর সম্প্রতি বুঝতে পারছি আমার হয়তো মদের সমস্যা আছে। সংক্ষেপে বলতে গেলে, কয়েক মাস আগে, আমার খুব খারাপ লাগছিল, আর আমি আমার খালার ফ্রিজে রাখা মদ পান করেছিলাম....আর পরে খুব খুশি হয়েছিলাম। পরের দিনও একই কথা বলেছিলাম। তারপর, আমি বিরতি নিয়েছিলাম, কিন্তু এক সপ্তাহেরও বেশি সময় পর আবারও তাই করলাম, এবার টানা ৩ দিন, একটা রাতে যখন আমি আরও মাতাল হওয়ার জন্য মাউথওয়াশ পান করার কথা ভাবছিলাম। যা আমাকে একটু ভয় পাই। তবে আমার সবচেয়ে বড় চিন্তা হলো, আমি এখন প্রায় মদ্যপানের দিকে ঝুঁকে পড়ি। যদি আমি দুঃখিত, রাগান্বিত, অসাড় বোধ করি, সুখী হতে চাই...আক্ষরিক অর্থেই কিছু, আমি মদের দিকে ঝুঁকে পড়ি। যদিও আমার বাবা-মা খুব বেশি মদ্যপান করেন না, তাই আমি এতদিন পারিনি। এটা আসলেই সমস্যা কিনা তা নিয়ে আমার সন্দেহ হওয়ার কারণ হল, মাঝে মাঝে আমি নিজেকে নিয়ন্ত্রণ করতে পেরেছি। আমি ক্রমাগত এটি নিয়ে ভাবি, কিন্তু অন্তত কিছু সময় আমি এই চিন্তাভাবনাগুলো নিয়ন্ত্রণ করতে পারি।</v>
      </c>
    </row>
    <row r="1191" spans="1:3" ht="15" x14ac:dyDescent="0.25">
      <c r="A1191" s="3" t="s">
        <v>1188</v>
      </c>
      <c r="B1191" s="3" t="s">
        <v>997</v>
      </c>
      <c r="C1191" s="4" t="str">
        <f ca="1">IFERROR(__xludf.DUMMYFUNCTION("GOOGLETRANSLATE(A1191, ""auto"", ""bn"")"),"এই বয়সী যারা ২০+ বছর ধরে মানসিকভাবে সুস্থ আছেন, তাদের মধ্যে কেউ কি পেছনে ফিরে তাকানোর জন্য অনুশোচনা অনুভব করেন? বিপরীতে (মিক জ্যাগারদের সাথে কথা বলছি) তোমাদের মধ্যে কেউ কি এখনও মুখ লুকিয়ে মদ্যপান করে অনুশোচনা নিয়ে বেঁচে আছো? (৩৫ মি.) আমি মদ ছেড়ে দেওয়ার সি"&amp;"দ্ধান্ত নিয়েছি। জীবনে আর এটা করতে পারছি না এবং একজন ভালো স্বামী এবং বাবা হতে পারছি না। কিন্তু আমি প্রায়ই ভাবি যে ২৫+ বছর ধরে মানসিকভাবে সুস্থ থাকার পর কি আমি পেছনে ফিরে তাকাবো? ""ধুর, আমার আরও পার্টি করা উচিত ছিল?""। প্রশ্নটা একটু বোকামিপূর্ণ, কিন্তু আমি "&amp;"শুধু জানতে চাইছি এই বয়সীদের কাছ থেকে কী আসতে পারে - জেনেও যে আমি তুলনামূলকভাবে শীঘ্রই সেখানে পৌঁছাবো।")</f>
        <v>এই বয়সী যারা ২০+ বছর ধরে মানসিকভাবে সুস্থ আছেন, তাদের মধ্যে কেউ কি পেছনে ফিরে তাকানোর জন্য অনুশোচনা অনুভব করেন? বিপরীতে (মিক জ্যাগারদের সাথে কথা বলছি) তোমাদের মধ্যে কেউ কি এখনও মুখ লুকিয়ে মদ্যপান করে অনুশোচনা নিয়ে বেঁচে আছো? (৩৫ মি.) আমি মদ ছেড়ে দেওয়ার সিদ্ধান্ত নিয়েছি। জীবনে আর এটা করতে পারছি না এবং একজন ভালো স্বামী এবং বাবা হতে পারছি না। কিন্তু আমি প্রায়ই ভাবি যে ২৫+ বছর ধরে মানসিকভাবে সুস্থ থাকার পর কি আমি পেছনে ফিরে তাকাবো? "ধুর, আমার আরও পার্টি করা উচিত ছিল?"। প্রশ্নটা একটু বোকামিপূর্ণ, কিন্তু আমি শুধু জানতে চাইছি এই বয়সীদের কাছ থেকে কী আসতে পারে - জেনেও যে আমি তুলনামূলকভাবে শীঘ্রই সেখানে পৌঁছাবো।</v>
      </c>
    </row>
    <row r="1192" spans="1:3" ht="15" x14ac:dyDescent="0.25">
      <c r="A1192" s="3" t="s">
        <v>1189</v>
      </c>
      <c r="B1192" s="3" t="s">
        <v>997</v>
      </c>
      <c r="C1192" s="4" t="str">
        <f ca="1">IFERROR(__xludf.DUMMYFUNCTION("GOOGLETRANSLATE(A1192, ""auto"", ""bn"")"),"সপ্তাহে প্রায় দুই মাস ধরে ৪/৭ দিন মাতাল থাকার পর, আমি বর্তমানে ষষ্ঠ দিনে সংযমের মধ্যে আছি। আমি লক্ষ্য করেছি যে ঘুমিয়ে পড়া, উত্তেজিত হওয়া এবং শান্ত থাকা আমার কাছে মাতাল হওয়ার মতো মনে হয়? সম্ভবত কারণ আমি মদ্যপানের মাধ্যমে এই অবস্থাগুলি অর্জন করার চেষ্"&amp;"টা করছিলাম। আমার মেজাজও উন্নত হয়েছে এবং আমার হতাশাজনক চিন্তাভাবনা কম হচ্ছে। আমি আরও দেখেছি যে যদিও আমি নিজেকে পান করতে চাইছি, চিন্তাটি বেশ ক্ষণস্থায়ী। প্রায় ৩য় দিনের পর পান করার ইচ্ছা কমতে থাকে। প্রথম কয়েকদিনে আমার পা এবং পিঠে পেশী ব্যথা এবং জিআই সমস"&amp;"্যাও ছিল, অন্য কেউ কি এমন অভিজ্ঞতা পেয়েছে? এবার আমার আরও আশা আছে, আমি কলেজের পর এক বছর বিরতি নেওয়ার সিদ্ধান্ত নিয়েছি এবং আমি এমন ক্লাসে আছি যা আমি পছন্দ করি। কেবল দেখানো হয়েছে যে আসক্তি কীভাবে আপনার সমস্যার একটি পার্শ্ব প্রতিক্রিয়া, কারণ নয়।")</f>
        <v>সপ্তাহে প্রায় দুই মাস ধরে ৪/৭ দিন মাতাল থাকার পর, আমি বর্তমানে ষষ্ঠ দিনে সংযমের মধ্যে আছি। আমি লক্ষ্য করেছি যে ঘুমিয়ে পড়া, উত্তেজিত হওয়া এবং শান্ত থাকা আমার কাছে মাতাল হওয়ার মতো মনে হয়? সম্ভবত কারণ আমি মদ্যপানের মাধ্যমে এই অবস্থাগুলি অর্জন করার চেষ্টা করছিলাম। আমার মেজাজও উন্নত হয়েছে এবং আমার হতাশাজনক চিন্তাভাবনা কম হচ্ছে। আমি আরও দেখেছি যে যদিও আমি নিজেকে পান করতে চাইছি, চিন্তাটি বেশ ক্ষণস্থায়ী। প্রায় ৩য় দিনের পর পান করার ইচ্ছা কমতে থাকে। প্রথম কয়েকদিনে আমার পা এবং পিঠে পেশী ব্যথা এবং জিআই সমস্যাও ছিল, অন্য কেউ কি এমন অভিজ্ঞতা পেয়েছে? এবার আমার আরও আশা আছে, আমি কলেজের পর এক বছর বিরতি নেওয়ার সিদ্ধান্ত নিয়েছি এবং আমি এমন ক্লাসে আছি যা আমি পছন্দ করি। কেবল দেখানো হয়েছে যে আসক্তি কীভাবে আপনার সমস্যার একটি পার্শ্ব প্রতিক্রিয়া, কারণ নয়।</v>
      </c>
    </row>
    <row r="1193" spans="1:3" ht="15" x14ac:dyDescent="0.25">
      <c r="A1193" s="3" t="s">
        <v>1190</v>
      </c>
      <c r="B1193" s="3" t="s">
        <v>997</v>
      </c>
      <c r="C1193" s="4" t="str">
        <f ca="1">IFERROR(__xludf.DUMMYFUNCTION("GOOGLETRANSLATE(A1193, ""auto"", ""bn"")"),"আমি আমার বড় ভাইকে হারিয়েছি। আমি ঠিক জানি না কেন আমি এটা লিখছি। কিন্তু হয়তো এটা কারো কারো উপকারে এসেছে, অথবা হয়তো আমারও উপকারে এসেছে। তার বয়স ৪৪ বছর। তার লিভার নষ্ট হয়ে গেছে, অঙ্গ-প্রত্যঙ্গ নষ্ট হয়ে গেছে এবং মস্তিষ্ক নষ্ট হয়ে গেছে। শেষ কয়েক মাস ধরে সে রক"&amp;"্ত ​​খেয়াল রাখতে পারেনি, হাসপাতালে যাওয়ার সময় তাকে বের করে দেওয়া হয়েছে। তার পেট থেকে ৮ লিটার তরল বের করে দেওয়া হয়েছে। আমি ভেবেছিলাম সে আবার সুস্থ হয়ে উঠবে। ৪৪ বছর বয়স, তার ত্বক ও চোখ হলুদ। সে আগেও হাসপাতালে ছিল, আর ডাক্তাররা বলেছিল এটা স্পর্শ করে যাওয়া। আ"&amp;"মি এক সপ্তাহ পরে তার সাথে কথা বলতাম এবং সে স্বাভাবিক হয়ে যেত, তারপর এক ঘন্টা পরে তার সাথে কথা বলতাম, আর সে পাগলের মতো বকাঝকা করত। আমি তাকে এক ডজন বার মরতে চাইতাম। সে একটা বোঝা ছিল, আর্থিক, মানসিক এবং সময়ের বোঝা। আমি সবকিছুর জন্য দুঃখিত। আমি তাকে কয়েকদিন ধ"&amp;"রে তাড়াহুড়ো করেছিলাম, তাকে আটকে রেখেছিলাম। তাছাড়া, তার রোগের সাথে মানিয়ে নিতে আমার অনেক সমস্যা হয়েছিল। আমরা জায়গাটার মধ্যে লুকিয়ে থাকা বোতলগুলো পেয়েছি, এমনকি তার বালিশের বাক্সেও - শেষ পর্যন্ত গণনা করা হয়েছে ৩১টি। আমি জানি না আমরা কী করতে পারতাম সাহা"&amp;"য্য করার জন্য। আমি জানি আমি আরও কিছু করতে পারতাম, কিন্তু অনেক বছর পর আমি কাজ করতে করতে ক্লান্ত হয়ে পড়েছিলাম - সবাই ক্লান্ত হয়ে পড়েছিল। আজ তার ছাই ছড়িয়ে ছিটিয়ে আছে। আমি বিশ্বাস করতে পারছি না যে সবকিছু এভাবে শেষ হয়ে গেল, পরিস্থিতি এত খারাপ হয়ে গেল।")</f>
        <v>আমি আমার বড় ভাইকে হারিয়েছি। আমি ঠিক জানি না কেন আমি এটা লিখছি। কিন্তু হয়তো এটা কারো কারো উপকারে এসেছে, অথবা হয়তো আমারও উপকারে এসেছে। তার বয়স ৪৪ বছর। তার লিভার নষ্ট হয়ে গেছে, অঙ্গ-প্রত্যঙ্গ নষ্ট হয়ে গেছে এবং মস্তিষ্ক নষ্ট হয়ে গেছে। শেষ কয়েক মাস ধরে সে রক্ত ​​খেয়াল রাখতে পারেনি, হাসপাতালে যাওয়ার সময় তাকে বের করে দেওয়া হয়েছে। তার পেট থেকে ৮ লিটার তরল বের করে দেওয়া হয়েছে। আমি ভেবেছিলাম সে আবার সুস্থ হয়ে উঠবে। ৪৪ বছর বয়স, তার ত্বক ও চোখ হলুদ। সে আগেও হাসপাতালে ছিল, আর ডাক্তাররা বলেছিল এটা স্পর্শ করে যাওয়া। আমি এক সপ্তাহ পরে তার সাথে কথা বলতাম এবং সে স্বাভাবিক হয়ে যেত, তারপর এক ঘন্টা পরে তার সাথে কথা বলতাম, আর সে পাগলের মতো বকাঝকা করত। আমি তাকে এক ডজন বার মরতে চাইতাম। সে একটা বোঝা ছিল, আর্থিক, মানসিক এবং সময়ের বোঝা। আমি সবকিছুর জন্য দুঃখিত। আমি তাকে কয়েকদিন ধরে তাড়াহুড়ো করেছিলাম, তাকে আটকে রেখেছিলাম। তাছাড়া, তার রোগের সাথে মানিয়ে নিতে আমার অনেক সমস্যা হয়েছিল। আমরা জায়গাটার মধ্যে লুকিয়ে থাকা বোতলগুলো পেয়েছি, এমনকি তার বালিশের বাক্সেও - শেষ পর্যন্ত গণনা করা হয়েছে ৩১টি। আমি জানি না আমরা কী করতে পারতাম সাহায্য করার জন্য। আমি জানি আমি আরও কিছু করতে পারতাম, কিন্তু অনেক বছর পর আমি কাজ করতে করতে ক্লান্ত হয়ে পড়েছিলাম - সবাই ক্লান্ত হয়ে পড়েছিল। আজ তার ছাই ছড়িয়ে ছিটিয়ে আছে। আমি বিশ্বাস করতে পারছি না যে সবকিছু এভাবে শেষ হয়ে গেল, পরিস্থিতি এত খারাপ হয়ে গেল।</v>
      </c>
    </row>
    <row r="1194" spans="1:3" ht="15" x14ac:dyDescent="0.25">
      <c r="A1194" s="3" t="s">
        <v>1191</v>
      </c>
      <c r="B1194" s="3" t="s">
        <v>997</v>
      </c>
      <c r="C1194" s="4" t="str">
        <f ca="1">IFERROR(__xludf.DUMMYFUNCTION("GOOGLETRANSLATE(A1194, ""auto"", ""bn"")"),"মেডিকেয়ার পুনর্বাসনের জন্য কোন ব্যবস্থা আছে কিনা তার উত্তর আমি খুঁজে পাচ্ছি না। আমার বাবা মেডিকেয়ারে আছেন এবং মদ্যপান ত্যাগ করার জন্য তার সাহায্যের খুব প্রয়োজন। তিনি এর জন্য প্রস্তুত বলে তিনি জানান। তিনি মেডিকেয়ারে আছেন এবং এর জন্য Aetna বীমা আছে। যদি"&amp;" কেউ এমন কোনও সুবিধা সম্পর্কে জানেন যা দুর্দান্ত যত্ন প্রদান করে, তাহলে তারা অলিম্পিয়া, WA এলাকায় থাকেন।")</f>
        <v>মেডিকেয়ার পুনর্বাসনের জন্য কোন ব্যবস্থা আছে কিনা তার উত্তর আমি খুঁজে পাচ্ছি না। আমার বাবা মেডিকেয়ারে আছেন এবং মদ্যপান ত্যাগ করার জন্য তার সাহায্যের খুব প্রয়োজন। তিনি এর জন্য প্রস্তুত বলে তিনি জানান। তিনি মেডিকেয়ারে আছেন এবং এর জন্য Aetna বীমা আছে। যদি কেউ এমন কোনও সুবিধা সম্পর্কে জানেন যা দুর্দান্ত যত্ন প্রদান করে, তাহলে তারা অলিম্পিয়া, WA এলাকায় থাকেন।</v>
      </c>
    </row>
    <row r="1195" spans="1:3" ht="15" x14ac:dyDescent="0.25">
      <c r="A1195" s="3" t="s">
        <v>1192</v>
      </c>
      <c r="B1195" s="3" t="s">
        <v>997</v>
      </c>
      <c r="C1195" s="4" t="str">
        <f ca="1">IFERROR(__xludf.DUMMYFUNCTION("GOOGLETRANSLATE(A1195, ""auto"", ""bn"")"),"এটা আমার জন্য নতুন, তাই যদি আমি কিছু ভুল বলি তাহলে আগেই ক্ষমা চেয়ে নিচ্ছি। আমার বয়ফ্রেন্ড একজন মদ্যপ (আমি মনে করি), কিন্তু সাধারণত এটি কীভাবে ঘটে তা হল সে একাধিক লিটারের মতো ভয়ানক মদ্যপান করে। এবং যখন সে সত্যিই খারাপ বোধ করে। আমার মনে হয় সমস্যার একটি "&amp;"অংশ হতে পারে সে তার অনুভূতি সম্পর্কে কথা বলতে ভালো নয়, মুখ খুলতে পারে না, জিনিসগুলি ভিতরে রাখে, ক্ষোভ এবং রাগ পুষে রাখে, কিন্তু আমি আসলে জানি না কারণ আমি তার মস্তিষ্কের ভিতরে নেই। যেহেতু আমরা একসাথে ছিলাম তাই এটি দুবার ঘটেছে। আমি পড়েছি যে আপনি একজন মদ্য"&amp;"প হতে পারেন এবং মদ্যপ হতে পারেন না, এবং আপনি একজন মদ্যপও হতে পারেন যিনি মদ্যপ, তাই আমি জানি না এটি কতটা গুরুতর। সে 157 দিন ধরে সুস্থ আছে এবং পুনর্বাসনে যাওয়ার চেষ্টা করছে। এটি ঘটছে না। আংশিকভাবে কারণ মহামারী মানে সীমিত ক্ষমতা এবং কম অনুশীলনকারী। আমাদের উ"&amp;"ভয় পরিবার মনে করে যে সে পুনর্বাসনে যাওয়ার জন্য চিরকাল অপেক্ষা করবে এবং আমরা কেউই জানি না কী করতে হবে। কেবল থেরাপি, নাকি থেরাপি এবং AA দিয়ে কি সে ঠিক থাকতে পারে? যদি সে পুনর্বাসনে যেতে না পারে, তাহলে তার বিকল্প কী? পুনর্বাসন কি প্রয়োজনীয়? আমরা সবাই কো"&amp;"থায় যাব তা নিয়ে বিভ্রান্ত। অন্য কারও কি এই ঘটনা ঘটেছে/আপনারা কীভাবে পুনর্বাসন ছাড়াই সুস্থ থাকতে পেরেছেন, এবং আমি কীভাবে তাকে সাহায্য করতে পারি?")</f>
        <v>এটা আমার জন্য নতুন, তাই যদি আমি কিছু ভুল বলি তাহলে আগেই ক্ষমা চেয়ে নিচ্ছি। আমার বয়ফ্রেন্ড একজন মদ্যপ (আমি মনে করি), কিন্তু সাধারণত এটি কীভাবে ঘটে তা হল সে একাধিক লিটারের মতো ভয়ানক মদ্যপান করে। এবং যখন সে সত্যিই খারাপ বোধ করে। আমার মনে হয় সমস্যার একটি অংশ হতে পারে সে তার অনুভূতি সম্পর্কে কথা বলতে ভালো নয়, মুখ খুলতে পারে না, জিনিসগুলি ভিতরে রাখে, ক্ষোভ এবং রাগ পুষে রাখে, কিন্তু আমি আসলে জানি না কারণ আমি তার মস্তিষ্কের ভিতরে নেই। যেহেতু আমরা একসাথে ছিলাম তাই এটি দুবার ঘটেছে। আমি পড়েছি যে আপনি একজন মদ্যপ হতে পারেন এবং মদ্যপ হতে পারেন না, এবং আপনি একজন মদ্যপও হতে পারেন যিনি মদ্যপ, তাই আমি জানি না এটি কতটা গুরুতর। সে 157 দিন ধরে সুস্থ আছে এবং পুনর্বাসনে যাওয়ার চেষ্টা করছে। এটি ঘটছে না। আংশিকভাবে কারণ মহামারী মানে সীমিত ক্ষমতা এবং কম অনুশীলনকারী। আমাদের উভয় পরিবার মনে করে যে সে পুনর্বাসনে যাওয়ার জন্য চিরকাল অপেক্ষা করবে এবং আমরা কেউই জানি না কী করতে হবে। কেবল থেরাপি, নাকি থেরাপি এবং AA দিয়ে কি সে ঠিক থাকতে পারে? যদি সে পুনর্বাসনে যেতে না পারে, তাহলে তার বিকল্প কী? পুনর্বাসন কি প্রয়োজনীয়? আমরা সবাই কোথায় যাব তা নিয়ে বিভ্রান্ত। অন্য কারও কি এই ঘটনা ঘটেছে/আপনারা কীভাবে পুনর্বাসন ছাড়াই সুস্থ থাকতে পেরেছেন, এবং আমি কীভাবে তাকে সাহায্য করতে পারি?</v>
      </c>
    </row>
    <row r="1196" spans="1:3" ht="15" x14ac:dyDescent="0.25">
      <c r="A1196" s="3" t="s">
        <v>1193</v>
      </c>
      <c r="B1196" s="3" t="s">
        <v>997</v>
      </c>
      <c r="C1196" s="4" t="str">
        <f ca="1">IFERROR(__xludf.DUMMYFUNCTION("GOOGLETRANSLATE(A1196, ""auto"", ""bn"")"),"গত বুধবার থেকে আমার বোন ফোন ধরে না। আমি তার সাথে একটি আইন অফিসে কাজ করি এবং তার আগে, যখন আমি আমার শিফটে ছিলাম, তখন আমি লক্ষ্য করলাম যে সে কাজের আগে বা অন্য কিছুতে মদ্যপান করেছিল, কারণ কর্মক্ষেত্রে সে ইতিমধ্যেই মাতাল ছিল। আমি বুঝতে পারি যখন সে মদ্যপান করছে"&amp;", তখন তাকে মাতাল হওয়ার প্রয়োজন নেই যাতে আমি বুঝতে পারি যে সে মদ্যপান করছে। আচ্ছা, বুধবার থেকে সে কাজে আসেনি, এবং সে তার ফোনও রিসিভ করেনি। আমি চিন্তিত হয়ে তার বান্ধবীকে ফোন করেছিলাম। তার প্রেমিক আমাকে বলেছিল যে সে বুধবার থেকে বিছানায় আছে, মদ্যপান করছে,"&amp;" গোসল করছে না, খারাপ স্বাস্থ্যবিধি। তার চোখ দেখে মনে হচ্ছে যেন তারা পর্দায় লেগে আছে, তার ত্বকের রঙ এক রকম নয়, এবং সে মুখ এবং পেট থেকে ফুলে গেছে। এবং সে ঘরে খাবার পৌঁছে দিচ্ছে। আমি সবসময় জানি যে তার প্রেমিক একজন সাহায্যকারী, আমি সবসময় এটা জানি। কিন্তু "&amp;"আমি তাদের একে অপরের থেকে জোর করে আলাদা করতে পারি না। আজ সকালে আমি তার সাথে দেখা করতে যাচ্ছি, আমি জানি না কী আশা করব। কিন্তু আমি সাহায্য করতে চাই। আমি সপ্তাহে দুবার ৮-৯ মাস ধরে AA করেছি। আমি নিজেকে ভণ্ড মনে করি কারণ আমি সপ্তাহান্তে (সপ্তাহে কখনও না) ক্রাফ্"&amp;"ট বিয়ার পান করি, কিন্তু আমি কখনও মাতাল হই না। তাছাড়া, আমি মাতাল হওয়ার জন্য যথেষ্ট পান করি না। আমি সপ্তাহান্তে সর্বোচ্চ ৪-৬ বিয়ার পান করি। তাছাড়া, আমি আমার বোনকে পরামর্শ দেওয়ার বা তাকে সাহায্য করার জন্য একজন ভণ্ডের মতো অনুভব করি। সে আমাকে কিছু কিছু ক"&amp;"থা বলে আমারও এমন অনুভূতি দিয়েছে। তাই আমি জানি সে আমার পরামর্শ সম্পর্কে কেমন অনুভব করে, যদিও আমি তার সামনে পান করি না। আমার বয়স ৩২ বছর, আমার বোনের বয়স ৩৮। আমি কি কিছু পরামর্শ দিতে পারি? আমি এখনই তার সাথে দেখা করতে যাচ্ছি। আমি তাকে ভালোবাসি, আমি চাই সে আ"&amp;"রও ভালো হোক, কিন্তু আমি জানি তুমি লোকেদের শান্ত থাকতে বাধ্য করতে পারো না। তার সাথে দেখা করার জন্য আমার কী আশা করা উচিত? আমি ভয় পাচ্ছি, আমি জানি না কীভাবে পরিস্থিতি সামলাতে হবে। আমি চাই সে পরিবর্তন করুক, কিন্তু আমি তাকে জোর করতে পারি না।")</f>
        <v>গত বুধবার থেকে আমার বোন ফোন ধরে না। আমি তার সাথে একটি আইন অফিসে কাজ করি এবং তার আগে, যখন আমি আমার শিফটে ছিলাম, তখন আমি লক্ষ্য করলাম যে সে কাজের আগে বা অন্য কিছুতে মদ্যপান করেছিল, কারণ কর্মক্ষেত্রে সে ইতিমধ্যেই মাতাল ছিল। আমি বুঝতে পারি যখন সে মদ্যপান করছে, তখন তাকে মাতাল হওয়ার প্রয়োজন নেই যাতে আমি বুঝতে পারি যে সে মদ্যপান করছে। আচ্ছা, বুধবার থেকে সে কাজে আসেনি, এবং সে তার ফোনও রিসিভ করেনি। আমি চিন্তিত হয়ে তার বান্ধবীকে ফোন করেছিলাম। তার প্রেমিক আমাকে বলেছিল যে সে বুধবার থেকে বিছানায় আছে, মদ্যপান করছে, গোসল করছে না, খারাপ স্বাস্থ্যবিধি। তার চোখ দেখে মনে হচ্ছে যেন তারা পর্দায় লেগে আছে, তার ত্বকের রঙ এক রকম নয়, এবং সে মুখ এবং পেট থেকে ফুলে গেছে। এবং সে ঘরে খাবার পৌঁছে দিচ্ছে। আমি সবসময় জানি যে তার প্রেমিক একজন সাহায্যকারী, আমি সবসময় এটা জানি। কিন্তু আমি তাদের একে অপরের থেকে জোর করে আলাদা করতে পারি না। আজ সকালে আমি তার সাথে দেখা করতে যাচ্ছি, আমি জানি না কী আশা করব। কিন্তু আমি সাহায্য করতে চাই। আমি সপ্তাহে দুবার ৮-৯ মাস ধরে AA করেছি। আমি নিজেকে ভণ্ড মনে করি কারণ আমি সপ্তাহান্তে (সপ্তাহে কখনও না) ক্রাফ্ট বিয়ার পান করি, কিন্তু আমি কখনও মাতাল হই না। তাছাড়া, আমি মাতাল হওয়ার জন্য যথেষ্ট পান করি না। আমি সপ্তাহান্তে সর্বোচ্চ ৪-৬ বিয়ার পান করি। তাছাড়া, আমি আমার বোনকে পরামর্শ দেওয়ার বা তাকে সাহায্য করার জন্য একজন ভণ্ডের মতো অনুভব করি। সে আমাকে কিছু কিছু কথা বলে আমারও এমন অনুভূতি দিয়েছে। তাই আমি জানি সে আমার পরামর্শ সম্পর্কে কেমন অনুভব করে, যদিও আমি তার সামনে পান করি না। আমার বয়স ৩২ বছর, আমার বোনের বয়স ৩৮। আমি কি কিছু পরামর্শ দিতে পারি? আমি এখনই তার সাথে দেখা করতে যাচ্ছি। আমি তাকে ভালোবাসি, আমি চাই সে আরও ভালো হোক, কিন্তু আমি জানি তুমি লোকেদের শান্ত থাকতে বাধ্য করতে পারো না। তার সাথে দেখা করার জন্য আমার কী আশা করা উচিত? আমি ভয় পাচ্ছি, আমি জানি না কীভাবে পরিস্থিতি সামলাতে হবে। আমি চাই সে পরিবর্তন করুক, কিন্তু আমি তাকে জোর করতে পারি না।</v>
      </c>
    </row>
    <row r="1197" spans="1:3" ht="15" x14ac:dyDescent="0.25">
      <c r="A1197" s="3" t="s">
        <v>1194</v>
      </c>
      <c r="B1197" s="3" t="s">
        <v>997</v>
      </c>
      <c r="C1197" s="4" t="str">
        <f ca="1">IFERROR(__xludf.DUMMYFUNCTION("GOOGLETRANSLATE(A1197, ""auto"", ""bn"")"),"আমি ২ সপ্তাহের একটু বেশি সময় ধরে সুস্থ আছি এবং একঘেয়েমি কাটিয়ে উঠতে আমার কি খুব একটা সমস্যা হচ্ছে? আমার বয়স ২৬ এবং আমি একটি ছোট শহরে থাকি যেখানে মদ্যপান করা খুব কম কাজের মধ্যে একটি। তাছাড়া, আমি আবার ছবি আঁকার দিকে ঝুঁকছি, কিন্তু এটি এমন কিছু নয় যা আ"&amp;"মি সবসময় করতে চাই। তাছাড়া, আমি আবার গেম খেলার চেষ্টা করেছি, কিন্তু এমন কিছু নেই যা আমার আগ্রহ জাগায়। তোমাদের মনকে ব্যস্ত রাখার জন্য তোমরা কী করেছ? সম্পাদনা: সদয় কথা এবং পরামর্শের জন্য সবাইকে ধন্যবাদ। নতুন কিছু চেষ্টা করার জন্য আমার অবশ্যই কিছু ধারণা আ"&amp;"ছে যা আমার মনকে ব্যস্ত রাখতে সাহায্য করবে এবং কিছু AA মিটিংয়ে যোগ দেওয়ার চেষ্টা করব। আমাকে সাহায্য করার জন্য তোমাদের দিনের সময় বের করার জন্য আবারও ধন্যবাদ।")</f>
        <v>আমি ২ সপ্তাহের একটু বেশি সময় ধরে সুস্থ আছি এবং একঘেয়েমি কাটিয়ে উঠতে আমার কি খুব একটা সমস্যা হচ্ছে? আমার বয়স ২৬ এবং আমি একটি ছোট শহরে থাকি যেখানে মদ্যপান করা খুব কম কাজের মধ্যে একটি। তাছাড়া, আমি আবার ছবি আঁকার দিকে ঝুঁকছি, কিন্তু এটি এমন কিছু নয় যা আমি সবসময় করতে চাই। তাছাড়া, আমি আবার গেম খেলার চেষ্টা করেছি, কিন্তু এমন কিছু নেই যা আমার আগ্রহ জাগায়। তোমাদের মনকে ব্যস্ত রাখার জন্য তোমরা কী করেছ? সম্পাদনা: সদয় কথা এবং পরামর্শের জন্য সবাইকে ধন্যবাদ। নতুন কিছু চেষ্টা করার জন্য আমার অবশ্যই কিছু ধারণা আছে যা আমার মনকে ব্যস্ত রাখতে সাহায্য করবে এবং কিছু AA মিটিংয়ে যোগ দেওয়ার চেষ্টা করব। আমাকে সাহায্য করার জন্য তোমাদের দিনের সময় বের করার জন্য আবারও ধন্যবাদ।</v>
      </c>
    </row>
    <row r="1198" spans="1:3" ht="15" x14ac:dyDescent="0.25">
      <c r="A1198" s="3" t="s">
        <v>1195</v>
      </c>
      <c r="B1198" s="3" t="s">
        <v>997</v>
      </c>
      <c r="C1198" s="4" t="str">
        <f ca="1">IFERROR(__xludf.DUMMYFUNCTION("GOOGLETRANSLATE(A1198, ""auto"", ""bn"")"),"আমার বয়স ২২, আর গত সপ্তাহ পর্যন্ত আমি জীবনে কখনও কোনও মাদক গ্রহণ করিনি, যখন আমি আমার মানসিক চিকিৎসার পর ৬ প্যাকেট স্পাইক জুস কিনেছিলাম। পরের দিন আমি একটা পার্টিতে যাচ্ছিলাম, তাই আমি আমার সহনশীলতা দেখতে চেয়েছিলাম, কারণ আগের দিন আমি একটা পার্টিতে গিয়েছিলা"&amp;"ম -- সম্পূর্ণ সুস্থ এবং সব -- এবং এটা ছিল ভয়াবহ। একা ২ ক্যান পান করলে আমার মাথা ঘোরা ছাড়া আর কিছুই হয়নি। পরের দিন পার্টিতে আমি আরও বেশি পান করেছিলাম, এবং অবশেষে এটি আশ্চর্যজনক হয়ে ওঠে!! আমি অনেক কথা বলছিলাম এবং খুব ভালো সময় কাটাচ্ছিলাম। আমার তীব্র সা"&amp;"মাজিক উদ্বেগ ব্যাধি আছে যার জন্য আমি ওষুধ খাই, এবং যদিও আমি এখনও নার্ভাস বোধ করছিলাম, এটা আমার ওষুধের অ-আবেশী সুবিধা + ALC থেকে আমার আত্মনিয়ন্ত্রণ কমানোর মতো ছিল যা আমাকে অনেক ভালো বোধ করিয়েছিল। তদুপরি, আমি যখন মাতাল হই তখন আমার আসল, স্বাভাবিক স্বভাবের "&amp;"মতো অনুভব করি। সত্যি বলতে, সবাই বলছিল যে আমি একজন সুখী এবং মজাদার মাতাল -- আমার স্বাভাবিক গম্ভীর, লাজুক স্বভাবের সম্পূর্ণ বিপরীতে -- এবং আমিও তা অনুভব করেছি। তারপর থেকে আমি প্রতিদিন মদ্যপান করছি, কিন্তু পার্টির সময় যতটা মাতাল হয়ে যেতাম ততটা নয়। আমি মাত্"&amp;"র ১ দিন ছুটি নিয়েছিলাম। ছুটি নেওয়ার আগে, আমি কাজে যেতাম, আমার বসের সাথে দেখা করতাম এবং চাকরির ইন্টারভিউ দিতাম, সবই মদ্যপানের সময়। আমার মনে হয় মদ্যপানের সময় মদ্যপানের সময় মদ্যপানের সময় মদ্যপানের সময় মদ্যপানের সময় মদ্যপানের সময় মাথা ঘোরা ছাড়া আর কোনও হ্যাংও"&amp;"ভার বা অন্য কোনও পার্শ্বপ্রতিক্রিয়া হয়নি। কিন্তু আমার দৃষ্টিশক্তি কমে যায়, তাই আমার সবসময় মাথা ঘোরা এবং নানান সমস্যায় ভুগতে হয়। আমি জানি আমার হয়তো থামানো উচিত, তাই আমি এই বিষয়ে কথা বলার জন্য আমার মনোরোগ বিশেষজ্ঞের সাথে অতিরিক্ত সময় কাটাচ্ছি। আমার পরিবারে "&amp;"মদ্যপান চলে, আর আমার দাদী এর কারণে গৃহহীন। কিন্তু আমি এই অনুভূতিটা ভালোবাসি, আর আমি সারা জীবন ধরেই এতটা বিষণ্ণ এবং লজ্জায় ভুগছি। থেরাপি খুব একটা কাজ করেনি, এবং ওষুধগুলো আমার উদ্বেগের কিছু অংশেই সাহায্য করে। বাকিটা আসলে আমার মস্তিষ্কের এক ধরণের ঘাটতির মতো "&amp;"মনে হচ্ছে, যেমন আমার খুব বেশি আত্ম-সংযম আছে অথবা এমন কিছু যা চরম পরিহারের দিকে পরিচালিত করে। অ্যালকোহলের কি কোন বিকল্প আছে, অথবা আমি কীভাবে স্বাস্থ্যকর উপায়ে পান করতে পারি? আমার মানসিক রোগী ছাড়া আমার আসলে কোন বন্ধু নেই এবং কথা বলার মতো কেউ নেই। আমি বেজো"&amp;"সকে একই রকম প্রভাব ফেলতে শুনেছি, এবং আমি সম্ভবত তাদের প্রভাব ফেলতে পারি কারণ আমার ইতিমধ্যেই ভয়ঙ্কর উদ্বেগ রয়েছে। কিন্তু সত্যি বলতে, যেকোনো পরামর্শ সাহায্য করবে কারণ আমি অনুভব করছি যে আমি এমন একটি ""উচ্চ"" পর্যায়ে পৌঁছেছি যা আমি আবার পান না করলে আর কখনও"&amp;" ফিরে পেতে পারব না।")</f>
        <v>আমার বয়স ২২, আর গত সপ্তাহ পর্যন্ত আমি জীবনে কখনও কোনও মাদক গ্রহণ করিনি, যখন আমি আমার মানসিক চিকিৎসার পর ৬ প্যাকেট স্পাইক জুস কিনেছিলাম। পরের দিন আমি একটা পার্টিতে যাচ্ছিলাম, তাই আমি আমার সহনশীলতা দেখতে চেয়েছিলাম, কারণ আগের দিন আমি একটা পার্টিতে গিয়েছিলাম -- সম্পূর্ণ সুস্থ এবং সব -- এবং এটা ছিল ভয়াবহ। একা ২ ক্যান পান করলে আমার মাথা ঘোরা ছাড়া আর কিছুই হয়নি। পরের দিন পার্টিতে আমি আরও বেশি পান করেছিলাম, এবং অবশেষে এটি আশ্চর্যজনক হয়ে ওঠে!! আমি অনেক কথা বলছিলাম এবং খুব ভালো সময় কাটাচ্ছিলাম। আমার তীব্র সামাজিক উদ্বেগ ব্যাধি আছে যার জন্য আমি ওষুধ খাই, এবং যদিও আমি এখনও নার্ভাস বোধ করছিলাম, এটা আমার ওষুধের অ-আবেশী সুবিধা + ALC থেকে আমার আত্মনিয়ন্ত্রণ কমানোর মতো ছিল যা আমাকে অনেক ভালো বোধ করিয়েছিল। তদুপরি, আমি যখন মাতাল হই তখন আমার আসল, স্বাভাবিক স্বভাবের মতো অনুভব করি। সত্যি বলতে, সবাই বলছিল যে আমি একজন সুখী এবং মজাদার মাতাল -- আমার স্বাভাবিক গম্ভীর, লাজুক স্বভাবের সম্পূর্ণ বিপরীতে -- এবং আমিও তা অনুভব করেছি। তারপর থেকে আমি প্রতিদিন মদ্যপান করছি, কিন্তু পার্টির সময় যতটা মাতাল হয়ে যেতাম ততটা নয়। আমি মাত্র ১ দিন ছুটি নিয়েছিলাম। ছুটি নেওয়ার আগে, আমি কাজে যেতাম, আমার বসের সাথে দেখা করতাম এবং চাকরির ইন্টারভিউ দিতাম, সবই মদ্যপানের সময়। আমার মনে হয় মদ্যপানের সময় মদ্যপানের সময় মদ্যপানের সময় মদ্যপানের সময় মদ্যপানের সময় মদ্যপানের সময় মাথা ঘোরা ছাড়া আর কোনও হ্যাংওভার বা অন্য কোনও পার্শ্বপ্রতিক্রিয়া হয়নি। কিন্তু আমার দৃষ্টিশক্তি কমে যায়, তাই আমার সবসময় মাথা ঘোরা এবং নানান সমস্যায় ভুগতে হয়। আমি জানি আমার হয়তো থামানো উচিত, তাই আমি এই বিষয়ে কথা বলার জন্য আমার মনোরোগ বিশেষজ্ঞের সাথে অতিরিক্ত সময় কাটাচ্ছি। আমার পরিবারে মদ্যপান চলে, আর আমার দাদী এর কারণে গৃহহীন। কিন্তু আমি এই অনুভূতিটা ভালোবাসি, আর আমি সারা জীবন ধরেই এতটা বিষণ্ণ এবং লজ্জায় ভুগছি। থেরাপি খুব একটা কাজ করেনি, এবং ওষুধগুলো আমার উদ্বেগের কিছু অংশেই সাহায্য করে। বাকিটা আসলে আমার মস্তিষ্কের এক ধরণের ঘাটতির মতো মনে হচ্ছে, যেমন আমার খুব বেশি আত্ম-সংযম আছে অথবা এমন কিছু যা চরম পরিহারের দিকে পরিচালিত করে। অ্যালকোহলের কি কোন বিকল্প আছে, অথবা আমি কীভাবে স্বাস্থ্যকর উপায়ে পান করতে পারি? আমার মানসিক রোগী ছাড়া আমার আসলে কোন বন্ধু নেই এবং কথা বলার মতো কেউ নেই। আমি বেজোসকে একই রকম প্রভাব ফেলতে শুনেছি, এবং আমি সম্ভবত তাদের প্রভাব ফেলতে পারি কারণ আমার ইতিমধ্যেই ভয়ঙ্কর উদ্বেগ রয়েছে। কিন্তু সত্যি বলতে, যেকোনো পরামর্শ সাহায্য করবে কারণ আমি অনুভব করছি যে আমি এমন একটি "উচ্চ" পর্যায়ে পৌঁছেছি যা আমি আবার পান না করলে আর কখনও ফিরে পেতে পারব না।</v>
      </c>
    </row>
    <row r="1199" spans="1:3" ht="15" x14ac:dyDescent="0.25">
      <c r="A1199" s="3" t="s">
        <v>1196</v>
      </c>
      <c r="B1199" s="3" t="s">
        <v>997</v>
      </c>
      <c r="C1199" s="4" t="str">
        <f ca="1">IFERROR(__xludf.DUMMYFUNCTION("GOOGLETRANSLATE(A1199, ""auto"", ""bn"")"),"এটা আমার ফেলে যাওয়া অ্যাকাউন্ট কারণ আমার প্রেমিক আমার আসল রেডডিট অ্যাকাউন্টটি জানে। আমি জানি সে মদ্যপান পছন্দ করে এবং আমরা দেখা হওয়ার পর থেকে আমি এটা জানি। আমার মনে হচ্ছে পরিস্থিতি নিয়ন্ত্রণের বাইরে চলে গেছে। তাছাড়া, বুধবার সন্ধ্যায় (২ ফেব্রুয়ারী) আম"&amp;"ি বাড়ি ফিরে বুঝতে পারি যে সে খুব বৃষ্টিতে কিনেছে (কারণ তার গাড়ি নেই কারণ সে গাড়ি দুর্ঘটনায় পড়েছিল)। অর্ডারটি বিকেল ৪ টায় ডেলিভারি করা হয়েছিল, এবং এটি ছিল তিনটি ভদকার বোতল (১.৭৫ লিটার)। আমি কিছু বলিনি কারণ আমি দিনের ক্লান্ত ছিলাম। এখন পর্যন্ত, সে দু"&amp;"টি বোতল শেষ করেছে। আমরা ডিনারেও গিয়েছিলাম, এবং সে রেস্তোরাঁয় একাধিক পানীয় খেয়েছে। আমার মনে হয় পরিস্থিতি নিয়ন্ত্রণের বাইরে চলে গেছে এবং আমি জানি না কীভাবে এটি নিয়ে কথা বলব। যখন সে নেশাগ্রস্ত হয় এবং আশেপাশে থাকা উপভোগ্য হয় না তখন সে কিছু খারাপ কথা "&amp;"বলে। আমরা ডিসেম্বরে একটি বাড়ি কিনেছি, তাই আমার বেশিরভাগ সঞ্চয় কম। আমি তাকে সাহায্য করার জন্য কী করতে পারি বা বলতে পারি?")</f>
        <v>এটা আমার ফেলে যাওয়া অ্যাকাউন্ট কারণ আমার প্রেমিক আমার আসল রেডডিট অ্যাকাউন্টটি জানে। আমি জানি সে মদ্যপান পছন্দ করে এবং আমরা দেখা হওয়ার পর থেকে আমি এটা জানি। আমার মনে হচ্ছে পরিস্থিতি নিয়ন্ত্রণের বাইরে চলে গেছে। তাছাড়া, বুধবার সন্ধ্যায় (২ ফেব্রুয়ারী) আমি বাড়ি ফিরে বুঝতে পারি যে সে খুব বৃষ্টিতে কিনেছে (কারণ তার গাড়ি নেই কারণ সে গাড়ি দুর্ঘটনায় পড়েছিল)। অর্ডারটি বিকেল ৪ টায় ডেলিভারি করা হয়েছিল, এবং এটি ছিল তিনটি ভদকার বোতল (১.৭৫ লিটার)। আমি কিছু বলিনি কারণ আমি দিনের ক্লান্ত ছিলাম। এখন পর্যন্ত, সে দুটি বোতল শেষ করেছে। আমরা ডিনারেও গিয়েছিলাম, এবং সে রেস্তোরাঁয় একাধিক পানীয় খেয়েছে। আমার মনে হয় পরিস্থিতি নিয়ন্ত্রণের বাইরে চলে গেছে এবং আমি জানি না কীভাবে এটি নিয়ে কথা বলব। যখন সে নেশাগ্রস্ত হয় এবং আশেপাশে থাকা উপভোগ্য হয় না তখন সে কিছু খারাপ কথা বলে। আমরা ডিসেম্বরে একটি বাড়ি কিনেছি, তাই আমার বেশিরভাগ সঞ্চয় কম। আমি তাকে সাহায্য করার জন্য কী করতে পারি বা বলতে পারি?</v>
      </c>
    </row>
    <row r="1200" spans="1:3" ht="15" x14ac:dyDescent="0.25">
      <c r="A1200" s="3" t="s">
        <v>291</v>
      </c>
      <c r="B1200" s="3" t="s">
        <v>997</v>
      </c>
      <c r="C1200" s="4" t="str">
        <f ca="1">IFERROR(__xludf.DUMMYFUNCTION("GOOGLETRANSLATE(A1200, ""auto"", ""bn"")"),"যখন আমি মদ্যপানের কারণে হাসপাতালে যেতে বাধ্য হয়েছিলাম, তখন থেকে এতটা খারাপ অবস্থায় ছিলাম না। আমি জানি না আমার কী সমস্যা এবং কীভাবে এটি ঠিক করব। আমি ৭ মাস ধরে সুস্থ ছিলাম এবং এখন আমি প্রতিদিন এক হ্যান্ডেল পান করতে শুরু করেছি। তাছাড়া, আমি জীবন এবং এর সাথে"&amp;" মোকাবিলা করতে করতে খুব ক্লান্ত বোধ করছি। আমি পরিস্থিতি সম্পর্কে আশাবাদী এবং ইতিবাচক থাকার চেষ্টা করছি, কিন্তু আমার মনে হচ্ছে এ থেকে মুক্তি পাওয়ার আর কোনও উপায় নেই। আমি কি করব বুঝতে পারছি না। আমি পুনর্বাসন, AA, naltrexone, EMDR থেরাপি এবং প্রায় সবকিছুই"&amp;" করেছি যা আমি ভাবতে পারি। আমি সবকিছুর জন্য খুব দোষী বোধ করছি। আমার বাবা-মা অসাধারণ এবং প্রতিটি পদক্ষেপে আমার পাশে ছিলেন এবং আমি মদ্যপানের সাথে সবকিছুই ত্যাগ করছি। আমি কল্পনাও করতে পারছি না যে তারা যদি জানতে পারে যে আমি আবার মদ্যপান করছি তবে তারা কতটা কষ্ট"&amp;" পাবে। রাগ করার জন্য দুঃখিত এবং ব্যাকরণ যদি এত ভালো না হয়। আমি পানীয় সম্পর্কে বেশ গভীরভাবে আগ্রহী আরএন। আমার কিছু চিন্তাভাবনা আমার বুক থেকে বের করে আনতে হয়েছিল।")</f>
        <v>যখন আমি মদ্যপানের কারণে হাসপাতালে যেতে বাধ্য হয়েছিলাম, তখন থেকে এতটা খারাপ অবস্থায় ছিলাম না। আমি জানি না আমার কী সমস্যা এবং কীভাবে এটি ঠিক করব। আমি ৭ মাস ধরে সুস্থ ছিলাম এবং এখন আমি প্রতিদিন এক হ্যান্ডেল পান করতে শুরু করেছি। তাছাড়া, আমি জীবন এবং এর সাথে মোকাবিলা করতে করতে খুব ক্লান্ত বোধ করছি। আমি পরিস্থিতি সম্পর্কে আশাবাদী এবং ইতিবাচক থাকার চেষ্টা করছি, কিন্তু আমার মনে হচ্ছে এ থেকে মুক্তি পাওয়ার আর কোনও উপায় নেই। আমি কি করব বুঝতে পারছি না। আমি পুনর্বাসন, AA, naltrexone, EMDR থেরাপি এবং প্রায় সবকিছুই করেছি যা আমি ভাবতে পারি। আমি সবকিছুর জন্য খুব দোষী বোধ করছি। আমার বাবা-মা অসাধারণ এবং প্রতিটি পদক্ষেপে আমার পাশে ছিলেন এবং আমি মদ্যপানের সাথে সবকিছুই ত্যাগ করছি। আমি কল্পনাও করতে পারছি না যে তারা যদি জানতে পারে যে আমি আবার মদ্যপান করছি তবে তারা কতটা কষ্ট পাবে। রাগ করার জন্য দুঃখিত এবং ব্যাকরণ যদি এত ভালো না হয়। আমি পানীয় সম্পর্কে বেশ গভীরভাবে আগ্রহী আরএন। আমার কিছু চিন্তাভাবনা আমার বুক থেকে বের করে আনতে হয়েছিল।</v>
      </c>
    </row>
    <row r="1201" spans="1:3" ht="15" x14ac:dyDescent="0.25">
      <c r="A1201" s="3" t="s">
        <v>1197</v>
      </c>
      <c r="B1201" s="3" t="s">
        <v>997</v>
      </c>
      <c r="C1201" s="4" t="str">
        <f ca="1">IFERROR(__xludf.DUMMYFUNCTION("GOOGLETRANSLATE(A1201, ""auto"", ""bn"")"),"আমি ২৩ বছর বয়সী একজন কলেজ ছাত্র, শুরুটা খুব দরিদ্র ছিল, কিন্তু বছরের পর বছর ধরে আমার বাবা-মা মধ্যবিত্ত পরিবারে জায়গা করে নিতে পেরেছিলেন। ধনী না হলেও এতটাই ধনী যে আমার এবং আমার দুই ভাইবোনের কোনও প্রয়োজন ছিল না। আমি বর্তমানে ইন্ডাস্ট্রিয়াল ইঞ্জিনিয়ারিং"&amp;"য়ে পড়ছি (২১ বছর বয়সে শুরু। হাই স্কুলের পর কলেজ ছেড়ে দিয়েছিলাম) কিন্তু সম্প্রতি, আমার এমন একটা মানসিকতা তৈরি হয়েছে যা আমাকে বিভ্রান্ত করে এবং একই সাথে রাগিয়ে তোলে। সপ্তাহের মধ্যে (রবিবার রাত থেকে বৃহস্পতিবার রাত) আমি মোটেও মদ্যপান করব না। কারণ আমি প"&amp;"রের দিন আমার ক্লাসের জন্য পুরোপুরি সুস্থ থাকতে চাই, কোনও হ্যাংওভার না করে। কিন্তু শুক্রবার ক্লাস শেষ হয়ে গেলে, আমার মধ্যে কেবল পাগলামি করার তীব্র ইচ্ছা জাগে! আমার মনে হয় যদি আমি সপ্তাহান্তে মাতাল না হয়ে যাই, তাহলে এটি একটি সপ্তাহান্তের অপচয় এবং একটি ক"&amp;"ঠোর সপ্তাহের পরিশ্রমের অপচয়। দয়া করে সাহায্য করুন, এগুলো কি মদ্যপ ব্যক্তির লক্ষণ? আমার কি সাহায্য নেওয়া উচিত? আমি আরও ভালো ছেলে হতে চাই।")</f>
        <v>আমি ২৩ বছর বয়সী একজন কলেজ ছাত্র, শুরুটা খুব দরিদ্র ছিল, কিন্তু বছরের পর বছর ধরে আমার বাবা-মা মধ্যবিত্ত পরিবারে জায়গা করে নিতে পেরেছিলেন। ধনী না হলেও এতটাই ধনী যে আমার এবং আমার দুই ভাইবোনের কোনও প্রয়োজন ছিল না। আমি বর্তমানে ইন্ডাস্ট্রিয়াল ইঞ্জিনিয়ারিংয়ে পড়ছি (২১ বছর বয়সে শুরু। হাই স্কুলের পর কলেজ ছেড়ে দিয়েছিলাম) কিন্তু সম্প্রতি, আমার এমন একটা মানসিকতা তৈরি হয়েছে যা আমাকে বিভ্রান্ত করে এবং একই সাথে রাগিয়ে তোলে। সপ্তাহের মধ্যে (রবিবার রাত থেকে বৃহস্পতিবার রাত) আমি মোটেও মদ্যপান করব না। কারণ আমি পরের দিন আমার ক্লাসের জন্য পুরোপুরি সুস্থ থাকতে চাই, কোনও হ্যাংওভার না করে। কিন্তু শুক্রবার ক্লাস শেষ হয়ে গেলে, আমার মধ্যে কেবল পাগলামি করার তীব্র ইচ্ছা জাগে! আমার মনে হয় যদি আমি সপ্তাহান্তে মাতাল না হয়ে যাই, তাহলে এটি একটি সপ্তাহান্তের অপচয় এবং একটি কঠোর সপ্তাহের পরিশ্রমের অপচয়। দয়া করে সাহায্য করুন, এগুলো কি মদ্যপ ব্যক্তির লক্ষণ? আমার কি সাহায্য নেওয়া উচিত? আমি আরও ভালো ছেলে হতে চাই।</v>
      </c>
    </row>
    <row r="1202" spans="1:3" ht="15" x14ac:dyDescent="0.25">
      <c r="A1202" s="3" t="s">
        <v>1198</v>
      </c>
      <c r="B1202" s="3" t="s">
        <v>997</v>
      </c>
      <c r="C1202" s="4" t="str">
        <f ca="1">IFERROR(__xludf.DUMMYFUNCTION("GOOGLETRANSLATE(A1202, ""auto"", ""bn"")"),"এটা নিয়ে আমার কি কিছু করার আছে? এটা বেশ খারাপভাবে আসে। যখন অবস্থা খুব খারাপ হয়, আমি অল্প পরিমাণে অ্যালকোহল পান করি এবং তা চলে যায়। আমি প্রতিদিন ১.৭৫ লিটার অ্যালকোহল পান করার মাত্রা থেকে মাত্র কয়েকটি ডোজ নিয়ে এসেছি, মূলত শারীরিক কারণে। আমি খুব চেষ্টা করছি "&amp;"শূন্য অ্যালকোহলে পৌঁছানোর জন্য, শুধু ভাবছি এটা স্বাভাবিক কিনা।")</f>
        <v>এটা নিয়ে আমার কি কিছু করার আছে? এটা বেশ খারাপভাবে আসে। যখন অবস্থা খুব খারাপ হয়, আমি অল্প পরিমাণে অ্যালকোহল পান করি এবং তা চলে যায়। আমি প্রতিদিন ১.৭৫ লিটার অ্যালকোহল পান করার মাত্রা থেকে মাত্র কয়েকটি ডোজ নিয়ে এসেছি, মূলত শারীরিক কারণে। আমি খুব চেষ্টা করছি শূন্য অ্যালকোহলে পৌঁছানোর জন্য, শুধু ভাবছি এটা স্বাভাবিক কিনা।</v>
      </c>
    </row>
    <row r="1203" spans="1:3" ht="15" x14ac:dyDescent="0.25">
      <c r="A1203" s="3" t="s">
        <v>1199</v>
      </c>
      <c r="B1203" s="3" t="s">
        <v>997</v>
      </c>
      <c r="C1203" s="4" t="str">
        <f ca="1">IFERROR(__xludf.DUMMYFUNCTION("GOOGLETRANSLATE(A1203, ""auto"", ""bn"")"),"আমাদের পরিবারের একজন ভালো বন্ধু, বয়স ৬০, প্রায় এক বছর ধরে মাদকাসক্ত। সম্প্রতি তাকে অ্যালকোহল-সম্পর্কিত অসুস্থতার জন্য হাসপাতালে ভর্তি করা হয়েছিল। এছাড়াও, সে তার অ্যান্টিডিপ্রেসেন্টস গ্রহণ বন্ধ করে দিয়েছে। দুই দিন আগে তাকে ছেড়ে দেওয়া হয়েছে এবং সে আবার ম"&amp;"দ্যপান করছে। কেউ কি জানেন যে শরীরকে অ্যালকোহলের উপর শারীরিকভাবে নির্ভরশীল হতে কত সময় লাগে যা চিকিৎসাগতভাবে সাহায্যপ্রাপ্ত ডিটক্সকে অপরিহার্য করে তোলে?")</f>
        <v>আমাদের পরিবারের একজন ভালো বন্ধু, বয়স ৬০, প্রায় এক বছর ধরে মাদকাসক্ত। সম্প্রতি তাকে অ্যালকোহল-সম্পর্কিত অসুস্থতার জন্য হাসপাতালে ভর্তি করা হয়েছিল। এছাড়াও, সে তার অ্যান্টিডিপ্রেসেন্টস গ্রহণ বন্ধ করে দিয়েছে। দুই দিন আগে তাকে ছেড়ে দেওয়া হয়েছে এবং সে আবার মদ্যপান করছে। কেউ কি জানেন যে শরীরকে অ্যালকোহলের উপর শারীরিকভাবে নির্ভরশীল হতে কত সময় লাগে যা চিকিৎসাগতভাবে সাহায্যপ্রাপ্ত ডিটক্সকে অপরিহার্য করে তোলে?</v>
      </c>
    </row>
    <row r="1204" spans="1:3" ht="15" x14ac:dyDescent="0.25">
      <c r="A1204" s="3" t="s">
        <v>1200</v>
      </c>
      <c r="B1204" s="3" t="s">
        <v>997</v>
      </c>
      <c r="C1204" s="4" t="str">
        <f ca="1">IFERROR(__xludf.DUMMYFUNCTION("GOOGLETRANSLATE(A1204, ""auto"", ""bn"")"),"আমি একজন ২৪ বছর বয়সী মদ্যপ। এখন আমার সমস্যা হচ্ছে। ২০২১ সালে আমাকে দুবার মদ্যপানের জন্য হাসপাতালে ভর্তি হতে হয়েছে এবং গত জানুয়ারীর মাঝামাঝি সময়ে আমি ডিটক্স চিকিৎসা প্রোগ্রামে ছিলাম। তাছাড়া, আমি আমার পরিবার, বন্ধুবান্ধব এবং আমার চাকরিকে ভালোবাসি। আমার"&amp;" বাবা-মা এবং ঘনিষ্ঠ বন্ধু ছাড়া আর কেউ জানে না যে আমি মদ্যপানের সাথে লড়াই করছি। কিন্তু যতবারই আমি তাদের হতাশ করি, ততবার আগের চেয়েও বেশি ব্যথা হয়। এমনকি ভয়ঙ্কর মদ্যপানের লক্ষণ, কাঁপুনি/ঘাম/বমি সম্পর্কে চিন্তা করেও, আমি এখনও সবসময় মদ্যপানে ফিরে যেতে চা"&amp;"ই। আমার মনে হয় যখন আমি নেশাগ্রস্ত থাকি তখন নিজেকে একজন ব্যক্তি হিসেবে বেশি পছন্দ করি। আমি অনেক বেশি আত্মবিশ্বাসী এবং খুশি বোধ করি। তাছাড়া, আমি মনে করি আমি একজন ভালো মানুষ? যতক্ষণ না ক্রমাগত মদ্যপান আমার উপর প্রভাব ফেলে এবং আমার শরীর অ্যালকোহল ছাড়া সবকি"&amp;"ছু প্রত্যাখ্যান করে। আমার সমস্যা হল আমি এখনও মাতাল থাকতে চাই, হা হা, আমি জানি যে আমাকে থামাতে হবে, আমি জানি আমি কেবল নিজেকেই কষ্ট দিচ্ছি, এবং আমি জানি যে আমি যদি মদ্যপান চালিয়ে যাই তবে পরিস্থিতি আরও খারাপ হবে। কিন্তু এত পরিণতি ভোগ করার পরেও কেন এত কঠিন? "&amp;"মুখ ফুটে বলার জন্য দুঃখিত, আমি আগে কখনও এই বিষয়ে পোস্ট করিনি, তবে আমি আশা করছিলাম যে কেউ আমাকে লোভ সামলানোর জন্য কিছু পরামর্শ দিতে পারে অথবা তারা মনে করে এমন কিছু বলতে পারে যা আমাকে সাহায্য করতে পারে।")</f>
        <v>আমি একজন ২৪ বছর বয়সী মদ্যপ। এখন আমার সমস্যা হচ্ছে। ২০২১ সালে আমাকে দুবার মদ্যপানের জন্য হাসপাতালে ভর্তি হতে হয়েছে এবং গত জানুয়ারীর মাঝামাঝি সময়ে আমি ডিটক্স চিকিৎসা প্রোগ্রামে ছিলাম। তাছাড়া, আমি আমার পরিবার, বন্ধুবান্ধব এবং আমার চাকরিকে ভালোবাসি। আমার বাবা-মা এবং ঘনিষ্ঠ বন্ধু ছাড়া আর কেউ জানে না যে আমি মদ্যপানের সাথে লড়াই করছি। কিন্তু যতবারই আমি তাদের হতাশ করি, ততবার আগের চেয়েও বেশি ব্যথা হয়। এমনকি ভয়ঙ্কর মদ্যপানের লক্ষণ, কাঁপুনি/ঘাম/বমি সম্পর্কে চিন্তা করেও, আমি এখনও সবসময় মদ্যপানে ফিরে যেতে চাই। আমার মনে হয় যখন আমি নেশাগ্রস্ত থাকি তখন নিজেকে একজন ব্যক্তি হিসেবে বেশি পছন্দ করি। আমি অনেক বেশি আত্মবিশ্বাসী এবং খুশি বোধ করি। তাছাড়া, আমি মনে করি আমি একজন ভালো মানুষ? যতক্ষণ না ক্রমাগত মদ্যপান আমার উপর প্রভাব ফেলে এবং আমার শরীর অ্যালকোহল ছাড়া সবকিছু প্রত্যাখ্যান করে। আমার সমস্যা হল আমি এখনও মাতাল থাকতে চাই, হা হা, আমি জানি যে আমাকে থামাতে হবে, আমি জানি আমি কেবল নিজেকেই কষ্ট দিচ্ছি, এবং আমি জানি যে আমি যদি মদ্যপান চালিয়ে যাই তবে পরিস্থিতি আরও খারাপ হবে। কিন্তু এত পরিণতি ভোগ করার পরেও কেন এত কঠিন? মুখ ফুটে বলার জন্য দুঃখিত, আমি আগে কখনও এই বিষয়ে পোস্ট করিনি, তবে আমি আশা করছিলাম যে কেউ আমাকে লোভ সামলানোর জন্য কিছু পরামর্শ দিতে পারে অথবা তারা মনে করে এমন কিছু বলতে পারে যা আমাকে সাহায্য করতে পারে।</v>
      </c>
    </row>
    <row r="1205" spans="1:3" ht="15" x14ac:dyDescent="0.25">
      <c r="A1205" s="3" t="s">
        <v>1201</v>
      </c>
      <c r="B1205" s="3" t="s">
        <v>997</v>
      </c>
      <c r="C1205" s="4" t="str">
        <f ca="1">IFERROR(__xludf.DUMMYFUNCTION("GOOGLETRANSLATE(A1205, ""auto"", ""bn"")"),"আমার বান্ধবী খুব সাধারণ মদ্যপান করে। সে হয়তো প্রতি ২-৩ মাসে একবার মাতাল হয় এবং এর বাইরে খুব কমই পান করে, কিন্তু সে খুব কম পরিমাণে পান করে এবং তার সহ্য ক্ষমতাও কম। প্রায় ৬ মাস আগে সে বন্ধুদের সাথে বাইরে বেরিয়েছিল এবং মাতাল হয়ে গিয়েছিল। তার বন্ধুদের ধ"&amp;"ারণা, সে ১০ থেকে ২০টি পানীয় খেয়েছিল, এবং আমরা অবাক হয়েছি যে সে রাতে অ্যালকোহলের বিষক্রিয়ায় আক্রান্ত হয়নি। তারপর থেকে, যখনই সে মাতাল হয় বা অতিরিক্ত মাত্রায় (মারিজুয়ানা) মদ্যপান করে, তখন তার হাত ও পায়ে ঝিনঝিন অনুভব করে এবং সেগুলি অসাড় হয়ে যায়। "&amp;"সাধারণত এটি একদিন স্থায়ী হয় এবং তারপর কমে যায়, তবে ভিন্ন কিছু ঘটছে। আমরা কয়েক রাত আগে (খুব কম পরিমাণে মারিজুয়ানা। আমরা খুব কমই পান করি বা ধূমপান করি) মদ্যপান করেছি এবং অসাড়তা আরও খারাপ। সে তুলনামূলকভাবে অসাড় এবং আপনার বাহু বা পা ঘুমিয়ে পড়লে আপনি "&amp;"যে ঝিনঝিন অনুভব করেন তা অনুভব করে, তবে তার পুরো শরীরে। আমরা এখন ৩য় দিনে আছি, এবং সে বলছে এটি আরও খারাপ হচ্ছে। গতকাল এটি কেবল হাত ও পা ছিল। এখন এটি সর্বত্র। অনলাইনে আমরা যা কিছু পড়ি, তার সবকিছুই নিউরোপ্যাথির মতো শোনায়, কিন্তু এটা কীভাবে ঘটত তা আমরা বুঝতে "&amp;"পারছি না। সে কেবল তখনই এটি অনুভব করে যখন সে মাতাল বা মদ্যপ হয়। অ্যালকোহলিক নিউরোপ্যাথি কি এমন কিছু যা সময়ের সাথে সাথে ঘটে? নাকি তার এক রাতের চরম মাতালতার কারণে এটি হতে পারে?")</f>
        <v>আমার বান্ধবী খুব সাধারণ মদ্যপান করে। সে হয়তো প্রতি ২-৩ মাসে একবার মাতাল হয় এবং এর বাইরে খুব কমই পান করে, কিন্তু সে খুব কম পরিমাণে পান করে এবং তার সহ্য ক্ষমতাও কম। প্রায় ৬ মাস আগে সে বন্ধুদের সাথে বাইরে বেরিয়েছিল এবং মাতাল হয়ে গিয়েছিল। তার বন্ধুদের ধারণা, সে ১০ থেকে ২০টি পানীয় খেয়েছিল, এবং আমরা অবাক হয়েছি যে সে রাতে অ্যালকোহলের বিষক্রিয়ায় আক্রান্ত হয়নি। তারপর থেকে, যখনই সে মাতাল হয় বা অতিরিক্ত মাত্রায় (মারিজুয়ানা) মদ্যপান করে, তখন তার হাত ও পায়ে ঝিনঝিন অনুভব করে এবং সেগুলি অসাড় হয়ে যায়। সাধারণত এটি একদিন স্থায়ী হয় এবং তারপর কমে যায়, তবে ভিন্ন কিছু ঘটছে। আমরা কয়েক রাত আগে (খুব কম পরিমাণে মারিজুয়ানা। আমরা খুব কমই পান করি বা ধূমপান করি) মদ্যপান করেছি এবং অসাড়তা আরও খারাপ। সে তুলনামূলকভাবে অসাড় এবং আপনার বাহু বা পা ঘুমিয়ে পড়লে আপনি যে ঝিনঝিন অনুভব করেন তা অনুভব করে, তবে তার পুরো শরীরে। আমরা এখন ৩য় দিনে আছি, এবং সে বলছে এটি আরও খারাপ হচ্ছে। গতকাল এটি কেবল হাত ও পা ছিল। এখন এটি সর্বত্র। অনলাইনে আমরা যা কিছু পড়ি, তার সবকিছুই নিউরোপ্যাথির মতো শোনায়, কিন্তু এটা কীভাবে ঘটত তা আমরা বুঝতে পারছি না। সে কেবল তখনই এটি অনুভব করে যখন সে মাতাল বা মদ্যপ হয়। অ্যালকোহলিক নিউরোপ্যাথি কি এমন কিছু যা সময়ের সাথে সাথে ঘটে? নাকি তার এক রাতের চরম মাতালতার কারণে এটি হতে পারে?</v>
      </c>
    </row>
    <row r="1206" spans="1:3" ht="15" x14ac:dyDescent="0.25">
      <c r="A1206" s="3" t="s">
        <v>1202</v>
      </c>
      <c r="B1206" s="3" t="s">
        <v>997</v>
      </c>
      <c r="C1206" s="4" t="str">
        <f ca="1">IFERROR(__xludf.DUMMYFUNCTION("GOOGLETRANSLATE(A1206, ""auto"", ""bn"")"),"গত মে মাসে আমি জানতে পারি যে আমার মা একজন মদ্যপ ছিলেন। তিনি আমার সারা জীবনের সবচেয়ে ভালো বন্ধু। যদিও সম্প্রতি, তিনি আমার থেকে দূরে থাকেন এবং আমার সাথে কোনও সাড়া দেন না। গত মে মাস থেকে, তিনি প্রায় প্রতি রাতে AA-তে যান। গত মাসে, তিনি ডিটক্স পান করেছিলেন "&amp;"যা ডাক্তার বলেছিলেন সম্ভবত সাহায্যের জন্য চিৎকার ছিল। এখন তিনি একটি বিস্তৃত বহির্বিভাগীয় প্রোগ্রামে আছেন যা প্রায় দুই সপ্তাহ ধরে চলে আসছে। এই সপ্তাহান্তে তিনি আমার উপর রেডিও নীরবতা চালিয়েছিলেন (আমার বাবা আমাকে বলেছিলেন যে তার পেটের ফ্লু হয়েছে) কিন্তু "&amp;"তিনি কেবল উত্তর দিয়েছিলেন যে তিনি আসলে মদ্যপান করেছিলেন এবং এখন খুব অসুস্থ। আমার মনে হয় আমার পরিবারের মধ্যে আমিই একমাত্র ভীত এবং তাকে সমর্থন করতে চান। আমার বাবা সাধারণত তার উপর রেগে যান/চান না যে পুরো পরিবার জানুক কারণ তিনি বিব্রত। আমি বেশ রেগে আছি যে ত"&amp;"িনি তার মদ্যপানের বিষয়ে আমাকে মিথ্যা বলেছিলেন। যাই হোক, আমি মনে করি আমি বেশিরভাগ সময় কিছু আশ্বাস খুঁজছি যে সে এই পরিস্থিতি কাটিয়ে উঠতে পারবে। সে সুস্থ হতে চায়। কিন্তু AA এবং একটি বিস্তৃত বহির্বিভাগীয় প্রোগ্রামে থাকা সত্ত্বেও, সে মদ্যপান চালিয়ে যাচ্ছ"&amp;"ে।")</f>
        <v>গত মে মাসে আমি জানতে পারি যে আমার মা একজন মদ্যপ ছিলেন। তিনি আমার সারা জীবনের সবচেয়ে ভালো বন্ধু। যদিও সম্প্রতি, তিনি আমার থেকে দূরে থাকেন এবং আমার সাথে কোনও সাড়া দেন না। গত মে মাস থেকে, তিনি প্রায় প্রতি রাতে AA-তে যান। গত মাসে, তিনি ডিটক্স পান করেছিলেন যা ডাক্তার বলেছিলেন সম্ভবত সাহায্যের জন্য চিৎকার ছিল। এখন তিনি একটি বিস্তৃত বহির্বিভাগীয় প্রোগ্রামে আছেন যা প্রায় দুই সপ্তাহ ধরে চলে আসছে। এই সপ্তাহান্তে তিনি আমার উপর রেডিও নীরবতা চালিয়েছিলেন (আমার বাবা আমাকে বলেছিলেন যে তার পেটের ফ্লু হয়েছে) কিন্তু তিনি কেবল উত্তর দিয়েছিলেন যে তিনি আসলে মদ্যপান করেছিলেন এবং এখন খুব অসুস্থ। আমার মনে হয় আমার পরিবারের মধ্যে আমিই একমাত্র ভীত এবং তাকে সমর্থন করতে চান। আমার বাবা সাধারণত তার উপর রেগে যান/চান না যে পুরো পরিবার জানুক কারণ তিনি বিব্রত। আমি বেশ রেগে আছি যে তিনি তার মদ্যপানের বিষয়ে আমাকে মিথ্যা বলেছিলেন। যাই হোক, আমি মনে করি আমি বেশিরভাগ সময় কিছু আশ্বাস খুঁজছি যে সে এই পরিস্থিতি কাটিয়ে উঠতে পারবে। সে সুস্থ হতে চায়। কিন্তু AA এবং একটি বিস্তৃত বহির্বিভাগীয় প্রোগ্রামে থাকা সত্ত্বেও, সে মদ্যপান চালিয়ে যাচ্ছে।</v>
      </c>
    </row>
    <row r="1207" spans="1:3" ht="15" x14ac:dyDescent="0.25">
      <c r="A1207" s="3" t="s">
        <v>1203</v>
      </c>
      <c r="B1207" s="3" t="s">
        <v>997</v>
      </c>
      <c r="C1207" s="4" t="str">
        <f ca="1">IFERROR(__xludf.DUMMYFUNCTION("GOOGLETRANSLATE(A1207, ""auto"", ""bn"")"),"তো, গত কয়েক বছর ধরে আমি বেশ প্রচণ্ড মদ্যপান করছি। ২০২১ সালের শুরুতে আমি এক মাসের ছুটি নিয়েছিলাম। আমার প্রত্যাহার আমার প্রত্যাশার চেয়েও খারাপ ছিল। সেই মাস শেষ হওয়ার পর, আমি আবারও সেই বিরতি নিয়েছিলাম। ?? গত সপ্তাহেই চলে আসি। আমি সিদ্ধান্ত নিয়েছিলাম যে, ঠান"&amp;"্ডা পানীয় গ্রহণের পরিবর্তে, আমি এক সপ্তাহের জন্য দিনে একবার করে পান করবো। আজ ৫ম দিন। প্রথম তিন দিন, আমি খুব একটা খারাপ বোধ না করায় আনন্দিতভাবে অবাক হয়েছিলাম। আমি জিমে গিয়েছিলাম। খুব বেশি উদ্বিগ্ন বোধ করিনি। মাথা ঘোরা/ঘামে ভরা রাত/আরও বেশি। গতকাল, আমার মাথ"&amp;"া ঘোরা, মাথায় চাপ, শরীরে ব্যথা অনুভূত হয়েছে। আমি আমার তাপমাত্রা পরীক্ষা করেছিলাম, এবং এটি ১০০.৭ ছিল। আজ আমার জ্বর নেই, কিন্তু আমার ক্ষুধা নেই এবং এখনও আমার মাথা ঘোরা এবং ক্লান্তি অনুভব করছি। এটা কি প্রত্যাহার হতে পারে? হয়তো আমি হঠাৎ করেই ফ্লুতে আক্রান্ত হ"&amp;"য়েছি অথবা অন্য কিছুতে আক্রান্ত হয়েছি যখন আমি আমার সুস্থতার পথে যাত্রা শুরু করছিলাম? এটা খুবই হতাশাজনক।")</f>
        <v>তো, গত কয়েক বছর ধরে আমি বেশ প্রচণ্ড মদ্যপান করছি। ২০২১ সালের শুরুতে আমি এক মাসের ছুটি নিয়েছিলাম। আমার প্রত্যাহার আমার প্রত্যাশার চেয়েও খারাপ ছিল। সেই মাস শেষ হওয়ার পর, আমি আবারও সেই বিরতি নিয়েছিলাম। ?? গত সপ্তাহেই চলে আসি। আমি সিদ্ধান্ত নিয়েছিলাম যে, ঠান্ডা পানীয় গ্রহণের পরিবর্তে, আমি এক সপ্তাহের জন্য দিনে একবার করে পান করবো। আজ ৫ম দিন। প্রথম তিন দিন, আমি খুব একটা খারাপ বোধ না করায় আনন্দিতভাবে অবাক হয়েছিলাম। আমি জিমে গিয়েছিলাম। খুব বেশি উদ্বিগ্ন বোধ করিনি। মাথা ঘোরা/ঘামে ভরা রাত/আরও বেশি। গতকাল, আমার মাথা ঘোরা, মাথায় চাপ, শরীরে ব্যথা অনুভূত হয়েছে। আমি আমার তাপমাত্রা পরীক্ষা করেছিলাম, এবং এটি ১০০.৭ ছিল। আজ আমার জ্বর নেই, কিন্তু আমার ক্ষুধা নেই এবং এখনও আমার মাথা ঘোরা এবং ক্লান্তি অনুভব করছি। এটা কি প্রত্যাহার হতে পারে? হয়তো আমি হঠাৎ করেই ফ্লুতে আক্রান্ত হয়েছি অথবা অন্য কিছুতে আক্রান্ত হয়েছি যখন আমি আমার সুস্থতার পথে যাত্রা শুরু করছিলাম? এটা খুবই হতাশাজনক।</v>
      </c>
    </row>
    <row r="1208" spans="1:3" ht="15" x14ac:dyDescent="0.25">
      <c r="A1208" s="3" t="s">
        <v>1204</v>
      </c>
      <c r="B1208" s="3" t="s">
        <v>997</v>
      </c>
      <c r="C1208" s="4" t="str">
        <f ca="1">IFERROR(__xludf.DUMMYFUNCTION("GOOGLETRANSLATE(A1208, ""auto"", ""bn"")"),"আমার বয়স ২৩ এবং ১৮ বছর বয়স থেকেই মদ্যপানের সমস্যা ছিল। কলেজে ভালো পড়লেও, দিনের বেশিরভাগ সময় আমি একা ঘরে মদ্যপান করে কাটিয়েছি। এর কারণ ছিল আশেপাশের মানুষের সাথে আমার সম্পর্ক খারাপ হওয়া। যাই হোক, কলেজ থেকে প্রায় এক বছর ধরে বেরিয়ে আছি, এবং পরিস্থিতি ক্রমশ খ"&amp;"ারাপ হচ্ছে। আমি মাঝে মাঝে মদ্যপান করি, আবার মদ্যপান করি। উদাহরণস্বরূপ, গত এক বছর ধরে, আমি এক মাস মদ্যপান করি, দুই মাস মদ্যপান করি, এবং আরও এক মাস মদ্যপান করি। এর মধ্যে আমি বাকি সময় মদ্যপান করি। প্রতিবার যখনই আমি মদ্যপান করি, একজন ""বন্ধু?"" (আমার জীবনে অ"&amp;"নেক খারাপ প্রভাব আছে) আমাকে বিশ্বাস করায় যে আবার মদ্যপান করা ঠিক হবে, যদিও আমি তাদের কাছে অসংখ্যবার বর্ণনা করেছি যে অ্যালকোহল আমার জীবনে কতটা নেতিবাচক প্রভাব ফেলেছে। এই এক রাতের বাইরে থাকাটা সবসময় এমনভাবে পরিণত হয় যে দুই মাস পরে আমি ৭ বা ৮টি বিয়ার না প"&amp;"ান করলে ঘুমাতে পারি না। অতীতে আমি সবসময়ই এমন একটা পর্যায়ে পৌঁছেছি যা আমাকে থামতে যথেষ্ট অনুপ্রাণিত করেছিল, যদিও কয়েকদিন ধরে তীব্র উদ্বেগ এবং বিভ্রান্তির সাথে, কিন্তু প্রতিবারই তা আরও কঠিন হয়ে উঠছে। আমি নিজেকে সত্যিই গভীরভাবে বিপর্যস্ত হতে দেখছি যদি না"&amp;" আমি চিরতরে ছেড়ে দিই। আমি কেবল রাতে পান করি, এবং আমার বর্তমান বিংগে গত তিন সপ্তাহ ধরে প্রতি রাতে প্রায় ৮টি বিয়ার খেয়েছি (যদিও আমি গত তিন রাতে ১২ প্যাকেট পান করেছি)। তাছাড়া, আমার জীবন সম্পর্কে ধারণা নিতে হবে এবং এটি করার বয়স। মদ্যপান অনেক দিন ধরেই বাধ"&amp;"াগ্রস্ত হচ্ছে, এবং আমি জানি জীবনের পরবর্তী সময়ে যদি আমি সম্পূর্ণ বিশৃঙ্খলার সম্মুখীন না হই তবে আমাকে অবশ্যই থামাতে হবে। আমি কেবল অ্যালকোহল সামলাতে পারি না। আপনার জন্য আমার কয়েকটি প্রশ্ন আছে। চিকিৎসার প্রয়োজনে গুরুতর প্রত্যাহারের ক্ষেত্রে আমার কতটা ঝুঁক"&amp;"ি রয়েছে? (আমি এই নেশায় মাত্র তিন সপ্তাহ ধরে মদ্যপান করছি এবং এটি শুরু হওয়ার আগে এক মাস ধরে আমার মাথাব্যথা ছিল, কিন্তু অনলাইনে ভৌতিক গল্পগুলো আমাকে ভয় দেখায়) আমি নিজেকে এই মদ্যপান থেকে বিরত রাখতে কী করার পরামর্শ দিই যে আমি আবার মদ্যপান করতে পারি এবং আবার "&amp;"মদ্যপান করতে পারি? (আমি এক বা দুই মাসের বেশি সময় ধরে তা করতে পারি না) আমার বন্ধুদের (যারা মদ্যপ কিন্তু নিজেরাই স্বীকার করে না) সম্পর্কে আমার কী করা উচিত?")</f>
        <v>আমার বয়স ২৩ এবং ১৮ বছর বয়স থেকেই মদ্যপানের সমস্যা ছিল। কলেজে ভালো পড়লেও, দিনের বেশিরভাগ সময় আমি একা ঘরে মদ্যপান করে কাটিয়েছি। এর কারণ ছিল আশেপাশের মানুষের সাথে আমার সম্পর্ক খারাপ হওয়া। যাই হোক, কলেজ থেকে প্রায় এক বছর ধরে বেরিয়ে আছি, এবং পরিস্থিতি ক্রমশ খারাপ হচ্ছে। আমি মাঝে মাঝে মদ্যপান করি, আবার মদ্যপান করি। উদাহরণস্বরূপ, গত এক বছর ধরে, আমি এক মাস মদ্যপান করি, দুই মাস মদ্যপান করি, এবং আরও এক মাস মদ্যপান করি। এর মধ্যে আমি বাকি সময় মদ্যপান করি। প্রতিবার যখনই আমি মদ্যপান করি, একজন "বন্ধু?" (আমার জীবনে অনেক খারাপ প্রভাব আছে) আমাকে বিশ্বাস করায় যে আবার মদ্যপান করা ঠিক হবে, যদিও আমি তাদের কাছে অসংখ্যবার বর্ণনা করেছি যে অ্যালকোহল আমার জীবনে কতটা নেতিবাচক প্রভাব ফেলেছে। এই এক রাতের বাইরে থাকাটা সবসময় এমনভাবে পরিণত হয় যে দুই মাস পরে আমি ৭ বা ৮টি বিয়ার না পান করলে ঘুমাতে পারি না। অতীতে আমি সবসময়ই এমন একটা পর্যায়ে পৌঁছেছি যা আমাকে থামতে যথেষ্ট অনুপ্রাণিত করেছিল, যদিও কয়েকদিন ধরে তীব্র উদ্বেগ এবং বিভ্রান্তির সাথে, কিন্তু প্রতিবারই তা আরও কঠিন হয়ে উঠছে। আমি নিজেকে সত্যিই গভীরভাবে বিপর্যস্ত হতে দেখছি যদি না আমি চিরতরে ছেড়ে দিই। আমি কেবল রাতে পান করি, এবং আমার বর্তমান বিংগে গত তিন সপ্তাহ ধরে প্রতি রাতে প্রায় ৮টি বিয়ার খেয়েছি (যদিও আমি গত তিন রাতে ১২ প্যাকেট পান করেছি)। তাছাড়া, আমার জীবন সম্পর্কে ধারণা নিতে হবে এবং এটি করার বয়স। মদ্যপান অনেক দিন ধরেই বাধাগ্রস্ত হচ্ছে, এবং আমি জানি জীবনের পরবর্তী সময়ে যদি আমি সম্পূর্ণ বিশৃঙ্খলার সম্মুখীন না হই তবে আমাকে অবশ্যই থামাতে হবে। আমি কেবল অ্যালকোহল সামলাতে পারি না। আপনার জন্য আমার কয়েকটি প্রশ্ন আছে। চিকিৎসার প্রয়োজনে গুরুতর প্রত্যাহারের ক্ষেত্রে আমার কতটা ঝুঁকি রয়েছে? (আমি এই নেশায় মাত্র তিন সপ্তাহ ধরে মদ্যপান করছি এবং এটি শুরু হওয়ার আগে এক মাস ধরে আমার মাথাব্যথা ছিল, কিন্তু অনলাইনে ভৌতিক গল্পগুলো আমাকে ভয় দেখায়) আমি নিজেকে এই মদ্যপান থেকে বিরত রাখতে কী করার পরামর্শ দিই যে আমি আবার মদ্যপান করতে পারি এবং আবার মদ্যপান করতে পারি? (আমি এক বা দুই মাসের বেশি সময় ধরে তা করতে পারি না) আমার বন্ধুদের (যারা মদ্যপ কিন্তু নিজেরাই স্বীকার করে না) সম্পর্কে আমার কী করা উচিত?</v>
      </c>
    </row>
    <row r="1209" spans="1:3" ht="15" x14ac:dyDescent="0.25">
      <c r="A1209" s="3" t="s">
        <v>1205</v>
      </c>
      <c r="B1209" s="3" t="s">
        <v>997</v>
      </c>
      <c r="C1209" s="4" t="str">
        <f ca="1">IFERROR(__xludf.DUMMYFUNCTION("GOOGLETRANSLATE(A1209, ""auto"", ""bn"")"),"আমি চাইতাম এই ব্যক্তির সাথে আমার কখনো বন্ধুত্ব না হোক। ঠিক আছে, সংক্ষেপে বলতে গেলে, ২৩ বছর বয়সে আমি আমার সবচেয়ে ভালো বন্ধু এবং বোনকে ক্যান্সারে হারিয়েছিলাম। জীবনের সাথে কিছুক্ষণ লড়াই করেছিলাম। তাছাড়া, আমার এক বন্ধু S-এর সাথে দেখা হয়েছিল যে আমার থেকে"&amp;" কয়েক বছরের বড় ছিল কিন্তু তার কোন চাকরি ছিল না। তাছাড়া, আমি একজন ভালো বন্ধু হওয়ার চেষ্টা করেছিলাম এবং তাকে বেশ কয়েকটি চাকরির ইন্টারভিউতে নিয়ে গিয়েছিলাম। আমার বন্ধু S-এর মদ্যপানের সমস্যা ছিল। আমি শোকের মাঝখানে ছিলাম তাই কিছুক্ষণের জন্য আমি তার সাথে "&amp;"কঠোর পার্টিতে মেতে উঠি। আমি কখনও বদমাশ ছিলাম না এবং সবসময় নিয়ম মেনে চলি। দ্রুত আমি বুঝতে পারি যে আমি একজন বিশাল AH-তে পরিণত হয়েছি। সৌভাগ্যবশত মোড় আসে যখন আমি আইনি ক্ষেত্রে চাকরির প্রস্তাব পাই। আমার জীবনযাত্রা বন্ধ করতে হয়েছিল। আমি আমার জীবন বদলে দিয়"&amp;"েছিলাম এবং অতিরিক্ত মদ্যপান বন্ধ করে দিয়েছিলাম। আমার বন্ধু S অবশেষে মাদকাসক্ত হয়ে পড়ে এবং এমনকি আমার প্রেসক্রিপশনের ওষুধও চুরি করে। এটাই ছিল আমাদের বন্ধুত্বের শেষ খড়। বছরের পর বছর ধরে, S আমাকে আবার তার সাথে বন্ধুত্ব করার চেষ্টা করেছে। আমি প্রত্যাখ্যান"&amp;" করেছি। আমার শহরে যেখানে S থাকে, আমাদের একটি সম্প্রদায় পৃষ্ঠা আছে। আমি দূরে চলে গিয়েছি। অন্য রাতে আমি একটা খুব খারাপ দুর্ঘটনার কথা পোস্ট করেছিলাম। কমেন্ট সেকশনের নিচে S-এর মা বলেছিলেন যে আমাকে লোকেদের বিচার করা বন্ধ করতে হবে এবং আমি খুব একটা ভালো নই। তা"&amp;"রপর তিনি আরও বললেন যে আমি তার মেয়েদের জীবন নষ্ট করে দিয়েছি। প্রতি কয়েক বছর পর পর ফেসবুকে এই বার্তাগুলি ছাড়া S-এর সাথে আমার আর কোনও যোগাযোগ হয়নি। মন্তব্যটি করার পর আমি তার মায়ের কাছ থেকে একটি বার্তা পেয়েছিলাম যে ""তুমি বোকামি ছেড়ে দাও।"" অবশ্যই, এত"&amp;"ে সম্প্রদায়ের লোকেরা কথা বলতে শুরু করে, তাই আমি S-এর মাকে উত্তর দিয়েছিলাম যে আমি 2010 সালে তার মেয়ের সাথে বন্ধুত্ব করেছি, আমার কোনও ভালো আচরণ নেই এবং আমি নিখুঁত নই। তারপর S-এর মাকে ব্লক করেছিলাম এবং নিশ্চিত করেছিলাম যে মেয়েকেও ব্লক করা হয়েছে। সম্প্রদ"&amp;"ায়ের লোকেরা আমার পক্ষ নিয়েছে যে S-এর মা একটি কমিউনিটি পেজে এই বিষয়টি তুলে ধরার জন্য ভুল করেছেন। আমি S-এর জন্য দুঃখিত এবং আমি চাই সে সাহায্য পাক। বন্ধুত্ব শেষ হওয়ার পর থেকে সে তার 8 তম DUI পেয়েছে এবং এমনকি তার বিরুদ্ধে শিশুদের বিপদে ফেলার অভিযোগও রয়ে"&amp;"ছে। আমি এখন একজন ভিন্ন ব্যক্তি। এই বার্তাগুলি পাওয়ার পর আমার নিজের শহর এবং পুরানো জীবন থেকে আরও দূরে সরে যেতে ইচ্ছে করছে।")</f>
        <v>আমি চাইতাম এই ব্যক্তির সাথে আমার কখনো বন্ধুত্ব না হোক। ঠিক আছে, সংক্ষেপে বলতে গেলে, ২৩ বছর বয়সে আমি আমার সবচেয়ে ভালো বন্ধু এবং বোনকে ক্যান্সারে হারিয়েছিলাম। জীবনের সাথে কিছুক্ষণ লড়াই করেছিলাম। তাছাড়া, আমার এক বন্ধু S-এর সাথে দেখা হয়েছিল যে আমার থেকে কয়েক বছরের বড় ছিল কিন্তু তার কোন চাকরি ছিল না। তাছাড়া, আমি একজন ভালো বন্ধু হওয়ার চেষ্টা করেছিলাম এবং তাকে বেশ কয়েকটি চাকরির ইন্টারভিউতে নিয়ে গিয়েছিলাম। আমার বন্ধু S-এর মদ্যপানের সমস্যা ছিল। আমি শোকের মাঝখানে ছিলাম তাই কিছুক্ষণের জন্য আমি তার সাথে কঠোর পার্টিতে মেতে উঠি। আমি কখনও বদমাশ ছিলাম না এবং সবসময় নিয়ম মেনে চলি। দ্রুত আমি বুঝতে পারি যে আমি একজন বিশাল AH-তে পরিণত হয়েছি। সৌভাগ্যবশত মোড় আসে যখন আমি আইনি ক্ষেত্রে চাকরির প্রস্তাব পাই। আমার জীবনযাত্রা বন্ধ করতে হয়েছিল। আমি আমার জীবন বদলে দিয়েছিলাম এবং অতিরিক্ত মদ্যপান বন্ধ করে দিয়েছিলাম। আমার বন্ধু S অবশেষে মাদকাসক্ত হয়ে পড়ে এবং এমনকি আমার প্রেসক্রিপশনের ওষুধও চুরি করে। এটাই ছিল আমাদের বন্ধুত্বের শেষ খড়। বছরের পর বছর ধরে, S আমাকে আবার তার সাথে বন্ধুত্ব করার চেষ্টা করেছে। আমি প্রত্যাখ্যান করেছি। আমার শহরে যেখানে S থাকে, আমাদের একটি সম্প্রদায় পৃষ্ঠা আছে। আমি দূরে চলে গিয়েছি। অন্য রাতে আমি একটা খুব খারাপ দুর্ঘটনার কথা পোস্ট করেছিলাম। কমেন্ট সেকশনের নিচে S-এর মা বলেছিলেন যে আমাকে লোকেদের বিচার করা বন্ধ করতে হবে এবং আমি খুব একটা ভালো নই। তারপর তিনি আরও বললেন যে আমি তার মেয়েদের জীবন নষ্ট করে দিয়েছি। প্রতি কয়েক বছর পর পর ফেসবুকে এই বার্তাগুলি ছাড়া S-এর সাথে আমার আর কোনও যোগাযোগ হয়নি। মন্তব্যটি করার পর আমি তার মায়ের কাছ থেকে একটি বার্তা পেয়েছিলাম যে "তুমি বোকামি ছেড়ে দাও।" অবশ্যই, এতে সম্প্রদায়ের লোকেরা কথা বলতে শুরু করে, তাই আমি S-এর মাকে উত্তর দিয়েছিলাম যে আমি 2010 সালে তার মেয়ের সাথে বন্ধুত্ব করেছি, আমার কোনও ভালো আচরণ নেই এবং আমি নিখুঁত নই। তারপর S-এর মাকে ব্লক করেছিলাম এবং নিশ্চিত করেছিলাম যে মেয়েকেও ব্লক করা হয়েছে। সম্প্রদায়ের লোকেরা আমার পক্ষ নিয়েছে যে S-এর মা একটি কমিউনিটি পেজে এই বিষয়টি তুলে ধরার জন্য ভুল করেছেন। আমি S-এর জন্য দুঃখিত এবং আমি চাই সে সাহায্য পাক। বন্ধুত্ব শেষ হওয়ার পর থেকে সে তার 8 তম DUI পেয়েছে এবং এমনকি তার বিরুদ্ধে শিশুদের বিপদে ফেলার অভিযোগও রয়েছে। আমি এখন একজন ভিন্ন ব্যক্তি। এই বার্তাগুলি পাওয়ার পর আমার নিজের শহর এবং পুরানো জীবন থেকে আরও দূরে সরে যেতে ইচ্ছে করছে।</v>
      </c>
    </row>
    <row r="1210" spans="1:3" ht="15" x14ac:dyDescent="0.25">
      <c r="A1210" s="3" t="s">
        <v>1206</v>
      </c>
      <c r="B1210" s="3" t="s">
        <v>997</v>
      </c>
      <c r="C1210" s="4" t="str">
        <f ca="1">IFERROR(__xludf.DUMMYFUNCTION("GOOGLETRANSLATE(A1210, ""auto"", ""bn"")"),"আমার বয়স বিশের কোঠার প্রথম দিকে, আর আমি নিজেকে অতিরিক্ত মদ্যপানকারী মনে করি। আমার লিভারের স্বাস্থ্য নিয়ে আমি একটু চিন্তিত, তাই ভাবছিলাম আমার লিভার পরীক্ষা করার জন্য কি রক্ত ​​পরীক্ষা করা উচিত? তাছাড়া, আমার মনে হয় না যে আমার লিভার ক্ষতিগ্রস্ত হয়েছে এমন কো"&amp;"নও স্পষ্ট লক্ষণ আছে, তবে দুঃখিত হওয়ার চেয়ে নিরাপদ থাকাই ভালো।")</f>
        <v>আমার বয়স বিশের কোঠার প্রথম দিকে, আর আমি নিজেকে অতিরিক্ত মদ্যপানকারী মনে করি। আমার লিভারের স্বাস্থ্য নিয়ে আমি একটু চিন্তিত, তাই ভাবছিলাম আমার লিভার পরীক্ষা করার জন্য কি রক্ত ​​পরীক্ষা করা উচিত? তাছাড়া, আমার মনে হয় না যে আমার লিভার ক্ষতিগ্রস্ত হয়েছে এমন কোনও স্পষ্ট লক্ষণ আছে, তবে দুঃখিত হওয়ার চেয়ে নিরাপদ থাকাই ভালো।</v>
      </c>
    </row>
    <row r="1211" spans="1:3" ht="15" x14ac:dyDescent="0.25">
      <c r="A1211" s="3" t="s">
        <v>1207</v>
      </c>
      <c r="B1211" s="3" t="s">
        <v>997</v>
      </c>
      <c r="C1211" s="4" t="str">
        <f ca="1">IFERROR(__xludf.DUMMYFUNCTION("GOOGLETRANSLATE(A1211, ""auto"", ""bn"")"),"দশ বছরেরও বেশি সময় ধরে আমি মদ্যপানের নেশায় আসক্ত, কিন্তু আমি তা অনেকটাই কমিয়ে দিয়েছি। আমার বয়স যখন ২০-এর কোঠার শুরুতে, তখন আমি সারাদিন ক্লান্ত থাকতাম এবং কর্মক্ষেত্রে মাতাল থাকতাম। আজকাল আমি কর্মক্ষেত্রে যাই এবং সপ্তাহান্তে সকাল থেকে রাত পর্যন্ত মদ্য"&amp;"পান করি। গত রাতে আমার বান্ধবী ঘুমাতে যাওয়ার পর আমি স্বাভাবিকের চেয়ে অনেক বেশি মদ্যপান করি। আজ আমি মদ্যপান করছিলাম, এবং আমরা আমার বান্ধবীর বাবা-মায়ের সাথে একদিনের ভ্রমণে গিয়েছিলাম। আমরা যখন একটি রেস্তোরাঁয় হাঁটছিলাম, তখন আমি হঠাৎ অজ্ঞান হয়ে গেলাম এবং"&amp;" পাথরের উপর পড়ে গেলাম এবং নিজেকে সত্যিই আহত করলাম। ব্যথা এতটাই তীব্র ছিল যে আমি জ্ঞান ফিরে আসার পরেও পড়ে যেতে থাকি। আমি কেবল বুঝতে চেষ্টা করছি কী হচ্ছে। আমি এর আগে কখনও এমন কিছু করিনি।")</f>
        <v>দশ বছরেরও বেশি সময় ধরে আমি মদ্যপানের নেশায় আসক্ত, কিন্তু আমি তা অনেকটাই কমিয়ে দিয়েছি। আমার বয়স যখন ২০-এর কোঠার শুরুতে, তখন আমি সারাদিন ক্লান্ত থাকতাম এবং কর্মক্ষেত্রে মাতাল থাকতাম। আজকাল আমি কর্মক্ষেত্রে যাই এবং সপ্তাহান্তে সকাল থেকে রাত পর্যন্ত মদ্যপান করি। গত রাতে আমার বান্ধবী ঘুমাতে যাওয়ার পর আমি স্বাভাবিকের চেয়ে অনেক বেশি মদ্যপান করি। আজ আমি মদ্যপান করছিলাম, এবং আমরা আমার বান্ধবীর বাবা-মায়ের সাথে একদিনের ভ্রমণে গিয়েছিলাম। আমরা যখন একটি রেস্তোরাঁয় হাঁটছিলাম, তখন আমি হঠাৎ অজ্ঞান হয়ে গেলাম এবং পাথরের উপর পড়ে গেলাম এবং নিজেকে সত্যিই আহত করলাম। ব্যথা এতটাই তীব্র ছিল যে আমি জ্ঞান ফিরে আসার পরেও পড়ে যেতে থাকি। আমি কেবল বুঝতে চেষ্টা করছি কী হচ্ছে। আমি এর আগে কখনও এমন কিছু করিনি।</v>
      </c>
    </row>
    <row r="1212" spans="1:3" ht="15" x14ac:dyDescent="0.25">
      <c r="A1212" s="3" t="s">
        <v>1208</v>
      </c>
      <c r="B1212" s="3" t="s">
        <v>997</v>
      </c>
      <c r="C1212" s="4" t="str">
        <f ca="1">IFERROR(__xludf.DUMMYFUNCTION("GOOGLETRANSLATE(A1212, ""auto"", ""bn"")"),"আমি আবিষ্কার করলাম আমার বান্ধবী আমার সাথে প্রতারণা করছে, এবং এটি আমাকে বেশ খারাপভাবে পুনরুত্থিত করেছে যেখানে আমি গত দুই সপ্তাহ ঠিক মনে করতে পারছি না। যাই হোক, তার সাথে ফোনে মাতাল চিৎকার করার পরে আমার একটি শব্দের অভিযোগ ছিল। যাই হোক, আমি নিশ্চিত যে আমি এখন"&amp;" সুস্থ থাকব কারণ আমি এইরকম আর এক বছর থাকতে পারছি না।")</f>
        <v>আমি আবিষ্কার করলাম আমার বান্ধবী আমার সাথে প্রতারণা করছে, এবং এটি আমাকে বেশ খারাপভাবে পুনরুত্থিত করেছে যেখানে আমি গত দুই সপ্তাহ ঠিক মনে করতে পারছি না। যাই হোক, তার সাথে ফোনে মাতাল চিৎকার করার পরে আমার একটি শব্দের অভিযোগ ছিল। যাই হোক, আমি নিশ্চিত যে আমি এখন সুস্থ থাকব কারণ আমি এইরকম আর এক বছর থাকতে পারছি না।</v>
      </c>
    </row>
    <row r="1213" spans="1:3" ht="15" x14ac:dyDescent="0.25">
      <c r="A1213" s="3" t="s">
        <v>1209</v>
      </c>
      <c r="B1213" s="3" t="s">
        <v>997</v>
      </c>
      <c r="C1213" s="4" t="str">
        <f ca="1">IFERROR(__xludf.DUMMYFUNCTION("GOOGLETRANSLATE(A1213, ""auto"", ""bn"")"),"আশা করি সবাই ঠিকঠাক আছেন... আমি আমার ট্রিগারগুলো ব্যবহার করার কথা ভাবছিলাম... এটা আবেগ... তাছাড়া, আন্তঃব্যক্তিক স্তরে কঠিন জিনিসগুলোর সাথে আমি ভালোভাবে মোকাবিলা করতে পারি না... তাছাড়া, আমার মনে হয় মহামারী এটিকেও বাড়িয়ে দিয়েছে... একাকীত্ব, বিচ্ছিন্নত"&amp;"া... এই ধরণের জিনিস। তাছাড়া, আমি একা থাকি এবং বাড়ি থেকে কাজ করি, তাই আমি একা। তাছাড়া, আমার পরিবারের সাথেও আমার ভালো সম্পর্ক নেই। তাছাড়া, আমি এটা নিয়ে কাজ করছি। এখনই AA মিটিংয়ে ফিরে যাওয়ার জন্য দৃঢ়প্রতিজ্ঞ, একজন থেরাপিস্টের সাথে দেখা করার জন্য অপেক"&amp;"্ষা তালিকায়, আমার মানসিক ডাক্তারের সাথে কিছু ওষুধ ঠিক করার জন্য, তাই। আমি ব্যবসা দেখছি।")</f>
        <v>আশা করি সবাই ঠিকঠাক আছেন... আমি আমার ট্রিগারগুলো ব্যবহার করার কথা ভাবছিলাম... এটা আবেগ... তাছাড়া, আন্তঃব্যক্তিক স্তরে কঠিন জিনিসগুলোর সাথে আমি ভালোভাবে মোকাবিলা করতে পারি না... তাছাড়া, আমার মনে হয় মহামারী এটিকেও বাড়িয়ে দিয়েছে... একাকীত্ব, বিচ্ছিন্নতা... এই ধরণের জিনিস। তাছাড়া, আমি একা থাকি এবং বাড়ি থেকে কাজ করি, তাই আমি একা। তাছাড়া, আমার পরিবারের সাথেও আমার ভালো সম্পর্ক নেই। তাছাড়া, আমি এটা নিয়ে কাজ করছি। এখনই AA মিটিংয়ে ফিরে যাওয়ার জন্য দৃঢ়প্রতিজ্ঞ, একজন থেরাপিস্টের সাথে দেখা করার জন্য অপেক্ষা তালিকায়, আমার মানসিক ডাক্তারের সাথে কিছু ওষুধ ঠিক করার জন্য, তাই। আমি ব্যবসা দেখছি।</v>
      </c>
    </row>
    <row r="1214" spans="1:3" ht="15" x14ac:dyDescent="0.25">
      <c r="A1214" s="3" t="s">
        <v>1210</v>
      </c>
      <c r="B1214" s="3" t="s">
        <v>997</v>
      </c>
      <c r="C1214" s="4" t="str">
        <f ca="1">IFERROR(__xludf.DUMMYFUNCTION("GOOGLETRANSLATE(A1214, ""auto"", ""bn"")"),"আমি সন্ধ্যায় মদ্যপান শুরু করি এবং বেশিরভাগ সময়ই ঠিকঠাক শেষ হয়। সকালে ঘুম থেকে উঠে এখনও নিজেকে হারিয়ে ফেলার মতো অনুভূতি হয়, কিন্তু অন্তত ভদকার এক বোতলও খাইনি। কিন্তু রাতে যখনই আমি কারো সাথে ফোনে কথা বলি (যার কারণে আমি রাতে কারো সাথে কথা না বলার চেষ্টা করি)"&amp;" অথবা যখন আমার ভাইবোন রাতে থাকতে আসে, তখনই আমি চরম মাত্রায় চলে যাই। সবসময়, সবসময়ই আমি ক্লান্ত হয়ে পড়ি এবং ঘুম থেকে ওঠার আগেই বুঝতে পারি যে আমি খুব খারাপভাবে খারাপ কাজ করেছি, হ্যাংওভারের প্রভাব অনুভব করছি এবং আমি কী বোকামি করেছি বা কী করেছি তা নিয়ে চরম উদ"&amp;"্বেগ অনুভব করছি। এটা আক্ষরিক অর্থেই সবচেয়ে খারাপ অনুভূতি। তবুও আমি এখনও এই কাজটি করতে থাকি। দিনের বেলায় যদি আমি মানুষের সাথে কথা বলি, আমি কাঁপতে থাকি, ঘামতে থাকি, অনেক উদ্বেগ অনুভব করি। তাই অনেক সময় আমি কখনই আমার ফোন রিসিভ করি না এবং সবাই সবসময় অভিযোগ "&amp;"করে যে আমি ""সংস্পর্শে আসা সবচেয়ে কঠিন ব্যক্তি?""। আচ্ছা, তারা যা জানে না তা হল আমি তাদের এড়িয়ে চলি কারণ এটি আমাকে চাপ দেয়, এবং আমি জানি না কেন। আমার মোবাইল ফোনের প্রতি অনেক বিরক্তি আছে। আমি আর চাই না। মানুষ যখন ফোন করলেই ফোন ধরবে বলে আমার ফোন ধরতে হব"&amp;"ে, তখন আমি খুব ক্লান্ত এবং ক্লান্ত। এই ডিভাইসের সাথে আবদ্ধ থাকতে থাকতে আমি বিরক্ত। তাছাড়া, আমি যদি সেই ল্যান্ডলাইনের দিনগুলিতে ফিরে যেতে পারতাম যেখানে ফোন ধরবে বলে আশা করা হত না, আর আমাদের কাছে শুধু এই কারণেই ফোন উত্তর দেওয়ার মেশিন ছিল। মানুষ সাধারণত আপ"&amp;"নার সাথে যোগাযোগ না করলে রেগে যেত না। আজকাল মনে হয় আমার মোবাইল ফোন আছে বলে মানুষ ভাবে যে আমি আমার ফোনের দিকে ২৪/৭ তাকিয়ে আছি এবং ইচ্ছাকৃতভাবে তাদের ফোন উপেক্ষা করছি। এটা সত্য নয়, আমি আমার ফোন বন্ধ রাখার চেষ্টা করেছি, এবং কখনও কখনও আমি খেয়াল করি না যে "&amp;"আমার ফোন ঠিক কোথায় আছে। কিন্তু হ্যাঁ, এমন সময় আসে যখন আমি কাউকে ফোন করলেও আমি উত্তর দেই না কারণ আমি কথা বলার মানসিকতা রাখি না। যাই হোক, এমন সময় আসবে যখন আমি সন্ধ্যায় কাউকে ফোন করতে দেখি এবং আমি জানি যে আমি যথেষ্ট সাড়া দেইনি, এবং আমি উত্তর দেওয়ার জন্"&amp;"য চাপ অনুভব করি, তাই আমিও করি। আমি তাদের ফোন করি অথবা ফোন করি, আর সাথে সাথেই মদ্যপান শুরু করি। আর তারপর কথোপকথন ভালো হোক বা খারাপ, আমি বারবারই কথা বলতে থাকি। মানুষের সাথে কথা না বললে আমি এমন একটা মাত্রায় যা করি না। মনে হচ্ছে আমি কথা বলতে পারছি না, স্বাভাব"&amp;"িক থাকতে পারছি না, চাপমুক্ত থাকতে পারছি না, যদি না আমি মদ্যপান করি। কিন্তু তারপর আমি এটাকে অনেক দূর নিয়ে যাই। তারপর যখন আমি পরের দিন ঘুম থেকে উঠি, তখন সারাদিন আমি এমন কিছু মনে রাখার জন্য কাতরাতে থাকি, ভয় পাই, আর এমন কিছু ভেবে আতঙ্কিত হই যা আমি মনে করতে পা"&amp;"রি না, ফোন থেকে লুকিয়ে থাকি, সোশ্যাল মিডিয়া থেকে লগ আউট করি কারণ আমি ভয় পাই যে আমি কী বোকামি করে বলেছি, আর আমি এমনকি তার মুখোমুখিও হতে পারি না। আমি এমনকি নোটিফিকেশন দেখতেও পারছি না। এটা পাগলামি। কেন?। সারাদিন আমি কীভাবে এই পরিস্থিতির মধ্য দিয়ে যেতে পার"&amp;"ি এবং তারপর যখন সন্ধ্যা ৭টা বেজে যায়, তখন আবার মদ্যপান শুরু করি। ভাবি যে আমি কেবল এক বা দুটি পানীয় খেতে পারি যখন এটি কখনও ঘটবে না। আমি সত্যিই নিজেকে সত্যিই ঘৃণা করি। খুব বেশিদিন পরেই আমার পরিচিত সবাই এবং আমার পরিচিত অচেনা অনেকেই আমাকে এতটা ঘৃণা করবে। স্"&amp;"পষ্টতই, পরিষ্কার হওয়া ছাড়া আর কোনও ভালো সমাধান নেই, যা আমার মনে হয় এই মুহূর্তে একেবারেই অসম্ভব। দিনের শেষে আমি এতটাই চাপে থাকি এবং শরীরে ব্যথা অনুভব করি যে, মদ্যপান না করে সবকিছু বন্ধ করা অসম্ভব বলে মনে হয়। কিন্তু আমি নিজের উপর এতটাই বিরক্ত যে, মদ্যপা"&amp;"নের সময় আমি যা করেছি তা নিয়ে সারাদিন এত যন্ত্রণা সহ্য করতে পারি এবং তারপর বারবার তা করতে থাকি। এটা বোকামি।")</f>
        <v>আমি সন্ধ্যায় মদ্যপান শুরু করি এবং বেশিরভাগ সময়ই ঠিকঠাক শেষ হয়। সকালে ঘুম থেকে উঠে এখনও নিজেকে হারিয়ে ফেলার মতো অনুভূতি হয়, কিন্তু অন্তত ভদকার এক বোতলও খাইনি। কিন্তু রাতে যখনই আমি কারো সাথে ফোনে কথা বলি (যার কারণে আমি রাতে কারো সাথে কথা না বলার চেষ্টা করি) অথবা যখন আমার ভাইবোন রাতে থাকতে আসে, তখনই আমি চরম মাত্রায় চলে যাই। সবসময়, সবসময়ই আমি ক্লান্ত হয়ে পড়ি এবং ঘুম থেকে ওঠার আগেই বুঝতে পারি যে আমি খুব খারাপভাবে খারাপ কাজ করেছি, হ্যাংওভারের প্রভাব অনুভব করছি এবং আমি কী বোকামি করেছি বা কী করেছি তা নিয়ে চরম উদ্বেগ অনুভব করছি। এটা আক্ষরিক অর্থেই সবচেয়ে খারাপ অনুভূতি। তবুও আমি এখনও এই কাজটি করতে থাকি। দিনের বেলায় যদি আমি মানুষের সাথে কথা বলি, আমি কাঁপতে থাকি, ঘামতে থাকি, অনেক উদ্বেগ অনুভব করি। তাই অনেক সময় আমি কখনই আমার ফোন রিসিভ করি না এবং সবাই সবসময় অভিযোগ করে যে আমি "সংস্পর্শে আসা সবচেয়ে কঠিন ব্যক্তি?"। আচ্ছা, তারা যা জানে না তা হল আমি তাদের এড়িয়ে চলি কারণ এটি আমাকে চাপ দেয়, এবং আমি জানি না কেন। আমার মোবাইল ফোনের প্রতি অনেক বিরক্তি আছে। আমি আর চাই না। মানুষ যখন ফোন করলেই ফোন ধরবে বলে আমার ফোন ধরতে হবে, তখন আমি খুব ক্লান্ত এবং ক্লান্ত। এই ডিভাইসের সাথে আবদ্ধ থাকতে থাকতে আমি বিরক্ত। তাছাড়া, আমি যদি সেই ল্যান্ডলাইনের দিনগুলিতে ফিরে যেতে পারতাম যেখানে ফোন ধরবে বলে আশা করা হত না, আর আমাদের কাছে শুধু এই কারণেই ফোন উত্তর দেওয়ার মেশিন ছিল। মানুষ সাধারণত আপনার সাথে যোগাযোগ না করলে রেগে যেত না। আজকাল মনে হয় আমার মোবাইল ফোন আছে বলে মানুষ ভাবে যে আমি আমার ফোনের দিকে ২৪/৭ তাকিয়ে আছি এবং ইচ্ছাকৃতভাবে তাদের ফোন উপেক্ষা করছি। এটা সত্য নয়, আমি আমার ফোন বন্ধ রাখার চেষ্টা করেছি, এবং কখনও কখনও আমি খেয়াল করি না যে আমার ফোন ঠিক কোথায় আছে। কিন্তু হ্যাঁ, এমন সময় আসে যখন আমি কাউকে ফোন করলেও আমি উত্তর দেই না কারণ আমি কথা বলার মানসিকতা রাখি না। যাই হোক, এমন সময় আসবে যখন আমি সন্ধ্যায় কাউকে ফোন করতে দেখি এবং আমি জানি যে আমি যথেষ্ট সাড়া দেইনি, এবং আমি উত্তর দেওয়ার জন্য চাপ অনুভব করি, তাই আমিও করি। আমি তাদের ফোন করি অথবা ফোন করি, আর সাথে সাথেই মদ্যপান শুরু করি। আর তারপর কথোপকথন ভালো হোক বা খারাপ, আমি বারবারই কথা বলতে থাকি। মানুষের সাথে কথা না বললে আমি এমন একটা মাত্রায় যা করি না। মনে হচ্ছে আমি কথা বলতে পারছি না, স্বাভাবিক থাকতে পারছি না, চাপমুক্ত থাকতে পারছি না, যদি না আমি মদ্যপান করি। কিন্তু তারপর আমি এটাকে অনেক দূর নিয়ে যাই। তারপর যখন আমি পরের দিন ঘুম থেকে উঠি, তখন সারাদিন আমি এমন কিছু মনে রাখার জন্য কাতরাতে থাকি, ভয় পাই, আর এমন কিছু ভেবে আতঙ্কিত হই যা আমি মনে করতে পারি না, ফোন থেকে লুকিয়ে থাকি, সোশ্যাল মিডিয়া থেকে লগ আউট করি কারণ আমি ভয় পাই যে আমি কী বোকামি করে বলেছি, আর আমি এমনকি তার মুখোমুখিও হতে পারি না। আমি এমনকি নোটিফিকেশন দেখতেও পারছি না। এটা পাগলামি। কেন?। সারাদিন আমি কীভাবে এই পরিস্থিতির মধ্য দিয়ে যেতে পারি এবং তারপর যখন সন্ধ্যা ৭টা বেজে যায়, তখন আবার মদ্যপান শুরু করি। ভাবি যে আমি কেবল এক বা দুটি পানীয় খেতে পারি যখন এটি কখনও ঘটবে না। আমি সত্যিই নিজেকে সত্যিই ঘৃণা করি। খুব বেশিদিন পরেই আমার পরিচিত সবাই এবং আমার পরিচিত অচেনা অনেকেই আমাকে এতটা ঘৃণা করবে। স্পষ্টতই, পরিষ্কার হওয়া ছাড়া আর কোনও ভালো সমাধান নেই, যা আমার মনে হয় এই মুহূর্তে একেবারেই অসম্ভব। দিনের শেষে আমি এতটাই চাপে থাকি এবং শরীরে ব্যথা অনুভব করি যে, মদ্যপান না করে সবকিছু বন্ধ করা অসম্ভব বলে মনে হয়। কিন্তু আমি নিজের উপর এতটাই বিরক্ত যে, মদ্যপানের সময় আমি যা করেছি তা নিয়ে সারাদিন এত যন্ত্রণা সহ্য করতে পারি এবং তারপর বারবার তা করতে থাকি। এটা বোকামি।</v>
      </c>
    </row>
    <row r="1215" spans="1:3" ht="15" x14ac:dyDescent="0.25">
      <c r="A1215" s="3" t="s">
        <v>1211</v>
      </c>
      <c r="B1215" s="3" t="s">
        <v>997</v>
      </c>
      <c r="C1215" s="4" t="str">
        <f ca="1">IFERROR(__xludf.DUMMYFUNCTION("GOOGLETRANSLATE(A1215, ""auto"", ""bn"")"),"আজ আমি ঠিক ছিলাম, আর তারপর আমি অন্য একজনের সম্পর্কে একটা পোস্ট পড়লাম যে লড়াই করছে (এবং এটি এই সাব-এও ছিল না, এটি আস্ক রেডিট সাব-এ ছিল এবং বিষয়টি এমনকি অ্যালকোহল সম্পর্কেও ছিল না) এবং আমি নিয়ন্ত্রণ হারিয়ে ফেললাম। আমার এখনও কিছু হয়নি, কিন্তু আজকের বাক"&amp;"ি দিনটি নোংরা না করে কাটাতে আমার সত্যিই খুব কষ্ট হচ্ছে। আমার হৃদয় দ্রুত স্পন্দিত হচ্ছে আমি নিজের সাথে লড়াই করার মতো। শুধু, লড়াইটা আসল। আমি আগে থেকেই নিজেকে ক্ষমা করার চেষ্টা করছি কিন্তু আমি পারছি না।")</f>
        <v>আজ আমি ঠিক ছিলাম, আর তারপর আমি অন্য একজনের সম্পর্কে একটা পোস্ট পড়লাম যে লড়াই করছে (এবং এটি এই সাব-এও ছিল না, এটি আস্ক রেডিট সাব-এ ছিল এবং বিষয়টি এমনকি অ্যালকোহল সম্পর্কেও ছিল না) এবং আমি নিয়ন্ত্রণ হারিয়ে ফেললাম। আমার এখনও কিছু হয়নি, কিন্তু আজকের বাকি দিনটি নোংরা না করে কাটাতে আমার সত্যিই খুব কষ্ট হচ্ছে। আমার হৃদয় দ্রুত স্পন্দিত হচ্ছে আমি নিজের সাথে লড়াই করার মতো। শুধু, লড়াইটা আসল। আমি আগে থেকেই নিজেকে ক্ষমা করার চেষ্টা করছি কিন্তু আমি পারছি না।</v>
      </c>
    </row>
    <row r="1216" spans="1:3" ht="15" x14ac:dyDescent="0.25">
      <c r="A1216" s="3" t="s">
        <v>1212</v>
      </c>
      <c r="B1216" s="3" t="s">
        <v>997</v>
      </c>
      <c r="C1216" s="4" t="str">
        <f ca="1">IFERROR(__xludf.DUMMYFUNCTION("GOOGLETRANSLATE(A1216, ""auto"", ""bn"")"),"আমার বয়স ৩১। ১৩ বছর ধরে মদ্যপান করছি। আমি ছেড়ে দেওয়ার সিদ্ধান্ত নিয়েছি। বর্তমানে আমার ৬ দিন। তাছাড়া, আমার মনে হয় আমি প্রাথমিক প্রত্যাহারের লক্ষণগুলো কাটিয়ে ফেলেছি। তবে, বর্তমানে আমার সমস্যা হল অভ্যাসের রীতিনীতি। আমার আগে খুব নির্দিষ্ট একটা অভ্যাস ছিল। আম"&amp;"ি বেশিরভাগ দিন ৮-৭ দিন কাজে থাকতাম। আমি কর্মক্ষেত্রে বা কাজের সময় বাড়ি থেকে কাজ করার সময় কখনোই মদ্যপান করতাম না। তবে, তারপর বাড়ি ফেরার পথে এবং সন্ধ্যার বাকি সময় মদ্যপান করতাম। জীবন আক্ষরিক অর্থেই দুই ভাগে বিভক্ত ছিল। কাজ ছেড়ে যাওয়া এবং বাড়ি ফিরে/রাতের খাব"&amp;"ার খাওয়ার মধ্যবর্তী সময়টা আমার কাছে সবচেয়ে কঠিন মনে হচ্ছে। আমার কেবল একটা বিয়ারের প্রতি আকুল অনুভূতি হচ্ছে। আমি এখনও হাল ছাড়িনি, শুধু ভাবছি যে আপনার মনকে এটা থেকে দূরে রাখার জন্য কোন টিপস আছে কিনা। আমি এখন পর্যন্ত জিম এড়িয়ে চলেছি যেমনটা আমি মূলত বাড়ি ফেরা"&amp;"র পথে মদ্যপান করতাম। তবে যখন মনে হয় যে আমি নিজেকে আরও বেশি বিশ্বাস করতে পারি, তখন আমি ফিরে আসতে পারি। আমার মনে ধূমপান ছেড়ে দেওয়ার কথা মনে পড়ে। কয়েক বছর আগে আমি ছেড়ে দিয়েছিলাম। তখন আমি বুঝতে পারলাম যে ধূমপান ছাড়ার প্রাথমিক যন্ত্রণা মদ্যপানের অভিজ্ঞতার চেয"&amp;"়ে অনেক বেশি খারাপ। যাইহোক, ২-৩ সপ্তাহ পর সেই অস্বস্তিকর অভ্যাস এবং সিগারেটের আকাঙ্ক্ষা অবশেষে চলে গেল, এবং আমি স্বাভাবিকভাবেই এটি নিয়ে চিন্তাভাবনা বন্ধ করে দিলাম। তাই আমি ভাবছি ১. এই যন্ত্রণা কাটিয়ে ওঠার জন্য কোন টিপস আছে কিনা এবং ২. সময়ের সাথে সাথে ক"&amp;"ি এটি চলে যায়? বুঝতে পারছি এটা প্রকাশ করার কিছুটা মজার উপায়, কিন্তু আমি কেবল ধূমপানের সাথে আমার অভিজ্ঞতার প্রেক্ষাপটে এটিকে ফ্রেম করতে পারি!")</f>
        <v>আমার বয়স ৩১। ১৩ বছর ধরে মদ্যপান করছি। আমি ছেড়ে দেওয়ার সিদ্ধান্ত নিয়েছি। বর্তমানে আমার ৬ দিন। তাছাড়া, আমার মনে হয় আমি প্রাথমিক প্রত্যাহারের লক্ষণগুলো কাটিয়ে ফেলেছি। তবে, বর্তমানে আমার সমস্যা হল অভ্যাসের রীতিনীতি। আমার আগে খুব নির্দিষ্ট একটা অভ্যাস ছিল। আমি বেশিরভাগ দিন ৮-৭ দিন কাজে থাকতাম। আমি কর্মক্ষেত্রে বা কাজের সময় বাড়ি থেকে কাজ করার সময় কখনোই মদ্যপান করতাম না। তবে, তারপর বাড়ি ফেরার পথে এবং সন্ধ্যার বাকি সময় মদ্যপান করতাম। জীবন আক্ষরিক অর্থেই দুই ভাগে বিভক্ত ছিল। কাজ ছেড়ে যাওয়া এবং বাড়ি ফিরে/রাতের খাবার খাওয়ার মধ্যবর্তী সময়টা আমার কাছে সবচেয়ে কঠিন মনে হচ্ছে। আমার কেবল একটা বিয়ারের প্রতি আকুল অনুভূতি হচ্ছে। আমি এখনও হাল ছাড়িনি, শুধু ভাবছি যে আপনার মনকে এটা থেকে দূরে রাখার জন্য কোন টিপস আছে কিনা। আমি এখন পর্যন্ত জিম এড়িয়ে চলেছি যেমনটা আমি মূলত বাড়ি ফেরার পথে মদ্যপান করতাম। তবে যখন মনে হয় যে আমি নিজেকে আরও বেশি বিশ্বাস করতে পারি, তখন আমি ফিরে আসতে পারি। আমার মনে ধূমপান ছেড়ে দেওয়ার কথা মনে পড়ে। কয়েক বছর আগে আমি ছেড়ে দিয়েছিলাম। তখন আমি বুঝতে পারলাম যে ধূমপান ছাড়ার প্রাথমিক যন্ত্রণা মদ্যপানের অভিজ্ঞতার চেয়ে অনেক বেশি খারাপ। যাইহোক, ২-৩ সপ্তাহ পর সেই অস্বস্তিকর অভ্যাস এবং সিগারেটের আকাঙ্ক্ষা অবশেষে চলে গেল, এবং আমি স্বাভাবিকভাবেই এটি নিয়ে চিন্তাভাবনা বন্ধ করে দিলাম। তাই আমি ভাবছি ১. এই যন্ত্রণা কাটিয়ে ওঠার জন্য কোন টিপস আছে কিনা এবং ২. সময়ের সাথে সাথে কি এটি চলে যায়? বুঝতে পারছি এটা প্রকাশ করার কিছুটা মজার উপায়, কিন্তু আমি কেবল ধূমপানের সাথে আমার অভিজ্ঞতার প্রেক্ষাপটে এটিকে ফ্রেম করতে পারি!</v>
      </c>
    </row>
    <row r="1217" spans="1:3" ht="15" x14ac:dyDescent="0.25">
      <c r="A1217" s="3" t="s">
        <v>1213</v>
      </c>
      <c r="B1217" s="3" t="s">
        <v>997</v>
      </c>
      <c r="C1217" s="4" t="str">
        <f ca="1">IFERROR(__xludf.DUMMYFUNCTION("GOOGLETRANSLATE(A1217, ""auto"", ""bn"")"),"আমার যতদূর মনে পড়ে সে দীর্ঘদিন ধরেই মদ্যপ। গত বসন্তে পরিস্থিতি খুব খারাপ হয়ে গিয়েছিল এবং আমি এবং আমার পরিবার তাকে ৩৫ ধারা (ম্যাসাচুসেটস) এর অধীনে পুনর্বাসনে রেখেছিলাম। আমি ভেবেছিলাম এটাই হয়তো শেষ চেষ্টা ছিল এবং সে মদ্যপান বন্ধ করবে। অল্প সময়ের জন্য আ"&amp;"শা ছিল। কিন্তু কিছুই বদলায়নি। সে এএ সভায় যাবে না এবং সে কোনও থেরাপিস্টের সাথে দেখা করবে না। সে ক্রমাগত বলে যে সে মদ্যপান বন্ধ করতে চায় কারণ সে ""এভাবে জীবনযাপন করতে ক্লান্ত""। কিন্তু সে কাজ করবে না। আমি খুব ক্লান্ত এবং ক্লান্ত। আমার একাংশ তাকে সাহায্যে"&amp;"র জন্য চাপ দিতে চায়। আমার অন্য অংশ আমার ক্ষতি কমাতে এবং তার জীবন থেকে বেরিয়ে আসতে চায়। চিরতরে। আর কখনও তার সাথে কথা বলবে না। আমি এই নিয়ে সত্যিই হতাশ এবং আমি জানি না কী করব।")</f>
        <v>আমার যতদূর মনে পড়ে সে দীর্ঘদিন ধরেই মদ্যপ। গত বসন্তে পরিস্থিতি খুব খারাপ হয়ে গিয়েছিল এবং আমি এবং আমার পরিবার তাকে ৩৫ ধারা (ম্যাসাচুসেটস) এর অধীনে পুনর্বাসনে রেখেছিলাম। আমি ভেবেছিলাম এটাই হয়তো শেষ চেষ্টা ছিল এবং সে মদ্যপান বন্ধ করবে। অল্প সময়ের জন্য আশা ছিল। কিন্তু কিছুই বদলায়নি। সে এএ সভায় যাবে না এবং সে কোনও থেরাপিস্টের সাথে দেখা করবে না। সে ক্রমাগত বলে যে সে মদ্যপান বন্ধ করতে চায় কারণ সে "এভাবে জীবনযাপন করতে ক্লান্ত"। কিন্তু সে কাজ করবে না। আমি খুব ক্লান্ত এবং ক্লান্ত। আমার একাংশ তাকে সাহায্যের জন্য চাপ দিতে চায়। আমার অন্য অংশ আমার ক্ষতি কমাতে এবং তার জীবন থেকে বেরিয়ে আসতে চায়। চিরতরে। আর কখনও তার সাথে কথা বলবে না। আমি এই নিয়ে সত্যিই হতাশ এবং আমি জানি না কী করব।</v>
      </c>
    </row>
    <row r="1218" spans="1:3" ht="15" x14ac:dyDescent="0.25">
      <c r="A1218" s="3" t="s">
        <v>1214</v>
      </c>
      <c r="B1218" s="3" t="s">
        <v>997</v>
      </c>
      <c r="C1218" s="4" t="str">
        <f ca="1">IFERROR(__xludf.DUMMYFUNCTION("GOOGLETRANSLATE(A1218, ""auto"", ""bn"")"),"প্রথমত, মদ্যপান ছেড়ে দেওয়ার পর থেকে এই গ্রুপটি প্রথম কয়েক সপ্তাহে অনেক সাহায্য করেছে, তাই আপনাকে ধন্যবাদ! আমার এখন ৩ সপ্তাহেরও বেশি সময় হয়ে গেছে কিন্তু অদ্ভুত একটা ব্যাপার হলো আমার ক্ষুধা কমে যাওয়া। আমি হয়তো দিনে একবার খাই, যদি না আমি নিজেকে জোর কর"&amp;"ি। তাছাড়া, আমার ক্ষুধা নেই। অন্য কারো কি এই অভিজ্ঞতা হয়েছে?")</f>
        <v>প্রথমত, মদ্যপান ছেড়ে দেওয়ার পর থেকে এই গ্রুপটি প্রথম কয়েক সপ্তাহে অনেক সাহায্য করেছে, তাই আপনাকে ধন্যবাদ! আমার এখন ৩ সপ্তাহেরও বেশি সময় হয়ে গেছে কিন্তু অদ্ভুত একটা ব্যাপার হলো আমার ক্ষুধা কমে যাওয়া। আমি হয়তো দিনে একবার খাই, যদি না আমি নিজেকে জোর করি। তাছাড়া, আমার ক্ষুধা নেই। অন্য কারো কি এই অভিজ্ঞতা হয়েছে?</v>
      </c>
    </row>
    <row r="1219" spans="1:3" ht="15" x14ac:dyDescent="0.25">
      <c r="A1219" s="3" t="s">
        <v>1215</v>
      </c>
      <c r="B1219" s="3" t="s">
        <v>997</v>
      </c>
      <c r="C1219" s="4" t="str">
        <f ca="1">IFERROR(__xludf.DUMMYFUNCTION("GOOGLETRANSLATE(A1219, ""auto"", ""bn"")"),"প্রথমত, এই সাব-টি দেখতে অসাধারণ একদল মানুষের মতো। রেডডিট যখন বন্ধুবান্ধব এবং ইন্টারনেটে অপরিচিতদের সমর্থকদের একটি সম্প্রদায়, তখন আমি খুব ভালোবাসি। আমার গল্প আমি সারা জীবন ধরেই নিয়মিত মদ্যপান করেছি, কিন্তু কোভিডের পর থেকে আমি প্রতিদিন ২-৪টি পানীয় পান কর"&amp;"ি। সম্প্রতি, সকাল ৬-৭ টায় কাজ শুরু করার সময় এটি এক আউন্স রাম পানে পরিণত হয়েছে কারণ আমার মাথায় বিষণ্ণতা অনুভব হয়। বিকেলে আরও দুই আউন্স পান করি; কখনও কখনও এটি অনুভূতি কমায় না। আমি কখনও অতিরিক্ত মদ্যপান করি না, খুব কমই মাতাল এবং বোকামি করি -- বছরে মাত্"&amp;"র ২-৪টি পানীয়, ৩৬৫ দিন। হয়তো আমি বিষণ্ণতা ঢাকতে পান করতাম, কিন্তু এখন আমি একই কারণে পান করি যে ধূমপায়ীরা সিগারেট বিরতি নেয়।")</f>
        <v>প্রথমত, এই সাব-টি দেখতে অসাধারণ একদল মানুষের মতো। রেডডিট যখন বন্ধুবান্ধব এবং ইন্টারনেটে অপরিচিতদের সমর্থকদের একটি সম্প্রদায়, তখন আমি খুব ভালোবাসি। আমার গল্প আমি সারা জীবন ধরেই নিয়মিত মদ্যপান করেছি, কিন্তু কোভিডের পর থেকে আমি প্রতিদিন ২-৪টি পানীয় পান করি। সম্প্রতি, সকাল ৬-৭ টায় কাজ শুরু করার সময় এটি এক আউন্স রাম পানে পরিণত হয়েছে কারণ আমার মাথায় বিষণ্ণতা অনুভব হয়। বিকেলে আরও দুই আউন্স পান করি; কখনও কখনও এটি অনুভূতি কমায় না। আমি কখনও অতিরিক্ত মদ্যপান করি না, খুব কমই মাতাল এবং বোকামি করি -- বছরে মাত্র ২-৪টি পানীয়, ৩৬৫ দিন। হয়তো আমি বিষণ্ণতা ঢাকতে পান করতাম, কিন্তু এখন আমি একই কারণে পান করি যে ধূমপায়ীরা সিগারেট বিরতি নেয়।</v>
      </c>
    </row>
    <row r="1220" spans="1:3" ht="15" x14ac:dyDescent="0.25">
      <c r="A1220" s="3" t="s">
        <v>1216</v>
      </c>
      <c r="B1220" s="3" t="s">
        <v>997</v>
      </c>
      <c r="C1220" s="4" t="str">
        <f ca="1">IFERROR(__xludf.DUMMYFUNCTION("GOOGLETRANSLATE(A1220, ""auto"", ""bn"")"),"এক বছর আগে আমার আত্মীয়ের সাথে ব্রেকআপ হয়েছে, মদ আমার একমাত্র বন্ধু, এমনকি আমি সপ্তাহ ধরে শান্ত আছি। আমার ভেতরে শূন্যতা অনুভব করছি, আমার মা আমাকে কত ভদকা বা বিয়ারের জন্য ঘৃণা করেন এবং তিনিই সবচেয়ে সুন্দর মানুষ, মা হিসেবে আমার ভাইবোনেরা আমার উপর আশা হারিয়"&amp;"ে ফেলেছে, তারা মনে করে আমি মাদক গ্রহণ করি, এমনকি আমিও জীবনে একবার গাঁজা খেয়েছি... আমার স্বপ্ন আছে, তার সাথে আমার প্রাক্তন চিন্তাভাবনা আছে এবং কেবল এলোমেলো মেজাজের পরিবর্তন যা আমি সহ্য করতে পারছি না। আমি ইতিমধ্যেই মৃত, শুধু আশা করি আমি আমার বন্ধুদের ভালোব"&amp;"াসার কারণে তাদের জীবনে কিছু সময়ের জন্য সুখ দিতে পারব... আমি আশা করি আমি এটা করতে যাচ্ছি কিন্তু আমি তা মনে করি না... এবং এটি সেনাবাহিনী, ফুটবল এবং আরও অনেক খারাপ জিনিসের লোকের কাছ থেকে এসেছে, আমি আর কে তা পরোয়া করি না।")</f>
        <v>এক বছর আগে আমার আত্মীয়ের সাথে ব্রেকআপ হয়েছে, মদ আমার একমাত্র বন্ধু, এমনকি আমি সপ্তাহ ধরে শান্ত আছি। আমার ভেতরে শূন্যতা অনুভব করছি, আমার মা আমাকে কত ভদকা বা বিয়ারের জন্য ঘৃণা করেন এবং তিনিই সবচেয়ে সুন্দর মানুষ, মা হিসেবে আমার ভাইবোনেরা আমার উপর আশা হারিয়ে ফেলেছে, তারা মনে করে আমি মাদক গ্রহণ করি, এমনকি আমিও জীবনে একবার গাঁজা খেয়েছি... আমার স্বপ্ন আছে, তার সাথে আমার প্রাক্তন চিন্তাভাবনা আছে এবং কেবল এলোমেলো মেজাজের পরিবর্তন যা আমি সহ্য করতে পারছি না। আমি ইতিমধ্যেই মৃত, শুধু আশা করি আমি আমার বন্ধুদের ভালোবাসার কারণে তাদের জীবনে কিছু সময়ের জন্য সুখ দিতে পারব... আমি আশা করি আমি এটা করতে যাচ্ছি কিন্তু আমি তা মনে করি না... এবং এটি সেনাবাহিনী, ফুটবল এবং আরও অনেক খারাপ জিনিসের লোকের কাছ থেকে এসেছে, আমি আর কে তা পরোয়া করি না।</v>
      </c>
    </row>
    <row r="1221" spans="1:3" ht="15" x14ac:dyDescent="0.25">
      <c r="A1221" s="3" t="s">
        <v>1217</v>
      </c>
      <c r="B1221" s="3" t="s">
        <v>997</v>
      </c>
      <c r="C1221" s="4" t="str">
        <f ca="1">IFERROR(__xludf.DUMMYFUNCTION("GOOGLETRANSLATE(A1221, ""auto"", ""bn"")"),"এখন আমি ঠিক একই কাজ করার জন্য দুই সপ্তাহ ধরে অপেক্ষা করছি। বৃহস্পতিবার এবং শুক্রবার আমার ছুটি আছে। গত সপ্তাহে আমি বুধবার রাতে মদ্যপান শুরু করেছিলাম এবং পরপর তিন রাত মদ্যপান করেছি। শনিবার এসেছিল, আমি কাজে দেরি করেছিলাম এবং বাড়ি যেতে বলার আগে আমার কিছুটা ক"&amp;"ষ্ট হয়েছিল। তাই দ্রুত আমি বেশ দ্রুত সুস্থ হয়ে উঠি কিন্তু প্রথম রাতে প্রচণ্ড ব্যথা অনুভব করছিলাম। এখন এই সপ্তাহে, আমি ঠিক একই কাজ করি কিন্তু গতকাল বন্ধ করে দিয়েছি কারণ আমি পান করতে পারিনি কারণ আমি আবার পেট খারাপ করে দিচ্ছিলাম। আমি বুঝতে পারছি না দুই দিন"&amp;" অতিরিক্ত মদ্যপান আমার উপর কীভাবে প্রভাব ফেলতে পারে। উদ্বেগ খারাপ, ঠান্ডা লাগা এবং ঘাম হয় এবং আমাকে কাজের সময় কষ্ট করতে হয়। আমার কাজ না করার বিকল্প নেই। আমার একটি আরামদায়ক বিক্রয় কাজ আছে তাই আমি দিনের বেশিরভাগ সময় চুপচাপ শুয়ে থাকতে পারি। আমার চ্যাল"&amp;"েঞ্জ হল আমার উদ্বেগ কমাতে আমার সহকর্মীদের কাছে গালি না দেওয়া। আমার কাজ শেষ। আমি গত রাতে প্রথমবারের মতো একটি AA মিটিং শুনেছি। তাছাড়া, আমি পুরো সময় থাকিনি, কিন্তু আমি একটি প্রোগ্রামে যোগ দিচ্ছি। তাছাড়া, আমি এভাবে আমার জীবন ধরে রাখতে পারব না। আমার সমস্যা"&amp;" হল আমি সাইকেল চালাই। আমি কয়েকদিন ধরে মদ্যপান করি, ঘুম ভেঙে বারবার ধুই। এটা আমার মানসিক স্বাস্থ্য নষ্ট করছে। আমার কোনও খারাপ চিন্তা আসছে না, আমি কেবল ভালো বোধ করতে চাই। পাওয়ার এইড নিতে গিয়ে আমি সমস্ত মদ ঢেলে দিয়েছিলাম।")</f>
        <v>এখন আমি ঠিক একই কাজ করার জন্য দুই সপ্তাহ ধরে অপেক্ষা করছি। বৃহস্পতিবার এবং শুক্রবার আমার ছুটি আছে। গত সপ্তাহে আমি বুধবার রাতে মদ্যপান শুরু করেছিলাম এবং পরপর তিন রাত মদ্যপান করেছি। শনিবার এসেছিল, আমি কাজে দেরি করেছিলাম এবং বাড়ি যেতে বলার আগে আমার কিছুটা কষ্ট হয়েছিল। তাই দ্রুত আমি বেশ দ্রুত সুস্থ হয়ে উঠি কিন্তু প্রথম রাতে প্রচণ্ড ব্যথা অনুভব করছিলাম। এখন এই সপ্তাহে, আমি ঠিক একই কাজ করি কিন্তু গতকাল বন্ধ করে দিয়েছি কারণ আমি পান করতে পারিনি কারণ আমি আবার পেট খারাপ করে দিচ্ছিলাম। আমি বুঝতে পারছি না দুই দিন অতিরিক্ত মদ্যপান আমার উপর কীভাবে প্রভাব ফেলতে পারে। উদ্বেগ খারাপ, ঠান্ডা লাগা এবং ঘাম হয় এবং আমাকে কাজের সময় কষ্ট করতে হয়। আমার কাজ না করার বিকল্প নেই। আমার একটি আরামদায়ক বিক্রয় কাজ আছে তাই আমি দিনের বেশিরভাগ সময় চুপচাপ শুয়ে থাকতে পারি। আমার চ্যালেঞ্জ হল আমার উদ্বেগ কমাতে আমার সহকর্মীদের কাছে গালি না দেওয়া। আমার কাজ শেষ। আমি গত রাতে প্রথমবারের মতো একটি AA মিটিং শুনেছি। তাছাড়া, আমি পুরো সময় থাকিনি, কিন্তু আমি একটি প্রোগ্রামে যোগ দিচ্ছি। তাছাড়া, আমি এভাবে আমার জীবন ধরে রাখতে পারব না। আমার সমস্যা হল আমি সাইকেল চালাই। আমি কয়েকদিন ধরে মদ্যপান করি, ঘুম ভেঙে বারবার ধুই। এটা আমার মানসিক স্বাস্থ্য নষ্ট করছে। আমার কোনও খারাপ চিন্তা আসছে না, আমি কেবল ভালো বোধ করতে চাই। পাওয়ার এইড নিতে গিয়ে আমি সমস্ত মদ ঢেলে দিয়েছিলাম।</v>
      </c>
    </row>
    <row r="1222" spans="1:3" ht="15" x14ac:dyDescent="0.25">
      <c r="A1222" s="3" t="s">
        <v>1218</v>
      </c>
      <c r="B1222" s="3" t="s">
        <v>997</v>
      </c>
      <c r="C1222" s="4" t="str">
        <f ca="1">IFERROR(__xludf.DUMMYFUNCTION("GOOGLETRANSLATE(A1222, ""auto"", ""bn"")"),"আজ আমার ৩০ দিন পূর্ণ হল, আর সত্যি বলতে, পার্কে হাঁটার সময়টা ছিল। আমি প্রতিদিন প্রচুর পরিমাণে মদ্যপান করতাম, সপ্তাহে প্রায় ১৩৫টি পানীয় পর্যন্ত, যা সপ্তাহে ১০০টি পানীয় আমাকে মদ্যপানের জন্য দেওয়া অন্তত একটি নির্দেশিকার চেয়ে বেশি। তাছাড়া, সম্পূর্ণরূপে ম"&amp;"দ্যপান ত্যাগ করার আগে আমি আমার দৈনিক পরিমাণ কমিয়েছিলাম, কিন্তু ছেড়ে দেওয়ার আগেও আমি প্রতিদিন সম্পূর্ণরূপে মাতাল হয়ে যাচ্ছিলাম। তাছাড়া, আমার প্রায় কোনও লোভ ছিল না, আমার লক্ষণীয় ওজন কমেছে (আমি অনেক পরিশ্রমও করেছি), আমি শত শত ডলার সাশ্রয় করেছি, এবং এখন আমি"&amp;" অনেক ভালো বোধ করছি কারণ আমার ক্রমাগত বমি বমি ভাব হয় না। যদি কেউ ত্যাগ করার কথা ভাবছে বা বিরতি নিতে চাইছে কিন্তু নিশ্চিত না যে তারা তা করতে পারবে, তাহলে কষ্ট পেতে হবে না। এটা কতটা সহজ ছিল তা দেখে আমি আনন্দিতভাবে অবাক হয়েছি। আমার একটা দিন খুব খারাপ কেটেছ"&amp;"ে, বাকি দিনগুলো একটু বিরক্তিকর ছিল, কিন্তু খুব কঠিন ছিল না। তাছাড়া, আমার মনে হয় এটা আমার জন্য সহজ হয়ে গেছে কারণ আমি সারা জীবন আর কখনও অ্যালকোহল স্পর্শ না করার প্রতিশ্রুতি দিইনি। যখন আমি এটা করার কথা ভাবি, তখন আমি কিছুটা আতঙ্কিত হই, তাই আরও নৈমিত্তিক মন"&amp;"োভাব থেকে আমি উপকৃত হই। মদ্যপান আমার জন্য কোনও বড় সমস্যা তৈরি করছিল না, সামগ্রিকভাবে খারাপ স্বাস্থ্য এবং খালি মানিব্যাগ ছাড়া (তবে আমার খুব কম খরচ আছে তাই এটি আসলে কোনও সমস্যা ছিল না), আমি কেবল একটি উল্লেখযোগ্য বিরতি নেওয়ার সিদ্ধান্ত নিয়েছি (কমপক্ষে 3 "&amp;"মাস) কারণ মদ্যপানের সাথে আমার সম্পর্ক অস্বাস্থ্যকর হয়ে পড়েছিল। আমি এমন একটি পর্যায়ে পৌঁছানোর আশা করি যেখানে আমি আবার মদ্যপানের সাথে একটি সুস্থ সম্পর্ক গড়ে তুলতে পারব। তবে, যদি আমি জানতে পারি যে আমি এটি করতে অক্ষম, তাহলে এটা জেনে ভালো লাগছে যে আমি কষ্ট"&amp;" না করেই সংযত থাকতে পারি। এছাড়াও, আমি এখনও গাঁজা ধূমপান করি, যা সাহায্য করে।")</f>
        <v>আজ আমার ৩০ দিন পূর্ণ হল, আর সত্যি বলতে, পার্কে হাঁটার সময়টা ছিল। আমি প্রতিদিন প্রচুর পরিমাণে মদ্যপান করতাম, সপ্তাহে প্রায় ১৩৫টি পানীয় পর্যন্ত, যা সপ্তাহে ১০০টি পানীয় আমাকে মদ্যপানের জন্য দেওয়া অন্তত একটি নির্দেশিকার চেয়ে বেশি। তাছাড়া, সম্পূর্ণরূপে মদ্যপান ত্যাগ করার আগে আমি আমার দৈনিক পরিমাণ কমিয়েছিলাম, কিন্তু ছেড়ে দেওয়ার আগেও আমি প্রতিদিন সম্পূর্ণরূপে মাতাল হয়ে যাচ্ছিলাম। তাছাড়া, আমার প্রায় কোনও লোভ ছিল না, আমার লক্ষণীয় ওজন কমেছে (আমি অনেক পরিশ্রমও করেছি), আমি শত শত ডলার সাশ্রয় করেছি, এবং এখন আমি অনেক ভালো বোধ করছি কারণ আমার ক্রমাগত বমি বমি ভাব হয় না। যদি কেউ ত্যাগ করার কথা ভাবছে বা বিরতি নিতে চাইছে কিন্তু নিশ্চিত না যে তারা তা করতে পারবে, তাহলে কষ্ট পেতে হবে না। এটা কতটা সহজ ছিল তা দেখে আমি আনন্দিতভাবে অবাক হয়েছি। আমার একটা দিন খুব খারাপ কেটেছে, বাকি দিনগুলো একটু বিরক্তিকর ছিল, কিন্তু খুব কঠিন ছিল না। তাছাড়া, আমার মনে হয় এটা আমার জন্য সহজ হয়ে গেছে কারণ আমি সারা জীবন আর কখনও অ্যালকোহল স্পর্শ না করার প্রতিশ্রুতি দিইনি। যখন আমি এটা করার কথা ভাবি, তখন আমি কিছুটা আতঙ্কিত হই, তাই আরও নৈমিত্তিক মনোভাব থেকে আমি উপকৃত হই। মদ্যপান আমার জন্য কোনও বড় সমস্যা তৈরি করছিল না, সামগ্রিকভাবে খারাপ স্বাস্থ্য এবং খালি মানিব্যাগ ছাড়া (তবে আমার খুব কম খরচ আছে তাই এটি আসলে কোনও সমস্যা ছিল না), আমি কেবল একটি উল্লেখযোগ্য বিরতি নেওয়ার সিদ্ধান্ত নিয়েছি (কমপক্ষে 3 মাস) কারণ মদ্যপানের সাথে আমার সম্পর্ক অস্বাস্থ্যকর হয়ে পড়েছিল। আমি এমন একটি পর্যায়ে পৌঁছানোর আশা করি যেখানে আমি আবার মদ্যপানের সাথে একটি সুস্থ সম্পর্ক গড়ে তুলতে পারব। তবে, যদি আমি জানতে পারি যে আমি এটি করতে অক্ষম, তাহলে এটা জেনে ভালো লাগছে যে আমি কষ্ট না করেই সংযত থাকতে পারি। এছাড়াও, আমি এখনও গাঁজা ধূমপান করি, যা সাহায্য করে।</v>
      </c>
    </row>
    <row r="1223" spans="1:3" ht="15" x14ac:dyDescent="0.25">
      <c r="A1223" s="3" t="s">
        <v>1219</v>
      </c>
      <c r="B1223" s="3" t="s">
        <v>997</v>
      </c>
      <c r="C1223" s="4" t="str">
        <f ca="1">IFERROR(__xludf.DUMMYFUNCTION("GOOGLETRANSLATE(A1223, ""auto"", ""bn"")"),"ঠিক আছে, এটা ঠিক ৩০ মিনিট আগে ঘটেছে, রাত ১:২৫ মিনিট, আমি মেঝেতে বিড়ালের সাথে খেলছি, কিন্তু করিডোরের অর্ধেকটাও, আমার মা বাথরুমে যাওয়ার জন্য তার ঘর থেকে বেরিয়ে এলেন। তো আমার ঘরটি বাথরুমের ঠিক পরে, আর সে আমার কাছে এসে বিড়ালের সাথে খেলছে এবং বলছে আমাকে বা"&amp;"থরুমে যেতে দাও, আমি তাকে জিজ্ঞাসা করি কি? সে বলে আমাকে বাথরুমে যেতে দাও, সরে যাও, আর সে আমার পোশাকের ড্রেসার জিনিসটা টেনে ধরতে শুরু করে, সে তার পেরেকটি টেনে বের করে দেয় এবং তারপর আমার উপর রেগে চিৎকার করে বলে, তুমি কি আমার সাথে মজা করছো? আর আমার বাবা ঠিক "&amp;"পাশের ঘরে, আর সে ঘুম থেকে উঠে স্পষ্টতই সকালে আমার মাকে সেই বিষয়ে মুখোমুখি করবে যা নিয়ে আমি এখনও একটু ভয় পাচ্ছি কারণ এখনই আমি তাকে বিড়বিড় করতে শুনতে পাচ্ছি বোকা গরু, সে কেন এমন চিৎকার করছে। এটা আমাকে সত্যিই উদ্বিগ্ন এবং ভীত করে তোলে। যাই হোক, আমি তাকে"&amp;" বলি বাথরুমটা ওখানেই আছে এবং তারপর তাকে সেই দিকে নিয়ে যাওয়ার চেষ্টা করি, সে প্রথমে পিছনে ফিরে আসে কিন্তু তারপর ভেতরে যায়, টয়লেট ব্যবহার করে আবার আমার ঘরে ফিরে ঠিক জায়গায় আসে এবং বলে আমাকে আবার বাথরুমে ঢুকতে দাও। আমি তাকে বলি তুমি ইতিমধ্যেই এটা ব্যবহ"&amp;"ার করেছ। তারপর সে আবার রেগে যায় এবং চিৎকার করতে শুরু করে, তার ঘরে যায় এবং এখন সম্ভবত ঘুমাচ্ছে। আমার মনে হয় আমার এটা টাইপ করা উচিত ছিল কারণ আমি সত্যিই ভয় পেয়েছিলাম যে আমি তাকে এভাবে দেখিনি, ওহ, আজও তার জন্মদিন ছিল, এবং আমার মনে হয় সে কেবল দু'একটা বিয"&amp;"়ার পান করেছে এবং এখন আমার বাবা সকালেও তাকে খারাপ বোধ করতে চলেছেন যা নিয়ে আমি উদ্বিগ্ন, অতীতে তাদের অনেক ঝগড়া হয়েছে। দুঃখিত যদি এটি নিয়ম ভঙ্গ করে, আমার কেবল এটি কাউকে বলা দরকার ছিল।")</f>
        <v>ঠিক আছে, এটা ঠিক ৩০ মিনিট আগে ঘটেছে, রাত ১:২৫ মিনিট, আমি মেঝেতে বিড়ালের সাথে খেলছি, কিন্তু করিডোরের অর্ধেকটাও, আমার মা বাথরুমে যাওয়ার জন্য তার ঘর থেকে বেরিয়ে এলেন। তো আমার ঘরটি বাথরুমের ঠিক পরে, আর সে আমার কাছে এসে বিড়ালের সাথে খেলছে এবং বলছে আমাকে বাথরুমে যেতে দাও, আমি তাকে জিজ্ঞাসা করি কি? সে বলে আমাকে বাথরুমে যেতে দাও, সরে যাও, আর সে আমার পোশাকের ড্রেসার জিনিসটা টেনে ধরতে শুরু করে, সে তার পেরেকটি টেনে বের করে দেয় এবং তারপর আমার উপর রেগে চিৎকার করে বলে, তুমি কি আমার সাথে মজা করছো? আর আমার বাবা ঠিক পাশের ঘরে, আর সে ঘুম থেকে উঠে স্পষ্টতই সকালে আমার মাকে সেই বিষয়ে মুখোমুখি করবে যা নিয়ে আমি এখনও একটু ভয় পাচ্ছি কারণ এখনই আমি তাকে বিড়বিড় করতে শুনতে পাচ্ছি বোকা গরু, সে কেন এমন চিৎকার করছে। এটা আমাকে সত্যিই উদ্বিগ্ন এবং ভীত করে তোলে। যাই হোক, আমি তাকে বলি বাথরুমটা ওখানেই আছে এবং তারপর তাকে সেই দিকে নিয়ে যাওয়ার চেষ্টা করি, সে প্রথমে পিছনে ফিরে আসে কিন্তু তারপর ভেতরে যায়, টয়লেট ব্যবহার করে আবার আমার ঘরে ফিরে ঠিক জায়গায় আসে এবং বলে আমাকে আবার বাথরুমে ঢুকতে দাও। আমি তাকে বলি তুমি ইতিমধ্যেই এটা ব্যবহার করেছ। তারপর সে আবার রেগে যায় এবং চিৎকার করতে শুরু করে, তার ঘরে যায় এবং এখন সম্ভবত ঘুমাচ্ছে। আমার মনে হয় আমার এটা টাইপ করা উচিত ছিল কারণ আমি সত্যিই ভয় পেয়েছিলাম যে আমি তাকে এভাবে দেখিনি, ওহ, আজও তার জন্মদিন ছিল, এবং আমার মনে হয় সে কেবল দু'একটা বিয়ার পান করেছে এবং এখন আমার বাবা সকালেও তাকে খারাপ বোধ করতে চলেছেন যা নিয়ে আমি উদ্বিগ্ন, অতীতে তাদের অনেক ঝগড়া হয়েছে। দুঃখিত যদি এটি নিয়ম ভঙ্গ করে, আমার কেবল এটি কাউকে বলা দরকার ছিল।</v>
      </c>
    </row>
    <row r="1224" spans="1:3" ht="15" x14ac:dyDescent="0.25">
      <c r="A1224" s="3" t="s">
        <v>1220</v>
      </c>
      <c r="B1224" s="3" t="s">
        <v>997</v>
      </c>
      <c r="C1224" s="4" t="str">
        <f ca="1">IFERROR(__xludf.DUMMYFUNCTION("GOOGLETRANSLATE(A1224, ""auto"", ""bn"")"),"আমরা দেখা করার পর থেকে আমি আমার অ্যালকোহল গ্রহণ অর্ধেক করে ফেলেছি (এখন সপ্তাহে প্রায় ৫০ ইউনিট), আমি যখনই অতিরিক্ত মদ্যপান করি তখনই তার সাথে আমার ঝগড়া হয়, এবং এর জন্য আমি নিজেকে ঘৃণা করি, কারণ এটি সাধারণত আমার দোষ। আজকাল আমাকে যা বিরক্ত করছে তা হল সে আম"&amp;"াকে হুইস্কির বোতলের জন্য ছেড়ে দেওয়ার হুমকি দিচ্ছে যা আমি স্পষ্টভাবে কোথাও রেখে ""লুকিয়ে"" রেখেছিলাম, এবং সে খালি না হওয়া পর্যন্ত এটি লক্ষ্য করেনি। আমি ব্যাখ্যা করার চেষ্টা করেছি যে আমি গতকাল যখন আমরা দুজনেই দোকানে ছিলাম তখন এটি কিনেছিলাম, কিন্তু সে আম"&amp;"াকে এটি কিনতে দেখেনি তাই সে আমার কথা বিশ্বাস করে না।")</f>
        <v>আমরা দেখা করার পর থেকে আমি আমার অ্যালকোহল গ্রহণ অর্ধেক করে ফেলেছি (এখন সপ্তাহে প্রায় ৫০ ইউনিট), আমি যখনই অতিরিক্ত মদ্যপান করি তখনই তার সাথে আমার ঝগড়া হয়, এবং এর জন্য আমি নিজেকে ঘৃণা করি, কারণ এটি সাধারণত আমার দোষ। আজকাল আমাকে যা বিরক্ত করছে তা হল সে আমাকে হুইস্কির বোতলের জন্য ছেড়ে দেওয়ার হুমকি দিচ্ছে যা আমি স্পষ্টভাবে কোথাও রেখে "লুকিয়ে" রেখেছিলাম, এবং সে খালি না হওয়া পর্যন্ত এটি লক্ষ্য করেনি। আমি ব্যাখ্যা করার চেষ্টা করেছি যে আমি গতকাল যখন আমরা দুজনেই দোকানে ছিলাম তখন এটি কিনেছিলাম, কিন্তু সে আমাকে এটি কিনতে দেখেনি তাই সে আমার কথা বিশ্বাস করে না।</v>
      </c>
    </row>
    <row r="1225" spans="1:3" ht="15" x14ac:dyDescent="0.25">
      <c r="A1225" s="3" t="s">
        <v>1221</v>
      </c>
      <c r="B1225" s="3" t="s">
        <v>997</v>
      </c>
      <c r="C1225" s="4" t="str">
        <f ca="1">IFERROR(__xludf.DUMMYFUNCTION("GOOGLETRANSLATE(A1225, ""auto"", ""bn"")"),"আমার পরিবারের একজন সদস্য আছেন যাদের বয়স বিশের কোঠার মাঝামাঝি, যারা মদের সাথে লড়াই করে, আর আমি দ্রুত ধৈর্য হারিয়ে ফেলছি। সে ইতিমধ্যেই তার পরিবারের এক দিক পেরিয়ে গেছে, এবং এখন মনে হচ্ছে সে আমাদেরও পার করে ফেলছে। প্রতি কয়েক মাস অন্তর তার সাথে নতুন করে শ"&amp;"ুরু করার চক্রটি খুবই হতাশাজনক! যখন সে প্রতি কয়েক মাসে সবাইকে এত বাজে কথার মধ্য দিয়ে যায়, তখন সে যে ধন্যবাদ জানায় তা এতটাই ফাঁকা মনে হয়, যেন লোকেদের তারা কী শুনতে চায় তা বলার/তার পরবর্তী প্রশ্নের জন্য তাদের উৎসাহিত করার স্বচ্ছ প্রচেষ্টা। আমি মনে করার"&amp;" চেষ্টা করি যে এটি একটি রোগ, আমি আমার রাগ এবং বিরক্তি গিলে ফেলি এবং সমর্থন এবং উৎসাহ দেওয়ার চেষ্টা করি, বিশেষ করে কারণ অন্য সবাই তাদের শেষ প্রান্তে পৌঁছে যাচ্ছে, কিন্তু আমি আমার নিজের শেষে তাদের সাথে যোগ দেওয়ার কথা ভাবছি। মাঝে মাঝে আমার মনে হয় ফোন কলের"&amp;" শেষে ""ভালোবাসি তোমাকে"" বলার সময় আমি মিথ্যা বলছি। তার সাথে মোকাবিলা করার জন্য আমি কীভাবে ধৈর্যের নতুন ভাণ্ডার খুঁজে পাব?")</f>
        <v>আমার পরিবারের একজন সদস্য আছেন যাদের বয়স বিশের কোঠার মাঝামাঝি, যারা মদের সাথে লড়াই করে, আর আমি দ্রুত ধৈর্য হারিয়ে ফেলছি। সে ইতিমধ্যেই তার পরিবারের এক দিক পেরিয়ে গেছে, এবং এখন মনে হচ্ছে সে আমাদেরও পার করে ফেলছে। প্রতি কয়েক মাস অন্তর তার সাথে নতুন করে শুরু করার চক্রটি খুবই হতাশাজনক! যখন সে প্রতি কয়েক মাসে সবাইকে এত বাজে কথার মধ্য দিয়ে যায়, তখন সে যে ধন্যবাদ জানায় তা এতটাই ফাঁকা মনে হয়, যেন লোকেদের তারা কী শুনতে চায় তা বলার/তার পরবর্তী প্রশ্নের জন্য তাদের উৎসাহিত করার স্বচ্ছ প্রচেষ্টা। আমি মনে করার চেষ্টা করি যে এটি একটি রোগ, আমি আমার রাগ এবং বিরক্তি গিলে ফেলি এবং সমর্থন এবং উৎসাহ দেওয়ার চেষ্টা করি, বিশেষ করে কারণ অন্য সবাই তাদের শেষ প্রান্তে পৌঁছে যাচ্ছে, কিন্তু আমি আমার নিজের শেষে তাদের সাথে যোগ দেওয়ার কথা ভাবছি। মাঝে মাঝে আমার মনে হয় ফোন কলের শেষে "ভালোবাসি তোমাকে" বলার সময় আমি মিথ্যা বলছি। তার সাথে মোকাবিলা করার জন্য আমি কীভাবে ধৈর্যের নতুন ভাণ্ডার খুঁজে পাব?</v>
      </c>
    </row>
    <row r="1226" spans="1:3" ht="15" x14ac:dyDescent="0.25">
      <c r="A1226" s="3" t="s">
        <v>1222</v>
      </c>
      <c r="B1226" s="3" t="s">
        <v>997</v>
      </c>
      <c r="C1226" s="4" t="str">
        <f ca="1">IFERROR(__xludf.DUMMYFUNCTION("GOOGLETRANSLATE(A1226, ""auto"", ""bn"")"),"সত্যি বলতে, এটা শুরু হয়েছিল যখন আমি মজা করে বলতাম যে আমি একজন মদ্যপ। সবসময় এটা আমার রক্তে আছে এবং আমি যে কাউকে মদ্যপান করতে পারি। ঠিক এভাবেই শুরু হয়েছিল তারপর আমার চাচাতো ভাই আমাকে মদ্যপান করাত এবং আমি প্রায় ১৫ বছর বয়সে শুরু করেছিলাম মূলত এই ব্যক্তিক"&amp;"ে প্রভাবিত করার জন্য যে তাদের সাথে ছিল তার সাথে প্রতারণা করছে। আমি মাঝে মাঝে মদ্যপান করতাম, কিন্তু আমি আসলে কখনওই পরোয়া করিনি কারণ আমি একজন অন্তর্মুখী, আইডি শুধু সব সময় বাড়িতে থাকি। তারপর আমার বাবা এক মাসের জন্য চলে এসেছিলেন... আমি ভেবেছিলাম আমরা যোগায"&amp;"োগ করব এবং সবকিছু উল্টে যাবে, কিন্তু আমি বুঝতে পেরেছিলাম যে সে আসলে কতটা ভয়ঙ্কর। যখন সে মাতাল অবস্থায় দুর্গন্ধযুক্ত ছিল তখন তার সেরা বন্ধু গাড়িতে ছিল, সত্যিই আমার উপর একটি নম্বর কাজ করেছিল। সেই বছরের পরে আমার গডফাদার লিভার, কিডনি বিকল হয়ে মারা যান... "&amp;"অ্যালকোহল সাহায্য করেনি, কিন্তু আমি মুনশাইন এবং আরও অনেক বোতল পেয়েছিলাম। অবশেষে ২১ বছর বয়সে আমি আমার নিজের কিনতে পারি, কয়েকটি পার্টিতে গিয়েছিলাম এবং মাছের মতো মদ্যপান করতাম, কোন হ্যাংওভার নেই, শুধু মজা... বড় শহরে চলে আসার পর আমার বিষণ্ণতা আরও খারাপ হ"&amp;"তে শুরু করে। আমি এতটাই মায়ের ছেলে যে, এত দূরে থাকাটা কঠিন ছিল, আর আমার সম্পর্কের সমস্যা হচ্ছিল। আমি এতটাই খারাপ পরিস্থিতিতে ছিলাম যে যখন আমার নিজের জন্মদিন আসত, তখন আমি যা খুশি তাই পান করতাম, যে কোনও ওষুধের জন্য টাকা খরচ করতাম, কিন্তু আশা করতাম যে আমি আর "&amp;"ঘুম থেকে উঠব না। আমি যে কোম্পানিতে কাজ করতাম তা ভেঙে গেল। আমি আমার চাকরি হারিয়েছিলাম, যার কিছু টাকা আমি মদ বা গাঁজার মামলার জন্য ব্যবহার করেছিলাম। তারপর আমি আমার প্রাক্তন প্রেমিকের সাথে থাকতাম। ভেবেছিলাম এটা ভালো হবে, কিন্তু আমার মদ্যপান বেড়ে গেল। আমি এ"&amp;"খন প্রায় প্রতি রাতেই মদ্যপান করতাম। ঝামেলা করার জন্য নয়, শুধু একটা গুঞ্জন। আমার প্রতারণা এবং মদ্যপান সহ অন্যান্য সমস্যার সাথে আমাদের সম্পর্ক ভেঙে যায় এবং আমি অন্য কারো সাথে ডেটিং করতে থাকি। তারা আমার মদ্যপানের জন্য আমাকে ডাকত, কিন্তু আমি তা এড়িয়ে যেত"&amp;"াম। বলতাম যে আমার সবকিছু নিয়ন্ত্রণে আছে এবং আমি মদ্যপ নই, কিন্তু আমরা কোনও আইডিতে মদ আনতাম এবং যখন আমরা তাদের বাড়িতে থাকতাম তখন আমি মদ আনতাম। আমি বারবার বলতাম যে এটা কারণ আমার ধূমপানের জন্য গাঁজা ছিল না কিন্তু একবার গাঁজা পেয়ে গেলেও আমি এখনও পান করতে চ"&amp;"াইতাম। অবশেষে আমার সমস্যাগুলো সমাধানের জন্য আমরা সিদ্ধান্ত নিলাম যে আমি আর মদ্যপান না করলেই ভালো হতো কারণ এটি সমস্যা তৈরি করছিল, যেমন প্রতারণা। গত নভেম্বরে আমার স্বাস্থ্যগত সমস্যা শুরু হয়েছিল, কিছু রক্তপাত হচ্ছিল এবং কিছু কাজ ভালোভাবে সম্পন্ন হয়েছিল, আম"&amp;"ি ভালো বোধ করছিলাম। তারপর জানুয়ারিতে যখন আমি আমার এক বছরের সংযম অনুভব করলাম, তখন আমার খুব ভালো লাগছিল... যতক্ষণ না স্বাস্থ্যগত সমস্যা ফিরে আসে... এবং আমি ভেবেছিলাম যদি আমি এই ব্যথা অনুভব করতে থাকি, তাহলে আমার আবার মদ্যপান শুরু করা উচিত, যাতে আমি দ্রুত মা"&amp;"রা যাব এবং কাউকে চিন্তা করতে হবে না। এর ফলে ব্রেকআপ হয়েছিল এবং আমি কখনই আমার ব্রেকআপকে ভালোভাবে নিতে পারি না। তারপর থেকে প্রতি সপ্তাহান্তে আমি নিজেকে ডুবিয়ে দিচ্ছি। এই মুহুর্তে, যদি আমি সাহায্য চাই, তাহলে আমি আবেগের সাথে পুনর্বাসনকে ঘৃণা করি এবং কখনও স্"&amp;"বীকার করতে চাই না যে আমার সমস্যা আছে। সত্যি বলতে, আমি চাই মদ আমাকে মেরে ফেলুক। আমার ওষুধ কাজ করছে না এবং চালিয়ে যাওয়ার ইচ্ছা আমার নেই। আমি নিজেকে নিয়ে এতটা চিন্তিত নই যে থামতে পারব। কারণ আমি অন্যদের জন্য থামিনি, কারণ আমি বারবার ভাবতাম যে আমি এভাবে বাইর"&amp;"ে গেলে তারা ঘৃণা করবে। কিন্তু কিছুক্ষণ পর আমি ধরে নিলাম সবাই আমাকে ঘৃণা করে, তাই এভাবে যাওয়া সহজ।")</f>
        <v>সত্যি বলতে, এটা শুরু হয়েছিল যখন আমি মজা করে বলতাম যে আমি একজন মদ্যপ। সবসময় এটা আমার রক্তে আছে এবং আমি যে কাউকে মদ্যপান করতে পারি। ঠিক এভাবেই শুরু হয়েছিল তারপর আমার চাচাতো ভাই আমাকে মদ্যপান করাত এবং আমি প্রায় ১৫ বছর বয়সে শুরু করেছিলাম মূলত এই ব্যক্তিকে প্রভাবিত করার জন্য যে তাদের সাথে ছিল তার সাথে প্রতারণা করছে। আমি মাঝে মাঝে মদ্যপান করতাম, কিন্তু আমি আসলে কখনওই পরোয়া করিনি কারণ আমি একজন অন্তর্মুখী, আইডি শুধু সব সময় বাড়িতে থাকি। তারপর আমার বাবা এক মাসের জন্য চলে এসেছিলেন... আমি ভেবেছিলাম আমরা যোগাযোগ করব এবং সবকিছু উল্টে যাবে, কিন্তু আমি বুঝতে পেরেছিলাম যে সে আসলে কতটা ভয়ঙ্কর। যখন সে মাতাল অবস্থায় দুর্গন্ধযুক্ত ছিল তখন তার সেরা বন্ধু গাড়িতে ছিল, সত্যিই আমার উপর একটি নম্বর কাজ করেছিল। সেই বছরের পরে আমার গডফাদার লিভার, কিডনি বিকল হয়ে মারা যান... অ্যালকোহল সাহায্য করেনি, কিন্তু আমি মুনশাইন এবং আরও অনেক বোতল পেয়েছিলাম। অবশেষে ২১ বছর বয়সে আমি আমার নিজের কিনতে পারি, কয়েকটি পার্টিতে গিয়েছিলাম এবং মাছের মতো মদ্যপান করতাম, কোন হ্যাংওভার নেই, শুধু মজা... বড় শহরে চলে আসার পর আমার বিষণ্ণতা আরও খারাপ হতে শুরু করে। আমি এতটাই মায়ের ছেলে যে, এত দূরে থাকাটা কঠিন ছিল, আর আমার সম্পর্কের সমস্যা হচ্ছিল। আমি এতটাই খারাপ পরিস্থিতিতে ছিলাম যে যখন আমার নিজের জন্মদিন আসত, তখন আমি যা খুশি তাই পান করতাম, যে কোনও ওষুধের জন্য টাকা খরচ করতাম, কিন্তু আশা করতাম যে আমি আর ঘুম থেকে উঠব না। আমি যে কোম্পানিতে কাজ করতাম তা ভেঙে গেল। আমি আমার চাকরি হারিয়েছিলাম, যার কিছু টাকা আমি মদ বা গাঁজার মামলার জন্য ব্যবহার করেছিলাম। তারপর আমি আমার প্রাক্তন প্রেমিকের সাথে থাকতাম। ভেবেছিলাম এটা ভালো হবে, কিন্তু আমার মদ্যপান বেড়ে গেল। আমি এখন প্রায় প্রতি রাতেই মদ্যপান করতাম। ঝামেলা করার জন্য নয়, শুধু একটা গুঞ্জন। আমার প্রতারণা এবং মদ্যপান সহ অন্যান্য সমস্যার সাথে আমাদের সম্পর্ক ভেঙে যায় এবং আমি অন্য কারো সাথে ডেটিং করতে থাকি। তারা আমার মদ্যপানের জন্য আমাকে ডাকত, কিন্তু আমি তা এড়িয়ে যেতাম। বলতাম যে আমার সবকিছু নিয়ন্ত্রণে আছে এবং আমি মদ্যপ নই, কিন্তু আমরা কোনও আইডিতে মদ আনতাম এবং যখন আমরা তাদের বাড়িতে থাকতাম তখন আমি মদ আনতাম। আমি বারবার বলতাম যে এটা কারণ আমার ধূমপানের জন্য গাঁজা ছিল না কিন্তু একবার গাঁজা পেয়ে গেলেও আমি এখনও পান করতে চাইতাম। অবশেষে আমার সমস্যাগুলো সমাধানের জন্য আমরা সিদ্ধান্ত নিলাম যে আমি আর মদ্যপান না করলেই ভালো হতো কারণ এটি সমস্যা তৈরি করছিল, যেমন প্রতারণা। গত নভেম্বরে আমার স্বাস্থ্যগত সমস্যা শুরু হয়েছিল, কিছু রক্তপাত হচ্ছিল এবং কিছু কাজ ভালোভাবে সম্পন্ন হয়েছিল, আমি ভালো বোধ করছিলাম। তারপর জানুয়ারিতে যখন আমি আমার এক বছরের সংযম অনুভব করলাম, তখন আমার খুব ভালো লাগছিল... যতক্ষণ না স্বাস্থ্যগত সমস্যা ফিরে আসে... এবং আমি ভেবেছিলাম যদি আমি এই ব্যথা অনুভব করতে থাকি, তাহলে আমার আবার মদ্যপান শুরু করা উচিত, যাতে আমি দ্রুত মারা যাব এবং কাউকে চিন্তা করতে হবে না। এর ফলে ব্রেকআপ হয়েছিল এবং আমি কখনই আমার ব্রেকআপকে ভালোভাবে নিতে পারি না। তারপর থেকে প্রতি সপ্তাহান্তে আমি নিজেকে ডুবিয়ে দিচ্ছি। এই মুহুর্তে, যদি আমি সাহায্য চাই, তাহলে আমি আবেগের সাথে পুনর্বাসনকে ঘৃণা করি এবং কখনও স্বীকার করতে চাই না যে আমার সমস্যা আছে। সত্যি বলতে, আমি চাই মদ আমাকে মেরে ফেলুক। আমার ওষুধ কাজ করছে না এবং চালিয়ে যাওয়ার ইচ্ছা আমার নেই। আমি নিজেকে নিয়ে এতটা চিন্তিত নই যে থামতে পারব। কারণ আমি অন্যদের জন্য থামিনি, কারণ আমি বারবার ভাবতাম যে আমি এভাবে বাইরে গেলে তারা ঘৃণা করবে। কিন্তু কিছুক্ষণ পর আমি ধরে নিলাম সবাই আমাকে ঘৃণা করে, তাই এভাবে যাওয়া সহজ।</v>
      </c>
    </row>
    <row r="1227" spans="1:3" ht="15" x14ac:dyDescent="0.25">
      <c r="A1227" s="3" t="s">
        <v>1223</v>
      </c>
      <c r="B1227" s="3" t="s">
        <v>997</v>
      </c>
      <c r="C1227" s="4" t="str">
        <f ca="1">IFERROR(__xludf.DUMMYFUNCTION("GOOGLETRANSLATE(A1227, ""auto"", ""bn"")"),"তাই আমি ইচ্ছাকৃতভাবে শিরোনামটা এভাবে লিখেছিলাম, অফিসের লাইন থেকে কেভিনকে বোঝাচ্ছিলাম যে এই কৌশলটি করার জন্য কিছু শব্দ ব্যবহার করা হচ্ছে। যাই হোক, আমি লক্ষ্য করেছি যে যখন আমি মদ্যপ বা মাতাল থাকি, তখন অ্যালকোহল আমাকে আরও ভালো চিন্তাভাবনা করতে বাধ্য করে, যদি"&amp;" তা যুক্তিসঙ্গত হয়। সারা দিনের মতো, আমি সাধারণত আমার সামাজিক জীবন নিয়ে এক ধরণের রাগ বা অসন্তুষ্টি অনুভব করি যদি তা যুক্তিসঙ্গত হয় কারণ আমার মনে হয় যে আমার বন্ধুরা মাঝে মাঝে খুব বেশি অভাবী, এবং আমাকে তাদের এড়িয়ে চলতে হয়। কিন্তু যখন আমি মাতাল থাকি তখ"&amp;"ন আমি এটিকে ইতিবাচক হিসাবে দেখি এবং বুঝতে পারি যে তারা আসলে আমার খারাপ আচরণের জন্য কতটা ভালো বন্ধু, তাই আমার তাদের প্রতি কম রাগ করা উচিত। এর মানে এই নয় যে আমি কখনও তাদের দেখাই যে আমি বিরক্ত, আমি একটি ভাল মুখ তুলে ধরি কারণ আমি জানি ভালো বন্ধু পাওয়া কঠিন,"&amp;" এবং আমার অনুভূতির জন্য আমার খারাপ লাগে। কিন্তু যখন আমি শান্ত থাকি তখন তাদের প্রতি নেতিবাচক অনুভূতি ছাড়া আর কিছুই অনুভব করা কঠিন, যেন আমি কয়েক মাসের জন্য সকলের কাছ থেকে দূরে থাকতে পারি। এটা লেখার সময় আমি মদ্যপ বোধ করছি বলে যদি এটা যুক্তিসঙ্গত হয়, তাহলে "&amp;"আমি বুঝতে পারছি না, কিন্তু আমার খারাপ লাগছে কারণ মনে হচ্ছে যখন আমি মাতাল থাকি তখন আমার নৈতিক দিকনির্দেশনা ভালো থাকে, যখন আমি মাতাল না থাকি তার চেয়ে হা হা হা, আমার পরিবারে মদ্যপান প্রচলিত আছে। আমার দাদু (RIP) একজন মদ্যপ ছিলেন, আমার সৎ বাবা এবং আমার এক মামী"&amp;" (মাসিমা) একজন মদ্যপ।")</f>
        <v>তাই আমি ইচ্ছাকৃতভাবে শিরোনামটা এভাবে লিখেছিলাম, অফিসের লাইন থেকে কেভিনকে বোঝাচ্ছিলাম যে এই কৌশলটি করার জন্য কিছু শব্দ ব্যবহার করা হচ্ছে। যাই হোক, আমি লক্ষ্য করেছি যে যখন আমি মদ্যপ বা মাতাল থাকি, তখন অ্যালকোহল আমাকে আরও ভালো চিন্তাভাবনা করতে বাধ্য করে, যদি তা যুক্তিসঙ্গত হয়। সারা দিনের মতো, আমি সাধারণত আমার সামাজিক জীবন নিয়ে এক ধরণের রাগ বা অসন্তুষ্টি অনুভব করি যদি তা যুক্তিসঙ্গত হয় কারণ আমার মনে হয় যে আমার বন্ধুরা মাঝে মাঝে খুব বেশি অভাবী, এবং আমাকে তাদের এড়িয়ে চলতে হয়। কিন্তু যখন আমি মাতাল থাকি তখন আমি এটিকে ইতিবাচক হিসাবে দেখি এবং বুঝতে পারি যে তারা আসলে আমার খারাপ আচরণের জন্য কতটা ভালো বন্ধু, তাই আমার তাদের প্রতি কম রাগ করা উচিত। এর মানে এই নয় যে আমি কখনও তাদের দেখাই যে আমি বিরক্ত, আমি একটি ভাল মুখ তুলে ধরি কারণ আমি জানি ভালো বন্ধু পাওয়া কঠিন, এবং আমার অনুভূতির জন্য আমার খারাপ লাগে। কিন্তু যখন আমি শান্ত থাকি তখন তাদের প্রতি নেতিবাচক অনুভূতি ছাড়া আর কিছুই অনুভব করা কঠিন, যেন আমি কয়েক মাসের জন্য সকলের কাছ থেকে দূরে থাকতে পারি। এটা লেখার সময় আমি মদ্যপ বোধ করছি বলে যদি এটা যুক্তিসঙ্গত হয়, তাহলে আমি বুঝতে পারছি না, কিন্তু আমার খারাপ লাগছে কারণ মনে হচ্ছে যখন আমি মাতাল থাকি তখন আমার নৈতিক দিকনির্দেশনা ভালো থাকে, যখন আমি মাতাল না থাকি তার চেয়ে হা হা হা, আমার পরিবারে মদ্যপান প্রচলিত আছে। আমার দাদু (RIP) একজন মদ্যপ ছিলেন, আমার সৎ বাবা এবং আমার এক মামী (মাসিমা) একজন মদ্যপ।</v>
      </c>
    </row>
    <row r="1228" spans="1:3" ht="15" x14ac:dyDescent="0.25">
      <c r="A1228" s="3" t="s">
        <v>1224</v>
      </c>
      <c r="B1228" s="3" t="s">
        <v>997</v>
      </c>
      <c r="C1228" s="4" t="str">
        <f ca="1">IFERROR(__xludf.DUMMYFUNCTION("GOOGLETRANSLATE(A1228, ""auto"", ""bn"")"),"তাই আমি আমার দিনটি নিয়ে বকবক করতে যাচ্ছি এবং দেখি কারো কাছে সাহায্যকারী অন্তর্দৃষ্টি আছে কিনা। বাচ্চাদের দেখাশোনা করে আমার দিনটি কাটিয়েছি (২) যতক্ষণ না আমি আমার বাবা-মায়ের সাথে দেখা করি। নতুন খবর হল যে আমার দাদী পরিবারের একজন সদস্যের সাথে দেখা করতে গিয"&amp;"়েছিলেন এবং ভ্রমণের পরে আমার দাদী এখন আইসিইউতে আছেন কারণ তিনি বিভ্রান্ত এবং কম O2 স্যাচুরেশনের কারণে। বিষয়টিকে আরও জটিল করে তোলার জন্য, তিনি সেই চাচাকে দেখতে যাচ্ছিলেন যিনি আমাকে এবং আমার এক চাচাতো ভাইকে ছোটবেলায় ধর্ষণ করেছিলেন। সেই চাচা বর্তমানে একজন স"&amp;"বজি কারণ? (আমার কোনও ধারণা নেই কারণ পরিবার জানে না যে তার সম্পর্কে আমার সাথে কখনও কথা বলতে হবে না) আমি কী ঘটছে সে সম্পর্কে খবর পেয়েছিলাম এবং আমি তৎক্ষণাৎ আমার বাবা-মায়ের বাড়ি ছেড়ে মদ্যপান করি। বাড়িতে ফিরে আমার স্ত্রী জানতে পেরেছিল যে আমি মদ্যপান করছি"&amp;" এবং আমাকে আমার থেরাপিস্টকে ফোন করতে বলে। আমি একমত, কিন্তু আমার সমস্যা এবং আসক্তি সম্পর্কে কথা বলতে আমার ঘৃণা হয়। এটি লেখার পর আমি বুঝতে পারি যে ফোন এবং অ্যাপয়েন্টমেন্ট করার জন্য আমার কিছু উৎসাহের প্রয়োজন।")</f>
        <v>তাই আমি আমার দিনটি নিয়ে বকবক করতে যাচ্ছি এবং দেখি কারো কাছে সাহায্যকারী অন্তর্দৃষ্টি আছে কিনা। বাচ্চাদের দেখাশোনা করে আমার দিনটি কাটিয়েছি (২) যতক্ষণ না আমি আমার বাবা-মায়ের সাথে দেখা করি। নতুন খবর হল যে আমার দাদী পরিবারের একজন সদস্যের সাথে দেখা করতে গিয়েছিলেন এবং ভ্রমণের পরে আমার দাদী এখন আইসিইউতে আছেন কারণ তিনি বিভ্রান্ত এবং কম O2 স্যাচুরেশনের কারণে। বিষয়টিকে আরও জটিল করে তোলার জন্য, তিনি সেই চাচাকে দেখতে যাচ্ছিলেন যিনি আমাকে এবং আমার এক চাচাতো ভাইকে ছোটবেলায় ধর্ষণ করেছিলেন। সেই চাচা বর্তমানে একজন সবজি কারণ? (আমার কোনও ধারণা নেই কারণ পরিবার জানে না যে তার সম্পর্কে আমার সাথে কখনও কথা বলতে হবে না) আমি কী ঘটছে সে সম্পর্কে খবর পেয়েছিলাম এবং আমি তৎক্ষণাৎ আমার বাবা-মায়ের বাড়ি ছেড়ে মদ্যপান করি। বাড়িতে ফিরে আমার স্ত্রী জানতে পেরেছিল যে আমি মদ্যপান করছি এবং আমাকে আমার থেরাপিস্টকে ফোন করতে বলে। আমি একমত, কিন্তু আমার সমস্যা এবং আসক্তি সম্পর্কে কথা বলতে আমার ঘৃণা হয়। এটি লেখার পর আমি বুঝতে পারি যে ফোন এবং অ্যাপয়েন্টমেন্ট করার জন্য আমার কিছু উৎসাহের প্রয়োজন।</v>
      </c>
    </row>
    <row r="1229" spans="1:3" ht="15" x14ac:dyDescent="0.25">
      <c r="A1229" s="3" t="s">
        <v>1225</v>
      </c>
      <c r="B1229" s="3" t="s">
        <v>997</v>
      </c>
      <c r="C1229" s="4" t="str">
        <f ca="1">IFERROR(__xludf.DUMMYFUNCTION("GOOGLETRANSLATE(A1229, ""auto"", ""bn"")"),"আমি ৩৫ বছর বয়সী, গত ১০ বছর ধরে প্রতি রাতে দেড় বোতল ওয়াইন পান করছি। আমার সমস্যা শুরু হয় ২০০৯ সালে, যখন আমি এক ধরণের তীব্র মানসিক চাপের মধ্য দিয়েছিলাম, আমার আত্মবিশ্বাস একেবারেই কমে গিয়েছিল এবং রাতে ঘুমাতে পারছিলাম না। আমি নিজেকে সামলাতে চেষ্টা করেছিলাম, "&amp;"আমি মদ্যপান বন্ধ করে দিয়েছিলাম এবং ডাক্তাররা আমাকে কিছুক্ষণের জন্য ঘুমাতে সাহায্য করার জন্য জোপিক্লোন দিয়েছিলেন, আমি ১৫ বছর বয়স থেকেই উদ্বেগে ভুগছি, কিন্তু আমার বাবা-মা কখনও বিশ্বাস করেননি বা আমাকে এই সমস্যা কাটিয়ে উঠতে সাহায্য করেননি। আমি এখন এমন এক "&amp;"পর্যায়ে এসেছি যেখানে আমি প্রতি রাতে বিলেতে ঘুমাতে ফিরে আসি। আমার কাজের আগে এবং কাজের সময় আমার দুশ্চিন্তা দূর করার জন্য আমাকে কিছু পানীয় পান করতে হবে। আমি এটাকে খুব ঘৃণা করি, আমি অ্যালকোহলকে খুব ঘৃণা করি, আমি এইরকম অনুভূতিকে ঘৃণা করি, আমি ক্রমাগত ক্লান্ত"&amp;" বোধ করি, শুধু এতটাই বিব্রত বোধ করি, আমি প্রতি মাসে আমার বেতনের চেক থেকে অনেক টাকা অ্যালকোহল এবং ট্যাক্সিতে কাজে নিয়ে যাওয়ার জন্য ব্যয় করি কারণ আমি আর সেখানে হেঁটে যেতে পারছি না কারণ আমি খুব উদ্বিগ্ন যে আমি ফুলে যেতে পারি, কাজ না করে। আমি কেবল প্রত্যাহ"&amp;"ারের ব্যাপারে খুব ভয় পাই এবং ডাক্তারের কাছে গিয়ে নিজের উপর কী করেছি তা স্বীকার করতে খুব লজ্জা পাই, কোথা থেকে শুরু করব,")</f>
        <v>আমি ৩৫ বছর বয়সী, গত ১০ বছর ধরে প্রতি রাতে দেড় বোতল ওয়াইন পান করছি। আমার সমস্যা শুরু হয় ২০০৯ সালে, যখন আমি এক ধরণের তীব্র মানসিক চাপের মধ্য দিয়েছিলাম, আমার আত্মবিশ্বাস একেবারেই কমে গিয়েছিল এবং রাতে ঘুমাতে পারছিলাম না। আমি নিজেকে সামলাতে চেষ্টা করেছিলাম, আমি মদ্যপান বন্ধ করে দিয়েছিলাম এবং ডাক্তাররা আমাকে কিছুক্ষণের জন্য ঘুমাতে সাহায্য করার জন্য জোপিক্লোন দিয়েছিলেন, আমি ১৫ বছর বয়স থেকেই উদ্বেগে ভুগছি, কিন্তু আমার বাবা-মা কখনও বিশ্বাস করেননি বা আমাকে এই সমস্যা কাটিয়ে উঠতে সাহায্য করেননি। আমি এখন এমন এক পর্যায়ে এসেছি যেখানে আমি প্রতি রাতে বিলেতে ঘুমাতে ফিরে আসি। আমার কাজের আগে এবং কাজের সময় আমার দুশ্চিন্তা দূর করার জন্য আমাকে কিছু পানীয় পান করতে হবে। আমি এটাকে খুব ঘৃণা করি, আমি অ্যালকোহলকে খুব ঘৃণা করি, আমি এইরকম অনুভূতিকে ঘৃণা করি, আমি ক্রমাগত ক্লান্ত বোধ করি, শুধু এতটাই বিব্রত বোধ করি, আমি প্রতি মাসে আমার বেতনের চেক থেকে অনেক টাকা অ্যালকোহল এবং ট্যাক্সিতে কাজে নিয়ে যাওয়ার জন্য ব্যয় করি কারণ আমি আর সেখানে হেঁটে যেতে পারছি না কারণ আমি খুব উদ্বিগ্ন যে আমি ফুলে যেতে পারি, কাজ না করে। আমি কেবল প্রত্যাহারের ব্যাপারে খুব ভয় পাই এবং ডাক্তারের কাছে গিয়ে নিজের উপর কী করেছি তা স্বীকার করতে খুব লজ্জা পাই, কোথা থেকে শুরু করব,</v>
      </c>
    </row>
    <row r="1230" spans="1:3" ht="15" x14ac:dyDescent="0.25">
      <c r="A1230" s="3" t="s">
        <v>1226</v>
      </c>
      <c r="B1230" s="3" t="s">
        <v>997</v>
      </c>
      <c r="C1230" s="4" t="str">
        <f ca="1">IFERROR(__xludf.DUMMYFUNCTION("GOOGLETRANSLATE(A1230, ""auto"", ""bn"")"),"এটা একটা অবাস্তব ঘটনা। আমি ভয় পাচ্ছি, আমার বয়স ১৯ বছর এবং মনে হচ্ছে আমি ধীরে ধীরে নিজের জন্য গর্ত খুঁড়ছি। আমি জানি আমি ""সত্যিকারের"" মদ্যপ নই, কিন্তু আমি জানি যে শেষ কবে আমি পুরো দুই দিন মাতাল না হয়েছিলাম তা আমার মনে নেই। আমার পরিবারের মদ্যপানের ইতিহাস "&amp;"আছে, আমি নিজেকে থামতে বলি। আমি কল্পনা করি যে আমাকে দেওয়া কোনও পানীয় আমি অস্বীকার করছি। আমি কল্পনা করি যে আমি মদের দোকানের পাশ দিয়ে যাচ্ছি এবং মদ কিনছি না। তাছাড়া, আমি কল্পনা করি যে আমি ফ্রিজ খুলছি, সেই বিয়ার দেখছি, এবং দু-একটা খাচ্ছি না। কিন্তু এই কল্পন"&amp;"া আমার বাস্তবতা নয় এবং আমি এটা ঘৃণা করি। আমি আমার মানসিক স্বাস্থ্যের অবনতি অনুভব করতে পারি, আমি জানি এটি অ্যালকোহলের কারণে, কিন্তু একবার আমি পানীয়টি দেখলে, আমি অস্বীকার করি যে এটি আমার উপর নেতিবাচক প্রভাব ফেলে। আমার মস্তিষ্ক মাতাল হওয়ার স্মৃতিগুলিকে পু"&amp;"নরায় মনে করে এবং এটি দুর্বল গোলাপ কাঠ, আমি আমার নিজের মানসিক প্ররোচনায় পড়ে যাই; ""শুধু একটা,"" আমি নিজেকে বলি। কিন্তু সেটা এমন পরিমাণে পরিণত হয় যার ফলে আমি সরলরেখায় হাঁটতে পারি না, কোনও অশ্লীল কথা বলতে পারি না, অথবা আরও খারাপ কিছু করতে পারি না।")</f>
        <v>এটা একটা অবাস্তব ঘটনা। আমি ভয় পাচ্ছি, আমার বয়স ১৯ বছর এবং মনে হচ্ছে আমি ধীরে ধীরে নিজের জন্য গর্ত খুঁড়ছি। আমি জানি আমি "সত্যিকারের" মদ্যপ নই, কিন্তু আমি জানি যে শেষ কবে আমি পুরো দুই দিন মাতাল না হয়েছিলাম তা আমার মনে নেই। আমার পরিবারের মদ্যপানের ইতিহাস আছে, আমি নিজেকে থামতে বলি। আমি কল্পনা করি যে আমাকে দেওয়া কোনও পানীয় আমি অস্বীকার করছি। আমি কল্পনা করি যে আমি মদের দোকানের পাশ দিয়ে যাচ্ছি এবং মদ কিনছি না। তাছাড়া, আমি কল্পনা করি যে আমি ফ্রিজ খুলছি, সেই বিয়ার দেখছি, এবং দু-একটা খাচ্ছি না। কিন্তু এই কল্পনা আমার বাস্তবতা নয় এবং আমি এটা ঘৃণা করি। আমি আমার মানসিক স্বাস্থ্যের অবনতি অনুভব করতে পারি, আমি জানি এটি অ্যালকোহলের কারণে, কিন্তু একবার আমি পানীয়টি দেখলে, আমি অস্বীকার করি যে এটি আমার উপর নেতিবাচক প্রভাব ফেলে। আমার মস্তিষ্ক মাতাল হওয়ার স্মৃতিগুলিকে পুনরায় মনে করে এবং এটি দুর্বল গোলাপ কাঠ, আমি আমার নিজের মানসিক প্ররোচনায় পড়ে যাই; "শুধু একটা," আমি নিজেকে বলি। কিন্তু সেটা এমন পরিমাণে পরিণত হয় যার ফলে আমি সরলরেখায় হাঁটতে পারি না, কোনও অশ্লীল কথা বলতে পারি না, অথবা আরও খারাপ কিছু করতে পারি না।</v>
      </c>
    </row>
    <row r="1231" spans="1:3" ht="15" x14ac:dyDescent="0.25">
      <c r="A1231" s="3" t="s">
        <v>1227</v>
      </c>
      <c r="B1231" s="3" t="s">
        <v>997</v>
      </c>
      <c r="C1231" s="4" t="str">
        <f ca="1">IFERROR(__xludf.DUMMYFUNCTION("GOOGLETRANSLATE(A1231, ""auto"", ""bn"")"),"মোট ৫ বছর কেটেছে কিন্তু শেষ ২ বছর ছিল নরক। আমাকে মিথ্যা বলা হয়েছে, প্রতারণা করা হয়েছে, লাথি মেরে গৃহহীন করা হয়েছে। সে বারবার বলেছে যে সে বদলে যাবে। আমি যখন হতাশ মাতাল ছিলাম তখন আমার বান্ধবী আমার জীবন বাঁচিয়েছিল। এখন পরিস্থিতি উল্টে গেছে। গত রাতে বড় হ"&amp;"িংস্র ঘটনা। আমি তাকে প্রথমবারের মতো মদ্যপান বন্ধ করার জন্য অনুরোধ করেছিলাম। আমার মনে হয় আঙুল তুলে গেছে।")</f>
        <v>মোট ৫ বছর কেটেছে কিন্তু শেষ ২ বছর ছিল নরক। আমাকে মিথ্যা বলা হয়েছে, প্রতারণা করা হয়েছে, লাথি মেরে গৃহহীন করা হয়েছে। সে বারবার বলেছে যে সে বদলে যাবে। আমি যখন হতাশ মাতাল ছিলাম তখন আমার বান্ধবী আমার জীবন বাঁচিয়েছিল। এখন পরিস্থিতি উল্টে গেছে। গত রাতে বড় হিংস্র ঘটনা। আমি তাকে প্রথমবারের মতো মদ্যপান বন্ধ করার জন্য অনুরোধ করেছিলাম। আমার মনে হয় আঙুল তুলে গেছে।</v>
      </c>
    </row>
    <row r="1232" spans="1:3" ht="15" x14ac:dyDescent="0.25">
      <c r="A1232" s="3" t="s">
        <v>1228</v>
      </c>
      <c r="B1232" s="3" t="s">
        <v>997</v>
      </c>
      <c r="C1232" s="4" t="str">
        <f ca="1">IFERROR(__xludf.DUMMYFUNCTION("GOOGLETRANSLATE(A1232, ""auto"", ""bn"")"),"আশা করি এটা নিয়ে আলোচনা করার জন্য উপযুক্ত জায়গা। আমি একজন মদ্যপ, প্রায় ২-৩ বছর ধরে মদ্যপানের নেশায় আসক্ত (কয়েকবার আবারও এই রোগে আক্রান্ত হয়েছি, কিন্তু শেষ কবে পান করার ইচ্ছা হয়েছিল তা মনে করতে পারছি না)। তাছাড়া, আমি ইউটিউব কন্টেন্টের একজন বড় ভক্ত, এবং আ"&amp;"মি ক্রমশ আরও বেশি সংখ্যক নির্মাতাকে ব্রাইট সেলারস থেকে স্পনসরশিপ গ্রহণ করতে দেখছি। তারা মূলত ওয়াইনের জন্য একটি সাবস্ক্রিপশন বক্স। আমার মনে হয় তারা আপনাকে মাসে তিন বোতল পাঠায়। যদিও তারা আসলে আমাকে কিছু অর্ডার করতে উৎসাহিত করেনি, একজন মদ্যপ হিসেবে আমি ভাবি"&amp;" যে তারা অন্য মদ্যপদেরও তা করতে উৎসাহিত করতে পারে। যখন আমি প্রথমবার মাদকাসক্ত হওয়ার চেষ্টা করছিলাম, তখন টিভিতে অ্যালকোহলের বিজ্ঞাপনগুলি পুনরায় বিক্রি হওয়ার জন্য একটি বিশাল প্রলোভন ছিল। আমি নিশ্চিত নই যে এই বিজ্ঞাপনগুলি টিভিতে বিজ্ঞাপনের মতো একই ধরণের প্র"&amp;"ভাব ফেলে কিনা, তবে এটি আমাকে ভাবতে বাধ্য করে যে কেউ কি YouTube-এ এই স্পনসরশিপ নিয়ে সমস্যায় পড়ছে। এই বিষয়ে কারো কোন মতামত আছে কি?")</f>
        <v>আশা করি এটা নিয়ে আলোচনা করার জন্য উপযুক্ত জায়গা। আমি একজন মদ্যপ, প্রায় ২-৩ বছর ধরে মদ্যপানের নেশায় আসক্ত (কয়েকবার আবারও এই রোগে আক্রান্ত হয়েছি, কিন্তু শেষ কবে পান করার ইচ্ছা হয়েছিল তা মনে করতে পারছি না)। তাছাড়া, আমি ইউটিউব কন্টেন্টের একজন বড় ভক্ত, এবং আমি ক্রমশ আরও বেশি সংখ্যক নির্মাতাকে ব্রাইট সেলারস থেকে স্পনসরশিপ গ্রহণ করতে দেখছি। তারা মূলত ওয়াইনের জন্য একটি সাবস্ক্রিপশন বক্স। আমার মনে হয় তারা আপনাকে মাসে তিন বোতল পাঠায়। যদিও তারা আসলে আমাকে কিছু অর্ডার করতে উৎসাহিত করেনি, একজন মদ্যপ হিসেবে আমি ভাবি যে তারা অন্য মদ্যপদেরও তা করতে উৎসাহিত করতে পারে। যখন আমি প্রথমবার মাদকাসক্ত হওয়ার চেষ্টা করছিলাম, তখন টিভিতে অ্যালকোহলের বিজ্ঞাপনগুলি পুনরায় বিক্রি হওয়ার জন্য একটি বিশাল প্রলোভন ছিল। আমি নিশ্চিত নই যে এই বিজ্ঞাপনগুলি টিভিতে বিজ্ঞাপনের মতো একই ধরণের প্রভাব ফেলে কিনা, তবে এটি আমাকে ভাবতে বাধ্য করে যে কেউ কি YouTube-এ এই স্পনসরশিপ নিয়ে সমস্যায় পড়ছে। এই বিষয়ে কারো কোন মতামত আছে কি?</v>
      </c>
    </row>
    <row r="1233" spans="1:3" ht="15" x14ac:dyDescent="0.25">
      <c r="A1233" s="3" t="s">
        <v>1229</v>
      </c>
      <c r="B1233" s="3" t="s">
        <v>997</v>
      </c>
      <c r="C1233" s="4" t="str">
        <f ca="1">IFERROR(__xludf.DUMMYFUNCTION("GOOGLETRANSLATE(A1233, ""auto"", ""bn"")"),"এই পোস্টটি লেখার ব্যাপারে কিছুটা অনিশ্চিত, কিন্তু মনে হচ্ছে এটা করা উচিত। অতীতে মদ্যপানের সাথে আমার অনেক সমস্যা ছিল কিন্তু নিজেকে কিছুটা সামলে নিতে পেরেছি। এটি মাত্র কয়েক মাস স্থায়ী হয়েছিল যতক্ষণ না আমি কোভিড আক্রান্ত হই এবং আমার উদ্বেগ বেড়ে যায়। তার"&amp;"পর থেকে আমি প্রতি রাতে ৩/৪টি বিয়ার পান করি এবং সপ্তাহান্তে অতিরিক্ত মদ্যপান করি। সম্প্রতি আমি অনুভব করেছি যে মদ্যপানের ফলে আমি অনেক বেশি অসুস্থ হয়ে পড়েছি এবং অতিরিক্ত মদ্যপানের পরের দিনই আমার কুকুরের চুল কেটে ফেলতে হয়, অথবা যদি আমি বিয়ার না খাই তবে আ"&amp;"মি প্রচণ্ড উদ্বেগে ভুগব। এটি প্রায় এক মাস ধরে চলছে এবং আমি জানি যে অ্যালকোহল আমার কোনও উপকার করছে না এবং এটি আমাকে আরও খারাপ করে তুলছে, তবে বর্তমানে এটি সাহায্য করে। প্রতি রাতে ৩/৪টি বিয়ার পান করা এক মাসেরও বেশি সময় ধরে চলছে এবং অতীতে এর সাথে লড়াই করা"&amp;"র কারণে আমি আর এটিকে ছিঁড়ে ফেলতে চাই না।")</f>
        <v>এই পোস্টটি লেখার ব্যাপারে কিছুটা অনিশ্চিত, কিন্তু মনে হচ্ছে এটা করা উচিত। অতীতে মদ্যপানের সাথে আমার অনেক সমস্যা ছিল কিন্তু নিজেকে কিছুটা সামলে নিতে পেরেছি। এটি মাত্র কয়েক মাস স্থায়ী হয়েছিল যতক্ষণ না আমি কোভিড আক্রান্ত হই এবং আমার উদ্বেগ বেড়ে যায়। তারপর থেকে আমি প্রতি রাতে ৩/৪টি বিয়ার পান করি এবং সপ্তাহান্তে অতিরিক্ত মদ্যপান করি। সম্প্রতি আমি অনুভব করেছি যে মদ্যপানের ফলে আমি অনেক বেশি অসুস্থ হয়ে পড়েছি এবং অতিরিক্ত মদ্যপানের পরের দিনই আমার কুকুরের চুল কেটে ফেলতে হয়, অথবা যদি আমি বিয়ার না খাই তবে আমি প্রচণ্ড উদ্বেগে ভুগব। এটি প্রায় এক মাস ধরে চলছে এবং আমি জানি যে অ্যালকোহল আমার কোনও উপকার করছে না এবং এটি আমাকে আরও খারাপ করে তুলছে, তবে বর্তমানে এটি সাহায্য করে। প্রতি রাতে ৩/৪টি বিয়ার পান করা এক মাসেরও বেশি সময় ধরে চলছে এবং অতীতে এর সাথে লড়াই করার কারণে আমি আর এটিকে ছিঁড়ে ফেলতে চাই না।</v>
      </c>
    </row>
    <row r="1234" spans="1:3" ht="15" x14ac:dyDescent="0.25">
      <c r="A1234" s="3" t="s">
        <v>1230</v>
      </c>
      <c r="B1234" s="3" t="s">
        <v>997</v>
      </c>
      <c r="C1234" s="4" t="str">
        <f ca="1">IFERROR(__xludf.DUMMYFUNCTION("GOOGLETRANSLATE(A1234, ""auto"", ""bn"")"),"পুরুষ, ৩০ এর দশকের শেষের দিকে, উচ্চ পারফর্ম্যান্স, আর্থিক কর্মকর্তা। আমার প্রাপ্তবয়স্ক জীবনে আমি সম্ভবত খুব বেশি মদ্যপান করেছি, এবং বেশিরভাগ সময় একা। বেশ কিছুদিন ধরে আমার সাধারণ অভ্যাস হল শনি-মঙ্গলবার মদ্যপান, বুধবার ৬ প্যাকেট পান, বৃহস্পতিবার মদ্যপান, "&amp;"শুক্রবার ৬ প্যাকেট বা বোতল ওয়াইন বা তার চেয়ে কিছুটা বেশি পান করা। গত কয়েক বছর ধরে এটি সম্ভবত কিছুটা বেড়েছে, যেখানে ৯০% দিনে আমি ২-৬টি বিয়ার পান করতাম, এবং সপ্তাহে অন্তত একবার ৭-১২টি বিয়ার বা সমমানের পান করতাম। যেকোনো যুক্তিসঙ্গত মানদণ্ড অনুসারে এটি "&amp;"স্পষ্টতই মদ্যপানের অপব্যবহার, এবং সাধারণত যদি আমি ১ বা ২টি পানীয় পান করি, তাহলে আমি এমন একটি পর্যায়ে চলে যাব যেখানে আমি ৫, ৬, এমনকি ১০টি পান করতে চাই, মূলত যতক্ষণ না আমি ঘুমিয়ে পড়ি এবং অজ্ঞান হয়ে যাই।")</f>
        <v>পুরুষ, ৩০ এর দশকের শেষের দিকে, উচ্চ পারফর্ম্যান্স, আর্থিক কর্মকর্তা। আমার প্রাপ্তবয়স্ক জীবনে আমি সম্ভবত খুব বেশি মদ্যপান করেছি, এবং বেশিরভাগ সময় একা। বেশ কিছুদিন ধরে আমার সাধারণ অভ্যাস হল শনি-মঙ্গলবার মদ্যপান, বুধবার ৬ প্যাকেট পান, বৃহস্পতিবার মদ্যপান, শুক্রবার ৬ প্যাকেট বা বোতল ওয়াইন বা তার চেয়ে কিছুটা বেশি পান করা। গত কয়েক বছর ধরে এটি সম্ভবত কিছুটা বেড়েছে, যেখানে ৯০% দিনে আমি ২-৬টি বিয়ার পান করতাম, এবং সপ্তাহে অন্তত একবার ৭-১২টি বিয়ার বা সমমানের পান করতাম। যেকোনো যুক্তিসঙ্গত মানদণ্ড অনুসারে এটি স্পষ্টতই মদ্যপানের অপব্যবহার, এবং সাধারণত যদি আমি ১ বা ২টি পানীয় পান করি, তাহলে আমি এমন একটি পর্যায়ে চলে যাব যেখানে আমি ৫, ৬, এমনকি ১০টি পান করতে চাই, মূলত যতক্ষণ না আমি ঘুমিয়ে পড়ি এবং অজ্ঞান হয়ে যাই।</v>
      </c>
    </row>
    <row r="1235" spans="1:3" ht="15" x14ac:dyDescent="0.25">
      <c r="A1235" s="3" t="s">
        <v>1231</v>
      </c>
      <c r="B1235" s="3" t="s">
        <v>997</v>
      </c>
      <c r="C1235" s="4" t="str">
        <f ca="1">IFERROR(__xludf.DUMMYFUNCTION("GOOGLETRANSLATE(A1235, ""auto"", ""bn"")"),"আমি ইতিমধ্যেই স্পষ্ট উত্তরটি জানি: হ্যাঁ। আমি কি লজ্জিত? আমি জানি না। মাঝে মাঝে নিজের উপর এতটাই বিরক্ত হই যে এটি মোকাবেলা করা কঠিন হয়ে পড়ে, তাই আবার আমি বিয়ারের দিকে ঝুঁকে পড়ি। তাছাড়া, আমি জানি মদ্যপান একটি রোগ, এবং এটি আমার পরিবারে ছড়িয়ে আছে তাই আ"&amp;"মি নিজেকে খুব কঠোরভাবে বিচার করার চেষ্টা করি না, কিন্তু আমি এমন এক পর্যায়ে পৌঁছেছি যেখানে আমার কোনও গর্ব নেই। তাছাড়া, আমি ১৪ বছর বয়সে মদ্যপান শুরু করেছিলাম। তাছাড়া, আমি আমার বাবা-মায়ের সাথে বার-গ্রিল-এ যেতাম, এবং যদি আমি সম্প্রতি ভালো থাকতাম তবে তারা"&amp;" আমাকে এক গ্লাস সস্তা শ্যাম্পেন দিত। আমি ভেবেছিলাম এটা কেবল মজার। তারপর আমি আমার বাবা-মাকে গাড়ি চালিয়ে নিয়ে যাচ্ছি? আমি যখন আগে কখনও গাড়ি চালাইনি তখন বন্ধুদের বাড়িতে নিয়ে যাচ্ছি। যখন আমিও এক-দুইবার পানীয় খেয়েছিলাম। তারপর আমার বাবা-মা আমার মদ্যপানে"&amp;"র জন্য আমাকে চিৎকার করতে শুরু করে যখন তারাই প্রায় এটিকে উৎসাহিত করেছিল।")</f>
        <v>আমি ইতিমধ্যেই স্পষ্ট উত্তরটি জানি: হ্যাঁ। আমি কি লজ্জিত? আমি জানি না। মাঝে মাঝে নিজের উপর এতটাই বিরক্ত হই যে এটি মোকাবেলা করা কঠিন হয়ে পড়ে, তাই আবার আমি বিয়ারের দিকে ঝুঁকে পড়ি। তাছাড়া, আমি জানি মদ্যপান একটি রোগ, এবং এটি আমার পরিবারে ছড়িয়ে আছে তাই আমি নিজেকে খুব কঠোরভাবে বিচার করার চেষ্টা করি না, কিন্তু আমি এমন এক পর্যায়ে পৌঁছেছি যেখানে আমার কোনও গর্ব নেই। তাছাড়া, আমি ১৪ বছর বয়সে মদ্যপান শুরু করেছিলাম। তাছাড়া, আমি আমার বাবা-মায়ের সাথে বার-গ্রিল-এ যেতাম, এবং যদি আমি সম্প্রতি ভালো থাকতাম তবে তারা আমাকে এক গ্লাস সস্তা শ্যাম্পেন দিত। আমি ভেবেছিলাম এটা কেবল মজার। তারপর আমি আমার বাবা-মাকে গাড়ি চালিয়ে নিয়ে যাচ্ছি? আমি যখন আগে কখনও গাড়ি চালাইনি তখন বন্ধুদের বাড়িতে নিয়ে যাচ্ছি। যখন আমিও এক-দুইবার পানীয় খেয়েছিলাম। তারপর আমার বাবা-মা আমার মদ্যপানের জন্য আমাকে চিৎকার করতে শুরু করে যখন তারাই প্রায় এটিকে উৎসাহিত করেছিল।</v>
      </c>
    </row>
    <row r="1236" spans="1:3" ht="15" x14ac:dyDescent="0.25">
      <c r="A1236" s="3" t="s">
        <v>1232</v>
      </c>
      <c r="B1236" s="3" t="s">
        <v>997</v>
      </c>
      <c r="C1236" s="4" t="str">
        <f ca="1">IFERROR(__xludf.DUMMYFUNCTION("GOOGLETRANSLATE(A1236, ""auto"", ""bn"")"),"বিশ্ববিদ্যালয় থেকে স্নাতক শেষ করার পর আমার প্রথম পূর্ণকালীন চাকরি শুরু হয়েছে। আমি এখানে ৪ দিন ধরে আছি। আজ, কোম্পানির কাজের পর তাদের কিছু সাফল্য উদযাপন করার জন্য একটি পার্টি ছিল। সবাই মদ্যপান করছিল। রান্নাঘরের ফ্রিজ বিয়ারে ভরা। একটি ক্যাবিনেট বিভিন্ন ধর"&amp;"ণের মদ দিয়ে ভরা। আমিই একমাত্র ছিলাম যে পান করিনি (আমি জল পান করেছিলাম)। আমি ভেবেছিলাম কাজ শুরু করা আমার জন্য ভালো হবে এবং আমাকে ব্যস্ত রাখবে, কেবল এটি জানতে যে আমার কাজের রান্নাঘরে সহজেই অ্যালকোহল পাওয়া যায়। এটা একটা বিপর্যয়। আমার দুজন বসও মদ্যপান করছ"&amp;"িলেন।")</f>
        <v>বিশ্ববিদ্যালয় থেকে স্নাতক শেষ করার পর আমার প্রথম পূর্ণকালীন চাকরি শুরু হয়েছে। আমি এখানে ৪ দিন ধরে আছি। আজ, কোম্পানির কাজের পর তাদের কিছু সাফল্য উদযাপন করার জন্য একটি পার্টি ছিল। সবাই মদ্যপান করছিল। রান্নাঘরের ফ্রিজ বিয়ারে ভরা। একটি ক্যাবিনেট বিভিন্ন ধরণের মদ দিয়ে ভরা। আমিই একমাত্র ছিলাম যে পান করিনি (আমি জল পান করেছিলাম)। আমি ভেবেছিলাম কাজ শুরু করা আমার জন্য ভালো হবে এবং আমাকে ব্যস্ত রাখবে, কেবল এটি জানতে যে আমার কাজের রান্নাঘরে সহজেই অ্যালকোহল পাওয়া যায়। এটা একটা বিপর্যয়। আমার দুজন বসও মদ্যপান করছিলেন।</v>
      </c>
    </row>
    <row r="1237" spans="1:3" ht="15" x14ac:dyDescent="0.25">
      <c r="A1237" s="3" t="s">
        <v>1233</v>
      </c>
      <c r="B1237" s="3" t="s">
        <v>997</v>
      </c>
      <c r="C1237" s="4" t="str">
        <f ca="1">IFERROR(__xludf.DUMMYFUNCTION("GOOGLETRANSLATE(A1237, ""auto"", ""bn"")"),"সম্প্রতি আমি শান্ত থাকার প্রেরণা হারিয়ে ফেলছি। আমার মনে হচ্ছে এটা আর আমাকে সাহায্য করছে না। আমি সবসময় ভেতরে ভেতরে শূন্যতা অনুভব করি। আমি শুধু রাগ আর শূন্যতা অনুভব করি। আমি খুশি, দুঃখ, কষ্ট, রাগ ছাড়া আর কিছুই অনুভব করি না। আমি অন্তত মাতাল হয়ে আবেগগুলোকে স"&amp;"ামলাতে পারতাম। এখন আর পারছি না। আমি আমার চাকরি হারিয়েছি, এবং এর সাথে আমার পুরো জীবনের ক্যারিয়ারের লক্ষ্য, জীবনে আমি সংগ্রাম করে চলেছি, এবং আমার জন্য যেভাবে পরিস্থিতি তৈরি হয়েছে তাতে আমি সাধারণত অসন্তুষ্ট। আমার মনে হয় না এর আর কোনও মূল্য আছে। তাছাড়া, "&amp;"বোতল কিনতে যাওয়ার আগে আমার শুধু কিছু সাহায্যের প্রয়োজন।")</f>
        <v>সম্প্রতি আমি শান্ত থাকার প্রেরণা হারিয়ে ফেলছি। আমার মনে হচ্ছে এটা আর আমাকে সাহায্য করছে না। আমি সবসময় ভেতরে ভেতরে শূন্যতা অনুভব করি। আমি শুধু রাগ আর শূন্যতা অনুভব করি। আমি খুশি, দুঃখ, কষ্ট, রাগ ছাড়া আর কিছুই অনুভব করি না। আমি অন্তত মাতাল হয়ে আবেগগুলোকে সামলাতে পারতাম। এখন আর পারছি না। আমি আমার চাকরি হারিয়েছি, এবং এর সাথে আমার পুরো জীবনের ক্যারিয়ারের লক্ষ্য, জীবনে আমি সংগ্রাম করে চলেছি, এবং আমার জন্য যেভাবে পরিস্থিতি তৈরি হয়েছে তাতে আমি সাধারণত অসন্তুষ্ট। আমার মনে হয় না এর আর কোনও মূল্য আছে। তাছাড়া, বোতল কিনতে যাওয়ার আগে আমার শুধু কিছু সাহায্যের প্রয়োজন।</v>
      </c>
    </row>
    <row r="1238" spans="1:3" ht="15" x14ac:dyDescent="0.25">
      <c r="A1238" s="3" t="s">
        <v>1234</v>
      </c>
      <c r="B1238" s="3" t="s">
        <v>997</v>
      </c>
      <c r="C1238" s="4" t="str">
        <f ca="1">IFERROR(__xludf.DUMMYFUNCTION("GOOGLETRANSLATE(A1238, ""auto"", ""bn"")"),"এই বিরল জীবনযাত্রার স্বাস্থ্যগত পরিণতি নিয়ে আমি তীব্র উদ্বিগ্ন। আর মজার ব্যাপার হলো, মদ্যপানই হলো সেই উদ্বেগ কাটিয়ে ওঠার একমাত্র উপায়। আমি প্রতিদিন ঘুম থেকে উঠে আয়নায় আমার ত্বকের রঙ পরীক্ষা করে দেখি জন্ডিসের লক্ষণ আছে কিনা। আমি সবসময় আমার পেটের চারপ"&amp;"াশে অনুভব করি যে কিছু খারাপ লাগছে কিনা। আমি রাস্তার পাশে জরুরি চিকিৎসা কেন্দ্রে যাই এবং তাদের কাছে পরীক্ষার জন্য বলি যাতে তারা আমাকে আশ্বস্ত করে যে আমি মারা যাচ্ছি না। আর আমি এখনও মারা যাইনি, কিন্তু প্রতিবারই সংখ্যা আরও খারাপ হচ্ছে। আমি আগে ভাবতাম শারীরিক"&amp;" ক্ষতির প্রমাণ পেলে হয়তো থামতে উৎসাহিত হব, কিন্তু এখন আমি সীমা অতিক্রম করেছি, এবং এটি আমাকে মোটেও ধীর করেনি। আমি ভয় পাচ্ছি বন্ধু, আমি এমন ব্যক্তি নই যে মৃত্যুকে ভয় পায় না, আমি সত্যিই ভয় পাই।")</f>
        <v>এই বিরল জীবনযাত্রার স্বাস্থ্যগত পরিণতি নিয়ে আমি তীব্র উদ্বিগ্ন। আর মজার ব্যাপার হলো, মদ্যপানই হলো সেই উদ্বেগ কাটিয়ে ওঠার একমাত্র উপায়। আমি প্রতিদিন ঘুম থেকে উঠে আয়নায় আমার ত্বকের রঙ পরীক্ষা করে দেখি জন্ডিসের লক্ষণ আছে কিনা। আমি সবসময় আমার পেটের চারপাশে অনুভব করি যে কিছু খারাপ লাগছে কিনা। আমি রাস্তার পাশে জরুরি চিকিৎসা কেন্দ্রে যাই এবং তাদের কাছে পরীক্ষার জন্য বলি যাতে তারা আমাকে আশ্বস্ত করে যে আমি মারা যাচ্ছি না। আর আমি এখনও মারা যাইনি, কিন্তু প্রতিবারই সংখ্যা আরও খারাপ হচ্ছে। আমি আগে ভাবতাম শারীরিক ক্ষতির প্রমাণ পেলে হয়তো থামতে উৎসাহিত হব, কিন্তু এখন আমি সীমা অতিক্রম করেছি, এবং এটি আমাকে মোটেও ধীর করেনি। আমি ভয় পাচ্ছি বন্ধু, আমি এমন ব্যক্তি নই যে মৃত্যুকে ভয় পায় না, আমি সত্যিই ভয় পাই।</v>
      </c>
    </row>
    <row r="1239" spans="1:3" ht="15" x14ac:dyDescent="0.25">
      <c r="A1239" s="3" t="s">
        <v>1235</v>
      </c>
      <c r="B1239" s="3" t="s">
        <v>997</v>
      </c>
      <c r="C1239" s="4" t="str">
        <f ca="1">IFERROR(__xludf.DUMMYFUNCTION("GOOGLETRANSLATE(A1239, ""auto"", ""bn"")"),"এটা পোস্ট করার জন্য এটি সঠিক জায়গা কিনা তা নিশ্চিত নই, তবে আমি এখানেই বলছি। আমার এক বছরের বান্ধবী অ্যালকোহল ব্যবহারের ব্যাধিতে আক্রান্ত হয়েছে। সে জোর দিয়ে বলে যে তার কোনও সমস্যা নেই। প্রায়শই আমরা যখন ডিনার করতে যাই তখন সে এতটাই মদ্যপ হয়ে যায় যে সে ম"&amp;"াতাল হয়ে যায়। প্রায় দুটি স্পিরিটের পরে সে লক্ষণীয়ভাবে মাতাল হয়ে যায়। তবে, আমার কাছে সবচেয়ে বেশি উদ্বেগের বিষয় হল সে কীভাবে মদ্যপান করে তা মোকাবেলা করে। যদি তার কর্মক্ষেত্রে খারাপ দিন থাকে, বা তার রুমমেটদের সাথে ঝগড়া হয়, এমনকি আমাদের মধ্যে মতবিরো"&amp;"ধ হয়, তবে সে অতিরিক্ত মদ্যপান করবে। এই পরিস্থিতি কোন দিকে যাচ্ছে তা নিয়ে চিন্তিত হওয়া কি আমার ভুল? আমি সারা জীবন মদ্যপদের দ্বারা বেষ্টিত ছিলাম এবং তাকে এই পথে চলতে দেখেও আমি সাহায্য করতে পারছি না।")</f>
        <v>এটা পোস্ট করার জন্য এটি সঠিক জায়গা কিনা তা নিশ্চিত নই, তবে আমি এখানেই বলছি। আমার এক বছরের বান্ধবী অ্যালকোহল ব্যবহারের ব্যাধিতে আক্রান্ত হয়েছে। সে জোর দিয়ে বলে যে তার কোনও সমস্যা নেই। প্রায়শই আমরা যখন ডিনার করতে যাই তখন সে এতটাই মদ্যপ হয়ে যায় যে সে মাতাল হয়ে যায়। প্রায় দুটি স্পিরিটের পরে সে লক্ষণীয়ভাবে মাতাল হয়ে যায়। তবে, আমার কাছে সবচেয়ে বেশি উদ্বেগের বিষয় হল সে কীভাবে মদ্যপান করে তা মোকাবেলা করে। যদি তার কর্মক্ষেত্রে খারাপ দিন থাকে, বা তার রুমমেটদের সাথে ঝগড়া হয়, এমনকি আমাদের মধ্যে মতবিরোধ হয়, তবে সে অতিরিক্ত মদ্যপান করবে। এই পরিস্থিতি কোন দিকে যাচ্ছে তা নিয়ে চিন্তিত হওয়া কি আমার ভুল? আমি সারা জীবন মদ্যপদের দ্বারা বেষ্টিত ছিলাম এবং তাকে এই পথে চলতে দেখেও আমি সাহায্য করতে পারছি না।</v>
      </c>
    </row>
    <row r="1240" spans="1:3" ht="15" x14ac:dyDescent="0.25">
      <c r="A1240" s="3" t="s">
        <v>1236</v>
      </c>
      <c r="B1240" s="3" t="s">
        <v>997</v>
      </c>
      <c r="C1240" s="4" t="str">
        <f ca="1">IFERROR(__xludf.DUMMYFUNCTION("GOOGLETRANSLATE(A1240, ""auto"", ""bn"")"),"আমি ঘুম থেকে উঠে দেখলাম, খুব খারাপ কিছু করেছি বলে মনে হয় না, তবে এটা খুবই চাপের। আমি BPD-তে ভুগছি এবং যখন আমি উন্মাদ হয়ে যাই তখন আমি অতিরিক্ত মদ্যপান করি। যদি এটি এর জন্য সঠিক জায়গা না হয় তবে আমি দুঃখিত। আমার কাজের জন্য আমি অবিশ্বাস্যভাবে অনুতপ্ত এবং "&amp;"কাউকে বলার প্রয়োজন ছিল, এটি পড়ার জন্য ধন্যবাদ।")</f>
        <v>আমি ঘুম থেকে উঠে দেখলাম, খুব খারাপ কিছু করেছি বলে মনে হয় না, তবে এটা খুবই চাপের। আমি BPD-তে ভুগছি এবং যখন আমি উন্মাদ হয়ে যাই তখন আমি অতিরিক্ত মদ্যপান করি। যদি এটি এর জন্য সঠিক জায়গা না হয় তবে আমি দুঃখিত। আমার কাজের জন্য আমি অবিশ্বাস্যভাবে অনুতপ্ত এবং কাউকে বলার প্রয়োজন ছিল, এটি পড়ার জন্য ধন্যবাদ।</v>
      </c>
    </row>
    <row r="1241" spans="1:3" ht="15" x14ac:dyDescent="0.25">
      <c r="A1241" s="3" t="s">
        <v>1237</v>
      </c>
      <c r="B1241" s="3" t="s">
        <v>997</v>
      </c>
      <c r="C1241" s="4" t="str">
        <f ca="1">IFERROR(__xludf.DUMMYFUNCTION("GOOGLETRANSLATE(A1241, ""auto"", ""bn"")"),"তাই আমাকে মদ্যপানের জন্য নিষিদ্ধ করা হয়েছে। আমি খারাপ কথা বলেছিলাম এবং ধনী ব্যক্তিদের সাথে সাদা মহিলারা রেগে গিয়েছিল। কিন্তু আমি আগামীকাল রাতে একটি সভায় যাচ্ছি। আমার মনে হয় পরিস্থিতির উন্নতি হচ্ছে।")</f>
        <v>তাই আমাকে মদ্যপানের জন্য নিষিদ্ধ করা হয়েছে। আমি খারাপ কথা বলেছিলাম এবং ধনী ব্যক্তিদের সাথে সাদা মহিলারা রেগে গিয়েছিল। কিন্তু আমি আগামীকাল রাতে একটি সভায় যাচ্ছি। আমার মনে হয় পরিস্থিতির উন্নতি হচ্ছে।</v>
      </c>
    </row>
    <row r="1242" spans="1:3" ht="15" x14ac:dyDescent="0.25">
      <c r="A1242" s="3" t="s">
        <v>1238</v>
      </c>
      <c r="B1242" s="3" t="s">
        <v>997</v>
      </c>
      <c r="C1242" s="4" t="str">
        <f ca="1">IFERROR(__xludf.DUMMYFUNCTION("GOOGLETRANSLATE(A1242, ""auto"", ""bn"")"),"আমি ১৭ মাস ধরে সুস্থ আছি এবং অনেক মদ্যপদের মতো আমার মস্তিষ্কের একটা অংশ ভাবছে যে আমি কি পরিমিত পরিমাণে পান করতে পারি। আচ্ছা, গতকাল, আমি কোলনোস্কোপির জন্য হাসপাতালে ছিলাম এবং সিডেশনের পরিবর্তে গ্যাস এবং বাতাস বেছে নিলাম (যা সিডেশনের সময়কার চেয়ে অনেক বেশি"&amp;" আরামদায়ক ছিল)। আমি গ্যাসের প্রথম শ্বাস নিলাম এবং একটা গুঞ্জন অনুভব করতে শুরু করলাম। এটা যেন মাতাল অনুভূতি। আমার মদ্যপ মস্তিষ্ক তৎক্ষণাৎ নিয়ন্ত্রণে চলে গেল এবং তা তাড়া করতে লাগল। আমি যত জোরে এবং যত দ্রুত সম্ভব গ্যাসটি গুঞ্জন করছিলাম। আমার এটির প্রয়োজন"&amp;" ছিল বলে নয়। কেবল আরও গুঞ্জন পাওয়ার জন্য। যত বেশি পেলাম, তত বেশি চেয়েছিলাম কারণ সবকিছু শেষ হয়ে গেলে আমি খুব হতাশ হয়েছিলাম। শিক্ষা পেয়েছি, আমি জানি যে আমি যদি পান করতাম তবে ঠিক এটাই করতাম।")</f>
        <v>আমি ১৭ মাস ধরে সুস্থ আছি এবং অনেক মদ্যপদের মতো আমার মস্তিষ্কের একটা অংশ ভাবছে যে আমি কি পরিমিত পরিমাণে পান করতে পারি। আচ্ছা, গতকাল, আমি কোলনোস্কোপির জন্য হাসপাতালে ছিলাম এবং সিডেশনের পরিবর্তে গ্যাস এবং বাতাস বেছে নিলাম (যা সিডেশনের সময়কার চেয়ে অনেক বেশি আরামদায়ক ছিল)। আমি গ্যাসের প্রথম শ্বাস নিলাম এবং একটা গুঞ্জন অনুভব করতে শুরু করলাম। এটা যেন মাতাল অনুভূতি। আমার মদ্যপ মস্তিষ্ক তৎক্ষণাৎ নিয়ন্ত্রণে চলে গেল এবং তা তাড়া করতে লাগল। আমি যত জোরে এবং যত দ্রুত সম্ভব গ্যাসটি গুঞ্জন করছিলাম। আমার এটির প্রয়োজন ছিল বলে নয়। কেবল আরও গুঞ্জন পাওয়ার জন্য। যত বেশি পেলাম, তত বেশি চেয়েছিলাম কারণ সবকিছু শেষ হয়ে গেলে আমি খুব হতাশ হয়েছিলাম। শিক্ষা পেয়েছি, আমি জানি যে আমি যদি পান করতাম তবে ঠিক এটাই করতাম।</v>
      </c>
    </row>
    <row r="1243" spans="1:3" ht="15" x14ac:dyDescent="0.25">
      <c r="A1243" s="3" t="s">
        <v>1239</v>
      </c>
      <c r="B1243" s="3" t="s">
        <v>997</v>
      </c>
      <c r="C1243" s="4" t="str">
        <f ca="1">IFERROR(__xludf.DUMMYFUNCTION("GOOGLETRANSLATE(A1243, ""auto"", ""bn"")"),"বছরের পর বছর ধরে আমি আমার মদ্যপান মারাত্মকভাবে কমিয়ে দিয়েছি। আমি যা অর্জন করেছি তার জন্য আমি খুব গর্বিত। তবে, এখনও মাঝে মাঝে আমার এমন কিছু ইচ্ছা হয় যা আমি দূর করতে চাই। মদ্যপান কমানোর পর থেকে, আমি সুস্থ হয়ে উঠতে পেরেছি এবং আমার সহনশীলতা কমাতে পেরেছি। "&amp;"অতীতে, আমি ক্রমাগত মাতাল এবং ক্ষুধার্ত অবস্থায় থাকতাম, এবং আমার শরীর এবং মন উভয়ই এটিকে স্বাভাবিক বলে মনে করত। এখন আমি সুস্থ হয়েছি, আমি সত্যিই মদ্যপানের প্রভাব 'অনুভূতি' করি। আমাকে মাতাল করতে কম অ্যালকোহল লাগে, হ্যাংওভার ১০০ গুণ খারাপ হয় এবং এর পরিণতি "&amp;"২-৩ দিন স্থায়ী হয়! আমার সমস্যা হল আমি সন্ধ্যায়/রাতে পান করতে পছন্দ করি এবং রাতের খাবারের সাথেও পান করি। আমি মনে করি অ্যালকোহল খাবারের সাথে খুব ভালোভাবে মিশে যায়। আমি এই অভ্যাসটি সম্পূর্ণরূপে ত্যাগ করতে চাই। কিছু বিকল্প কী? হ্যাঁ, বিকল্প। আমি জানি কিছু"&amp;" লোক এই অংশের সাথে একমত হবে না, তবে আমি কর্মক্ষেত্রে হ্যাংওভার মোকাবেলা করার চেয়ে অন্য কিছু করতে পছন্দ করব কারণ আমি আগের রাতে বোকা ছিলাম।")</f>
        <v>বছরের পর বছর ধরে আমি আমার মদ্যপান মারাত্মকভাবে কমিয়ে দিয়েছি। আমি যা অর্জন করেছি তার জন্য আমি খুব গর্বিত। তবে, এখনও মাঝে মাঝে আমার এমন কিছু ইচ্ছা হয় যা আমি দূর করতে চাই। মদ্যপান কমানোর পর থেকে, আমি সুস্থ হয়ে উঠতে পেরেছি এবং আমার সহনশীলতা কমাতে পেরেছি। অতীতে, আমি ক্রমাগত মাতাল এবং ক্ষুধার্ত অবস্থায় থাকতাম, এবং আমার শরীর এবং মন উভয়ই এটিকে স্বাভাবিক বলে মনে করত। এখন আমি সুস্থ হয়েছি, আমি সত্যিই মদ্যপানের প্রভাব 'অনুভূতি' করি। আমাকে মাতাল করতে কম অ্যালকোহল লাগে, হ্যাংওভার ১০০ গুণ খারাপ হয় এবং এর পরিণতি ২-৩ দিন স্থায়ী হয়! আমার সমস্যা হল আমি সন্ধ্যায়/রাতে পান করতে পছন্দ করি এবং রাতের খাবারের সাথেও পান করি। আমি মনে করি অ্যালকোহল খাবারের সাথে খুব ভালোভাবে মিশে যায়। আমি এই অভ্যাসটি সম্পূর্ণরূপে ত্যাগ করতে চাই। কিছু বিকল্প কী? হ্যাঁ, বিকল্প। আমি জানি কিছু লোক এই অংশের সাথে একমত হবে না, তবে আমি কর্মক্ষেত্রে হ্যাংওভার মোকাবেলা করার চেয়ে অন্য কিছু করতে পছন্দ করব কারণ আমি আগের রাতে বোকা ছিলাম।</v>
      </c>
    </row>
    <row r="1244" spans="1:3" ht="15" x14ac:dyDescent="0.25">
      <c r="A1244" s="3" t="s">
        <v>1240</v>
      </c>
      <c r="B1244" s="3" t="s">
        <v>997</v>
      </c>
      <c r="C1244" s="4" t="str">
        <f ca="1">IFERROR(__xludf.DUMMYFUNCTION("GOOGLETRANSLATE(A1244, ""auto"", ""bn"")"),"আমি একজন মদ্যপ। আমি জানি আমি মদ্যপ, আমি সবসময় স্বীকার করতে চাইনি, কিন্তু আমি জানি আমি তাই। তাছাড়া, আমি মিথ্যা বলব না, আমি আজ রাতে মদ্যপান করছি যখন আমি এটি লিখছি। কিন্তু ""আপনি কি মজা করে একটি শান্ত জীবনযাপন করেন?"" এই প্রশ্নটি আমার জন্য সর্বদা সবচেয়ে ব"&amp;"ড় বিষয় ছিল যে আমি কখনই মদ্যপান থেকে বিরত থাকতে প্রতিশ্রুতিবদ্ধ হইনি। মদ্যপান আমার সামাজিক জীবনের একটি প্রধান বিষয় হয়ে দাঁড়িয়েছে, কিন্তু আমি আমার চারপাশের লোকেদের মতো মদ্যপান করতে পারি না। আমার সব বন্ধুরা মদ্যপান করে কারণ তারা তাদের নোংরামি সামলাতে প"&amp;"ারে। তারা মাসে একবার শনিবার রাতে বাইরে গিয়ে খারাপ হয়ে যেতে পারে এবং কখনও কখনও কাজের পরে এক বা দুটি বিয়ার পান করতে পারে। আমি পারি না। যদি আমি মদ্যপান করি, তাহলে আমাকে মাতাল হতে হবে। এবং যদি আমি মদ্যপান না করি, তাহলে আমি ঘুমাতে পারি না। আমি প্রায় প্রতি "&amp;"রাতে মদ্যপান করি, এবং অতিরিক্ত মদ্যপান করি। আমি কেবল ঘুমিয়ে পড়ার জন্য মদ্যপান করি। তাছাড়া, আমি বেশিরভাগ সময় মদ্যপান উপভোগ করি না। আমি যখন বারে বা বন্ধুদের সাথে পার্টিতে যাই তখনই আমি এটি উপভোগ করি। আমি যদি তাদের মতো হতে পারতাম কারণ আমি জানি ওরা কেবল তখ"&amp;"নই মদ্যপান করে। কিন্তু যখন আমি ওদের সাথে থাকি না, তখন আমি প্রতি রাতে বাড়িতে একা মদ্যপান করি। আমি যদি রাতের বেলায় মদ্যপান বন্ধ করতে পারতাম, কিন্তু পারি না। আমি অনেকবার চেষ্টা করেছি। সম্প্রতি আমি পুনর্বাসনে যাওয়ার কথা ভাবছি এবং একসাথে ছেড়ে দেওয়ার প্রতি"&amp;"শ্রুতি দিচ্ছি। কিন্তু যখন তুমি থামবে তখন তুমি কী করবে? মদ্যপান ছাড়া সামাজিক জীবন কল্পনা করা খুব কঠিন। এটা কি শুধু আসক্তির কথা? পার্শ্ব দ্রষ্টব্য: আমিও বোকা বোধ করি। আমি জানি অনেক মানুষ আছে যারা 24/7 মাতাল থাকার প্রয়োজন বোধ করে এবং আমি এমন একজন লোক যে প্"&amp;"রায় প্রতি রাতে ঘুমানোর জন্য মদ্যপান করে। কিন্তু আমার মনে হয় মদ্যপান আমার জীবনকে সক্রিয়ভাবে নষ্ট করে দিচ্ছে।")</f>
        <v>আমি একজন মদ্যপ। আমি জানি আমি মদ্যপ, আমি সবসময় স্বীকার করতে চাইনি, কিন্তু আমি জানি আমি তাই। তাছাড়া, আমি মিথ্যা বলব না, আমি আজ রাতে মদ্যপান করছি যখন আমি এটি লিখছি। কিন্তু "আপনি কি মজা করে একটি শান্ত জীবনযাপন করেন?" এই প্রশ্নটি আমার জন্য সর্বদা সবচেয়ে বড় বিষয় ছিল যে আমি কখনই মদ্যপান থেকে বিরত থাকতে প্রতিশ্রুতিবদ্ধ হইনি। মদ্যপান আমার সামাজিক জীবনের একটি প্রধান বিষয় হয়ে দাঁড়িয়েছে, কিন্তু আমি আমার চারপাশের লোকেদের মতো মদ্যপান করতে পারি না। আমার সব বন্ধুরা মদ্যপান করে কারণ তারা তাদের নোংরামি সামলাতে পারে। তারা মাসে একবার শনিবার রাতে বাইরে গিয়ে খারাপ হয়ে যেতে পারে এবং কখনও কখনও কাজের পরে এক বা দুটি বিয়ার পান করতে পারে। আমি পারি না। যদি আমি মদ্যপান করি, তাহলে আমাকে মাতাল হতে হবে। এবং যদি আমি মদ্যপান না করি, তাহলে আমি ঘুমাতে পারি না। আমি প্রায় প্রতি রাতে মদ্যপান করি, এবং অতিরিক্ত মদ্যপান করি। আমি কেবল ঘুমিয়ে পড়ার জন্য মদ্যপান করি। তাছাড়া, আমি বেশিরভাগ সময় মদ্যপান উপভোগ করি না। আমি যখন বারে বা বন্ধুদের সাথে পার্টিতে যাই তখনই আমি এটি উপভোগ করি। আমি যদি তাদের মতো হতে পারতাম কারণ আমি জানি ওরা কেবল তখনই মদ্যপান করে। কিন্তু যখন আমি ওদের সাথে থাকি না, তখন আমি প্রতি রাতে বাড়িতে একা মদ্যপান করি। আমি যদি রাতের বেলায় মদ্যপান বন্ধ করতে পারতাম, কিন্তু পারি না। আমি অনেকবার চেষ্টা করেছি। সম্প্রতি আমি পুনর্বাসনে যাওয়ার কথা ভাবছি এবং একসাথে ছেড়ে দেওয়ার প্রতিশ্রুতি দিচ্ছি। কিন্তু যখন তুমি থামবে তখন তুমি কী করবে? মদ্যপান ছাড়া সামাজিক জীবন কল্পনা করা খুব কঠিন। এটা কি শুধু আসক্তির কথা? পার্শ্ব দ্রষ্টব্য: আমিও বোকা বোধ করি। আমি জানি অনেক মানুষ আছে যারা 24/7 মাতাল থাকার প্রয়োজন বোধ করে এবং আমি এমন একজন লোক যে প্রায় প্রতি রাতে ঘুমানোর জন্য মদ্যপান করে। কিন্তু আমার মনে হয় মদ্যপান আমার জীবনকে সক্রিয়ভাবে নষ্ট করে দিচ্ছে।</v>
      </c>
    </row>
    <row r="1245" spans="1:3" ht="15" x14ac:dyDescent="0.25">
      <c r="A1245" s="3" t="s">
        <v>1241</v>
      </c>
      <c r="B1245" s="3" t="s">
        <v>997</v>
      </c>
      <c r="C1245" s="4" t="str">
        <f ca="1">IFERROR(__xludf.DUMMYFUNCTION("GOOGLETRANSLATE(A1245, ""auto"", ""bn"")"),"আমার বাবা সবসময় সন্ধ্যাবেলা গ্যারেজে ছোট্ট টিভি দেখে বাজে বিয়ার পান করতেন (আমার বয়স এখন ২৭), এবং তারপর দ্রুত বিশ্রামাগারে বা বাথরুমে ঘুমিয়ে পড়েন। তিনি কখনও মদ্যপান করার জন্য বারে যান না বা আক্রমণাত্মক হন না, তাই তিনি তার মদ্যপানকে সমস্যা হিসেবে দেখেন"&amp;" না। তিনি সম্প্রতি অবসর গ্রহণ করেছেন এবং আমার চোখে পরিস্থিতি আরও খারাপ হয়েছে, এবং সন্ধ্যা ৭ টার পরে যে কোনও ফোন কল সাধারণত পরের দিন মনে থাকে না বা কেবল অস্পষ্ট কথা বলে। আমি কীভাবে তাকে জানাব যে আমি তার জন্য চিন্তিত কিন্তু বেশিরভাগই মাতাল বাবার সাথে আচরণ "&amp;"করতে করতে ক্লান্ত? শান্ত বাবা দুর্দান্ত এবং ক্যারিশম্যাটিক, যার ফলে বিপরীত মাতাল বাবাকে দেখা মানসিকভাবে মোকাবেলা করা কঠিন হয়ে পড়ে। তিনি এখনও আমার মাকে বিয়ে করেছেন যিনি মদ্যপান করেন না, এবং তিনি সর্বদা তাকে মদ্যপানের জন্য নরক বলেছেন, কিন্তু আমি যা দেখেছ"&amp;"ি তার উপর তার সমস্যাগুলির উপর ভিত্তি করে তিনি কখনও এটিকে হালকা করেননি। ইন্টারনেটে আমি যে সমস্ত পরামর্শ পেয়েছি তা সেই লোকদের জন্য যারা মদ্যপান করে এবং এমনকি ইভেন্ট এবং অন্যান্য জিনিসগুলিতেও পকেটে চুরি করে পান করতে পছন্দ করে, অথবা আক্রমণাত্মক হয়ে ওঠে। আমা"&amp;"র বাবার ব্যাপারটা হালকা মনে হচ্ছে কিন্তু মানসিকভাবে এখনও হতাশাজনক এবং তিনি অবশ্যই এটিকে মদ্যপান বলে মনে করেন না কারণ তিনি বলেন যে তিনি বিয়ার ছাড়াই চলতে পারেন, এবং আগেও করেছেন।")</f>
        <v>আমার বাবা সবসময় সন্ধ্যাবেলা গ্যারেজে ছোট্ট টিভি দেখে বাজে বিয়ার পান করতেন (আমার বয়স এখন ২৭), এবং তারপর দ্রুত বিশ্রামাগারে বা বাথরুমে ঘুমিয়ে পড়েন। তিনি কখনও মদ্যপান করার জন্য বারে যান না বা আক্রমণাত্মক হন না, তাই তিনি তার মদ্যপানকে সমস্যা হিসেবে দেখেন না। তিনি সম্প্রতি অবসর গ্রহণ করেছেন এবং আমার চোখে পরিস্থিতি আরও খারাপ হয়েছে, এবং সন্ধ্যা ৭ টার পরে যে কোনও ফোন কল সাধারণত পরের দিন মনে থাকে না বা কেবল অস্পষ্ট কথা বলে। আমি কীভাবে তাকে জানাব যে আমি তার জন্য চিন্তিত কিন্তু বেশিরভাগই মাতাল বাবার সাথে আচরণ করতে করতে ক্লান্ত? শান্ত বাবা দুর্দান্ত এবং ক্যারিশম্যাটিক, যার ফলে বিপরীত মাতাল বাবাকে দেখা মানসিকভাবে মোকাবেলা করা কঠিন হয়ে পড়ে। তিনি এখনও আমার মাকে বিয়ে করেছেন যিনি মদ্যপান করেন না, এবং তিনি সর্বদা তাকে মদ্যপানের জন্য নরক বলেছেন, কিন্তু আমি যা দেখেছি তার উপর তার সমস্যাগুলির উপর ভিত্তি করে তিনি কখনও এটিকে হালকা করেননি। ইন্টারনেটে আমি যে সমস্ত পরামর্শ পেয়েছি তা সেই লোকদের জন্য যারা মদ্যপান করে এবং এমনকি ইভেন্ট এবং অন্যান্য জিনিসগুলিতেও পকেটে চুরি করে পান করতে পছন্দ করে, অথবা আক্রমণাত্মক হয়ে ওঠে। আমার বাবার ব্যাপারটা হালকা মনে হচ্ছে কিন্তু মানসিকভাবে এখনও হতাশাজনক এবং তিনি অবশ্যই এটিকে মদ্যপান বলে মনে করেন না কারণ তিনি বলেন যে তিনি বিয়ার ছাড়াই চলতে পারেন, এবং আগেও করেছেন।</v>
      </c>
    </row>
    <row r="1246" spans="1:3" ht="15" x14ac:dyDescent="0.25">
      <c r="A1246" s="3" t="s">
        <v>1242</v>
      </c>
      <c r="B1246" s="3" t="s">
        <v>997</v>
      </c>
      <c r="C1246" s="4" t="str">
        <f ca="1">IFERROR(__xludf.DUMMYFUNCTION("GOOGLETRANSLATE(A1246, ""auto"", ""bn"")"),"আমি আর আমার স্ত্রী দুজনেই মদ্যপানে আসক্ত, তবে আমি বুঝতে পারছি যে আমার কাজ করার ক্ষমতা ক্রমশ কমে যাচ্ছে, আর আমি ভয় পাচ্ছি যে এর ফলে আমার চাকরি চলে যাবে। আমাদের একটা অসাধারণ মেয়ে আছে যে খুব ভালো করছে, আর আমি একেবারেই চাই না যে সে মদ্যপানের সাথে বেড়ে উঠুক, "&amp;"কারণ বাবা-মায়ের জন্য। আমার মনে হয় আমি এই অভ্যাস ছেড়ে দিতে প্রস্তুত, তবে প্রতিদিন সকালে আমার এমনই অনুভূতি হয় এবং বিকেল ৪টার মধ্যে আমি বিয়ার খাওয়ার জন্য প্রস্তুত। আমি আর আমার স্ত্রী আমাদের ক্ষতি কমানোর জন্য কিছু করার চেষ্টা করি, যেমন সপ্তাহে এক বা দুই দিন "&amp;"ছুটি নেওয়া, কিন্তু এর বেশি কখনও না। আমরা যখনই মদ্যপানের কথা বলি, তখনই আলোচনা খুবই চাপের মধ্যে পড়ে যায় এবং সাধারণত তর্ক-বিতর্কে পরিণত হয়। আমার মনে হয় যে আমার স্ত্রী জিনিসটা ধীর করতে মোটেও প্রস্তুত নয়, এবং আমি থামানোর জন্য সাহায্য নেওয়ার ধারণাটিও তুলতে ভয়"&amp;" পাই। আমার মনে হচ্ছে আমি একটা ভাঙনের পর্যায়ে আছি এবং আমি জানি না কী করব।")</f>
        <v>আমি আর আমার স্ত্রী দুজনেই মদ্যপানে আসক্ত, তবে আমি বুঝতে পারছি যে আমার কাজ করার ক্ষমতা ক্রমশ কমে যাচ্ছে, আর আমি ভয় পাচ্ছি যে এর ফলে আমার চাকরি চলে যাবে। আমাদের একটা অসাধারণ মেয়ে আছে যে খুব ভালো করছে, আর আমি একেবারেই চাই না যে সে মদ্যপানের সাথে বেড়ে উঠুক, কারণ বাবা-মায়ের জন্য। আমার মনে হয় আমি এই অভ্যাস ছেড়ে দিতে প্রস্তুত, তবে প্রতিদিন সকালে আমার এমনই অনুভূতি হয় এবং বিকেল ৪টার মধ্যে আমি বিয়ার খাওয়ার জন্য প্রস্তুত। আমি আর আমার স্ত্রী আমাদের ক্ষতি কমানোর জন্য কিছু করার চেষ্টা করি, যেমন সপ্তাহে এক বা দুই দিন ছুটি নেওয়া, কিন্তু এর বেশি কখনও না। আমরা যখনই মদ্যপানের কথা বলি, তখনই আলোচনা খুবই চাপের মধ্যে পড়ে যায় এবং সাধারণত তর্ক-বিতর্কে পরিণত হয়। আমার মনে হয় যে আমার স্ত্রী জিনিসটা ধীর করতে মোটেও প্রস্তুত নয়, এবং আমি থামানোর জন্য সাহায্য নেওয়ার ধারণাটিও তুলতে ভয় পাই। আমার মনে হচ্ছে আমি একটা ভাঙনের পর্যায়ে আছি এবং আমি জানি না কী করব।</v>
      </c>
    </row>
    <row r="1247" spans="1:3" ht="15" x14ac:dyDescent="0.25">
      <c r="A1247" s="3" t="s">
        <v>1243</v>
      </c>
      <c r="B1247" s="3" t="s">
        <v>997</v>
      </c>
      <c r="C1247" s="4" t="str">
        <f ca="1">IFERROR(__xludf.DUMMYFUNCTION("GOOGLETRANSLATE(A1247, ""auto"", ""bn"")"),"প্রথমত, আমার বয়স ২০ এবং আমি কলেজে পড়ি, তাই মদ্যপান আমার জীবনের একটা বড় অংশ, কিন্তু এতটা ক্ষতিকর নয় যে, এটা আমাকে কষ্ট দেয়। আমি ক্লাস মিস করিনি, অসুস্থ হইনি বা ক্লান্ত হয়ে পড়িনি। ২-৩ রাত বেশ মাতাল অবস্থায় কাটাই। কিন্তু রাতে আমি একা মদ্যপান করেছি, প্লাস্টার"&amp;" করা হয়নি বরং একটা গুঞ্জন শোনার জন্য। এটা আরামদায়ক ছিল এবং আমাকে কষ্ট দেওয়া এবং সহজে ঘুমিয়ে পড়ার অনুভূতিটা আমার খুব ভালো লেগেছে। যতই আমি বাড়ি ফিরে পান করেছি (অনেক কম বেশি), আমি লক্ষ্য করেছি যে আমি প্রায় একা অথবা ডিজিটালভাবে কারো সাথে যোগাযোগ করার সময় পান "&amp;"করি, এবং মাতাল হয়ে পূর্ণ হওয়ার এবং এর প্রভাব অনুভব করার ইচ্ছা আরও তীব্র হয়ে উঠেছে। ২ সপ্তাহ আগে নিকোটিন ছেড়ে দেওয়ার পর এটা আরও খারাপ হয়েছে। আমার মনে হয় ""ভাই, আমি কি বিয়ার খেতে পারি?"" যদিও মদ্যপানের অভ্যাস করতে চাইনি। আমি মদ্যপান ছাড়াই চলতে পারি, কিন্তু"&amp;" রাতে যখন আমি কিছু পানীয় খাই তখন নিজেকে আরও উপভোগ করি। সব মিলিয়ে আমি বলতে পারছি না যে আমার কোন সমস্যা আছে কিনা, আমি কি তার কাছাকাছি চলে আসছি কিনা, নিকোটিন ত্যাগ করার ফলে আমার উপর কতটা প্রভাব পড়ছে, অথবা আমি অতিরিক্ত প্রতিক্রিয়া দেখাচ্ছি কিনা।")</f>
        <v>প্রথমত, আমার বয়স ২০ এবং আমি কলেজে পড়ি, তাই মদ্যপান আমার জীবনের একটা বড় অংশ, কিন্তু এতটা ক্ষতিকর নয় যে, এটা আমাকে কষ্ট দেয়। আমি ক্লাস মিস করিনি, অসুস্থ হইনি বা ক্লান্ত হয়ে পড়িনি। ২-৩ রাত বেশ মাতাল অবস্থায় কাটাই। কিন্তু রাতে আমি একা মদ্যপান করেছি, প্লাস্টার করা হয়নি বরং একটা গুঞ্জন শোনার জন্য। এটা আরামদায়ক ছিল এবং আমাকে কষ্ট দেওয়া এবং সহজে ঘুমিয়ে পড়ার অনুভূতিটা আমার খুব ভালো লেগেছে। যতই আমি বাড়ি ফিরে পান করেছি (অনেক কম বেশি), আমি লক্ষ্য করেছি যে আমি প্রায় একা অথবা ডিজিটালভাবে কারো সাথে যোগাযোগ করার সময় পান করি, এবং মাতাল হয়ে পূর্ণ হওয়ার এবং এর প্রভাব অনুভব করার ইচ্ছা আরও তীব্র হয়ে উঠেছে। ২ সপ্তাহ আগে নিকোটিন ছেড়ে দেওয়ার পর এটা আরও খারাপ হয়েছে। আমার মনে হয় "ভাই, আমি কি বিয়ার খেতে পারি?" যদিও মদ্যপানের অভ্যাস করতে চাইনি। আমি মদ্যপান ছাড়াই চলতে পারি, কিন্তু রাতে যখন আমি কিছু পানীয় খাই তখন নিজেকে আরও উপভোগ করি। সব মিলিয়ে আমি বলতে পারছি না যে আমার কোন সমস্যা আছে কিনা, আমি কি তার কাছাকাছি চলে আসছি কিনা, নিকোটিন ত্যাগ করার ফলে আমার উপর কতটা প্রভাব পড়ছে, অথবা আমি অতিরিক্ত প্রতিক্রিয়া দেখাচ্ছি কিনা।</v>
      </c>
    </row>
    <row r="1248" spans="1:3" ht="15" x14ac:dyDescent="0.25">
      <c r="A1248" s="3" t="s">
        <v>1244</v>
      </c>
      <c r="B1248" s="3" t="s">
        <v>997</v>
      </c>
      <c r="C1248" s="4" t="str">
        <f ca="1">IFERROR(__xludf.DUMMYFUNCTION("GOOGLETRANSLATE(A1248, ""auto"", ""bn"")"),"প্রায় এক সপ্তাহ আগে আমি হার্ডকোর পান করা বন্ধ করে দিয়েছি কারণ আমার আক্কেল দাঁত বের হয়ে গেছে এবং গত এক সপ্তাহ ধরে প্রতিদিন আমি ৩-৫ বার হার্ড লিকার খাচ্ছি। আমি ভাবছিলাম যে আমার কি চিন্তিত হওয়া উচিত যে আমি আগে কখনও অতিরিক্ত মদ্যপান করিনি। কিন্তু আমার গ্যাস্ট"&amp;"্রিক বাইপাস সার্জারিও আছে [পেট সঙ্কুচিত করার সার্জারি]। তাই আমার খুব বেশি পান করা উচিত নয় কারণ এটি আমাকে বেশি প্রভাবিত করে কারণ আমার পেট খুবানির মতোই বড়। আমি তীব্র গ্যাস্ট্রাইটিসের কারণে পেটের ব্যথার সাথে লড়াই করছি এবং একই সাথে ৪টি আক্কেল দাঁত বের হয়ে "&amp;"যায়। আমি ঘামে ভিজে কাঁপতে কাঁপতে ঘুম থেকে উঠি। আমাকে সবসময় কাপড় পরিবর্তন করতে হয় এবং একটি নতুন কম্বল নিতে হয়। আমি সবেমাত্র একটি নতুন কাজ শুরু করেছি এবং আমি কর্মক্ষেত্রে পান করব না, তবে আমি চাই কারণ ৩ ঘন্টারও বেশি সময় ধরে আমার পায়ে থাকার পরে আমার সবচ"&amp;"েয়ে খারাপ পিঠে ব্যথা হয়। ভবিষ্যতের জন্য আমি নার্ভাস।")</f>
        <v>প্রায় এক সপ্তাহ আগে আমি হার্ডকোর পান করা বন্ধ করে দিয়েছি কারণ আমার আক্কেল দাঁত বের হয়ে গেছে এবং গত এক সপ্তাহ ধরে প্রতিদিন আমি ৩-৫ বার হার্ড লিকার খাচ্ছি। আমি ভাবছিলাম যে আমার কি চিন্তিত হওয়া উচিত যে আমি আগে কখনও অতিরিক্ত মদ্যপান করিনি। কিন্তু আমার গ্যাস্ট্রিক বাইপাস সার্জারিও আছে [পেট সঙ্কুচিত করার সার্জারি]। তাই আমার খুব বেশি পান করা উচিত নয় কারণ এটি আমাকে বেশি প্রভাবিত করে কারণ আমার পেট খুবানির মতোই বড়। আমি তীব্র গ্যাস্ট্রাইটিসের কারণে পেটের ব্যথার সাথে লড়াই করছি এবং একই সাথে ৪টি আক্কেল দাঁত বের হয়ে যায়। আমি ঘামে ভিজে কাঁপতে কাঁপতে ঘুম থেকে উঠি। আমাকে সবসময় কাপড় পরিবর্তন করতে হয় এবং একটি নতুন কম্বল নিতে হয়। আমি সবেমাত্র একটি নতুন কাজ শুরু করেছি এবং আমি কর্মক্ষেত্রে পান করব না, তবে আমি চাই কারণ ৩ ঘন্টারও বেশি সময় ধরে আমার পায়ে থাকার পরে আমার সবচেয়ে খারাপ পিঠে ব্যথা হয়। ভবিষ্যতের জন্য আমি নার্ভাস।</v>
      </c>
    </row>
    <row r="1249" spans="1:3" ht="15" x14ac:dyDescent="0.25">
      <c r="A1249" s="3" t="s">
        <v>1245</v>
      </c>
      <c r="B1249" s="3" t="s">
        <v>997</v>
      </c>
      <c r="C1249" s="4" t="str">
        <f ca="1">IFERROR(__xludf.DUMMYFUNCTION("GOOGLETRANSLATE(A1249, ""auto"", ""bn"")"),"আমার কি হাসপাতালে যাওয়া উচিত? আমার কোন চাকরি বা বীমা নেই এবং আমি প্রতিদিনই খুব খারাপ অনুভব করি, যদি না আমি মদ্যপান করি, এখনই আমি ৩ দিন ধরে কিছু খাইনি। আমার ভীষণ উত্তেজনা এবং কাঁপুনি আছে। আমি ১০ ঘন্টা ধরে কাজ করেছি এবং ভয়াবহ উদ্বেগ ছিল, তাই আমি হাল ছেড়ে "&amp;"দিয়েছি। আমি জল এবং একটি স্পোর্টস ড্রিঙ্ক খেয়েছি এবং দুটোই ফেলে দিয়েছি। আমি কমানোর চেষ্টা করছি এবং আমার মন এবং শরীর ভয় পাচ্ছে, কারণ আমি কমিয়ে দিয়েছি। আমার কি জরুরি বিভাগে যাওয়া উচিত? আমার আগামীকাল একজন ডাক্তারের সাথে পরামর্শ করা উচিত, প্রথম সাক্ষাতে"&amp;"ই কি আমার সরাসরি সৎ হওয়া উচিত? এটা কি স্বাভাবিক?")</f>
        <v>আমার কি হাসপাতালে যাওয়া উচিত? আমার কোন চাকরি বা বীমা নেই এবং আমি প্রতিদিনই খুব খারাপ অনুভব করি, যদি না আমি মদ্যপান করি, এখনই আমি ৩ দিন ধরে কিছু খাইনি। আমার ভীষণ উত্তেজনা এবং কাঁপুনি আছে। আমি ১০ ঘন্টা ধরে কাজ করেছি এবং ভয়াবহ উদ্বেগ ছিল, তাই আমি হাল ছেড়ে দিয়েছি। আমি জল এবং একটি স্পোর্টস ড্রিঙ্ক খেয়েছি এবং দুটোই ফেলে দিয়েছি। আমি কমানোর চেষ্টা করছি এবং আমার মন এবং শরীর ভয় পাচ্ছে, কারণ আমি কমিয়ে দিয়েছি। আমার কি জরুরি বিভাগে যাওয়া উচিত? আমার আগামীকাল একজন ডাক্তারের সাথে পরামর্শ করা উচিত, প্রথম সাক্ষাতেই কি আমার সরাসরি সৎ হওয়া উচিত? এটা কি স্বাভাবিক?</v>
      </c>
    </row>
    <row r="1250" spans="1:3" ht="15" x14ac:dyDescent="0.25">
      <c r="A1250" s="3" t="s">
        <v>1246</v>
      </c>
      <c r="B1250" s="3" t="s">
        <v>997</v>
      </c>
      <c r="C1250" s="4" t="str">
        <f ca="1">IFERROR(__xludf.DUMMYFUNCTION("GOOGLETRANSLATE(A1250, ""auto"", ""bn"")"),"আমি এখানে পোস্ট করিনি কারণ আমি নিজের উপর লজ্জিত ছিলাম। আমি প্রায় ৩ মাস আগে মদ্যপান বন্ধ করে দিয়েছিলাম। তারপর আমি নিজেকে ""ভালো"" বলে বিশ্বাস করি। নানারকম যুক্তির আড়ালে লুকিয়ে থাকি। ""এটা আমাকে আরাম করতে সাহায্য করে/এটা একটা ট্রিট/আমি এটা উপভোগ করি"" এখন"&amp;" প্রায় ৮ মাস হয়ে গেছে। আমি প্রতিদিন ৪-৬ পিন্ট মদ্যপান করি। আমি প্রতিদিন ঘুম থেকে উঠে নরকের মতো অনুভব করি। আমার কিডনি কোমল বোধ করে। আমি দিন কাটাতে কষ্ট পাই কারণ আমি মূলত এমন একটি জীবনে আটকা পড়ে থাকি যা আমি চাই না। এমন একটি চাকরি করুন যা আমার আপত্তি নেই কি"&amp;"ন্তু এতে আমার কোনও আগ্রহ নেই। আমার ছেলেকে আমি ভালোবাসি, কিন্তু এখন মনে হচ্ছে সে বড় হচ্ছে, সে আমার সাথে কম সময় এবং অনলাইনে বন্ধুদের সাথে বেশি সময় কাটাতে চায়। আমার সন্তানের যত্নের ব্যবস্থা করতে আমার কষ্ট হয় কারণ একজন নার্সিসিস্টিক বাবার কারণে আমার সমর্"&amp;"থন নেটওয়ার্ক ভেঙে পড়েছে যাকে আমি আমার জীবন থেকে বাদ দিতে হয়েছিল। কিছু দিন আমি অল্প সময়ের জন্য সন্তুষ্ট বোধ করি। অন্য সময় আমি চরম হতাশা বোধ করি। হৃদয়ের যন্ত্রণা। আমার ছেলে এবং কর্মক্ষেত্রের সহকর্মীদের বাদ দিয়ে খুব একা বোধ করি, যারা আমার বন্ধুদের সবচ"&amp;"েয়ে কাছের জিনিস। মনে হচ্ছে আমি শুধু পানিতে পা ফেলছি যতক্ষণ না মৃত্যু আমাকে নিয়ে যায়, কিন্তু আমি মরতে চাই না। আমি মরতে পারছি না, অথবা আমার ছেলে একা। আমি কয়েক রাত ধরে থামার চেষ্টা করেছি, এবং প্রত্যাহার ভয়ানক। তাছাড়া, আমার বমি বমি ভাব হচ্ছে। ঘাম হচ্ছে। "&amp;"ক্লান্ত লাগছে। আমি এভাবে কাজে যেতে পারছি না। আমি চেষ্টা করেছি এবং এটা কঠিন ছিল।")</f>
        <v>আমি এখানে পোস্ট করিনি কারণ আমি নিজের উপর লজ্জিত ছিলাম। আমি প্রায় ৩ মাস আগে মদ্যপান বন্ধ করে দিয়েছিলাম। তারপর আমি নিজেকে "ভালো" বলে বিশ্বাস করি। নানারকম যুক্তির আড়ালে লুকিয়ে থাকি। "এটা আমাকে আরাম করতে সাহায্য করে/এটা একটা ট্রিট/আমি এটা উপভোগ করি" এখন প্রায় ৮ মাস হয়ে গেছে। আমি প্রতিদিন ৪-৬ পিন্ট মদ্যপান করি। আমি প্রতিদিন ঘুম থেকে উঠে নরকের মতো অনুভব করি। আমার কিডনি কোমল বোধ করে। আমি দিন কাটাতে কষ্ট পাই কারণ আমি মূলত এমন একটি জীবনে আটকা পড়ে থাকি যা আমি চাই না। এমন একটি চাকরি করুন যা আমার আপত্তি নেই কিন্তু এতে আমার কোনও আগ্রহ নেই। আমার ছেলেকে আমি ভালোবাসি, কিন্তু এখন মনে হচ্ছে সে বড় হচ্ছে, সে আমার সাথে কম সময় এবং অনলাইনে বন্ধুদের সাথে বেশি সময় কাটাতে চায়। আমার সন্তানের যত্নের ব্যবস্থা করতে আমার কষ্ট হয় কারণ একজন নার্সিসিস্টিক বাবার কারণে আমার সমর্থন নেটওয়ার্ক ভেঙে পড়েছে যাকে আমি আমার জীবন থেকে বাদ দিতে হয়েছিল। কিছু দিন আমি অল্প সময়ের জন্য সন্তুষ্ট বোধ করি। অন্য সময় আমি চরম হতাশা বোধ করি। হৃদয়ের যন্ত্রণা। আমার ছেলে এবং কর্মক্ষেত্রের সহকর্মীদের বাদ দিয়ে খুব একা বোধ করি, যারা আমার বন্ধুদের সবচেয়ে কাছের জিনিস। মনে হচ্ছে আমি শুধু পানিতে পা ফেলছি যতক্ষণ না মৃত্যু আমাকে নিয়ে যায়, কিন্তু আমি মরতে চাই না। আমি মরতে পারছি না, অথবা আমার ছেলে একা। আমি কয়েক রাত ধরে থামার চেষ্টা করেছি, এবং প্রত্যাহার ভয়ানক। তাছাড়া, আমার বমি বমি ভাব হচ্ছে। ঘাম হচ্ছে। ক্লান্ত লাগছে। আমি এভাবে কাজে যেতে পারছি না। আমি চেষ্টা করেছি এবং এটা কঠিন ছিল।</v>
      </c>
    </row>
    <row r="1251" spans="1:3" ht="15" x14ac:dyDescent="0.25">
      <c r="A1251" s="3" t="s">
        <v>1247</v>
      </c>
      <c r="B1251" s="3" t="s">
        <v>997</v>
      </c>
      <c r="C1251" s="4" t="str">
        <f ca="1">IFERROR(__xludf.DUMMYFUNCTION("GOOGLETRANSLATE(A1251, ""auto"", ""bn"")"),"এটা অনেক দিন ধরে চলতে থাকবে, আর আমি দুঃখিত। আমার বয়স মাত্র ২৩, আর আমি মোটেও মদ্যপান করি না, কিন্তু আমি জানি মদ্যপানকে হারানো কঠিন। আমি দেখেছি এটা আমার অনেক বন্ধুবান্ধব এবং পরিবারের জন্য কষ্টকর। তাছাড়া, আমি নিজের কাছে প্রতিজ্ঞা করেছিলাম যে আমি কখনোই এমন প"&amp;"রিস্থিতিতে থাকব না যেখানে আমি আগে অন্যান্য মদ্যপদের মতো একই ধরণের পরিস্থিতির মুখোমুখি হয়েছিলাম, কিন্তু আমি প্রায় ২ বছর ধরে একজন (২৭ বছর/ও) লোকের সাথে আছি যে কয়েক মাস আগে এটিকে খুব কষ্টে সহ্য করেছিল। আমাদের সম্পর্কের শুরুটা কঠিন ছিল, এবং আমি মনে করেছিলা"&amp;"ম যে সে নিজেকে উন্নত করছে এবং আমরা বড় হব। তখন সে খুব একটা মদ্যপান করেনি। আমি খুব দ্রুত তার প্রেমে পড়েছিলাম, এবং আমি তাকে ছেড়ে দিতে প্রস্তুত ছিলাম না। আমি তাকে কাটিয়ে উঠতে চেয়েছিলাম। সে মদ্যপান শুরু করার আগে এক বা দুই মাস ধরে পরিস্থিতি ভালো ছিল। অনেক "&amp;"কারণে আমাদের অনেক কিছু চলছিল এবং আমি আসলে তার বিরুদ্ধে কিছু মনে করিনি, যতক্ষণ না মনে হচ্ছিল যে সে এর অপব্যবহার করছে। এক বছর পরের কথা, আর আমাকে ঘুষি মেরে, শ্বাসরোধ করে অন্ধকার করে ফেলা হয়েছে, আমার দিকে জিনিসপত্র ছুঁড়ে মারা হয়েছে, প্রচণ্ড গ্যাসলাইট, অসংখ"&amp;"্য ভাঙা দরজা এবং দেয়ালে গর্ত ইত্যাদি। আমি যা কিছু শপথ করেছিলাম তা আমি আমার জীবনে আর ফিরে আসতে দেব না।x10।")</f>
        <v>এটা অনেক দিন ধরে চলতে থাকবে, আর আমি দুঃখিত। আমার বয়স মাত্র ২৩, আর আমি মোটেও মদ্যপান করি না, কিন্তু আমি জানি মদ্যপানকে হারানো কঠিন। আমি দেখেছি এটা আমার অনেক বন্ধুবান্ধব এবং পরিবারের জন্য কষ্টকর। তাছাড়া, আমি নিজের কাছে প্রতিজ্ঞা করেছিলাম যে আমি কখনোই এমন পরিস্থিতিতে থাকব না যেখানে আমি আগে অন্যান্য মদ্যপদের মতো একই ধরণের পরিস্থিতির মুখোমুখি হয়েছিলাম, কিন্তু আমি প্রায় ২ বছর ধরে একজন (২৭ বছর/ও) লোকের সাথে আছি যে কয়েক মাস আগে এটিকে খুব কষ্টে সহ্য করেছিল। আমাদের সম্পর্কের শুরুটা কঠিন ছিল, এবং আমি মনে করেছিলাম যে সে নিজেকে উন্নত করছে এবং আমরা বড় হব। তখন সে খুব একটা মদ্যপান করেনি। আমি খুব দ্রুত তার প্রেমে পড়েছিলাম, এবং আমি তাকে ছেড়ে দিতে প্রস্তুত ছিলাম না। আমি তাকে কাটিয়ে উঠতে চেয়েছিলাম। সে মদ্যপান শুরু করার আগে এক বা দুই মাস ধরে পরিস্থিতি ভালো ছিল। অনেক কারণে আমাদের অনেক কিছু চলছিল এবং আমি আসলে তার বিরুদ্ধে কিছু মনে করিনি, যতক্ষণ না মনে হচ্ছিল যে সে এর অপব্যবহার করছে। এক বছর পরের কথা, আর আমাকে ঘুষি মেরে, শ্বাসরোধ করে অন্ধকার করে ফেলা হয়েছে, আমার দিকে জিনিসপত্র ছুঁড়ে মারা হয়েছে, প্রচণ্ড গ্যাসলাইট, অসংখ্য ভাঙা দরজা এবং দেয়ালে গর্ত ইত্যাদি। আমি যা কিছু শপথ করেছিলাম তা আমি আমার জীবনে আর ফিরে আসতে দেব না।x10।</v>
      </c>
    </row>
    <row r="1252" spans="1:3" ht="15" x14ac:dyDescent="0.25">
      <c r="A1252" s="3" t="s">
        <v>1248</v>
      </c>
      <c r="B1252" s="3" t="s">
        <v>997</v>
      </c>
      <c r="C1252" s="4" t="str">
        <f ca="1">IFERROR(__xludf.DUMMYFUNCTION("GOOGLETRANSLATE(A1252, ""auto"", ""bn"")"),"ক্যামেরেলের কারণে আমি এক মাস ধরে সুস্থ থাকতে পেরেছি। এটা সহজ ছিল না, এবং আমি এখানে আসতে পেরে অবাক হয়েছি। আমি অনেক দিনের চেয়েও বেশি খুশি, আমি লক্ষ্য অর্জন করছি। জিনিসগুলি আশ্চর্যজনক। যদি তুমি মনে করো তুমি এটা করতে পারবে না, তাহলে হাল ছাড়ো না। ৩০ দিন পৌঁ"&amp;"ছাতে আমার লক্ষ লক্ষ বার সময় লেগেছে। আজ আমি তোমার সাথে মদ্যপান করব না।")</f>
        <v>ক্যামেরেলের কারণে আমি এক মাস ধরে সুস্থ থাকতে পেরেছি। এটা সহজ ছিল না, এবং আমি এখানে আসতে পেরে অবাক হয়েছি। আমি অনেক দিনের চেয়েও বেশি খুশি, আমি লক্ষ্য অর্জন করছি। জিনিসগুলি আশ্চর্যজনক। যদি তুমি মনে করো তুমি এটা করতে পারবে না, তাহলে হাল ছাড়ো না। ৩০ দিন পৌঁছাতে আমার লক্ষ লক্ষ বার সময় লেগেছে। আজ আমি তোমার সাথে মদ্যপান করব না।</v>
      </c>
    </row>
    <row r="1253" spans="1:3" ht="15" x14ac:dyDescent="0.25">
      <c r="A1253" s="3" t="s">
        <v>1249</v>
      </c>
      <c r="B1253" s="3" t="s">
        <v>997</v>
      </c>
      <c r="C1253" s="4" t="str">
        <f ca="1">IFERROR(__xludf.DUMMYFUNCTION("GOOGLETRANSLATE(A1253, ""auto"", ""bn"")"),"আমার বিশ্বাস, হাই স্কুলের দ্বিতীয় বর্ষে (আমার বয়স ১৫ বছর) আমার অ্যালকোহলের প্রতি তীব্র আসক্তি ছিল। প্রেক্ষাপটে বলতে গেলে, আমি অত্যন্ত বিষণ্ণ ছিলাম এবং আমার খুব বেশি বন্ধু ছিল না। প্রথমবার মাতাল হওয়ার পর, আমি এই অনুভূতিতে সম্পূর্ণরূপে আচ্ছন্ন হয়ে পড়ি।"&amp;" আমি দিন গুনতাম যতক্ষণ না আমি জানতাম যে আমি আবার মদ্যপান করব এবং যখনই মদ্যপান পাওয়া যেত তখনই মদ্যপান করার চেষ্টা করতাম। যাইহোক, এটি প্রায়শই পাওয়া যেত না: আমি এক মাস ধরে কেবল মদ্যপান না করে থাকতে পারতাম কারণ আমার কাছে এটি পাওয়ার উপায় ছিল না। এটি কি এখ"&amp;"নও আসক্তি/আসক্তি? আমি দিনে এত বেশি পানীয় পান করতাম না কিন্তু যদি আমি নিজে এটি গ্রহণ করার ক্ষমতা রাখতাম এবং অন্যদের উপর নির্ভর না করতে পারতাম তবে আমি মনে করি আমি অনেক ভিন্ন পথে চলতাম।")</f>
        <v>আমার বিশ্বাস, হাই স্কুলের দ্বিতীয় বর্ষে (আমার বয়স ১৫ বছর) আমার অ্যালকোহলের প্রতি তীব্র আসক্তি ছিল। প্রেক্ষাপটে বলতে গেলে, আমি অত্যন্ত বিষণ্ণ ছিলাম এবং আমার খুব বেশি বন্ধু ছিল না। প্রথমবার মাতাল হওয়ার পর, আমি এই অনুভূতিতে সম্পূর্ণরূপে আচ্ছন্ন হয়ে পড়ি। আমি দিন গুনতাম যতক্ষণ না আমি জানতাম যে আমি আবার মদ্যপান করব এবং যখনই মদ্যপান পাওয়া যেত তখনই মদ্যপান করার চেষ্টা করতাম। যাইহোক, এটি প্রায়শই পাওয়া যেত না: আমি এক মাস ধরে কেবল মদ্যপান না করে থাকতে পারতাম কারণ আমার কাছে এটি পাওয়ার উপায় ছিল না। এটি কি এখনও আসক্তি/আসক্তি? আমি দিনে এত বেশি পানীয় পান করতাম না কিন্তু যদি আমি নিজে এটি গ্রহণ করার ক্ষমতা রাখতাম এবং অন্যদের উপর নির্ভর না করতে পারতাম তবে আমি মনে করি আমি অনেক ভিন্ন পথে চলতাম।</v>
      </c>
    </row>
    <row r="1254" spans="1:3" ht="15" x14ac:dyDescent="0.25">
      <c r="A1254" s="3" t="s">
        <v>1250</v>
      </c>
      <c r="B1254" s="3" t="s">
        <v>997</v>
      </c>
      <c r="C1254" s="4" t="str">
        <f ca="1">IFERROR(__xludf.DUMMYFUNCTION("GOOGLETRANSLATE(A1254, ""auto"", ""bn"")"),"কয়েক রাত আগে আমি পুরো ১২ প্যাকেট ট্রুলি খেয়ে ফেলেছিলাম এবং কয়েক ঘন্টা পরেই বমি করে ফেলি, আর সাথে আমার মুঠির সমান রক্তের স্তূপও। আমার সাথে আগে কখনও এমনটা হয়নি, আর আমি আরও ঘনীভূত সময়ের মধ্যে এর চেয়ে বেশি পান করেছি। হয়তো কোভিডের সাথেও এর কিছু সম্পর্ক আছে, "&amp;"কিন্তু আমার ধারণা এটি দীর্ঘক্ষণ মদ্যপানের কারণেই বেশি। আজ কাজের পরে কী ঘটেছে তা জানতে আমি একজন ডাক্তারের সাথে দেখা করার জন্য অ্যাপয়েন্টমেন্ট নিচ্ছি, কিন্তু অনেক কারণেই আমি ভয় পাচ্ছি যে আমার মদ্যপানের সমস্যা হতে পারে, এতটাই যে আমি সত্যিই স্বীকার করতে বা ট"&amp;"াইপ করতে পারছি না যে আমি")</f>
        <v>কয়েক রাত আগে আমি পুরো ১২ প্যাকেট ট্রুলি খেয়ে ফেলেছিলাম এবং কয়েক ঘন্টা পরেই বমি করে ফেলি, আর সাথে আমার মুঠির সমান রক্তের স্তূপও। আমার সাথে আগে কখনও এমনটা হয়নি, আর আমি আরও ঘনীভূত সময়ের মধ্যে এর চেয়ে বেশি পান করেছি। হয়তো কোভিডের সাথেও এর কিছু সম্পর্ক আছে, কিন্তু আমার ধারণা এটি দীর্ঘক্ষণ মদ্যপানের কারণেই বেশি। আজ কাজের পরে কী ঘটেছে তা জানতে আমি একজন ডাক্তারের সাথে দেখা করার জন্য অ্যাপয়েন্টমেন্ট নিচ্ছি, কিন্তু অনেক কারণেই আমি ভয় পাচ্ছি যে আমার মদ্যপানের সমস্যা হতে পারে, এতটাই যে আমি সত্যিই স্বীকার করতে বা টাইপ করতে পারছি না যে আমি</v>
      </c>
    </row>
    <row r="1255" spans="1:3" ht="15" x14ac:dyDescent="0.25">
      <c r="A1255" s="3" t="s">
        <v>1251</v>
      </c>
      <c r="B1255" s="3" t="s">
        <v>997</v>
      </c>
      <c r="C1255" s="4" t="str">
        <f ca="1">IFERROR(__xludf.DUMMYFUNCTION("GOOGLETRANSLATE(A1255, ""auto"", ""bn"")"),"এটা নিখুঁত লাগছে। যদিও পানীয়ের তীব্র আকাঙ্ক্ষা সবসময়ই থাকে। আমি ক্রোশেইটিং শিখেছি এবং এটা আমার কাছে বেশ উপভোগ্য মনে হয়। আমার হাতকে ব্যস্ত রাখতে সাহায্য করে, আর আমার মনকে কেন্দ্রীভূত রাখতে সাহায্য করে। আরও শান্ত দিনের আশা করছি।")</f>
        <v>এটা নিখুঁত লাগছে। যদিও পানীয়ের তীব্র আকাঙ্ক্ষা সবসময়ই থাকে। আমি ক্রোশেইটিং শিখেছি এবং এটা আমার কাছে বেশ উপভোগ্য মনে হয়। আমার হাতকে ব্যস্ত রাখতে সাহায্য করে, আর আমার মনকে কেন্দ্রীভূত রাখতে সাহায্য করে। আরও শান্ত দিনের আশা করছি।</v>
      </c>
    </row>
    <row r="1256" spans="1:3" ht="15" x14ac:dyDescent="0.25">
      <c r="A1256" s="3" t="s">
        <v>1252</v>
      </c>
      <c r="B1256" s="3" t="s">
        <v>997</v>
      </c>
      <c r="C1256" s="4" t="str">
        <f ca="1">IFERROR(__xludf.DUMMYFUNCTION("GOOGLETRANSLATE(A1256, ""auto"", ""bn"")"),"আমার ২০ বছর বয়সী স্বামী একজন মদ্যপ। একজন কর্মঠ মদ্যপ। সে আমাদের বাড়িতে তার মদ্যপান লুকিয়ে রাখে, কিন্তু যখন সে মদ্যপান করে তখন তার কণ্ঠস্বরের সূক্ষ্ম পরিবর্তন দেখে আমি সবসময় বুঝতে পেরেছি। সে একজন অসাধারণ বাবা, কর্মী, বন্ধু এবং সর্বোপরি - স্বামী ... যে "&amp;"আমি ভাগ্যবান ছিলাম যে আমরা ১৭ এবং ১৮ বছর বয়সে বিয়ে করেছি, কিন্তু, সে ধীরে ধীরে আত্মহত্যা করছে। তার বাবা-মা মদ্যপ... সে তাদের ব্যাপারে ঘৃণা করে। তার বাবার ডিমেনশিয়া রোগ আছে। তার বাবা ষাটোর্ধ এবং একজন কর্মঠ ""সুস্থ"" মদ্যপ। সে একজন উৎসাহী দৌড়বিদ ছিল, সা"&amp;"ইকেল চালিয়ে যেত - তার হৃদযন্ত্র তার বিধবা ধমনীর চারপাশে একটি বাইপাস তৈরি করেছিল যা তারা অবশেষে তার হার্ট অ্যাটাকের পরে খুঁজে পেয়েছিল এবং আর কোথাও গাড়ি চালাতে পারে না। তার মা একজন নিষ্ঠুর এবং ঘৃণ্য মাতাল যে মারধর করে - এটি বেশিরভাগ সময় তার উপর হত, কিন্"&amp;"তু আমরা তাদের আমাদের জীবন থেকে কেটে ফেলেছি।")</f>
        <v>আমার ২০ বছর বয়সী স্বামী একজন মদ্যপ। একজন কর্মঠ মদ্যপ। সে আমাদের বাড়িতে তার মদ্যপান লুকিয়ে রাখে, কিন্তু যখন সে মদ্যপান করে তখন তার কণ্ঠস্বরের সূক্ষ্ম পরিবর্তন দেখে আমি সবসময় বুঝতে পেরেছি। সে একজন অসাধারণ বাবা, কর্মী, বন্ধু এবং সর্বোপরি - স্বামী ... যে আমি ভাগ্যবান ছিলাম যে আমরা ১৭ এবং ১৮ বছর বয়সে বিয়ে করেছি, কিন্তু, সে ধীরে ধীরে আত্মহত্যা করছে। তার বাবা-মা মদ্যপ... সে তাদের ব্যাপারে ঘৃণা করে। তার বাবার ডিমেনশিয়া রোগ আছে। তার বাবা ষাটোর্ধ এবং একজন কর্মঠ "সুস্থ" মদ্যপ। সে একজন উৎসাহী দৌড়বিদ ছিল, সাইকেল চালিয়ে যেত - তার হৃদযন্ত্র তার বিধবা ধমনীর চারপাশে একটি বাইপাস তৈরি করেছিল যা তারা অবশেষে তার হার্ট অ্যাটাকের পরে খুঁজে পেয়েছিল এবং আর কোথাও গাড়ি চালাতে পারে না। তার মা একজন নিষ্ঠুর এবং ঘৃণ্য মাতাল যে মারধর করে - এটি বেশিরভাগ সময় তার উপর হত, কিন্তু আমরা তাদের আমাদের জীবন থেকে কেটে ফেলেছি।</v>
      </c>
    </row>
    <row r="1257" spans="1:3" ht="15" x14ac:dyDescent="0.25">
      <c r="A1257" s="3" t="s">
        <v>1253</v>
      </c>
      <c r="B1257" s="3" t="s">
        <v>997</v>
      </c>
      <c r="C1257" s="4" t="str">
        <f ca="1">IFERROR(__xludf.DUMMYFUNCTION("GOOGLETRANSLATE(A1257, ""auto"", ""bn"")"),"এখানকার বেশিরভাগ মানুষই জানেন, মদ্যপান আপনার সমস্যা নয়, বরং এটি আপনার সমস্যার ""সমাধান""... যারা সহজেই উদ্বিগ্ন হন, আমি আপনাকে আরও না পড়ার অনুরোধ করছি এবং এখন আমি সত্যিই আশা করি আপনি প্রয়োজনীয় সমর্থন এবং সাহায্য খুঁজে পাচ্ছেন, তবে আপনি যদি আরও পড়েন, "&amp;"আমি আশা করি আপনি এটিকে একটি গল্প হিসেবে দেখবেন যা হয়তো এই ভয়াবহ দুর্দশার বাইরের কারো মনের কিছু অন্তর্দৃষ্টি থেকে শেখার জন্য বা আমাদের মধ্যে কেউ কেউ আপনাকে বুঝতে পারে। আমার ভাই গত বৃহস্পতিবার সকালে মারা গেছেন। প্রায় ৫ বছর আগে তার লিভার ট্রান্সপ্ল্যান্ট "&amp;"হয়েছিল যা মদ্যপানের কারণে প্রয়োজন ছিল। তিনি যোগ্য হওয়ার জন্য যথেষ্ট সময় ধরে সুস্থ হয়ে ওঠেন, তার ট্রান্সপ্ল্যান্ট করান এবং প্রায় এক বছর ধরে সুস্থ থাকেন। তার যাত্রার শুরুতে, আমরা কেউই বুঝতে পারিনি যে তিনি যে মানসিক সংগ্রামের সাথে লড়াই করছেন যা তাকে ম"&amp;"দ্যপানের দিকে পরিচালিত করেছিল। তার ট্রান্সপ্ল্যান্টের পরে, আমরা এটি বুঝতে শুরু করি এবং এর মধ্য দিয়ে তাকে সমর্থন করার জন্য যথাসাধ্য চেষ্টা করি। তিনি আবেগগত এবং মানসিকভাবে কী মধ্য দিয়ে যাচ্ছেন সে সম্পর্কে তিনি খুব চুপ ছিলেন, তাই বাইরের অনেকেই কেবল তাকে এক"&amp;"জন হতাশ মাতাল বলে মনে করেছিলেন। আমি তোমাদের সকলের কাছে অনুরোধ করছি, তোমাদের অনেকেই আমার ভাইয়ের মতোই এই ভয়াবহ আসক্তির সাথে লড়াই করে যায়, কিন্তু যারা তোমাদের সমর্থন করে তাদের সাথে সম্পূর্ণ খোলামেলা এবং সৎ না হওয়ায়, তোমরা নিজেদের আশেপাশের লোকদের রক্ষা করার "&amp;"চেষ্টা করে নিজেকে আরও বিচ্ছিন্ন করে ফেলবে। তোমার কাছে থাকা যেকোনো ""থেরাপি ওয়াল"" ভেঙে ফেলার জন্য যথাসাধ্য চেষ্টা করাও গুরুত্বপূর্ণ, যা তোমাকে সঠিক সাহায্য চাইতে ভয় পায়। আমি প্রার্থনা করি যে শেষ পর্যন্ত আমার ভাইয়ের মতো কাউকেই যেন না যেতে হয়। মদ্যপানের কা"&amp;"রণে মৃত্যু দেখা কঠিন। মানসিক স্বাস্থ্য এমন একটি বিষয় যা কেউ দেখতে এবং বুঝতে পারে যদি তারা নিজেরাও এতে ভোগে না। তোমার প্রয়োজনীয় সহায়তা চাও। এমন কিছু লোক আছে যারা তোমার জন্য সবকিছু করবে। তুমি চাও এবং ভালোবাসা পাও। তাকে যা কিছু সংগ্রাম করতে বাধ্য করেছে এবং ত"&amp;"ার জীবন শেষ করে দিয়েছে তাতে আমি রাগ করি না। আমার ভাই আমার সাথে আরও খোলামেলা না হওয়ার জন্য আমি রাগ করি না। রাগ করা এখন একেবারেই কিছুই করবে না, তাই আমি তার রেখে যাওয়া সবকিছুকে ভালোবাসতে বেছে নিয়েছি, এবং আমি অন্যদের জন্য যা করতে পারি তা করার সিদ্ধান্ত নিয়"&amp;"েছি যারা এই পরিস্থিতির মধ্য দিয়ে যাচ্ছে। মোডস, আমি এখানে সক্রিয় নই, এবং দুর্ভাগ্যবশত গ্রাহকও ছিলাম না, তাই যদি এটি কোনও নিয়মের বিরুদ্ধে যায়, আমি ক্ষমা চাইছি, তবে আমি মনে করি এটি আমার জন্য একটি পদক্ষেপ এবং যদি এটি এখানে একজনকেও সাহায্য করে, তবে আমি আমা"&amp;"র ভূমিকা পালন করছি। আমি যেকোনো মন্তব্য এবং প্রশ্নের জন্য উন্মুক্ত, তা সে ভালো বা খারাপ হোক, এমনকি আপনার গঠনমূলক সমালোচনাও আমার জন্য উন্মুক্ত।")</f>
        <v>এখানকার বেশিরভাগ মানুষই জানেন, মদ্যপান আপনার সমস্যা নয়, বরং এটি আপনার সমস্যার "সমাধান"... যারা সহজেই উদ্বিগ্ন হন, আমি আপনাকে আরও না পড়ার অনুরোধ করছি এবং এখন আমি সত্যিই আশা করি আপনি প্রয়োজনীয় সমর্থন এবং সাহায্য খুঁজে পাচ্ছেন, তবে আপনি যদি আরও পড়েন, আমি আশা করি আপনি এটিকে একটি গল্প হিসেবে দেখবেন যা হয়তো এই ভয়াবহ দুর্দশার বাইরের কারো মনের কিছু অন্তর্দৃষ্টি থেকে শেখার জন্য বা আমাদের মধ্যে কেউ কেউ আপনাকে বুঝতে পারে। আমার ভাই গত বৃহস্পতিবার সকালে মারা গেছেন। প্রায় ৫ বছর আগে তার লিভার ট্রান্সপ্ল্যান্ট হয়েছিল যা মদ্যপানের কারণে প্রয়োজন ছিল। তিনি যোগ্য হওয়ার জন্য যথেষ্ট সময় ধরে সুস্থ হয়ে ওঠেন, তার ট্রান্সপ্ল্যান্ট করান এবং প্রায় এক বছর ধরে সুস্থ থাকেন। তার যাত্রার শুরুতে, আমরা কেউই বুঝতে পারিনি যে তিনি যে মানসিক সংগ্রামের সাথে লড়াই করছেন যা তাকে মদ্যপানের দিকে পরিচালিত করেছিল। তার ট্রান্সপ্ল্যান্টের পরে, আমরা এটি বুঝতে শুরু করি এবং এর মধ্য দিয়ে তাকে সমর্থন করার জন্য যথাসাধ্য চেষ্টা করি। তিনি আবেগগত এবং মানসিকভাবে কী মধ্য দিয়ে যাচ্ছেন সে সম্পর্কে তিনি খুব চুপ ছিলেন, তাই বাইরের অনেকেই কেবল তাকে একজন হতাশ মাতাল বলে মনে করেছিলেন। আমি তোমাদের সকলের কাছে অনুরোধ করছি, তোমাদের অনেকেই আমার ভাইয়ের মতোই এই ভয়াবহ আসক্তির সাথে লড়াই করে যায়, কিন্তু যারা তোমাদের সমর্থন করে তাদের সাথে সম্পূর্ণ খোলামেলা এবং সৎ না হওয়ায়, তোমরা নিজেদের আশেপাশের লোকদের রক্ষা করার চেষ্টা করে নিজেকে আরও বিচ্ছিন্ন করে ফেলবে। তোমার কাছে থাকা যেকোনো "থেরাপি ওয়াল" ভেঙে ফেলার জন্য যথাসাধ্য চেষ্টা করাও গুরুত্বপূর্ণ, যা তোমাকে সঠিক সাহায্য চাইতে ভয় পায়। আমি প্রার্থনা করি যে শেষ পর্যন্ত আমার ভাইয়ের মতো কাউকেই যেন না যেতে হয়। মদ্যপানের কারণে মৃত্যু দেখা কঠিন। মানসিক স্বাস্থ্য এমন একটি বিষয় যা কেউ দেখতে এবং বুঝতে পারে যদি তারা নিজেরাও এতে ভোগে না। তোমার প্রয়োজনীয় সহায়তা চাও। এমন কিছু লোক আছে যারা তোমার জন্য সবকিছু করবে। তুমি চাও এবং ভালোবাসা পাও। তাকে যা কিছু সংগ্রাম করতে বাধ্য করেছে এবং তার জীবন শেষ করে দিয়েছে তাতে আমি রাগ করি না। আমার ভাই আমার সাথে আরও খোলামেলা না হওয়ার জন্য আমি রাগ করি না। রাগ করা এখন একেবারেই কিছুই করবে না, তাই আমি তার রেখে যাওয়া সবকিছুকে ভালোবাসতে বেছে নিয়েছি, এবং আমি অন্যদের জন্য যা করতে পারি তা করার সিদ্ধান্ত নিয়েছি যারা এই পরিস্থিতির মধ্য দিয়ে যাচ্ছে। মোডস, আমি এখানে সক্রিয় নই, এবং দুর্ভাগ্যবশত গ্রাহকও ছিলাম না, তাই যদি এটি কোনও নিয়মের বিরুদ্ধে যায়, আমি ক্ষমা চাইছি, তবে আমি মনে করি এটি আমার জন্য একটি পদক্ষেপ এবং যদি এটি এখানে একজনকেও সাহায্য করে, তবে আমি আমার ভূমিকা পালন করছি। আমি যেকোনো মন্তব্য এবং প্রশ্নের জন্য উন্মুক্ত, তা সে ভালো বা খারাপ হোক, এমনকি আপনার গঠনমূলক সমালোচনাও আমার জন্য উন্মুক্ত।</v>
      </c>
    </row>
    <row r="1258" spans="1:3" ht="15" x14ac:dyDescent="0.25">
      <c r="A1258" s="3" t="s">
        <v>1254</v>
      </c>
      <c r="B1258" s="3" t="s">
        <v>997</v>
      </c>
      <c r="C1258" s="4" t="str">
        <f ca="1">IFERROR(__xludf.DUMMYFUNCTION("GOOGLETRANSLATE(A1258, ""auto"", ""bn"")"),"আমি সবসময়ই খুব সহজেই আসক্ত হয়ে পড়ি। আমি কখনোই বাড়ি থেকে বের হই না। তাছাড়া, আমি কারো সাথে কথা বলি না। আমি সবসময় উদ্বিগ্ন থাকি। আজ রাতে আমার বিয়ারের জন্য প্রচণ্ড আকাঙ্ক্ষা ছিল, যার অর্থ গত সপ্তাহে ৫ রাত মদ্যপান করা। আমি গোপনে তা করতে যাচ্ছিলাম, এবং তারপর আ"&amp;"মি বুঝতে পারলাম যে যদি আমি এটি লুকানোর চেষ্টা করি, তাহলে এটি একটি সমস্যা। আমি সত্যিই অ্যালকোহলের অনুভূতি পছন্দ করি। বিয়ার পান করার রীতিটি খুব ভালো লাগে। এটি একটি সমস্যা। হাল না হারানোর জন্য আমার সমস্ত ইচ্ছাশক্তি লাগে।")</f>
        <v>আমি সবসময়ই খুব সহজেই আসক্ত হয়ে পড়ি। আমি কখনোই বাড়ি থেকে বের হই না। তাছাড়া, আমি কারো সাথে কথা বলি না। আমি সবসময় উদ্বিগ্ন থাকি। আজ রাতে আমার বিয়ারের জন্য প্রচণ্ড আকাঙ্ক্ষা ছিল, যার অর্থ গত সপ্তাহে ৫ রাত মদ্যপান করা। আমি গোপনে তা করতে যাচ্ছিলাম, এবং তারপর আমি বুঝতে পারলাম যে যদি আমি এটি লুকানোর চেষ্টা করি, তাহলে এটি একটি সমস্যা। আমি সত্যিই অ্যালকোহলের অনুভূতি পছন্দ করি। বিয়ার পান করার রীতিটি খুব ভালো লাগে। এটি একটি সমস্যা। হাল না হারানোর জন্য আমার সমস্ত ইচ্ছাশক্তি লাগে।</v>
      </c>
    </row>
    <row r="1259" spans="1:3" ht="15" x14ac:dyDescent="0.25">
      <c r="A1259" s="3" t="s">
        <v>1255</v>
      </c>
      <c r="B1259" s="3" t="s">
        <v>997</v>
      </c>
      <c r="C1259" s="4" t="str">
        <f ca="1">IFERROR(__xludf.DUMMYFUNCTION("GOOGLETRANSLATE(A1259, ""auto"", ""bn"")"),"এখানে নাকি অন্য কোথাও এটা জিজ্ঞাসা করব বুঝতে পারছি না? সম্প্রতি প্রায় কয়েক মাস ধরে আমি লক্ষ্য করেছি যে আমার হ্যাংওভারের সমস্যাটা আমার পানীয়ের তুলনায় অনেক বেশি খারাপ হচ্ছে। মনে হচ্ছে না ধীরে ধীরে এটা আরও খারাপ হচ্ছে, বরং মনে হচ্ছে যেন একটা টার্নিং পয়েন্ট এ"&amp;"সেছে। আমি এই ঘটনা সম্পর্কে কিছু পড়ছি, তবে, আমার বয়স খুব বেশি দিন হয়নি, যা এই ঘটনার জন্য বেশ ছোটবেলা। তাই না?")</f>
        <v>এখানে নাকি অন্য কোথাও এটা জিজ্ঞাসা করব বুঝতে পারছি না? সম্প্রতি প্রায় কয়েক মাস ধরে আমি লক্ষ্য করেছি যে আমার হ্যাংওভারের সমস্যাটা আমার পানীয়ের তুলনায় অনেক বেশি খারাপ হচ্ছে। মনে হচ্ছে না ধীরে ধীরে এটা আরও খারাপ হচ্ছে, বরং মনে হচ্ছে যেন একটা টার্নিং পয়েন্ট এসেছে। আমি এই ঘটনা সম্পর্কে কিছু পড়ছি, তবে, আমার বয়স খুব বেশি দিন হয়নি, যা এই ঘটনার জন্য বেশ ছোটবেলা। তাই না?</v>
      </c>
    </row>
    <row r="1260" spans="1:3" ht="15" x14ac:dyDescent="0.25">
      <c r="A1260" s="3" t="s">
        <v>1256</v>
      </c>
      <c r="B1260" s="3" t="s">
        <v>997</v>
      </c>
      <c r="C1260" s="4" t="str">
        <f ca="1">IFERROR(__xludf.DUMMYFUNCTION("GOOGLETRANSLATE(A1260, ""auto"", ""bn"")"),"মহামারীর ঠিক আগে থেকেই আমি কাজের বিষাক্ত পরিস্থিতির সাথে মানিয়ে নিতে মদ্যপান শুরু করেছিলাম। তখন কাজই ছিল জীবন, তাই এটি ছিল মানসিকভাবে বিধ্বংসী। তারপর মহামারীর সাথে সাথে, বেশিরভাগ মানুষের মতো, সবকিছুই উল্টে গেল। ২০২০ সালের এপ্রিল থেকে শুরু করে প্রায় প্রত"&amp;"ি ৬ মাস অন্তর আমি কোনও না কোনও কারণে পরিবারের একজন সদস্যকে হারিয়েছি। আমি এমন এক পর্যায়ে পৌঁছেছি যেখানে এক বোতল ওয়াইনও এটি স্পর্শ করে না। আমি পঞ্চম দিনে মদ্যপান বন্ধ করে দিয়েছি যাতে আমি আর অ্যালকোহল পান না করি। তাছাড়া, আমি ভাগ্যবান যে প্রত্যাহারের খুব "&amp;"বেশি শারীরিক প্রকাশ পাইনি, তবে ইচ্ছাটা আছে। কয়েকদিন ধরে আমার মেজাজের তীব্র পরিবর্তন হয়েছে, যার মধ্যে রয়েছে অযৌক্তিক রাগ যা আমার কাছে নতুন এবং গভীর বিষণ্ণতা। আমি জানি বেশ কিছু জিনিস হতাশাজনক পর্বে অবদান রাখে, কিন্তু আমার মনের পিছনে সেই ছোট্ট কণ্ঠস্বর যে"&amp;" মদ্যপান না করা দ্রুততম উপশম।")</f>
        <v>মহামারীর ঠিক আগে থেকেই আমি কাজের বিষাক্ত পরিস্থিতির সাথে মানিয়ে নিতে মদ্যপান শুরু করেছিলাম। তখন কাজই ছিল জীবন, তাই এটি ছিল মানসিকভাবে বিধ্বংসী। তারপর মহামারীর সাথে সাথে, বেশিরভাগ মানুষের মতো, সবকিছুই উল্টে গেল। ২০২০ সালের এপ্রিল থেকে শুরু করে প্রায় প্রতি ৬ মাস অন্তর আমি কোনও না কোনও কারণে পরিবারের একজন সদস্যকে হারিয়েছি। আমি এমন এক পর্যায়ে পৌঁছেছি যেখানে এক বোতল ওয়াইনও এটি স্পর্শ করে না। আমি পঞ্চম দিনে মদ্যপান বন্ধ করে দিয়েছি যাতে আমি আর অ্যালকোহল পান না করি। তাছাড়া, আমি ভাগ্যবান যে প্রত্যাহারের খুব বেশি শারীরিক প্রকাশ পাইনি, তবে ইচ্ছাটা আছে। কয়েকদিন ধরে আমার মেজাজের তীব্র পরিবর্তন হয়েছে, যার মধ্যে রয়েছে অযৌক্তিক রাগ যা আমার কাছে নতুন এবং গভীর বিষণ্ণতা। আমি জানি বেশ কিছু জিনিস হতাশাজনক পর্বে অবদান রাখে, কিন্তু আমার মনের পিছনে সেই ছোট্ট কণ্ঠস্বর যে মদ্যপান না করা দ্রুততম উপশম।</v>
      </c>
    </row>
    <row r="1261" spans="1:3" ht="15" x14ac:dyDescent="0.25">
      <c r="A1261" s="3" t="s">
        <v>1257</v>
      </c>
      <c r="B1261" s="3" t="s">
        <v>997</v>
      </c>
      <c r="C1261" s="4" t="str">
        <f ca="1">IFERROR(__xludf.DUMMYFUNCTION("GOOGLETRANSLATE(A1261, ""auto"", ""bn"")"),"আমার একজন বন্ধু আছে? ৩২(মি)? আমার সমবয়সী, বর্তমানে সে একজন মদ্যপ; বাস্তবে বহু বছর ধরে। প্রেক্ষাপটে, আমার মাও একজন মদ্যপ ছিলেন এবং দুঃখের বিষয় হল ২০২০ সালের সেপ্টেম্বরে মারা যান। আমাদের বন্ধুত্ব এতটাই বিষাক্ত হয়ে ওঠার পর আমি সম্প্রতি এই বন্ধুর সাথে দেখা "&amp;"বন্ধ করে দিয়েছি। সত্যি বলতে, আমি কতটা বিএস চাই তা নিয়ে একটি সিরিজ লিখতে পারতাম? এবং এটি চলতেই থাকত। আমার মনে হয় আমার প্রধান সমস্যা ছিল, আমি তার মদ্যপানের প্রতি আচ্ছন্ন ছিলাম। আমি তাকে সাহায্য করার চেষ্টা করেছি, আমি তাকে পরিবর্তন করার চেষ্টা করেছি। এটি "&amp;"সম্পূর্ণরূপে নিষ্ফল ছিল; এবং গত কয়েক মাস ধরে আমরা ক্রমাগত এটি নিয়ে উত্তপ্ত তর্ক-বিতর্কে লিপ্ত হয়েছি। সত্যি বলতে, আমি মনে করি এই বিষয়টি আমার দুঃখের জন্য এক ধরণের প্রতিকূলতা হিসেবে কাজ করেছে: যদি আমি এই ব্যক্তিকে বাঁচাতে পারি তবে এটি আমার মাকে বাঁচাতে ন"&amp;"া পারার বিষয়ে আমাকে কিছুটা হলেও ভালো বোধ করবে। এবং এই ধারণার প্রতি, আমি কেবল থেমে গেলাম। আমি যেকোনো কিছু করতে প্রস্তুত ছিলাম এবং আমি অনেক কিছু করেছি, আমার পথের বাইরে গিয়েছিলাম ইত্যাদি যখন সবকিছু বৃথা যাচ্ছিল তখন এই ব্যক্তিকে সাহায্য করার জন্য। এতে আমার "&amp;"অনেক সময় এবং শক্তি নষ্ট হয়ে গেছে। এখন আমি নিজেকে দূরে সরিয়ে নিয়েছি, আমি বুঝতে পারছি এর প্রভাব আমার, আমার স্ত্রীর এবং আমাদের বিবাহের উপর কতটা বড়। আমি জানি না এটা টানেল ভিশন নাকি মাথা ঘোরা ইত্যাদি, কিন্তু আমি এর জন্য এতটাই দৃঢ়প্রতিজ্ঞ ছিলাম যে এর অর্থ"&amp;" হল আমার পরিবার, আমার কাজ এবং সাধারণভাবে নিজের উপর থেকে আমার মনোযোগ সরিয়ে নেওয়া। আমি সম্পূর্ণ বিভ্রান্ত ছিলাম। এই উপলব্ধি আমাকে খুব আঘাত করেছে। আমি কি এতটাই বিভ্রান্ত ছিলাম যে আমি এই রোগটি আমার এবং আমার পরিবারের উপর কতটা ক্ষতি করছে তা দেখতে পাচ্ছি না? এ"&amp;"টা যেন কেউ একটি সুইচ উল্টে দিয়েছে, এবং হঠাৎ আমি দেখতে পাচ্ছি যে সবকিছু কতটা এলোমেলো হয়ে গেছে; আমি কীভাবে যুক্তি শুনতে অস্বীকার করেছি; এবং আমি কীভাবে অনেক লোককে হতাশ করেছি। আমার ভালো উদ্দেশ্য ছিল, আমি সঠিক কাজটি করার চেষ্টা করছিলাম। এটা অদ্ভুত, এটা যেন আ"&amp;"মি সঠিকভাবে শোক না করার ফলে এক ধরণের সহ-নির্ভরতা তৈরি হয়েছিল যা অনেক ক্ষতি করেছে। এখন আমার চোখ খোলা আছে, এবং আমি চাই যে আমি সবকিছু পিছনে ফেলে দিতে পারি কিন্তু স্বাভাবিকভাবেই সবকিছু এত সহজ নয়। আমি আমার স্ত্রীকে অনেক কষ্ট দিয়েছি। আমি জানি না এটা নিয়ে আমি"&amp;" কোথায় যাব। তাছাড়া, আমার মনে হয় এটা পড়া ভালো হবে যদি অন্য কেউ অন্য কারো আসক্তির প্রতি আসক্তি/আবেগের সম্মুখীন হয়ে থাকেন? কারণ আমিও বেশিরভাগ সময় এতটাই ভেঙে পড়ি যে নিজেকে আবার ঠিক করে তুলতে হবে।")</f>
        <v>আমার একজন বন্ধু আছে? ৩২(মি)? আমার সমবয়সী, বর্তমানে সে একজন মদ্যপ; বাস্তবে বহু বছর ধরে। প্রেক্ষাপটে, আমার মাও একজন মদ্যপ ছিলেন এবং দুঃখের বিষয় হল ২০২০ সালের সেপ্টেম্বরে মারা যান। আমাদের বন্ধুত্ব এতটাই বিষাক্ত হয়ে ওঠার পর আমি সম্প্রতি এই বন্ধুর সাথে দেখা বন্ধ করে দিয়েছি। সত্যি বলতে, আমি কতটা বিএস চাই তা নিয়ে একটি সিরিজ লিখতে পারতাম? এবং এটি চলতেই থাকত। আমার মনে হয় আমার প্রধান সমস্যা ছিল, আমি তার মদ্যপানের প্রতি আচ্ছন্ন ছিলাম। আমি তাকে সাহায্য করার চেষ্টা করেছি, আমি তাকে পরিবর্তন করার চেষ্টা করেছি। এটি সম্পূর্ণরূপে নিষ্ফল ছিল; এবং গত কয়েক মাস ধরে আমরা ক্রমাগত এটি নিয়ে উত্তপ্ত তর্ক-বিতর্কে লিপ্ত হয়েছি। সত্যি বলতে, আমি মনে করি এই বিষয়টি আমার দুঃখের জন্য এক ধরণের প্রতিকূলতা হিসেবে কাজ করেছে: যদি আমি এই ব্যক্তিকে বাঁচাতে পারি তবে এটি আমার মাকে বাঁচাতে না পারার বিষয়ে আমাকে কিছুটা হলেও ভালো বোধ করবে। এবং এই ধারণার প্রতি, আমি কেবল থেমে গেলাম। আমি যেকোনো কিছু করতে প্রস্তুত ছিলাম এবং আমি অনেক কিছু করেছি, আমার পথের বাইরে গিয়েছিলাম ইত্যাদি যখন সবকিছু বৃথা যাচ্ছিল তখন এই ব্যক্তিকে সাহায্য করার জন্য। এতে আমার অনেক সময় এবং শক্তি নষ্ট হয়ে গেছে। এখন আমি নিজেকে দূরে সরিয়ে নিয়েছি, আমি বুঝতে পারছি এর প্রভাব আমার, আমার স্ত্রীর এবং আমাদের বিবাহের উপর কতটা বড়। আমি জানি না এটা টানেল ভিশন নাকি মাথা ঘোরা ইত্যাদি, কিন্তু আমি এর জন্য এতটাই দৃঢ়প্রতিজ্ঞ ছিলাম যে এর অর্থ হল আমার পরিবার, আমার কাজ এবং সাধারণভাবে নিজের উপর থেকে আমার মনোযোগ সরিয়ে নেওয়া। আমি সম্পূর্ণ বিভ্রান্ত ছিলাম। এই উপলব্ধি আমাকে খুব আঘাত করেছে। আমি কি এতটাই বিভ্রান্ত ছিলাম যে আমি এই রোগটি আমার এবং আমার পরিবারের উপর কতটা ক্ষতি করছে তা দেখতে পাচ্ছি না? এটা যেন কেউ একটি সুইচ উল্টে দিয়েছে, এবং হঠাৎ আমি দেখতে পাচ্ছি যে সবকিছু কতটা এলোমেলো হয়ে গেছে; আমি কীভাবে যুক্তি শুনতে অস্বীকার করেছি; এবং আমি কীভাবে অনেক লোককে হতাশ করেছি। আমার ভালো উদ্দেশ্য ছিল, আমি সঠিক কাজটি করার চেষ্টা করছিলাম। এটা অদ্ভুত, এটা যেন আমি সঠিকভাবে শোক না করার ফলে এক ধরণের সহ-নির্ভরতা তৈরি হয়েছিল যা অনেক ক্ষতি করেছে। এখন আমার চোখ খোলা আছে, এবং আমি চাই যে আমি সবকিছু পিছনে ফেলে দিতে পারি কিন্তু স্বাভাবিকভাবেই সবকিছু এত সহজ নয়। আমি আমার স্ত্রীকে অনেক কষ্ট দিয়েছি। আমি জানি না এটা নিয়ে আমি কোথায় যাব। তাছাড়া, আমার মনে হয় এটা পড়া ভালো হবে যদি অন্য কেউ অন্য কারো আসক্তির প্রতি আসক্তি/আবেগের সম্মুখীন হয়ে থাকেন? কারণ আমিও বেশিরভাগ সময় এতটাই ভেঙে পড়ি যে নিজেকে আবার ঠিক করে তুলতে হবে।</v>
      </c>
    </row>
    <row r="1262" spans="1:3" ht="15" x14ac:dyDescent="0.25">
      <c r="A1262" s="3" t="s">
        <v>1257</v>
      </c>
      <c r="B1262" s="3" t="s">
        <v>997</v>
      </c>
      <c r="C1262" s="4" t="str">
        <f ca="1">IFERROR(__xludf.DUMMYFUNCTION("GOOGLETRANSLATE(A1262, ""auto"", ""bn"")"),"আমার একজন বন্ধু আছে? ৩২(মি)? আমার সমবয়সী, বর্তমানে সে একজন মদ্যপ; বাস্তবে বহু বছর ধরে। প্রেক্ষাপটে, আমার মাও একজন মদ্যপ ছিলেন এবং দুঃখের বিষয় হল ২০২০ সালের সেপ্টেম্বরে মারা যান। আমাদের বন্ধুত্ব এতটাই বিষাক্ত হয়ে ওঠার পর আমি সম্প্রতি এই বন্ধুর সাথে দেখা "&amp;"বন্ধ করে দিয়েছি। সত্যি বলতে, আমি কতটা বিএস চাই তা নিয়ে একটি সিরিজ লিখতে পারতাম? এবং এটি চলতেই থাকত। আমার মনে হয় আমার প্রধান সমস্যা ছিল, আমি তার মদ্যপানের প্রতি আচ্ছন্ন ছিলাম। আমি তাকে সাহায্য করার চেষ্টা করেছি, আমি তাকে পরিবর্তন করার চেষ্টা করেছি। এটি "&amp;"সম্পূর্ণরূপে নিষ্ফল ছিল; এবং গত কয়েক মাস ধরে আমরা ক্রমাগত এটি নিয়ে উত্তপ্ত তর্ক-বিতর্কে লিপ্ত হয়েছি। সত্যি বলতে, আমি মনে করি এই বিষয়টি আমার দুঃখের জন্য এক ধরণের প্রতিকূলতা হিসেবে কাজ করেছে: যদি আমি এই ব্যক্তিকে বাঁচাতে পারি তবে এটি আমার মাকে বাঁচাতে ন"&amp;"া পারার বিষয়ে আমাকে কিছুটা হলেও ভালো বোধ করবে। এবং এই ধারণার প্রতি, আমি কেবল থেমে গেলাম। আমি যেকোনো কিছু করতে প্রস্তুত ছিলাম এবং আমি অনেক কিছু করেছি, আমার পথের বাইরে গিয়েছিলাম ইত্যাদি যখন সবকিছু বৃথা যাচ্ছিল তখন এই ব্যক্তিকে সাহায্য করার জন্য। এতে আমার "&amp;"অনেক সময় এবং শক্তি নষ্ট হয়ে গেছে। এখন আমি নিজেকে দূরে সরিয়ে নিয়েছি, আমি বুঝতে পারছি এর প্রভাব আমার, আমার স্ত্রীর এবং আমাদের বিবাহের উপর কতটা বড়। আমি জানি না এটা টানেল ভিশন নাকি মাথা ঘোরা ইত্যাদি, কিন্তু আমি এর জন্য এতটাই দৃঢ়প্রতিজ্ঞ ছিলাম যে এর অর্থ"&amp;" হল আমার পরিবার, আমার কাজ এবং সাধারণভাবে নিজের উপর থেকে আমার মনোযোগ সরিয়ে নেওয়া। আমি সম্পূর্ণ বিভ্রান্ত ছিলাম। এই উপলব্ধি আমাকে খুব আঘাত করেছে। আমি কি এতটাই বিভ্রান্ত ছিলাম যে আমি এই রোগটি আমার এবং আমার পরিবারের উপর কতটা ক্ষতি করছে তা দেখতে পাচ্ছি না? এ"&amp;"টা যেন কেউ একটি সুইচ উল্টে দিয়েছে, এবং হঠাৎ আমি দেখতে পাচ্ছি যে সবকিছু কতটা এলোমেলো হয়ে গেছে; আমি কীভাবে যুক্তি শুনতে অস্বীকার করেছি; এবং আমি কীভাবে অনেক লোককে হতাশ করেছি। আমার ভালো উদ্দেশ্য ছিল, আমি সঠিক কাজটি করার চেষ্টা করছিলাম। এটা অদ্ভুত, এটা যেন আ"&amp;"মি সঠিকভাবে শোক না করার ফলে এক ধরণের সহ-নির্ভরতা তৈরি হয়েছিল যা অনেক ক্ষতি করেছে। এখন আমার চোখ খোলা আছে, এবং আমি চাই যে আমি সবকিছু পিছনে ফেলে দিতে পারি কিন্তু স্বাভাবিকভাবেই সবকিছু এত সহজ নয়। আমি আমার স্ত্রীকে অনেক কষ্ট দিয়েছি। আমি জানি না এটা নিয়ে আমি"&amp;" কোথায় যাব। তাছাড়া, আমার মনে হয় এটা পড়া ভালো হবে যদি অন্য কেউ অন্য কারো আসক্তির প্রতি আসক্তি/আবেগের সম্মুখীন হয়ে থাকেন? কারণ আমিও বেশিরভাগ সময় এতটাই ভেঙে পড়ি যে নিজেকে আবার ঠিক করে তুলতে হবে।")</f>
        <v>আমার একজন বন্ধু আছে? ৩২(মি)? আমার সমবয়সী, বর্তমানে সে একজন মদ্যপ; বাস্তবে বহু বছর ধরে। প্রেক্ষাপটে, আমার মাও একজন মদ্যপ ছিলেন এবং দুঃখের বিষয় হল ২০২০ সালের সেপ্টেম্বরে মারা যান। আমাদের বন্ধুত্ব এতটাই বিষাক্ত হয়ে ওঠার পর আমি সম্প্রতি এই বন্ধুর সাথে দেখা বন্ধ করে দিয়েছি। সত্যি বলতে, আমি কতটা বিএস চাই তা নিয়ে একটি সিরিজ লিখতে পারতাম? এবং এটি চলতেই থাকত। আমার মনে হয় আমার প্রধান সমস্যা ছিল, আমি তার মদ্যপানের প্রতি আচ্ছন্ন ছিলাম। আমি তাকে সাহায্য করার চেষ্টা করেছি, আমি তাকে পরিবর্তন করার চেষ্টা করেছি। এটি সম্পূর্ণরূপে নিষ্ফল ছিল; এবং গত কয়েক মাস ধরে আমরা ক্রমাগত এটি নিয়ে উত্তপ্ত তর্ক-বিতর্কে লিপ্ত হয়েছি। সত্যি বলতে, আমি মনে করি এই বিষয়টি আমার দুঃখের জন্য এক ধরণের প্রতিকূলতা হিসেবে কাজ করেছে: যদি আমি এই ব্যক্তিকে বাঁচাতে পারি তবে এটি আমার মাকে বাঁচাতে না পারার বিষয়ে আমাকে কিছুটা হলেও ভালো বোধ করবে। এবং এই ধারণার প্রতি, আমি কেবল থেমে গেলাম। আমি যেকোনো কিছু করতে প্রস্তুত ছিলাম এবং আমি অনেক কিছু করেছি, আমার পথের বাইরে গিয়েছিলাম ইত্যাদি যখন সবকিছু বৃথা যাচ্ছিল তখন এই ব্যক্তিকে সাহায্য করার জন্য। এতে আমার অনেক সময় এবং শক্তি নষ্ট হয়ে গেছে। এখন আমি নিজেকে দূরে সরিয়ে নিয়েছি, আমি বুঝতে পারছি এর প্রভাব আমার, আমার স্ত্রীর এবং আমাদের বিবাহের উপর কতটা বড়। আমি জানি না এটা টানেল ভিশন নাকি মাথা ঘোরা ইত্যাদি, কিন্তু আমি এর জন্য এতটাই দৃঢ়প্রতিজ্ঞ ছিলাম যে এর অর্থ হল আমার পরিবার, আমার কাজ এবং সাধারণভাবে নিজের উপর থেকে আমার মনোযোগ সরিয়ে নেওয়া। আমি সম্পূর্ণ বিভ্রান্ত ছিলাম। এই উপলব্ধি আমাকে খুব আঘাত করেছে। আমি কি এতটাই বিভ্রান্ত ছিলাম যে আমি এই রোগটি আমার এবং আমার পরিবারের উপর কতটা ক্ষতি করছে তা দেখতে পাচ্ছি না? এটা যেন কেউ একটি সুইচ উল্টে দিয়েছে, এবং হঠাৎ আমি দেখতে পাচ্ছি যে সবকিছু কতটা এলোমেলো হয়ে গেছে; আমি কীভাবে যুক্তি শুনতে অস্বীকার করেছি; এবং আমি কীভাবে অনেক লোককে হতাশ করেছি। আমার ভালো উদ্দেশ্য ছিল, আমি সঠিক কাজটি করার চেষ্টা করছিলাম। এটা অদ্ভুত, এটা যেন আমি সঠিকভাবে শোক না করার ফলে এক ধরণের সহ-নির্ভরতা তৈরি হয়েছিল যা অনেক ক্ষতি করেছে। এখন আমার চোখ খোলা আছে, এবং আমি চাই যে আমি সবকিছু পিছনে ফেলে দিতে পারি কিন্তু স্বাভাবিকভাবেই সবকিছু এত সহজ নয়। আমি আমার স্ত্রীকে অনেক কষ্ট দিয়েছি। আমি জানি না এটা নিয়ে আমি কোথায় যাব। তাছাড়া, আমার মনে হয় এটা পড়া ভালো হবে যদি অন্য কেউ অন্য কারো আসক্তির প্রতি আসক্তি/আবেগের সম্মুখীন হয়ে থাকেন? কারণ আমিও বেশিরভাগ সময় এতটাই ভেঙে পড়ি যে নিজেকে আবার ঠিক করে তুলতে হবে।</v>
      </c>
    </row>
    <row r="1263" spans="1:3" ht="15" x14ac:dyDescent="0.25">
      <c r="A1263" s="3" t="s">
        <v>1258</v>
      </c>
      <c r="B1263" s="3" t="s">
        <v>997</v>
      </c>
      <c r="C1263" s="4" t="str">
        <f ca="1">IFERROR(__xludf.DUMMYFUNCTION("GOOGLETRANSLATE(A1263, ""auto"", ""bn"")"),"শিরোনামই সব বলে দিচ্ছে। আমি লক্ষ্য করেছি যে কয়েক বছর আগে আমি প্রতিদিন অতিরিক্ত মদ্যপান শুরু করার পর থেকেই এই ঘটনা ঘটতে শুরু করেছে। তাহলে তোমরা কি লক্ষ্য করেছো যে তোমাদের ছোটখাটো কাটা এবং আঁচড়ের দাগ অনেক দিন পরেও দেখা যায়, যা মনে হয়ে যাওয়া উচিত ছিল? ভাবছো "&amp;"এটা কি মদ্যপানের সাথে সম্পর্কিত?")</f>
        <v>শিরোনামই সব বলে দিচ্ছে। আমি লক্ষ্য করেছি যে কয়েক বছর আগে আমি প্রতিদিন অতিরিক্ত মদ্যপান শুরু করার পর থেকেই এই ঘটনা ঘটতে শুরু করেছে। তাহলে তোমরা কি লক্ষ্য করেছো যে তোমাদের ছোটখাটো কাটা এবং আঁচড়ের দাগ অনেক দিন পরেও দেখা যায়, যা মনে হয়ে যাওয়া উচিত ছিল? ভাবছো এটা কি মদ্যপানের সাথে সম্পর্কিত?</v>
      </c>
    </row>
    <row r="1264" spans="1:3" ht="15" x14ac:dyDescent="0.25">
      <c r="A1264" s="3" t="s">
        <v>1259</v>
      </c>
      <c r="B1264" s="3" t="s">
        <v>997</v>
      </c>
      <c r="C1264" s="4" t="str">
        <f ca="1">IFERROR(__xludf.DUMMYFUNCTION("GOOGLETRANSLATE(A1264, ""auto"", ""bn"")"),"এইরকম অনুভূতি থাকা সত্ত্বেও নতুন শখ খুঁজে বের করার সময় এসেছে। বই পড়া অথবা সাইকেল চালানো। আমার অনেক আইডিয়া আছে, কিন্তু আমি সেগুলো বাস্তবায়ন করতে পারছি না। মানুষকে তাদের জীবন কীভাবে ঠিক করতে হবে তা বলা সহজ কিন্তু যখন আপনি নিজের দিকে তাকান তখন শুরু করা ক"&amp;"ঠিন।")</f>
        <v>এইরকম অনুভূতি থাকা সত্ত্বেও নতুন শখ খুঁজে বের করার সময় এসেছে। বই পড়া অথবা সাইকেল চালানো। আমার অনেক আইডিয়া আছে, কিন্তু আমি সেগুলো বাস্তবায়ন করতে পারছি না। মানুষকে তাদের জীবন কীভাবে ঠিক করতে হবে তা বলা সহজ কিন্তু যখন আপনি নিজের দিকে তাকান তখন শুরু করা কঠিন।</v>
      </c>
    </row>
    <row r="1265" spans="1:3" ht="15" x14ac:dyDescent="0.25">
      <c r="A1265" s="3" t="s">
        <v>1260</v>
      </c>
      <c r="B1265" s="3" t="s">
        <v>997</v>
      </c>
      <c r="C1265" s="4" t="str">
        <f ca="1">IFERROR(__xludf.DUMMYFUNCTION("GOOGLETRANSLATE(A1265, ""auto"", ""bn"")"),"সুস্থ হওয়ার পর (দুই বছর পর সম্প্রতি কিছু ভুল হয়েছে) আমি এখন কাজ করি, আমার বয়ফ্রেন্ড করে না। ছুটির দিনগুলোতে মদ্যপান করতে আমার কষ্ট হচ্ছে। আমার বয়ফ্রেন্ড এখন আমাকে তার পরিবারের বাড়িতে ভাড়া-মুক্ত থাকতে দিচ্ছে এবং শেষবার যখন আমি তাকে পরিষ্কার করতে বলেছিলাম, "&amp;"তখন সপ্তাহের পর সপ্তাহ ধরে ঝগড়া এবং আমি মদ্যপান করছিলাম (ঝগড়ার জন্য এটিও একটি বড় কারণ)। যখন আমরা আসলে সবকিছু সুন্দর এবং পরিষ্কার করেছিলাম তখন আমার কাঁধ থেকে বোঝা নেমে এসেছিল। এখন সবকিছু আবার ভয়াবহভাবে নোংরা, এখন আমার ছুটির দিন, আমি বললাম, যদি আমি শোবার ঘ"&amp;"র পরিষ্কার করার কাজ শুরু করতে পারতাম, কিন্তু আমি এখানে থালা-বাসন মাজা করতে পারছি না কারণ রান্নাঘর এত নোংরা। এই লোকটা। এই লোকটি বলে, ""আচ্ছা, আমার মনে হয় তুমি ডিশওয়াশারে দু-একটা ছোট জিনিসও ঢেলে দিতে পারো। আমি এখন মদ্যপানের কথা ভাবিনি। আমার শরীর যেন কয়েক"&amp;"টা ছবি তোলার, হেডফোন লাগানোর, সবকিছু পরিষ্কার করার, সবকিছু ঠিকঠাক করার এবং মাতাল হয়ে উপভোগ করার জন্য আকুল হয়ে উঠেছে, বরং এখানে বসে রান্না করার পরিবর্তে যে সে এবং তার পরিবার কিছুই পরিষ্কার করে না। গত কয়েকদিন আমি মদ্যপান করেছি এবং এর ফলে সে আমার উপর চিৎক"&amp;"ার করে বলেছে। কারণ আমি মদ্যপান করিনি কারণ আমি বোকামি করেছিলাম বা অন্য কিছু করার সময় করেছি।""")</f>
        <v>সুস্থ হওয়ার পর (দুই বছর পর সম্প্রতি কিছু ভুল হয়েছে) আমি এখন কাজ করি, আমার বয়ফ্রেন্ড করে না। ছুটির দিনগুলোতে মদ্যপান করতে আমার কষ্ট হচ্ছে। আমার বয়ফ্রেন্ড এখন আমাকে তার পরিবারের বাড়িতে ভাড়া-মুক্ত থাকতে দিচ্ছে এবং শেষবার যখন আমি তাকে পরিষ্কার করতে বলেছিলাম, তখন সপ্তাহের পর সপ্তাহ ধরে ঝগড়া এবং আমি মদ্যপান করছিলাম (ঝগড়ার জন্য এটিও একটি বড় কারণ)। যখন আমরা আসলে সবকিছু সুন্দর এবং পরিষ্কার করেছিলাম তখন আমার কাঁধ থেকে বোঝা নেমে এসেছিল। এখন সবকিছু আবার ভয়াবহভাবে নোংরা, এখন আমার ছুটির দিন, আমি বললাম, যদি আমি শোবার ঘর পরিষ্কার করার কাজ শুরু করতে পারতাম, কিন্তু আমি এখানে থালা-বাসন মাজা করতে পারছি না কারণ রান্নাঘর এত নোংরা। এই লোকটা। এই লোকটি বলে, "আচ্ছা, আমার মনে হয় তুমি ডিশওয়াশারে দু-একটা ছোট জিনিসও ঢেলে দিতে পারো। আমি এখন মদ্যপানের কথা ভাবিনি। আমার শরীর যেন কয়েকটা ছবি তোলার, হেডফোন লাগানোর, সবকিছু পরিষ্কার করার, সবকিছু ঠিকঠাক করার এবং মাতাল হয়ে উপভোগ করার জন্য আকুল হয়ে উঠেছে, বরং এখানে বসে রান্না করার পরিবর্তে যে সে এবং তার পরিবার কিছুই পরিষ্কার করে না। গত কয়েকদিন আমি মদ্যপান করেছি এবং এর ফলে সে আমার উপর চিৎকার করে বলেছে। কারণ আমি মদ্যপান করিনি কারণ আমি বোকামি করেছিলাম বা অন্য কিছু করার সময় করেছি।"</v>
      </c>
    </row>
    <row r="1266" spans="1:3" ht="15" x14ac:dyDescent="0.25">
      <c r="A1266" s="3" t="s">
        <v>1261</v>
      </c>
      <c r="B1266" s="3" t="s">
        <v>997</v>
      </c>
      <c r="C1266" s="4" t="str">
        <f ca="1">IFERROR(__xludf.DUMMYFUNCTION("GOOGLETRANSLATE(A1266, ""auto"", ""bn"")"),"আমি টানা ৬ দিন ধরে প্রচুর পরিমাণে মদ্যপান করছি, আর আজ ঘুম থেকে উঠেই আমার মাথাব্যথা অনুভব করছি। গতকাল এবং আজ সকালেও আমি কিছু জি-ফুয়েল পান করেছি। এই প্রথম আমি এত বেশি মদ্যপান করছি এবং আমি জানি যে আপনার মাথাব্যথা হতে পারে, তাই আমার প্রশ্ন হল, কারও যদি জিটার"&amp;" খাওয়ার অভিজ্ঞতা থাকে এবং আমাকে বলতে পারেন যে এটি অ্যালকোহল নাকি জি-ফুয়েল। আমি আজকে সুস্থ থাকছি এবং কিছুক্ষণ সুস্থ থাকতে চাই।")</f>
        <v>আমি টানা ৬ দিন ধরে প্রচুর পরিমাণে মদ্যপান করছি, আর আজ ঘুম থেকে উঠেই আমার মাথাব্যথা অনুভব করছি। গতকাল এবং আজ সকালেও আমি কিছু জি-ফুয়েল পান করেছি। এই প্রথম আমি এত বেশি মদ্যপান করছি এবং আমি জানি যে আপনার মাথাব্যথা হতে পারে, তাই আমার প্রশ্ন হল, কারও যদি জিটার খাওয়ার অভিজ্ঞতা থাকে এবং আমাকে বলতে পারেন যে এটি অ্যালকোহল নাকি জি-ফুয়েল। আমি আজকে সুস্থ থাকছি এবং কিছুক্ষণ সুস্থ থাকতে চাই।</v>
      </c>
    </row>
    <row r="1267" spans="1:3" ht="15" x14ac:dyDescent="0.25">
      <c r="A1267" s="3" t="s">
        <v>1262</v>
      </c>
      <c r="B1267" s="3" t="s">
        <v>997</v>
      </c>
      <c r="C1267" s="4" t="str">
        <f ca="1">IFERROR(__xludf.DUMMYFUNCTION("GOOGLETRANSLATE(A1267, ""auto"", ""bn"")"),"আমি (২৬ ফারেনহাইট) এবং আমার বাগদত্তা (২৭ মিলিয়ন) স্কুলে পড়ার সময় থেকেই একসাথে আছি (বয়স ১৮ এবং ১৯)। আমরা প্রায় একসাথে বড় হয়েছি, স্কুলের প্রিয়তমা, ব্লা ব্লা ব্লা। আমাদের একসাথে একটি বাড়ি আছে এবং সম্প্রতি ২০২১ সালের মে মাসে বাগদান হয়েছে। বর্তমানে জী"&amp;"বনের অনেক মজার এবং উত্তেজনাপূর্ণ ঘটনা ঘটছে এবং সবকিছু বেশ ভালোই চলছে। তবে, আমি লক্ষ্য করতে শুরু করেছি যে মদ্যপান আমার বাগদত্তার জন্য একটি সমস্যা হয়ে উঠতে শুরু করেছে। পটভূমির জন্য, তার বাবা-মা দুজনেই মদ্যপ এবং পানীয়ের সাথে তাদের টানাপোড়েনের সম্পর্ক রয়ে"&amp;"ছে। আমার বাগদত্তা নিয়মিত এটি পান করে না, তবে এটি সামাজিক পরিস্থিতির সাথে খুব বেশি সম্পর্কিত বলে মনে হচ্ছে। সে সপ্তাহে খুব বেশি পান করে না (হয়তো মোট এক বা দুটি বিয়ার) এবং সে প্রায়শই সপ্তাহান্তে দু-একটি বিয়ার খাবে। যাইহোক, আমরা যদি কোনও পাব, বন্ধুদের জ"&amp;"ায়গায় যাই, অথবা আমাদের বাড়িতে লোকদের আমন্ত্রণ জানাই, তাহলে সে অতিরিক্ত পান করবে। সহজেই ৮-১০ পাইন্ট বিয়ার (২৪-৩০ ইউনিট)। যখন সে এই পরিমাণ মদ্যপান করে, তখন তার ব্যক্তিত্ব বদলে যায় এবং সাধারণত আশেপাশে থাকাটা তেমন মজার হয় না। সে শারীরিক বা মানসিকভাবে কো"&amp;"নওভাবেই নির্যাতনকারী নয়, কিন্তু তার আচরণ বদলে যায়, যদি তা যুক্তিসঙ্গত হয়? সে আরও অনিয়মিত এবং সংযত আচরণ করার তার ক্ষমতা নষ্ট হয়ে যায়। তদুপরি, সে তার পানীয়টি তার উপর এবং টেবিল/মেঝেতে ছড়িয়ে দেবে, এবং সাধারণত নিজেকে বিব্রত করবে। তাছাড়া, সে পরের দিন স"&amp;"কালে ঘুম থেকে উঠবে এবং একটি নির্দিষ্ট সময়ের পিছনে সন্ধ্যার কিছু অংশ মনে রাখবে না। এদিকে, আমাদের বাকি বন্ধুরা সর্বোচ্চ 3-4 পিন্ট পান করছে এবং কেবল মজা করছে। আমার বাগদত্তার অ্যালকোহলের প্রতি সহনশীলতা অন্যদের তুলনায় বেশি, তাই তাকে মাতাল বোধ করতে আরও কয়েকট"&amp;"ি অতিরিক্ত পানীয় প্রয়োজন। অন্যদিকে, আমি বিশেষ উপলক্ষ না হলে পান করি না। তবুও আমি সর্বোচ্চ দুটি পানীয় পান করব, এবং আমি এটি উপভোগও করি না। আমি ড্রাইভার হিসেবে মনোনীত হতে পেরে খুশি, এবং যতক্ষণ না এটি সভ্য, ততক্ষণ পর্যন্ত মদ্যপানকারী মানুষের আশেপাশে থাকতে "&amp;"আমার কোনও সমস্যা নেই। কয়েকদিন আগে আমাদের খুব কাছের এক বন্ধু (২৭ মাইল) রাতের খাবার এবং আড্ডার জন্য এসেছিল। সে সবেমাত্র একটা দীর্ঘ ভ্রমণ থেকে ফিরে এসেছে, এবং আমরা তাদের সাথে দেখা করার জন্য অধীর আগ্রহে অপেক্ষা করছিলাম। আমরা খাই, এবং তারা তাদের মধ্যে কয়েকটি "&amp;"পানীয় ভাগ করে নিল, কিন্তু আমার বাগদত্তা মদ্যপান করতে থাকল। শেষ পর্যন্ত সে কত বিয়ার খেয়েছিল তার হিসাব আমার নেই, কিন্তু খুব শক্তিশালী (৬% ABV) ক্যানের ৮+ ক্যান ছিল। সন্ধ্যার শেষের দিকে, আমরা রান্নাঘরের ব্রেকফাস্ট বারে বসে ছিলাম। সে ভেবেছিল বার স্টুলে বসে"&amp;" আমার পা ধরে আমাকে সুড়সুড়ি দেওয়া মজার হবে। প্রথমে এটা মজার ছিল কিন্তু যখন আমি তাকে থামতে বললাম যখন আমি আমার সিট থেকে পিছলে যাচ্ছিলাম, সে থামল না এবং আমি পিছলে শক্ত মেঝেতে হাঁটু গেড়ে বসলাম। আমার বেশ কিছু অদ্ভুত আঘাতের চিহ্ন ছিল। আমাকে উঠতে সাহায্য করার"&amp;" পরিবর্তে সে কেবল হেসে আমাকে উঠতে বলল। আমাদের বন্ধুটি খুব অবাক হয়ে গেল এবং বলল যে সে অস্বস্তি বোধ করছে বলে সে বেরিয়ে যাবে। সে আমাকে সাহায্য করল এবং তারপর তার পথে চলে গেল। আমরা ঘুমাতে গেলাম এবং পরের দিন সন্ধ্যায় যখন আমি কাজ থেকে বাড়ি ফিরে তার সাথে কথা "&amp;"বললাম, তখন সে বললো কি হয়েছিল তার কিছুই মনে করতে পারছে না। সে খুব বিরক্ত ছিল, এবং আমি জানি সে কখনোই ইচ্ছাকৃতভাবে এটা করতো না। আমরা পরিস্থিতি সম্পর্কে আমার কেমন অনুভূতি হয়েছিল এবং সে কি এটাকে সমস্যা বলে মনে করে তা নিয়ে কথা বলেছিলাম। সে বললো, মাত্র কয়েকট"&amp;"ি পানীয় পান করে থামিয়ে দেওয়া তার জন্য ক্রমশ কঠিন হয়ে উঠছে, যেন অফ সুইচ নেই। সে বলেছে যে কাজের কারণে বর্তমানে সে অসহায় এবং বিষণ্ণ বোধ করছে এবং চিন্তিত যে এটি মোকাবেলা করার একটি পদ্ধতি হয়ে উঠছে। তাছাড়া, সে তার বাবা-মায়ের মতো হতে চায় না। তাছাড়া, সে স"&amp;"ম্প্রতি নিজেকে উন্নত করার চেষ্টা করছিল, স্বাস্থ্যকর খাবার খাচ্ছিল, জিমে যাচ্ছিল, সপ্তাহে কয়েকটা পানীয়ের মধ্যে নিজেকে সীমাবদ্ধ রেখেছিল। তারপর মনে হচ্ছে সে অফ সুইচ হারিয়ে ফেলেছে। আমাদের বন্ধুও তার উদ্বেগের কথা বলেছে এবং তার জন্য চিন্তিত। আমার মনে হয় আমা"&amp;"র প্রশ্ন হল, আমি তাকে সমর্থন করার জন্য কী করতে পারি? সে বলেছে সে তার মদ্যপান কমাতে চায়, অথবা পুরোপুরি বন্ধ করতে চায়। এটা আমার জন্য কঠিন কারণ অ্যালকোহল আমার পছন্দের জিনিস নয়, তাই তার অনুভূতি বোঝা আমার খুব কঠিন হয়ে পড়ছে।")</f>
        <v>আমি (২৬ ফারেনহাইট) এবং আমার বাগদত্তা (২৭ মিলিয়ন) স্কুলে পড়ার সময় থেকেই একসাথে আছি (বয়স ১৮ এবং ১৯)। আমরা প্রায় একসাথে বড় হয়েছি, স্কুলের প্রিয়তমা, ব্লা ব্লা ব্লা। আমাদের একসাথে একটি বাড়ি আছে এবং সম্প্রতি ২০২১ সালের মে মাসে বাগদান হয়েছে। বর্তমানে জীবনের অনেক মজার এবং উত্তেজনাপূর্ণ ঘটনা ঘটছে এবং সবকিছু বেশ ভালোই চলছে। তবে, আমি লক্ষ্য করতে শুরু করেছি যে মদ্যপান আমার বাগদত্তার জন্য একটি সমস্যা হয়ে উঠতে শুরু করেছে। পটভূমির জন্য, তার বাবা-মা দুজনেই মদ্যপ এবং পানীয়ের সাথে তাদের টানাপোড়েনের সম্পর্ক রয়েছে। আমার বাগদত্তা নিয়মিত এটি পান করে না, তবে এটি সামাজিক পরিস্থিতির সাথে খুব বেশি সম্পর্কিত বলে মনে হচ্ছে। সে সপ্তাহে খুব বেশি পান করে না (হয়তো মোট এক বা দুটি বিয়ার) এবং সে প্রায়শই সপ্তাহান্তে দু-একটি বিয়ার খাবে। যাইহোক, আমরা যদি কোনও পাব, বন্ধুদের জায়গায় যাই, অথবা আমাদের বাড়িতে লোকদের আমন্ত্রণ জানাই, তাহলে সে অতিরিক্ত পান করবে। সহজেই ৮-১০ পাইন্ট বিয়ার (২৪-৩০ ইউনিট)। যখন সে এই পরিমাণ মদ্যপান করে, তখন তার ব্যক্তিত্ব বদলে যায় এবং সাধারণত আশেপাশে থাকাটা তেমন মজার হয় না। সে শারীরিক বা মানসিকভাবে কোনওভাবেই নির্যাতনকারী নয়, কিন্তু তার আচরণ বদলে যায়, যদি তা যুক্তিসঙ্গত হয়? সে আরও অনিয়মিত এবং সংযত আচরণ করার তার ক্ষমতা নষ্ট হয়ে যায়। তদুপরি, সে তার পানীয়টি তার উপর এবং টেবিল/মেঝেতে ছড়িয়ে দেবে, এবং সাধারণত নিজেকে বিব্রত করবে। তাছাড়া, সে পরের দিন সকালে ঘুম থেকে উঠবে এবং একটি নির্দিষ্ট সময়ের পিছনে সন্ধ্যার কিছু অংশ মনে রাখবে না। এদিকে, আমাদের বাকি বন্ধুরা সর্বোচ্চ 3-4 পিন্ট পান করছে এবং কেবল মজা করছে। আমার বাগদত্তার অ্যালকোহলের প্রতি সহনশীলতা অন্যদের তুলনায় বেশি, তাই তাকে মাতাল বোধ করতে আরও কয়েকটি অতিরিক্ত পানীয় প্রয়োজন। অন্যদিকে, আমি বিশেষ উপলক্ষ না হলে পান করি না। তবুও আমি সর্বোচ্চ দুটি পানীয় পান করব, এবং আমি এটি উপভোগও করি না। আমি ড্রাইভার হিসেবে মনোনীত হতে পেরে খুশি, এবং যতক্ষণ না এটি সভ্য, ততক্ষণ পর্যন্ত মদ্যপানকারী মানুষের আশেপাশে থাকতে আমার কোনও সমস্যা নেই। কয়েকদিন আগে আমাদের খুব কাছের এক বন্ধু (২৭ মাইল) রাতের খাবার এবং আড্ডার জন্য এসেছিল। সে সবেমাত্র একটা দীর্ঘ ভ্রমণ থেকে ফিরে এসেছে, এবং আমরা তাদের সাথে দেখা করার জন্য অধীর আগ্রহে অপেক্ষা করছিলাম। আমরা খাই, এবং তারা তাদের মধ্যে কয়েকটি পানীয় ভাগ করে নিল, কিন্তু আমার বাগদত্তা মদ্যপান করতে থাকল। শেষ পর্যন্ত সে কত বিয়ার খেয়েছিল তার হিসাব আমার নেই, কিন্তু খুব শক্তিশালী (৬% ABV) ক্যানের ৮+ ক্যান ছিল। সন্ধ্যার শেষের দিকে, আমরা রান্নাঘরের ব্রেকফাস্ট বারে বসে ছিলাম। সে ভেবেছিল বার স্টুলে বসে আমার পা ধরে আমাকে সুড়সুড়ি দেওয়া মজার হবে। প্রথমে এটা মজার ছিল কিন্তু যখন আমি তাকে থামতে বললাম যখন আমি আমার সিট থেকে পিছলে যাচ্ছিলাম, সে থামল না এবং আমি পিছলে শক্ত মেঝেতে হাঁটু গেড়ে বসলাম। আমার বেশ কিছু অদ্ভুত আঘাতের চিহ্ন ছিল। আমাকে উঠতে সাহায্য করার পরিবর্তে সে কেবল হেসে আমাকে উঠতে বলল। আমাদের বন্ধুটি খুব অবাক হয়ে গেল এবং বলল যে সে অস্বস্তি বোধ করছে বলে সে বেরিয়ে যাবে। সে আমাকে সাহায্য করল এবং তারপর তার পথে চলে গেল। আমরা ঘুমাতে গেলাম এবং পরের দিন সন্ধ্যায় যখন আমি কাজ থেকে বাড়ি ফিরে তার সাথে কথা বললাম, তখন সে বললো কি হয়েছিল তার কিছুই মনে করতে পারছে না। সে খুব বিরক্ত ছিল, এবং আমি জানি সে কখনোই ইচ্ছাকৃতভাবে এটা করতো না। আমরা পরিস্থিতি সম্পর্কে আমার কেমন অনুভূতি হয়েছিল এবং সে কি এটাকে সমস্যা বলে মনে করে তা নিয়ে কথা বলেছিলাম। সে বললো, মাত্র কয়েকটি পানীয় পান করে থামিয়ে দেওয়া তার জন্য ক্রমশ কঠিন হয়ে উঠছে, যেন অফ সুইচ নেই। সে বলেছে যে কাজের কারণে বর্তমানে সে অসহায় এবং বিষণ্ণ বোধ করছে এবং চিন্তিত যে এটি মোকাবেলা করার একটি পদ্ধতি হয়ে উঠছে। তাছাড়া, সে তার বাবা-মায়ের মতো হতে চায় না। তাছাড়া, সে সম্প্রতি নিজেকে উন্নত করার চেষ্টা করছিল, স্বাস্থ্যকর খাবার খাচ্ছিল, জিমে যাচ্ছিল, সপ্তাহে কয়েকটা পানীয়ের মধ্যে নিজেকে সীমাবদ্ধ রেখেছিল। তারপর মনে হচ্ছে সে অফ সুইচ হারিয়ে ফেলেছে। আমাদের বন্ধুও তার উদ্বেগের কথা বলেছে এবং তার জন্য চিন্তিত। আমার মনে হয় আমার প্রশ্ন হল, আমি তাকে সমর্থন করার জন্য কী করতে পারি? সে বলেছে সে তার মদ্যপান কমাতে চায়, অথবা পুরোপুরি বন্ধ করতে চায়। এটা আমার জন্য কঠিন কারণ অ্যালকোহল আমার পছন্দের জিনিস নয়, তাই তার অনুভূতি বোঝা আমার খুব কঠিন হয়ে পড়ছে।</v>
      </c>
    </row>
    <row r="1268" spans="1:3" ht="15" x14ac:dyDescent="0.25">
      <c r="A1268" s="3" t="s">
        <v>1263</v>
      </c>
      <c r="B1268" s="3" t="s">
        <v>997</v>
      </c>
      <c r="C1268" s="4" t="str">
        <f ca="1">IFERROR(__xludf.DUMMYFUNCTION("GOOGLETRANSLATE(A1268, ""auto"", ""bn"")"),"আমার ক্লিন ডেট হল ১০/১৩/২০২১, আমার জীবনের সেরা সিদ্ধান্ত এবং আমি আমার প্রতিটি দিনের জন্য কৃতজ্ঞ। সম্প্রতি আমার কোভিড হয়েছিল, এবং যখন আমি এটি গ্রহণ করেছি, তখন আমি আমার ধারণার চেয়ে উল্লেখযোগ্য পরিমাণে বেশি Nyquist পান করেছি (এমন কিছু নয় যা আমাকে মাতাল কর"&amp;"তে সক্ষম করবে, সম্ভবত একবারে অতিরিক্ত একটি বা দুটি ডোজ কারণ আমি বিষ্ঠার মতো অনুভব করছিলাম)। এটি কেবল কারণ আমি সম্পূর্ণ কুকুরের বিষ্ঠার মতো অনুভব করছিলাম এবং যত তাড়াতাড়ি সম্ভব অজ্ঞান হয়ে যেতে চেয়েছিলাম, অ্যালকোহলের জন্য মোটেও নয়। আমি জানতাম না যে এটিত"&amp;"ে অ্যালকোহল রয়েছে (আমি যে ধরণের অ্যালকোহল সবসময় খেয়েছি তা অ্যালকোহলমুক্ত ছিল), এবং আমি এখনও এটি গ্রহণ করেছি তবে কেবলমাত্র আমার যতটা উচিত ছিল ততটুকুই। আমি শান্ত থাকার জন্য সত্যিই কঠোর পরিশ্রম করেছি, এবং আমি চাই না যে এটি আমার বিরুদ্ধে গণনা করা হোক, তবে "&amp;"আমি প্রযুক্তিগতভাবে অ্যালকোহল খেয়েছিলাম এবং প্রথম রাতে আমি আমার ধারণার চেয়ে বেশি খেয়েছিলাম, অ্যালকোহল হোক বা না হোক।")</f>
        <v>আমার ক্লিন ডেট হল ১০/১৩/২০২১, আমার জীবনের সেরা সিদ্ধান্ত এবং আমি আমার প্রতিটি দিনের জন্য কৃতজ্ঞ। সম্প্রতি আমার কোভিড হয়েছিল, এবং যখন আমি এটি গ্রহণ করেছি, তখন আমি আমার ধারণার চেয়ে উল্লেখযোগ্য পরিমাণে বেশি Nyquist পান করেছি (এমন কিছু নয় যা আমাকে মাতাল করতে সক্ষম করবে, সম্ভবত একবারে অতিরিক্ত একটি বা দুটি ডোজ কারণ আমি বিষ্ঠার মতো অনুভব করছিলাম)। এটি কেবল কারণ আমি সম্পূর্ণ কুকুরের বিষ্ঠার মতো অনুভব করছিলাম এবং যত তাড়াতাড়ি সম্ভব অজ্ঞান হয়ে যেতে চেয়েছিলাম, অ্যালকোহলের জন্য মোটেও নয়। আমি জানতাম না যে এটিতে অ্যালকোহল রয়েছে (আমি যে ধরণের অ্যালকোহল সবসময় খেয়েছি তা অ্যালকোহলমুক্ত ছিল), এবং আমি এখনও এটি গ্রহণ করেছি তবে কেবলমাত্র আমার যতটা উচিত ছিল ততটুকুই। আমি শান্ত থাকার জন্য সত্যিই কঠোর পরিশ্রম করেছি, এবং আমি চাই না যে এটি আমার বিরুদ্ধে গণনা করা হোক, তবে আমি প্রযুক্তিগতভাবে অ্যালকোহল খেয়েছিলাম এবং প্রথম রাতে আমি আমার ধারণার চেয়ে বেশি খেয়েছিলাম, অ্যালকোহল হোক বা না হোক।</v>
      </c>
    </row>
    <row r="1269" spans="1:3" ht="15" x14ac:dyDescent="0.25">
      <c r="A1269" s="3" t="s">
        <v>1264</v>
      </c>
      <c r="B1269" s="3" t="s">
        <v>997</v>
      </c>
      <c r="C1269" s="4" t="str">
        <f ca="1">IFERROR(__xludf.DUMMYFUNCTION("GOOGLETRANSLATE(A1269, ""auto"", ""bn"")"),"প্রথমেই আমি বলতে চাই, আমার টিকা নেওয়া হয়নি, তাই কেউ যদি এই বিষয়ে মন্তব্য করে, তাহলে তা ভয় পাওয়া যাবে না। আমি একজন চরম মদ্যপ, আমি প্রতিদিন প্রায় ১ লিটার ভদকা পান করি। তাছাড়া, আমার বয়স মাত্র ২১ এবং কোভিডের কারণে আমার চাকরি না থাকায় আমার অ্যাপার্টমেন্ট হারা"&amp;"তে বসেছি, আমার শ্বাসকষ্টজনিত সমস্যা হচ্ছে, আমি ঘাম ঝরাচ্ছি এবং প্রায় পাগল হয়ে যাচ্ছি, আমার প্যানক্রিয়াটাইটিস এবং লিভারের ক্ষতি হয়েছে। দয়া করে সাহায্য করুন আমি কী করব?")</f>
        <v>প্রথমেই আমি বলতে চাই, আমার টিকা নেওয়া হয়নি, তাই কেউ যদি এই বিষয়ে মন্তব্য করে, তাহলে তা ভয় পাওয়া যাবে না। আমি একজন চরম মদ্যপ, আমি প্রতিদিন প্রায় ১ লিটার ভদকা পান করি। তাছাড়া, আমার বয়স মাত্র ২১ এবং কোভিডের কারণে আমার চাকরি না থাকায় আমার অ্যাপার্টমেন্ট হারাতে বসেছি, আমার শ্বাসকষ্টজনিত সমস্যা হচ্ছে, আমি ঘাম ঝরাচ্ছি এবং প্রায় পাগল হয়ে যাচ্ছি, আমার প্যানক্রিয়াটাইটিস এবং লিভারের ক্ষতি হয়েছে। দয়া করে সাহায্য করুন আমি কী করব?</v>
      </c>
    </row>
    <row r="1270" spans="1:3" ht="15" x14ac:dyDescent="0.25">
      <c r="A1270" s="3" t="s">
        <v>1265</v>
      </c>
      <c r="B1270" s="3" t="s">
        <v>997</v>
      </c>
      <c r="C1270" s="4" t="str">
        <f ca="1">IFERROR(__xludf.DUMMYFUNCTION("GOOGLETRANSLATE(A1270, ""auto"", ""bn"")"),"আমি আগে কখনও এটা করিনি। আর আমার নিজের উপর বিরক্ত লাগছে এবং কেন জানি না এটা একটা ভালো ধারণা বলে মনে হচ্ছিল। আমার বয়স ২৮, তাই আমি বুঝতে পারছি যে আমি একজন মদ্যপ হওয়ার পথে, যদি আমি ইতিমধ্যেই না থাকি। আমি সেই পর্যায়ে নেই যেখানে আমার ""একটি পানীয়"" প্রয়োজন"&amp;"। কিন্তু, যখন আমি পান করি তখন আমি সাধারণত থামি না। গত রাতে আমি আমার এক বন্ধুর কাছ থেকে গাড়ি চালিয়ে বাড়ি ফিরেছিলাম এবং আমার মনে নেই। ভাগ্যক্রমে আমি কোনও সমস্যা ছাড়াই নিরাপদে বাড়ি পৌঁছেছি। বন্ধুদের সাথে আড্ডা দেওয়ার সময় আপনি যখন কেবল মদ্যপান করেন তখন"&amp;" কীভাবে মদ্যপান ছেড়ে দিতে হয় সে সম্পর্কে আমার পরামর্শের প্রয়োজন। আমার বাবা একজন কর্মঠ মদ্যপ ছিলেন এবং সারাদিন প্রতিদিন মদ্যপান করতেন এবং আমি কখনও তাকে মাতাল অবস্থায় লক্ষ্য করিনি। কিন্তু আমি এমন হতে চাই না।")</f>
        <v>আমি আগে কখনও এটা করিনি। আর আমার নিজের উপর বিরক্ত লাগছে এবং কেন জানি না এটা একটা ভালো ধারণা বলে মনে হচ্ছিল। আমার বয়স ২৮, তাই আমি বুঝতে পারছি যে আমি একজন মদ্যপ হওয়ার পথে, যদি আমি ইতিমধ্যেই না থাকি। আমি সেই পর্যায়ে নেই যেখানে আমার "একটি পানীয়" প্রয়োজন। কিন্তু, যখন আমি পান করি তখন আমি সাধারণত থামি না। গত রাতে আমি আমার এক বন্ধুর কাছ থেকে গাড়ি চালিয়ে বাড়ি ফিরেছিলাম এবং আমার মনে নেই। ভাগ্যক্রমে আমি কোনও সমস্যা ছাড়াই নিরাপদে বাড়ি পৌঁছেছি। বন্ধুদের সাথে আড্ডা দেওয়ার সময় আপনি যখন কেবল মদ্যপান করেন তখন কীভাবে মদ্যপান ছেড়ে দিতে হয় সে সম্পর্কে আমার পরামর্শের প্রয়োজন। আমার বাবা একজন কর্মঠ মদ্যপ ছিলেন এবং সারাদিন প্রতিদিন মদ্যপান করতেন এবং আমি কখনও তাকে মাতাল অবস্থায় লক্ষ্য করিনি। কিন্তু আমি এমন হতে চাই না।</v>
      </c>
    </row>
    <row r="1271" spans="1:3" ht="15" x14ac:dyDescent="0.25">
      <c r="A1271" s="3" t="s">
        <v>1266</v>
      </c>
      <c r="B1271" s="3" t="s">
        <v>997</v>
      </c>
      <c r="C1271" s="4" t="str">
        <f ca="1">IFERROR(__xludf.DUMMYFUNCTION("GOOGLETRANSLATE(A1271, ""auto"", ""bn"")"),"অনেক নার্স এবং ডাক্তার। আমাকে কী দিতে হবে বা কতবার দিতে হবে সে সম্পর্কে সকলেরই ভিন্ন ভিন্ন মতামত আছে। আর ডাক্তাররা খুব একটা আসেন না। :(এশিয়ান এবং ডায়াজেপামের মধ্যে পরিবর্তন করতে থাকি। আমি এতটাই অসুস্থ যে নিজের খোঁজ রাখতে পারছি না। কিন্তু এটা এমন যে... ম"&amp;"াঝে মাঝে আমি ব্যথা কতটা তীব্র তা কম বলি। তারপর কিছুই পাই না। তারপর আমি বলি এটা। আরও খারাপ এবং তারা। বলুন আমি অতিরিক্ত বাড়িয়ে বলছি। আমি ঠিক কীভাবে উত্তর দিতে হবে তা জানি না সঠিক যত্ন পেতে... ডাক্তার আমাকে তাৎক্ষণিকভাবে ডায়াজেপাম আনতে বললেন, তারপর নার্সর"&amp;"া আমাকে ২ ঘন্টা ধরে উপেক্ষা করলেন যতক্ষণ না আমি কান ঢেকে হাইপারভেন্টিলেটিং চিৎকার করতে দেখতে এবং শুনতে পেলাম।")</f>
        <v>অনেক নার্স এবং ডাক্তার। আমাকে কী দিতে হবে বা কতবার দিতে হবে সে সম্পর্কে সকলেরই ভিন্ন ভিন্ন মতামত আছে। আর ডাক্তাররা খুব একটা আসেন না। :(এশিয়ান এবং ডায়াজেপামের মধ্যে পরিবর্তন করতে থাকি। আমি এতটাই অসুস্থ যে নিজের খোঁজ রাখতে পারছি না। কিন্তু এটা এমন যে... মাঝে মাঝে আমি ব্যথা কতটা তীব্র তা কম বলি। তারপর কিছুই পাই না। তারপর আমি বলি এটা। আরও খারাপ এবং তারা। বলুন আমি অতিরিক্ত বাড়িয়ে বলছি। আমি ঠিক কীভাবে উত্তর দিতে হবে তা জানি না সঠিক যত্ন পেতে... ডাক্তার আমাকে তাৎক্ষণিকভাবে ডায়াজেপাম আনতে বললেন, তারপর নার্সরা আমাকে ২ ঘন্টা ধরে উপেক্ষা করলেন যতক্ষণ না আমি কান ঢেকে হাইপারভেন্টিলেটিং চিৎকার করতে দেখতে এবং শুনতে পেলাম।</v>
      </c>
    </row>
    <row r="1272" spans="1:3" ht="15" x14ac:dyDescent="0.25">
      <c r="A1272" s="3" t="s">
        <v>1267</v>
      </c>
      <c r="B1272" s="3" t="s">
        <v>997</v>
      </c>
      <c r="C1272" s="4" t="str">
        <f ca="1">IFERROR(__xludf.DUMMYFUNCTION("GOOGLETRANSLATE(A1272, ""auto"", ""bn"")"),"আমি ডিটক্সিফিকেশনের জন্য ঘরে বসেই পদ্ধতি অবলম্বন করতে যাচ্ছি (আমি বুঝতে পারছি, মানুষ সবসময় বলে যে তোমার ক্লিনিকে যাওয়া উচিত), এবং যারা একই ধরণের পদ্ধতি অবলম্বন করেছে তাদের কাছ থেকে পরামর্শ চাই। আর স্পষ্ট করে বলতে চাই: না, আমি AA বা পুনর্বাসনের কথা ভাবব "&amp;"না, তাই যদি এটা এভাবে শুরু হয় তাহলে আমি তোমার প্রতিক্রিয়াও পড়ব না। একটু পটভূমি: প্রায় ১০ বছর ধরে (বয়স: ২৪-৩৪) প্রতিদিন মদ্যপান করছি। শুরুতে আমি রাতে কয়েকটি পানীয় পান করতাম, এখন দিনে এক পিন্ট থেকে দেড় পিন্ট ভদকা পান করি। আমি কখনও ঝাঁকুনি খাইনি এবং "&amp;"হ্যাংওভার এড়াতে সবসময় আমার পানীয় ছড়িয়ে দেই। আমি মাতাল থাকাও পছন্দ করি না, তাই আমি এটি এড়িয়ে চলি। তাছাড়া, আমি যে গুঞ্জন উদ্দীপনা পাই তা উপভোগ করি (প্রায় অনুপ্রেরণার মতো)। আচ্ছা, আমি বুঝতে পেরেছি যে আমার সহনশীলতা এতটাই বেড়ে গেছে যে বিপদের ঘণ্টা বে"&amp;"জে উঠছে। আমি আর মদ্যপান উপভোগ করি না। এটি একটি উপভোগ্য বিনোদনের চেয়ে বরং একটি ক্রাচের মতো মনে হয়। আমি আমার স্ত্রীকে বলেছিলাম যে আমার মনে হয় আমার মদ্যপানের সমস্যা আছে। সে খুব সহায়ক ছিল, আর এখন আমি টেপারিং রুট অথবা কোল্ড টার্কির রুট, দুটোই ভাবছি। ভাগ্যক্"&amp;"রমে, আমার কাছে Xanax এবং Propranolol আছে যা উইথড্রয়াল লক্ষণগুলির চিকিৎসায় সাহায্য করবে। যদি আপনার অন্য কোনও ওষুধ/সাপ্লিমেন্ট সম্পর্কে জানা থাকে, তাহলে দয়া করে আমাকে জানান। টেপারিংয়ের জন্য আমার POV: এটি DT? এবং খিঁচুনির সম্ভাবনা কমাবে কিন্তু এটি একটি ধীর"&amp;" প্রক্রিয়া। কোল্ড টার্কির জন্য আমার POV: এটি দ্রুত হবে কিন্তু DT? এবং খিঁচুনির ঝুঁকি বাড়াবে। আমি কখনও ঝাঁকুনিও দেইনি, কিন্তু আমি জানি না এটি কোনও কিছুর ইঙ্গিত কিনা।")</f>
        <v>আমি ডিটক্সিফিকেশনের জন্য ঘরে বসেই পদ্ধতি অবলম্বন করতে যাচ্ছি (আমি বুঝতে পারছি, মানুষ সবসময় বলে যে তোমার ক্লিনিকে যাওয়া উচিত), এবং যারা একই ধরণের পদ্ধতি অবলম্বন করেছে তাদের কাছ থেকে পরামর্শ চাই। আর স্পষ্ট করে বলতে চাই: না, আমি AA বা পুনর্বাসনের কথা ভাবব না, তাই যদি এটা এভাবে শুরু হয় তাহলে আমি তোমার প্রতিক্রিয়াও পড়ব না। একটু পটভূমি: প্রায় ১০ বছর ধরে (বয়স: ২৪-৩৪) প্রতিদিন মদ্যপান করছি। শুরুতে আমি রাতে কয়েকটি পানীয় পান করতাম, এখন দিনে এক পিন্ট থেকে দেড় পিন্ট ভদকা পান করি। আমি কখনও ঝাঁকুনি খাইনি এবং হ্যাংওভার এড়াতে সবসময় আমার পানীয় ছড়িয়ে দেই। আমি মাতাল থাকাও পছন্দ করি না, তাই আমি এটি এড়িয়ে চলি। তাছাড়া, আমি যে গুঞ্জন উদ্দীপনা পাই তা উপভোগ করি (প্রায় অনুপ্রেরণার মতো)। আচ্ছা, আমি বুঝতে পেরেছি যে আমার সহনশীলতা এতটাই বেড়ে গেছে যে বিপদের ঘণ্টা বেজে উঠছে। আমি আর মদ্যপান উপভোগ করি না। এটি একটি উপভোগ্য বিনোদনের চেয়ে বরং একটি ক্রাচের মতো মনে হয়। আমি আমার স্ত্রীকে বলেছিলাম যে আমার মনে হয় আমার মদ্যপানের সমস্যা আছে। সে খুব সহায়ক ছিল, আর এখন আমি টেপারিং রুট অথবা কোল্ড টার্কির রুট, দুটোই ভাবছি। ভাগ্যক্রমে, আমার কাছে Xanax এবং Propranolol আছে যা উইথড্রয়াল লক্ষণগুলির চিকিৎসায় সাহায্য করবে। যদি আপনার অন্য কোনও ওষুধ/সাপ্লিমেন্ট সম্পর্কে জানা থাকে, তাহলে দয়া করে আমাকে জানান। টেপারিংয়ের জন্য আমার POV: এটি DT? এবং খিঁচুনির সম্ভাবনা কমাবে কিন্তু এটি একটি ধীর প্রক্রিয়া। কোল্ড টার্কির জন্য আমার POV: এটি দ্রুত হবে কিন্তু DT? এবং খিঁচুনির ঝুঁকি বাড়াবে। আমি কখনও ঝাঁকুনিও দেইনি, কিন্তু আমি জানি না এটি কোনও কিছুর ইঙ্গিত কিনা।</v>
      </c>
    </row>
    <row r="1273" spans="1:3" ht="15" x14ac:dyDescent="0.25">
      <c r="A1273" s="3" t="s">
        <v>1268</v>
      </c>
      <c r="B1273" s="3" t="s">
        <v>997</v>
      </c>
      <c r="C1273" s="4" t="str">
        <f ca="1">IFERROR(__xludf.DUMMYFUNCTION("GOOGLETRANSLATE(A1273, ""auto"", ""bn"")"),"আমি অনেক দিন ধরে প্রচুর পরিমাণে মদ্যপান করছি, অন্তত গত ১০ বছর ধরে, স্বাভাবিক রাতে এক-পঞ্চমাংশের অর্ধেক। আমি নিয়মিত শারীরিক পরীক্ষা করি এবং ঠিকঠাক খাওয়ার চেষ্টা করি। তবে, বছরের পর বছর আমার রক্তের কার্যকারিতা ক্রমশ খারাপ হচ্ছে। এখন আমার রক্তচাপ অনেক বেশি "&amp;"এবং আমার রক্তে পটাশিয়ামের মাত্রাও বেশি। পরিস্থিতি খারাপ হলে আমি আমার ডাক্তার বেজোসকে যে অ্যালকোহল দিয়েছিলেন তা কমিয়ে দিয়েছি। আমার প্রশ্ন হল, কেউ কি এই অভিজ্ঞতার সম্মুখীন হয়েছে এবং তাদের কিডনি ভালো হয়েছে। আশ্চর্যজনকভাবে আমার লিভারের এনজাইমগুলি সীমার "&amp;"মধ্যে রয়েছে।")</f>
        <v>আমি অনেক দিন ধরে প্রচুর পরিমাণে মদ্যপান করছি, অন্তত গত ১০ বছর ধরে, স্বাভাবিক রাতে এক-পঞ্চমাংশের অর্ধেক। আমি নিয়মিত শারীরিক পরীক্ষা করি এবং ঠিকঠাক খাওয়ার চেষ্টা করি। তবে, বছরের পর বছর আমার রক্তের কার্যকারিতা ক্রমশ খারাপ হচ্ছে। এখন আমার রক্তচাপ অনেক বেশি এবং আমার রক্তে পটাশিয়ামের মাত্রাও বেশি। পরিস্থিতি খারাপ হলে আমি আমার ডাক্তার বেজোসকে যে অ্যালকোহল দিয়েছিলেন তা কমিয়ে দিয়েছি। আমার প্রশ্ন হল, কেউ কি এই অভিজ্ঞতার সম্মুখীন হয়েছে এবং তাদের কিডনি ভালো হয়েছে। আশ্চর্যজনকভাবে আমার লিভারের এনজাইমগুলি সীমার মধ্যে রয়েছে।</v>
      </c>
    </row>
    <row r="1274" spans="1:3" ht="15" x14ac:dyDescent="0.25">
      <c r="A1274" s="3" t="s">
        <v>1269</v>
      </c>
      <c r="B1274" s="3" t="s">
        <v>997</v>
      </c>
      <c r="C1274" s="4" t="str">
        <f ca="1">IFERROR(__xludf.DUMMYFUNCTION("GOOGLETRANSLATE(A1274, ""auto"", ""bn"")"),"১ মাস ধরে সুস্থ। আমি মদ্যপান করিনি, সপ্তাহে ৫ দিন জিমে যাচ্ছি, কয়েক সপ্তাহ ধরে মদ্যপানের তাড়নাও অনুভব করিনি, আর আমি আতঙ্কিত। আমার উদ্বেগ মাথা ঘামাচ্ছে কারণ আমার মনে হচ্ছে কিছু একটা ভুল হতে চলেছে। সবসময় ঠিক হওয়ার আগে ভুল হয়ে গেছে? এবার কেন অন্য সময় হ"&amp;"বে? দুই বছর আগে আমার মদ্যপান একটি গুরুতর সমস্যা হয়ে ওঠার পর থেকে আমি পুনরুদ্ধারের জন্য লড়াই করছি এবং তিন সপ্তাহের মধ্যে এটিই আমার স্বেচ্ছায় মদ্যপান ছাড়া সবচেয়ে দীর্ঘ সময়। (অন্যান্য সময় আমি বেশি সময় ধরে মদ্যপান করিনি, কিন্তু তা হয়েছিল কারণ আমার কা"&amp;"ছে টাকা ছিল না এবং/অথবা এটি কেবল উপলব্ধ ছিল না।) কেউ কি এর সাথে সম্পর্কিত হতে পারেন? কেউ কি এই উদ্বেগকে পুনরুত্থান বা কেবল সাধারণ আসন্ন ধ্বংসের চিন্তায় মোকাবেলা করার কোনও উপায় খুঁজে পেয়েছেন?")</f>
        <v>১ মাস ধরে সুস্থ। আমি মদ্যপান করিনি, সপ্তাহে ৫ দিন জিমে যাচ্ছি, কয়েক সপ্তাহ ধরে মদ্যপানের তাড়নাও অনুভব করিনি, আর আমি আতঙ্কিত। আমার উদ্বেগ মাথা ঘামাচ্ছে কারণ আমার মনে হচ্ছে কিছু একটা ভুল হতে চলেছে। সবসময় ঠিক হওয়ার আগে ভুল হয়ে গেছে? এবার কেন অন্য সময় হবে? দুই বছর আগে আমার মদ্যপান একটি গুরুতর সমস্যা হয়ে ওঠার পর থেকে আমি পুনরুদ্ধারের জন্য লড়াই করছি এবং তিন সপ্তাহের মধ্যে এটিই আমার স্বেচ্ছায় মদ্যপান ছাড়া সবচেয়ে দীর্ঘ সময়। (অন্যান্য সময় আমি বেশি সময় ধরে মদ্যপান করিনি, কিন্তু তা হয়েছিল কারণ আমার কাছে টাকা ছিল না এবং/অথবা এটি কেবল উপলব্ধ ছিল না।) কেউ কি এর সাথে সম্পর্কিত হতে পারেন? কেউ কি এই উদ্বেগকে পুনরুত্থান বা কেবল সাধারণ আসন্ন ধ্বংসের চিন্তায় মোকাবেলা করার কোনও উপায় খুঁজে পেয়েছেন?</v>
      </c>
    </row>
    <row r="1275" spans="1:3" ht="15" x14ac:dyDescent="0.25">
      <c r="A1275" s="3" t="s">
        <v>1270</v>
      </c>
      <c r="B1275" s="3" t="s">
        <v>997</v>
      </c>
      <c r="C1275" s="4" t="str">
        <f ca="1">IFERROR(__xludf.DUMMYFUNCTION("GOOGLETRANSLATE(A1275, ""auto"", ""bn"")"),"আপনার দেওয়া যেকোনো নির্দেশনা পেলে আমি সত্যিই কৃতজ্ঞ থাকবো। আমার বয়স ৩০-এর মাঝামাঝি এবং বেশ কয়েক বছর ধরে মদ্যপানের সমস্যায় ভুগছি। কয়েক মাস আগে, আমার মস্তিষ্কে একটা জিনিস এসেছিল এবং প্রায় তিন মাস ধরে নিজেকে সুস্থ রাখার অনুপ্রেরণা জুগিয়েছিল। আমার মনে হয় 'হা"&amp;"নিমুন' পর্বে থাকাকালীন আমি হয়তো খারাপ অভ্যাসে ফিরে যাওয়ার ঝুঁকিকে অবমূল্যায়ন করেছিলাম। দুর্ভাগ্যবশত, তিন সপ্তাহ আগে আমি গাড়ি থেকে পড়ে গিয়েছিলাম এবং আমার কি সুস্থতার মাথায় ফিরে যেতে সমস্যা হচ্ছে - ধুর, যখন আমি ভেবেছিলাম যে আমি একটা স্থায়ী পরিবর্তন এনেছি,"&amp;" তখন এটা সত্যিই অসাধারণ ছিল! আমি নিশ্চিত যে সুস্থতার পথে এই ধরণের জিনিসই উপযুক্ত, আমি ঠিক জানি না কোথা থেকে যাব এবং সুস্থতার প্রতি আমার প্রতিশ্রুতি কীভাবে ফিরে পাব।")</f>
        <v>আপনার দেওয়া যেকোনো নির্দেশনা পেলে আমি সত্যিই কৃতজ্ঞ থাকবো। আমার বয়স ৩০-এর মাঝামাঝি এবং বেশ কয়েক বছর ধরে মদ্যপানের সমস্যায় ভুগছি। কয়েক মাস আগে, আমার মস্তিষ্কে একটা জিনিস এসেছিল এবং প্রায় তিন মাস ধরে নিজেকে সুস্থ রাখার অনুপ্রেরণা জুগিয়েছিল। আমার মনে হয় 'হানিমুন' পর্বে থাকাকালীন আমি হয়তো খারাপ অভ্যাসে ফিরে যাওয়ার ঝুঁকিকে অবমূল্যায়ন করেছিলাম। দুর্ভাগ্যবশত, তিন সপ্তাহ আগে আমি গাড়ি থেকে পড়ে গিয়েছিলাম এবং আমার কি সুস্থতার মাথায় ফিরে যেতে সমস্যা হচ্ছে - ধুর, যখন আমি ভেবেছিলাম যে আমি একটা স্থায়ী পরিবর্তন এনেছি, তখন এটা সত্যিই অসাধারণ ছিল! আমি নিশ্চিত যে সুস্থতার পথে এই ধরণের জিনিসই উপযুক্ত, আমি ঠিক জানি না কোথা থেকে যাব এবং সুস্থতার প্রতি আমার প্রতিশ্রুতি কীভাবে ফিরে পাব।</v>
      </c>
    </row>
    <row r="1276" spans="1:3" ht="15" x14ac:dyDescent="0.25">
      <c r="A1276" s="3" t="s">
        <v>1271</v>
      </c>
      <c r="B1276" s="3" t="s">
        <v>997</v>
      </c>
      <c r="C1276" s="4" t="str">
        <f ca="1">IFERROR(__xludf.DUMMYFUNCTION("GOOGLETRANSLATE(A1276, ""auto"", ""bn"")"),"তাই আমি একটা ঝামেলায় পড়ে গেছি। অবশেষে আমাকে থামতে হল। আমি বেশ জোরে মদ পান করেছি। শেষ মদ পান করার পর থেকে প্রায় ১৪ ঘন্টা হয়ে গেছে। আর উদ্বেগটা আসল। ভ্যালিয়াম খাওয়ায় আমার ঘুম আসছে না। কিন্তু উদ্বেগ এখনও আছে। আর কতদিন এই পরিস্থিতির মধ্য দিয়ে যেতে হবে?")</f>
        <v>তাই আমি একটা ঝামেলায় পড়ে গেছি। অবশেষে আমাকে থামতে হল। আমি বেশ জোরে মদ পান করেছি। শেষ মদ পান করার পর থেকে প্রায় ১৪ ঘন্টা হয়ে গেছে। আর উদ্বেগটা আসল। ভ্যালিয়াম খাওয়ায় আমার ঘুম আসছে না। কিন্তু উদ্বেগ এখনও আছে। আর কতদিন এই পরিস্থিতির মধ্য দিয়ে যেতে হবে?</v>
      </c>
    </row>
    <row r="1277" spans="1:3" ht="15" x14ac:dyDescent="0.25">
      <c r="A1277" s="3" t="s">
        <v>1272</v>
      </c>
      <c r="B1277" s="3" t="s">
        <v>997</v>
      </c>
      <c r="C1277" s="4" t="str">
        <f ca="1">IFERROR(__xludf.DUMMYFUNCTION("GOOGLETRANSLATE(A1277, ""auto"", ""bn"")"),"আমি ৪০ বছর ধরে মদ্যপান করছিলাম, শেষ ১০ বছর ধরে বেশ জোরেশোরে (অর্থাৎ, রাতে ২-৫ বোতল ওয়াইন)। আমাদের অনেকের মতো, আমিও বেশিরভাগ মদ্যপান লুকিয়ে রাখছিলাম এবং AWS-এর চারপাশের সমস্ত ভৌতিক গল্পের কারণে থামতে ভয় পেতাম। $$-এর কারণে ইনপেশেন্ট ডিটক্স এবং পুনর্বাসন "&amp;"টেবিলের বাইরে ছিল, কিন্তু আমি একটি বহির্বিভাগীয় ক্লিনিক খুঁজে পেয়েছিলাম যেখানে একটি ইনটেক অ্যাপ, দৈনিক ৫-১৫ মিনিট চেক-ইন প্রয়োজন ছিল এবং প্রায় ৫০০ ডলারে বেজোস (লিব্রিয়াম বা ভ্যালিয়াম) এর একটি রাউন্ড সরবরাহ করা হয়েছিল। আপনি সম্ভবত একজন সহানুভূতিশীল "&amp;"এমডি দিয়েও এটি করতে পারেন। তাই, আমি প্রস্তুত হয়ে গেলাম। ওষুধের দোকান থেকে একটি রক্তচাপের কাফ এবং একটি পালস/অক্সিজেন মিটার কিনেছিলাম। আমার স্ত্রীকে বলেছিলাম যে আমি খুব বেশি মদ্যপান করছি এবং থামছি এবং তাকে ""আমার উপর নজর রাখতে?"" কয়েক দিন ধরে জিজ্ঞাসা কর"&amp;"েছি। কিন্তু আমি সমস্ত সম্ভাব্য ভৌতিক গল্পের কথা বলিনি। সে রোমাঞ্চিত ছিল। শূন্য ঘন্টা: আমার সেরা ওয়াইনের তিন বোতল বাকি। আমার সংগ্রহের বাকি অংশটি দিয়েছিলাম")</f>
        <v>আমি ৪০ বছর ধরে মদ্যপান করছিলাম, শেষ ১০ বছর ধরে বেশ জোরেশোরে (অর্থাৎ, রাতে ২-৫ বোতল ওয়াইন)। আমাদের অনেকের মতো, আমিও বেশিরভাগ মদ্যপান লুকিয়ে রাখছিলাম এবং AWS-এর চারপাশের সমস্ত ভৌতিক গল্পের কারণে থামতে ভয় পেতাম। $$-এর কারণে ইনপেশেন্ট ডিটক্স এবং পুনর্বাসন টেবিলের বাইরে ছিল, কিন্তু আমি একটি বহির্বিভাগীয় ক্লিনিক খুঁজে পেয়েছিলাম যেখানে একটি ইনটেক অ্যাপ, দৈনিক ৫-১৫ মিনিট চেক-ইন প্রয়োজন ছিল এবং প্রায় ৫০০ ডলারে বেজোস (লিব্রিয়াম বা ভ্যালিয়াম) এর একটি রাউন্ড সরবরাহ করা হয়েছিল। আপনি সম্ভবত একজন সহানুভূতিশীল এমডি দিয়েও এটি করতে পারেন। তাই, আমি প্রস্তুত হয়ে গেলাম। ওষুধের দোকান থেকে একটি রক্তচাপের কাফ এবং একটি পালস/অক্সিজেন মিটার কিনেছিলাম। আমার স্ত্রীকে বলেছিলাম যে আমি খুব বেশি মদ্যপান করছি এবং থামছি এবং তাকে "আমার উপর নজর রাখতে?" কয়েক দিন ধরে জিজ্ঞাসা করেছি। কিন্তু আমি সমস্ত সম্ভাব্য ভৌতিক গল্পের কথা বলিনি। সে রোমাঞ্চিত ছিল। শূন্য ঘন্টা: আমার সেরা ওয়াইনের তিন বোতল বাকি। আমার সংগ্রহের বাকি অংশটি দিয়েছিলাম</v>
      </c>
    </row>
    <row r="1278" spans="1:3" ht="15" x14ac:dyDescent="0.25">
      <c r="A1278" s="3" t="s">
        <v>1273</v>
      </c>
      <c r="B1278" s="3" t="s">
        <v>997</v>
      </c>
      <c r="C1278" s="4" t="str">
        <f ca="1">IFERROR(__xludf.DUMMYFUNCTION("GOOGLETRANSLATE(A1278, ""auto"", ""bn"")"),"এটা সত্যি, আমার বয়স মাত্র ১৬, কয়েক মাস আগে আমি আত্মহত্যার চেষ্টা করেছিলাম, কিন্তু কেউ আমাকে এখনও সাহায্য করেনি এবং আমার মনে হয় না কেউ এটা করবে কারণ আমার বন্ধু নেই এবং বেশিরভাগ থেরাপি এবং মনোবিজ্ঞানী কেবল টাকা চান এবং কেবল তাদের কাজ করছেন। আর আমার মনে হয় ন"&amp;"া যে আমি যখনই সেখানে যাই তখন আমার নাম বলতে হয় এমন একজন ব্যক্তি আসলে আমাকে সাহায্য করতে পারে, এটি হল ব্যথা যা আমি কথায় বর্ণনা করেছি। আত্মহত্যার চেষ্টার পর আমি যা করি তা হল মদ্যপান এবং সিগারেট খাওয়া, এটিই একমাত্র উপায় যা দিয়ে আমি এই সমস্ত যন্ত্রণা থেকে "&amp;"মুক্তি পেতে পেরেছি, কিন্তু আজকের দিনটি ভিন্ন ছিল... আমি কখনও খুব বেশি মদ্যপান করি না কিন্তু আজ আমি এমন এক পর্যায়ে পৌঁছেছি যা সম্ভবত আমি আগে কখনও পৌঁছাতে পারিনি, আমার ভিতরে যা ছিল তা আমি বমি করছিলাম, আমি কেবল বেশি কিছু করিনি কারণ আমার পেট খালি ছিল। আমার প"&amp;"্রায় কিছুই মনে নেই তবে আমি কেবল এটুকু বলতে পারি যে অ্যালকোহল সবচেয়ে খারাপ, আমি এই সমাজকে ঘৃণা করি যেখানে মাশরুম এবং আগাছা নিষিদ্ধ কিন্তু অ্যালকোহল এবং সিগারেট ভালো এবং আপনার চারপাশে বিক্রি করা ঠিক। আমি এই জীবন ভুলে গিয়ে হাসতে মদ্যপান করি কিন্তু যখন ঘুম"&amp;" থেকে উঠে মনে পড়ে যে একজন লোক যার নাম আমি জানি না, সে আমাকে বাড়িতে নিয়ে এসেছিল এবং আমার বিছানা এবং শোবার ঘরে বমি বমি ভাব শুরু হয়। আমার কেবল কাঁদতে ইচ্ছে করে। তুমি যদি বাবা বা মা হওয়ার কথা ভাবো, তাহলে এটা করার আগে দুবার ভাবো, তোমার সন্তান আমার মতো কেউ"&amp;" হতে পারে।")</f>
        <v>এটা সত্যি, আমার বয়স মাত্র ১৬, কয়েক মাস আগে আমি আত্মহত্যার চেষ্টা করেছিলাম, কিন্তু কেউ আমাকে এখনও সাহায্য করেনি এবং আমার মনে হয় না কেউ এটা করবে কারণ আমার বন্ধু নেই এবং বেশিরভাগ থেরাপি এবং মনোবিজ্ঞানী কেবল টাকা চান এবং কেবল তাদের কাজ করছেন। আর আমার মনে হয় না যে আমি যখনই সেখানে যাই তখন আমার নাম বলতে হয় এমন একজন ব্যক্তি আসলে আমাকে সাহায্য করতে পারে, এটি হল ব্যথা যা আমি কথায় বর্ণনা করেছি। আত্মহত্যার চেষ্টার পর আমি যা করি তা হল মদ্যপান এবং সিগারেট খাওয়া, এটিই একমাত্র উপায় যা দিয়ে আমি এই সমস্ত যন্ত্রণা থেকে মুক্তি পেতে পেরেছি, কিন্তু আজকের দিনটি ভিন্ন ছিল... আমি কখনও খুব বেশি মদ্যপান করি না কিন্তু আজ আমি এমন এক পর্যায়ে পৌঁছেছি যা সম্ভবত আমি আগে কখনও পৌঁছাতে পারিনি, আমার ভিতরে যা ছিল তা আমি বমি করছিলাম, আমি কেবল বেশি কিছু করিনি কারণ আমার পেট খালি ছিল। আমার প্রায় কিছুই মনে নেই তবে আমি কেবল এটুকু বলতে পারি যে অ্যালকোহল সবচেয়ে খারাপ, আমি এই সমাজকে ঘৃণা করি যেখানে মাশরুম এবং আগাছা নিষিদ্ধ কিন্তু অ্যালকোহল এবং সিগারেট ভালো এবং আপনার চারপাশে বিক্রি করা ঠিক। আমি এই জীবন ভুলে গিয়ে হাসতে মদ্যপান করি কিন্তু যখন ঘুম থেকে উঠে মনে পড়ে যে একজন লোক যার নাম আমি জানি না, সে আমাকে বাড়িতে নিয়ে এসেছিল এবং আমার বিছানা এবং শোবার ঘরে বমি বমি ভাব শুরু হয়। আমার কেবল কাঁদতে ইচ্ছে করে। তুমি যদি বাবা বা মা হওয়ার কথা ভাবো, তাহলে এটা করার আগে দুবার ভাবো, তোমার সন্তান আমার মতো কেউ হতে পারে।</v>
      </c>
    </row>
    <row r="1279" spans="1:3" ht="15" x14ac:dyDescent="0.25">
      <c r="A1279" s="3" t="s">
        <v>1274</v>
      </c>
      <c r="B1279" s="3" t="s">
        <v>997</v>
      </c>
      <c r="C1279" s="4" t="str">
        <f ca="1">IFERROR(__xludf.DUMMYFUNCTION("GOOGLETRANSLATE(A1279, ""auto"", ""bn"")"),"তাই আমার লিভার ফাংশন প্যানেল পরীক্ষা করানো হয় এবং লেভেল খারাপ ছিল কিন্তু তেমন খারাপ ছিল না। সামগ্রিকভাবে বিলিরুবিন ছিল ১.৫, AST ৬৭ এবং ALT ৮৬। পরের দিন আমি হাসপাতালে যাই, এবং তারা আমার লিভার পুনরায় পরীক্ষা করে আল্ট্রাসাউন্ড করে। আল্ট্রাসাউন্ডে আমার ধারণা"&amp;" খুব কম দাগের টিস্যু এবং ফ্যাটি লিভার দেখা গেছে। তবে, পরের দিন আমার লিভার ফাংশন টেস্টে অনেক বেশি মাত্রা ছিল। বিল ছিল ২.১, ALT ছিল ১২২ এবং AST ছিল ১০০। এটা আমাকে সত্যিই ভয় পাইয়ে দিয়েছিল। এখন আরও পরীক্ষা করার জন্য আমাকে একজন GI বিশেষজ্ঞের কাছে যেতে হবে। এটা"&amp;" অদ্ভুত কারণ আমি আমার মদ্যপান কমিয়ে ফেলেছি (বর্তমানে প্রত্যাহারের কারণে কমছে) এবং প্রতিদিন আমি একটু ভালো বোধ করি। কম পান করলে কি লিভারের এনজাইম বেড়ে যায়? লিভারের সাময়িক পুনরুদ্ধারের মতো? আমি সত্যিই আশা করি এটি এমন কিছু যা থেকে আমি ফিরে আসতে পারব। আমি স"&amp;"ত্যিই এমন কারো কাছ থেকে কিছু ইনপুট নিতে পারি যিনি একই রকম কিছুর মধ্য দিয়ে গেছেন।")</f>
        <v>তাই আমার লিভার ফাংশন প্যানেল পরীক্ষা করানো হয় এবং লেভেল খারাপ ছিল কিন্তু তেমন খারাপ ছিল না। সামগ্রিকভাবে বিলিরুবিন ছিল ১.৫, AST ৬৭ এবং ALT ৮৬। পরের দিন আমি হাসপাতালে যাই, এবং তারা আমার লিভার পুনরায় পরীক্ষা করে আল্ট্রাসাউন্ড করে। আল্ট্রাসাউন্ডে আমার ধারণা খুব কম দাগের টিস্যু এবং ফ্যাটি লিভার দেখা গেছে। তবে, পরের দিন আমার লিভার ফাংশন টেস্টে অনেক বেশি মাত্রা ছিল। বিল ছিল ২.১, ALT ছিল ১২২ এবং AST ছিল ১০০। এটা আমাকে সত্যিই ভয় পাইয়ে দিয়েছিল। এখন আরও পরীক্ষা করার জন্য আমাকে একজন GI বিশেষজ্ঞের কাছে যেতে হবে। এটা অদ্ভুত কারণ আমি আমার মদ্যপান কমিয়ে ফেলেছি (বর্তমানে প্রত্যাহারের কারণে কমছে) এবং প্রতিদিন আমি একটু ভালো বোধ করি। কম পান করলে কি লিভারের এনজাইম বেড়ে যায়? লিভারের সাময়িক পুনরুদ্ধারের মতো? আমি সত্যিই আশা করি এটি এমন কিছু যা থেকে আমি ফিরে আসতে পারব। আমি সত্যিই এমন কারো কাছ থেকে কিছু ইনপুট নিতে পারি যিনি একই রকম কিছুর মধ্য দিয়ে গেছেন।</v>
      </c>
    </row>
    <row r="1280" spans="1:3" ht="15" x14ac:dyDescent="0.25">
      <c r="A1280" s="3" t="s">
        <v>1275</v>
      </c>
      <c r="B1280" s="3" t="s">
        <v>997</v>
      </c>
      <c r="C1280" s="4" t="str">
        <f ca="1">IFERROR(__xludf.DUMMYFUNCTION("GOOGLETRANSLATE(A1280, ""auto"", ""bn"")"),"আমি প্রায় দুই সপ্তাহ ধরে সুস্থ আছি এবং সবকিছু ঠিকঠাক চলছে। আমার একমাত্র সমস্যা হল ঘুমের অভাব। আমি মাঝেমধ্যে ঘুম থেকে উঠি এবং আবার ঘুমাতে সমস্যা হয়। ঘুমের সুবিধার্থে আমি CBD গামি এবং মাঝে মাঝে Advil pm খাচ্ছি, কিন্তু এখনও আমি ঘন ঘন ঘুম থেকে উঠি।")</f>
        <v>আমি প্রায় দুই সপ্তাহ ধরে সুস্থ আছি এবং সবকিছু ঠিকঠাক চলছে। আমার একমাত্র সমস্যা হল ঘুমের অভাব। আমি মাঝেমধ্যে ঘুম থেকে উঠি এবং আবার ঘুমাতে সমস্যা হয়। ঘুমের সুবিধার্থে আমি CBD গামি এবং মাঝে মাঝে Advil pm খাচ্ছি, কিন্তু এখনও আমি ঘন ঘন ঘুম থেকে উঠি।</v>
      </c>
    </row>
    <row r="1281" spans="1:3" ht="15" x14ac:dyDescent="0.25">
      <c r="A1281" s="3" t="s">
        <v>1276</v>
      </c>
      <c r="B1281" s="3" t="s">
        <v>997</v>
      </c>
      <c r="C1281" s="4" t="str">
        <f ca="1">IFERROR(__xludf.DUMMYFUNCTION("GOOGLETRANSLATE(A1281, ""auto"", ""bn"")"),"আমি নিশ্চিত আমার (২৮ মিলিয়ন) স্ত্রীর (২৬ ফারেনহাইট) মদ্যপানের সমস্যা আছে। সে প্রায় প্রতি রাতেই মদ্যপান করে এবং অনেক সময় আমি যখন কাজ থেকে বাড়ি আসি তখন সে মাতাল থাকে এবং ভান করে যে সে মাতাল নয়। আমি যখন গোসল করি তখন সে প্রায়শই চুপিচুপি মদ্যপান করে। আমা"&amp;"দের এই বিষয়ে বেশ কয়েকবার কথা হয়েছে এবং কিছু তর্ক হয়েছে, কিন্তু এটি কখনও বদলায় না। আমি জানি না কী করব বা কীভাবে এটি মোকাবেলা করব।")</f>
        <v>আমি নিশ্চিত আমার (২৮ মিলিয়ন) স্ত্রীর (২৬ ফারেনহাইট) মদ্যপানের সমস্যা আছে। সে প্রায় প্রতি রাতেই মদ্যপান করে এবং অনেক সময় আমি যখন কাজ থেকে বাড়ি আসি তখন সে মাতাল থাকে এবং ভান করে যে সে মাতাল নয়। আমি যখন গোসল করি তখন সে প্রায়শই চুপিচুপি মদ্যপান করে। আমাদের এই বিষয়ে বেশ কয়েকবার কথা হয়েছে এবং কিছু তর্ক হয়েছে, কিন্তু এটি কখনও বদলায় না। আমি জানি না কী করব বা কীভাবে এটি মোকাবেলা করব।</v>
      </c>
    </row>
    <row r="1282" spans="1:3" ht="15" x14ac:dyDescent="0.25">
      <c r="A1282" s="3" t="s">
        <v>1277</v>
      </c>
      <c r="B1282" s="3" t="s">
        <v>997</v>
      </c>
      <c r="C1282" s="4" t="str">
        <f ca="1">IFERROR(__xludf.DUMMYFUNCTION("GOOGLETRANSLATE(A1282, ""auto"", ""bn"")"),"আমি কোয়ারেন্টাইনে আছি এবং একা থাকি। আমার আগে অ্যালকোহলের সমস্যা ছিল, যা আমি ভেবেছিলাম সমাধান হয়ে যাবে, কিন্তু এখন এটা আমাকে সত্যিই প্রলুব্ধ করে। যদি আমি মদ্যপান শুরু করি, আমি জানি আমি সম্ভবত পুরো এক সপ্তাহ ধরে প্রতিদিন এটি করব। যদি আপনার কিছু অবশিষ্ট থা"&amp;"কে তবে আমি কিছু সাহায্য নিতে পারি। সম্পাদনা: ধন্যবাদ বন্ধুরা। আমি ভালো বোধ করছি। দুর্বলতার মুহূর্ত এবং এই সব। আমি কিছু মাইনক্রাফ্ট খেলেছি, বিশ্রাম নিয়েছি এবং এখন আমি ভালো বোধ করছি।")</f>
        <v>আমি কোয়ারেন্টাইনে আছি এবং একা থাকি। আমার আগে অ্যালকোহলের সমস্যা ছিল, যা আমি ভেবেছিলাম সমাধান হয়ে যাবে, কিন্তু এখন এটা আমাকে সত্যিই প্রলুব্ধ করে। যদি আমি মদ্যপান শুরু করি, আমি জানি আমি সম্ভবত পুরো এক সপ্তাহ ধরে প্রতিদিন এটি করব। যদি আপনার কিছু অবশিষ্ট থাকে তবে আমি কিছু সাহায্য নিতে পারি। সম্পাদনা: ধন্যবাদ বন্ধুরা। আমি ভালো বোধ করছি। দুর্বলতার মুহূর্ত এবং এই সব। আমি কিছু মাইনক্রাফ্ট খেলেছি, বিশ্রাম নিয়েছি এবং এখন আমি ভালো বোধ করছি।</v>
      </c>
    </row>
    <row r="1283" spans="1:3" ht="15" x14ac:dyDescent="0.25">
      <c r="A1283" s="3" t="s">
        <v>1278</v>
      </c>
      <c r="B1283" s="3" t="s">
        <v>997</v>
      </c>
      <c r="C1283" s="4" t="str">
        <f ca="1">IFERROR(__xludf.DUMMYFUNCTION("GOOGLETRANSLATE(A1283, ""auto"", ""bn"")"),"তার বয়স ৩১ বছর এবং এখন সে নিয়মিত মাতাল হয়ে অজ্ঞান হয়ে যায়। সে তার বান্ধবীর সাথে থাকে যারও মদ্যপানের সমস্যা আছে, এবং তারা প্রতি সপ্তাহে ঝগড়া করে: একে অপরের বিরুদ্ধে পুলিশ ডাকা হয়। এখন তার বড় ধরনের স্বাস্থ্য সমস্যা হচ্ছে, তাকে চাকরিচ্যুত করা হতে পারে এবং সে"&amp;" প্রায় একজন প্যাথলজিকাল মিথ্যাবাদী হয়ে উঠেছে। আমার মনে হয় তার পেশাদার সাহায্যের প্রয়োজন হবে, কিন্তু আমি আসলে বুঝতে পারছি না কীভাবে বা কী করতে হবে? সে কারো কথা শোনে না, সে এমন আচরণ করে যেন সে সুস্থ হয়ে উঠবে, কিন্তু তা কখনোই সফল হয় না।")</f>
        <v>তার বয়স ৩১ বছর এবং এখন সে নিয়মিত মাতাল হয়ে অজ্ঞান হয়ে যায়। সে তার বান্ধবীর সাথে থাকে যারও মদ্যপানের সমস্যা আছে, এবং তারা প্রতি সপ্তাহে ঝগড়া করে: একে অপরের বিরুদ্ধে পুলিশ ডাকা হয়। এখন তার বড় ধরনের স্বাস্থ্য সমস্যা হচ্ছে, তাকে চাকরিচ্যুত করা হতে পারে এবং সে প্রায় একজন প্যাথলজিকাল মিথ্যাবাদী হয়ে উঠেছে। আমার মনে হয় তার পেশাদার সাহায্যের প্রয়োজন হবে, কিন্তু আমি আসলে বুঝতে পারছি না কীভাবে বা কী করতে হবে? সে কারো কথা শোনে না, সে এমন আচরণ করে যেন সে সুস্থ হয়ে উঠবে, কিন্তু তা কখনোই সফল হয় না।</v>
      </c>
    </row>
    <row r="1284" spans="1:3" ht="15" x14ac:dyDescent="0.25">
      <c r="A1284" s="3" t="s">
        <v>1279</v>
      </c>
      <c r="B1284" s="3" t="s">
        <v>997</v>
      </c>
      <c r="C1284" s="4" t="str">
        <f ca="1">IFERROR(__xludf.DUMMYFUNCTION("GOOGLETRANSLATE(A1284, ""auto"", ""bn"")"),"আমি আমার বয়ফ্রেন্ডের সাথে যোগাযোগ করেছিলাম এই সম্ভাবনা নিয়ে যে সে অতিরিক্ত মদ্যপান করে এবং অ্যালকোহল ব্যবহারের ব্যাধির দিকে এগিয়ে যাচ্ছে। তার মদের প্রতি কিছু বাধ্যবাধকতা আছে যা সে মেনে নেয়, যদিও এর পরিণতি সে মেনে নেয়। মাতাল অবস্থায় সে গালিগালাজ এবং "&amp;"হতাশাগ্রস্ত হয়ে পড়ে। তাই সে নিজেকে আলাদা করার চেষ্টা করে। সে একবারে প্রচুর পরিমাণে মদ্যপান করে কিন্তু মাঝে মাঝে কিছু সময় ধরে চলতে পারে। সে মাদকাসক্তও যার নাম সে বলতে চায় না। তাছাড়া, সে এখন আগের চেয়ে অনেক আলাদা ব্যক্তি। তাছাড়া, সে এই ব্যাধিটি আরও বে"&amp;"শি করে খতিয়ে দেখে বলে যে তার মনে হয় তার ইতিমধ্যেই এটি আছে। কারণ সে ১৩ বছর বয়সে মদ্যপান শুরু করেছিল। এবং অতীতে সে সপ্তাহে নেশাগ্রস্ত হয়ে পড়ত এবং মাসে কয়েকবার অ্যালকোহল বিষক্রিয়ার পর্যায়ে পৌঁছে যেত। কিন্তু সবসময় অতিরিক্ত মদ্যপানে। সে দিন দিন এটি ছা"&amp;"ড়াই থাকতে পারত। তাই সম্প্রতি এটি পুনরায় রোগের পুনরাবৃত্তির দিকে পরিচালিত করে। সে আজ তার থেরাপিস্টের সাথে কথা বলবে। কিন্তু কারো কি তার জন্য পরামর্শ আছে? অথবা আমি কীভাবে তার কাছে আসতে পারি এবং তার জন্য তাদের হতে পারি? আমি ইতিমধ্যেই তাকে বলেছি, তার কখনও এম"&amp;"ন বাধ্যবাধকতা আছে যা সে আমাকে টেক্সট করতে পারে। আমি তাকে লজ্জা দেব না বা তার উপর রাগ করব না। আসক্ত হওয়া তার দোষ নয়।")</f>
        <v>আমি আমার বয়ফ্রেন্ডের সাথে যোগাযোগ করেছিলাম এই সম্ভাবনা নিয়ে যে সে অতিরিক্ত মদ্যপান করে এবং অ্যালকোহল ব্যবহারের ব্যাধির দিকে এগিয়ে যাচ্ছে। তার মদের প্রতি কিছু বাধ্যবাধকতা আছে যা সে মেনে নেয়, যদিও এর পরিণতি সে মেনে নেয়। মাতাল অবস্থায় সে গালিগালাজ এবং হতাশাগ্রস্ত হয়ে পড়ে। তাই সে নিজেকে আলাদা করার চেষ্টা করে। সে একবারে প্রচুর পরিমাণে মদ্যপান করে কিন্তু মাঝে মাঝে কিছু সময় ধরে চলতে পারে। সে মাদকাসক্তও যার নাম সে বলতে চায় না। তাছাড়া, সে এখন আগের চেয়ে অনেক আলাদা ব্যক্তি। তাছাড়া, সে এই ব্যাধিটি আরও বেশি করে খতিয়ে দেখে বলে যে তার মনে হয় তার ইতিমধ্যেই এটি আছে। কারণ সে ১৩ বছর বয়সে মদ্যপান শুরু করেছিল। এবং অতীতে সে সপ্তাহে নেশাগ্রস্ত হয়ে পড়ত এবং মাসে কয়েকবার অ্যালকোহল বিষক্রিয়ার পর্যায়ে পৌঁছে যেত। কিন্তু সবসময় অতিরিক্ত মদ্যপানে। সে দিন দিন এটি ছাড়াই থাকতে পারত। তাই সম্প্রতি এটি পুনরায় রোগের পুনরাবৃত্তির দিকে পরিচালিত করে। সে আজ তার থেরাপিস্টের সাথে কথা বলবে। কিন্তু কারো কি তার জন্য পরামর্শ আছে? অথবা আমি কীভাবে তার কাছে আসতে পারি এবং তার জন্য তাদের হতে পারি? আমি ইতিমধ্যেই তাকে বলেছি, তার কখনও এমন বাধ্যবাধকতা আছে যা সে আমাকে টেক্সট করতে পারে। আমি তাকে লজ্জা দেব না বা তার উপর রাগ করব না। আসক্ত হওয়া তার দোষ নয়।</v>
      </c>
    </row>
    <row r="1285" spans="1:3" ht="15" x14ac:dyDescent="0.25">
      <c r="A1285" s="3" t="s">
        <v>1280</v>
      </c>
      <c r="B1285" s="3" t="s">
        <v>997</v>
      </c>
      <c r="C1285" s="4" t="str">
        <f ca="1">IFERROR(__xludf.DUMMYFUNCTION("GOOGLETRANSLATE(A1285, ""auto"", ""bn"")"),"গতবার যখন আমার বমি কালো হয়ে গিয়েছিল, তখন আমার পেট থেকে রক্তপাত হচ্ছিল। আজ সকালে সবকিছু পরিষ্কার ছিল। আমার খারাপ লাগছে এবং এই কারণেই আমি মদ্যপান ছেড়ে দিয়েছি। আমার কোনও আত্মনিয়ন্ত্রণ নেই। এখন আমি এই মাসে দুবার মদ্যপান করেছি, গতবার প্রায় সাড়ে ৯ মাস ধর"&amp;"ে আমার দীর্ঘতম সংযম শেষ করেছি। যতবার আমি খুব বেশি মদ্যপান করি, ততক্ষণ পর্যন্ত আর মদ্যপান করতে চাই না যতক্ষণ না কয়েক দিন চলে যায়। কিন্তু আমি সবসময় অতিরিক্ত মদ্যপান করি। আজ আমার জন্য শুভকামনা, আমি প্রায় দুই ঘন্টা ধরে বমি করছি।")</f>
        <v>গতবার যখন আমার বমি কালো হয়ে গিয়েছিল, তখন আমার পেট থেকে রক্তপাত হচ্ছিল। আজ সকালে সবকিছু পরিষ্কার ছিল। আমার খারাপ লাগছে এবং এই কারণেই আমি মদ্যপান ছেড়ে দিয়েছি। আমার কোনও আত্মনিয়ন্ত্রণ নেই। এখন আমি এই মাসে দুবার মদ্যপান করেছি, গতবার প্রায় সাড়ে ৯ মাস ধরে আমার দীর্ঘতম সংযম শেষ করেছি। যতবার আমি খুব বেশি মদ্যপান করি, ততক্ষণ পর্যন্ত আর মদ্যপান করতে চাই না যতক্ষণ না কয়েক দিন চলে যায়। কিন্তু আমি সবসময় অতিরিক্ত মদ্যপান করি। আজ আমার জন্য শুভকামনা, আমি প্রায় দুই ঘন্টা ধরে বমি করছি।</v>
      </c>
    </row>
    <row r="1286" spans="1:3" ht="15" x14ac:dyDescent="0.25">
      <c r="A1286" s="3" t="s">
        <v>1281</v>
      </c>
      <c r="B1286" s="3" t="s">
        <v>997</v>
      </c>
      <c r="C1286" s="4" t="str">
        <f ca="1">IFERROR(__xludf.DUMMYFUNCTION("GOOGLETRANSLATE(A1286, ""auto"", ""bn"")"),"আমার বয়স বর্তমানে ১৮ বছর। (যদিও আমার বয়স তখন মদ্যপানের বৈধ বয়স)। শুরু করার আগে এটা উল্লেখ করা গুরুত্বপূর্ণ যে আমি বিষণ্ণতা বা অন্য কোনও কিছুর সাথে লড়াই করছি না। আমি অ্যালকোহলের অনুভূতি পছন্দ করতে শুরু করেছি। আমি খুব বেশি মদ্যপান করি না কিন্তু মাঝে মাঝে"&amp;" সন্ধ্যায় একা মদ্যপান করি, যেমন শুধু বিয়ার বা ওয়াইন নয়, ফোর্থ প্রুফ ভদকার মতো মাতাল হওয়া। এবং আমি কেবল ভালো লাগার জন্য পান করতে চাই। আসক্তি কোনও ধরণের পরিবারে চলে না। উল্লেখ করা গুরুত্বপূর্ণ। আমার পূর্বের পরিবারে যাদের আমি চিনি তাদের কেউই অ্যালকোহল, ম"&amp;"াদক বা এই জাতীয় কোনও কিছুতে আসক্ত ছিল না। আমি এমন কারো কাছ থেকে জানতে চাই যার অ্যালকোহলের আসক্তি আছে বা কাটিয়ে উঠেছে, এগুলো কি প্রাথমিক লক্ষণ নাকি কিশোর বয়সে স্বাভাবিক অভ্যাস?")</f>
        <v>আমার বয়স বর্তমানে ১৮ বছর। (যদিও আমার বয়স তখন মদ্যপানের বৈধ বয়স)। শুরু করার আগে এটা উল্লেখ করা গুরুত্বপূর্ণ যে আমি বিষণ্ণতা বা অন্য কোনও কিছুর সাথে লড়াই করছি না। আমি অ্যালকোহলের অনুভূতি পছন্দ করতে শুরু করেছি। আমি খুব বেশি মদ্যপান করি না কিন্তু মাঝে মাঝে সন্ধ্যায় একা মদ্যপান করি, যেমন শুধু বিয়ার বা ওয়াইন নয়, ফোর্থ প্রুফ ভদকার মতো মাতাল হওয়া। এবং আমি কেবল ভালো লাগার জন্য পান করতে চাই। আসক্তি কোনও ধরণের পরিবারে চলে না। উল্লেখ করা গুরুত্বপূর্ণ। আমার পূর্বের পরিবারে যাদের আমি চিনি তাদের কেউই অ্যালকোহল, মাদক বা এই জাতীয় কোনও কিছুতে আসক্ত ছিল না। আমি এমন কারো কাছ থেকে জানতে চাই যার অ্যালকোহলের আসক্তি আছে বা কাটিয়ে উঠেছে, এগুলো কি প্রাথমিক লক্ষণ নাকি কিশোর বয়সে স্বাভাবিক অভ্যাস?</v>
      </c>
    </row>
    <row r="1287" spans="1:3" ht="15" x14ac:dyDescent="0.25">
      <c r="A1287" s="3" t="s">
        <v>1282</v>
      </c>
      <c r="B1287" s="3" t="s">
        <v>997</v>
      </c>
      <c r="C1287" s="4" t="str">
        <f ca="1">IFERROR(__xludf.DUMMYFUNCTION("GOOGLETRANSLATE(A1287, ""auto"", ""bn"")"),"আমি কারো মনোযোগ আকর্ষণ করি না, কিন্তু আমি জানি এটা এরকমই দেখাচ্ছে। যাইহোক, আমি পোস্ট করতে যাচ্ছি। এটা একটা ছোট পদক্ষেপ। আমার মনে হচ্ছে আমার সংগ্রাম এবং আশাকে নথিভুক্ত করা দরকার। আমাকে এটা নিজের জন্য করতে হবে। তাছাড়া, আমার অস্তিত্বকে নথিভুক্ত করতে হবে। শূ"&amp;"ন্যে পাঠাতে হবে। আজকের সমস্যা অবশ্যই আমার মদ্যপান। #১. #২ হল স্থানীয় ক্যান সংগ্রাহক আসছেন না। আমার বাইরে প্রায় ১২ প্যাকেট খালি আছে। চোখ আছে এমন যেকোনো প্রতিবেশী জানে কী হচ্ছে। সৌভাগ্যক্রমে আমার স্ত্রী এখনও সেগুলো দেখেনি। আমি বলতে চাইছি সৌভাগ্যক্রমে? আবা"&amp;"রও দুঃখিত এবং স্ক্রল করতে দ্বিধা করবেন না। সত্যিই।")</f>
        <v>আমি কারো মনোযোগ আকর্ষণ করি না, কিন্তু আমি জানি এটা এরকমই দেখাচ্ছে। যাইহোক, আমি পোস্ট করতে যাচ্ছি। এটা একটা ছোট পদক্ষেপ। আমার মনে হচ্ছে আমার সংগ্রাম এবং আশাকে নথিভুক্ত করা দরকার। আমাকে এটা নিজের জন্য করতে হবে। তাছাড়া, আমার অস্তিত্বকে নথিভুক্ত করতে হবে। শূন্যে পাঠাতে হবে। আজকের সমস্যা অবশ্যই আমার মদ্যপান। #১. #২ হল স্থানীয় ক্যান সংগ্রাহক আসছেন না। আমার বাইরে প্রায় ১২ প্যাকেট খালি আছে। চোখ আছে এমন যেকোনো প্রতিবেশী জানে কী হচ্ছে। সৌভাগ্যক্রমে আমার স্ত্রী এখনও সেগুলো দেখেনি। আমি বলতে চাইছি সৌভাগ্যক্রমে? আবারও দুঃখিত এবং স্ক্রল করতে দ্বিধা করবেন না। সত্যিই।</v>
      </c>
    </row>
    <row r="1288" spans="1:3" ht="15" x14ac:dyDescent="0.25">
      <c r="A1288" s="3" t="s">
        <v>1283</v>
      </c>
      <c r="B1288" s="3" t="s">
        <v>997</v>
      </c>
      <c r="C1288" s="4" t="str">
        <f ca="1">IFERROR(__xludf.DUMMYFUNCTION("GOOGLETRANSLATE(A1288, ""auto"", ""bn"")"),"আমার মায়ের বয়স ৫৪। তার একটি সফল ক্যারিয়ার আছে এবং তিনি বিবাহিত। তবে, তিনি সপ্তাহের প্রায় প্রতি রাতে ১০টি করে পানীয় পান করেন। অনেক রাত সে এতটাই অপচয় করবে যে আমার বাবাকে রাত ৮টার সময় তাকে 'বিছানায়' পাঠাতে হবে কারণ সে কথা বলতে পারে না এবং আর চোখ খোলা রাখতে প"&amp;"ারে না। সে এত লজ্জাজনক হয়ে ওঠে এবং মাতাল অবস্থায় প্রায়ই ঝগড়া শুরু করতে পারে - কিন্তু অবশ্যই সবকিছু আমার দোষ, আর আমি যদি এটা উত্থাপন করার চেষ্টা করি যে তার মদ্যপানের সমস্যা আছে অথবা দু'একটি পানীয়ের পরেই তা বন্ধ করে দেওয়া উচিত, তাহলে আমিই খারাপ। আমার বাবা ব"&amp;"েশ মদ্যপানকারী, তাই এটি তাদের সম্পর্কের একটি বিশাল দিক - কিন্তু সম্প্রতি আমার মদ্যপানের পরিমাণ অনেক বেশি হয়ে গেছে এবং আমরা দুজনেই কিছু বলতে পারছি না কারণ সে আমাদের উপর শুধু বকবক করবে। সে অত্যন্ত রক্ষণাত্মক হয়ে ওঠে এবং তুমি যা করেছো তা কেন তার মদ্যপানের চে"&amp;"য়েও খারাপ ইত্যাদি বলে তীব্র মন্তব্য করে। আমি বুঝতে পারছি না কেন সে দু'একটি পানীয় খেতে পারে না? কেন তাকে প্রতি রাতে সম্পূর্ণরূপে প্লাস্টার করা দরকার? এটা এখন আর রসিকতা নয়, এটা সত্যিই বিরক্তিকর, কষ্টদায়ক এবং হতাশাজনক। এই মদ্যপানের অভ্যাসগুলো আমার ছোটবেলা"&amp;" থেকেই চলে আসছে। আর আমি এবং আমার ভাই (২১ এবং ১৯ বছর বয়সী) বড় হয়েছি এবং এখনও আছি) দুজনেই ""শ্যাম্পেন রাত"" কে ভয় পেতাম কারণ আমরা জানতাম যে শেষ পর্যন্ত তাকে নিশ্চিহ্ন করে দেওয়া হবে। সে প্রতিদিন সকালে উঠে ব্যায়াম করে, কাজে যায়, ভালো রক্ত ​​পরীক্ষা করে"&amp;" এবং ভালো জীবনযাপন করে। তাই তার মাথায় সে ভাবে কোন সমস্যা নেই। কিন্তু তাই না? অ্যালকোহল তার পারিবারিক/সামাজিক সম্পর্ক, ওজন কমানোর লক্ষ্য এবং ঘুমের সময়সূচীতে সমস্যা তৈরি করছে - অন্যান্য বিষয়ের মধ্যে। আমি জানি না এখান থেকে কোথায় যাব - আমি আবার আমার পরিবার"&amp;"ের বাড়ি থেকে বেরিয়ে আসার জন্য অপেক্ষা করতে পারছি না, কারণ প্রতি রাতে আমি ভয় পাই কখন তাদের জন্য শুভ ঘন্টা শুরু হবে। আমি বাকি রাত আমার ঘরে ফিরে যাই কারণ আমার মা/বাবা-মাকে কোনও কারণ ছাড়াই এত নষ্ট হতে দেখে আমি প্রায় অসুস্থ বোধ করি। তাছাড়া, আমি সত্যিই তা"&amp;"কে এবং আমার বাবাকে একটি ভাল জায়গায় নিয়ে যেতে সাহায্য করতে চাই, কিন্তু এই বিষয়ে আগের কথোপকথনগুলি কীভাবে শেষ হয়েছে তা কোথা থেকে শুরু করব তা আমি সত্যিই জানি না।")</f>
        <v>আমার মায়ের বয়স ৫৪। তার একটি সফল ক্যারিয়ার আছে এবং তিনি বিবাহিত। তবে, তিনি সপ্তাহের প্রায় প্রতি রাতে ১০টি করে পানীয় পান করেন। অনেক রাত সে এতটাই অপচয় করবে যে আমার বাবাকে রাত ৮টার সময় তাকে 'বিছানায়' পাঠাতে হবে কারণ সে কথা বলতে পারে না এবং আর চোখ খোলা রাখতে পারে না। সে এত লজ্জাজনক হয়ে ওঠে এবং মাতাল অবস্থায় প্রায়ই ঝগড়া শুরু করতে পারে - কিন্তু অবশ্যই সবকিছু আমার দোষ, আর আমি যদি এটা উত্থাপন করার চেষ্টা করি যে তার মদ্যপানের সমস্যা আছে অথবা দু'একটি পানীয়ের পরেই তা বন্ধ করে দেওয়া উচিত, তাহলে আমিই খারাপ। আমার বাবা বেশ মদ্যপানকারী, তাই এটি তাদের সম্পর্কের একটি বিশাল দিক - কিন্তু সম্প্রতি আমার মদ্যপানের পরিমাণ অনেক বেশি হয়ে গেছে এবং আমরা দুজনেই কিছু বলতে পারছি না কারণ সে আমাদের উপর শুধু বকবক করবে। সে অত্যন্ত রক্ষণাত্মক হয়ে ওঠে এবং তুমি যা করেছো তা কেন তার মদ্যপানের চেয়েও খারাপ ইত্যাদি বলে তীব্র মন্তব্য করে। আমি বুঝতে পারছি না কেন সে দু'একটি পানীয় খেতে পারে না? কেন তাকে প্রতি রাতে সম্পূর্ণরূপে প্লাস্টার করা দরকার? এটা এখন আর রসিকতা নয়, এটা সত্যিই বিরক্তিকর, কষ্টদায়ক এবং হতাশাজনক। এই মদ্যপানের অভ্যাসগুলো আমার ছোটবেলা থেকেই চলে আসছে। আর আমি এবং আমার ভাই (২১ এবং ১৯ বছর বয়সী) বড় হয়েছি এবং এখনও আছি) দুজনেই "শ্যাম্পেন রাত" কে ভয় পেতাম কারণ আমরা জানতাম যে শেষ পর্যন্ত তাকে নিশ্চিহ্ন করে দেওয়া হবে। সে প্রতিদিন সকালে উঠে ব্যায়াম করে, কাজে যায়, ভালো রক্ত ​​পরীক্ষা করে এবং ভালো জীবনযাপন করে। তাই তার মাথায় সে ভাবে কোন সমস্যা নেই। কিন্তু তাই না? অ্যালকোহল তার পারিবারিক/সামাজিক সম্পর্ক, ওজন কমানোর লক্ষ্য এবং ঘুমের সময়সূচীতে সমস্যা তৈরি করছে - অন্যান্য বিষয়ের মধ্যে। আমি জানি না এখান থেকে কোথায় যাব - আমি আবার আমার পরিবারের বাড়ি থেকে বেরিয়ে আসার জন্য অপেক্ষা করতে পারছি না, কারণ প্রতি রাতে আমি ভয় পাই কখন তাদের জন্য শুভ ঘন্টা শুরু হবে। আমি বাকি রাত আমার ঘরে ফিরে যাই কারণ আমার মা/বাবা-মাকে কোনও কারণ ছাড়াই এত নষ্ট হতে দেখে আমি প্রায় অসুস্থ বোধ করি। তাছাড়া, আমি সত্যিই তাকে এবং আমার বাবাকে একটি ভাল জায়গায় নিয়ে যেতে সাহায্য করতে চাই, কিন্তু এই বিষয়ে আগের কথোপকথনগুলি কীভাবে শেষ হয়েছে তা কোথা থেকে শুরু করব তা আমি সত্যিই জানি না।</v>
      </c>
    </row>
    <row r="1289" spans="1:3" ht="15" x14ac:dyDescent="0.25">
      <c r="A1289" s="3" t="s">
        <v>1284</v>
      </c>
      <c r="B1289" s="3" t="s">
        <v>997</v>
      </c>
      <c r="C1289" s="4" t="str">
        <f ca="1">IFERROR(__xludf.DUMMYFUNCTION("GOOGLETRANSLATE(A1289, ""auto"", ""bn"")"),"আমি আবার অসুস্থ হয়ে পড়ি এবং গত সপ্তাহে বেঁকে যাই। কাজে এসে এতটাই বিরক্ত হয়েছিলাম যে সবার সামনেই খারাপ ব্যবহার করেছি। রিসেপশনিস্ট থেকে শুরু করে আমার সব ঘনিষ্ঠ সহকর্মী। আজ সন্ধ্যায় আমি এই খবরটি জানতে পেরেছি এবং সোমবার থেকে কেউ আমাকে এই বিষয়ে কিছু বলেনি"&amp;" (গত বুধবার ঘটেছে)। আমি লজ্জিত বোধ করছি এবং আরও বেশি লজ্জিত যে আমি যেদিন আবার কাজ শুরু করি সেদিন কেউ আমাকে ফোন করেনি। তাছাড়া, আমি সাধারণত লাজুক ব্যক্তি এবং আমার নিজের বিভাগের প্রধান। তাছাড়া, আমি হতাশ। এই রোগটি খুবই অসুস্থ। আমি কীভাবে এটি পরিচালনা করব? আমি"&amp;" কি সবার কাছে ক্ষমা চাইব? আমার মনে হয় আমার বস জানেন, কিন্তু তিনি আমাকে জানিয়ে সম্ভবত আমাকে বিরক্ত করতে চান না। আমি জানি না।")</f>
        <v>আমি আবার অসুস্থ হয়ে পড়ি এবং গত সপ্তাহে বেঁকে যাই। কাজে এসে এতটাই বিরক্ত হয়েছিলাম যে সবার সামনেই খারাপ ব্যবহার করেছি। রিসেপশনিস্ট থেকে শুরু করে আমার সব ঘনিষ্ঠ সহকর্মী। আজ সন্ধ্যায় আমি এই খবরটি জানতে পেরেছি এবং সোমবার থেকে কেউ আমাকে এই বিষয়ে কিছু বলেনি (গত বুধবার ঘটেছে)। আমি লজ্জিত বোধ করছি এবং আরও বেশি লজ্জিত যে আমি যেদিন আবার কাজ শুরু করি সেদিন কেউ আমাকে ফোন করেনি। তাছাড়া, আমি সাধারণত লাজুক ব্যক্তি এবং আমার নিজের বিভাগের প্রধান। তাছাড়া, আমি হতাশ। এই রোগটি খুবই অসুস্থ। আমি কীভাবে এটি পরিচালনা করব? আমি কি সবার কাছে ক্ষমা চাইব? আমার মনে হয় আমার বস জানেন, কিন্তু তিনি আমাকে জানিয়ে সম্ভবত আমাকে বিরক্ত করতে চান না। আমি জানি না।</v>
      </c>
    </row>
    <row r="1290" spans="1:3" ht="15" x14ac:dyDescent="0.25">
      <c r="A1290" s="3" t="s">
        <v>1285</v>
      </c>
      <c r="B1290" s="3" t="s">
        <v>997</v>
      </c>
      <c r="C1290" s="4" t="str">
        <f ca="1">IFERROR(__xludf.DUMMYFUNCTION("GOOGLETRANSLATE(A1290, ""auto"", ""bn"")"),"ভয়ঙ্কর ধারণা। আমি ভেবেছিলাম বুট ক্যাম্প হবে দারুন সব কাজ করার সময় বিরক্ত না হয়ে পুনর্বাসনের একটা ভালো উপায়। যদিও এটা সত্যি। এখানে মদ্যপানের সংস্কৃতি এতটাই মহিমান্বিত। আমি আগের মতোই মদ্যপান করি। বাহ! আক্ষরিক অর্থেই বেশিরভাগ মার্কিন সামরিক ঘাঁটিতে বার থ"&amp;"াকে। এমনকি মানুষও কী!")</f>
        <v>ভয়ঙ্কর ধারণা। আমি ভেবেছিলাম বুট ক্যাম্প হবে দারুন সব কাজ করার সময় বিরক্ত না হয়ে পুনর্বাসনের একটা ভালো উপায়। যদিও এটা সত্যি। এখানে মদ্যপানের সংস্কৃতি এতটাই মহিমান্বিত। আমি আগের মতোই মদ্যপান করি। বাহ! আক্ষরিক অর্থেই বেশিরভাগ মার্কিন সামরিক ঘাঁটিতে বার থাকে। এমনকি মানুষও কী!</v>
      </c>
    </row>
    <row r="1291" spans="1:3" ht="15" x14ac:dyDescent="0.25">
      <c r="A1291" s="3" t="s">
        <v>1286</v>
      </c>
      <c r="B1291" s="3" t="s">
        <v>997</v>
      </c>
      <c r="C1291" s="4" t="str">
        <f ca="1">IFERROR(__xludf.DUMMYFUNCTION("GOOGLETRANSLATE(A1291, ""auto"", ""bn"")"),"আমি মদ্যপানের পর্যায় সম্পর্কে খুব একটা অবগত নই, আর আমি কখনও ব্যক্তিগতভাবে এর মধ্য দিয়ে যাইনি, তাই আমার কিছু পরামর্শের প্রয়োজন। আমার মা (৪৩) যতদিন ধরে (২৩) মনে করতে পারেন, ততদিন ধরে আসক্তির সাথে লড়াই করে আসছেন। বছরের পর বছর ধরে তার অবস্থা আরও খারাপ হয়"&amp;"ে গেছে। প্রায় ৫ বছর আগে যখন তিনি প্রথমবার মদ্যপান বন্ধ করার চেষ্টা করেছিলেন। তখন থেকে এটি একটি দুষ্টচক্র। বছরে প্রায় দুবার সে বাড়িতে ডিটক্স করার চেষ্টা করে, প্রায় এক সপ্তাহ পরে হ্যালুসিনেশনের পর্যায়ে পৌঁছায় এবং অবশেষে আমি তাকে জরুরি বিভাগে যেতে রাজি"&amp;" করি। সে হাসপাতালে যথেষ্ট সময় থাকে যাতে তার শরীর থেকে সমস্ত অ্যালকোহল আরামে বেরিয়ে যায়, কিন্তু কখনও পুনর্বাসনে যায় না। সে কিছুক্ষণের জন্য মদ্যপান বন্ধ রাখে কিন্তু অবশেষে পুনরায় রোগে আক্রান্ত হয়। প্রতিটি মদ্যপানের সময়কাল ক্রমশ ছোট হতে থাকে, সাম্প্রত"&amp;"িক সময়টি তার বাড়ি ফিরে আসার জন্য যথেষ্ট দীর্ঘ। এখন, বর্তমান সমস্যার দিকে দ্রুত এগিয়ে যাওয়া যাক। গত দুই সপ্তাহ ধরে আমার মা ঘুম ছাড়া আর কিছুই করেননি। দুই সপ্তাহ ধরে তার কিছু খাওয়ার নেই, এই মুহুর্তে আমি জানি না সে কীভাবে বেঁচে আছে। সে সারাদিন এবং সারার"&amp;"াত ঘুমায়। তাছাড়া, সে দিনের বেলায় কয়েকবার উঠে সিগারেট খেয়ে পান করে, তারপর আবার ঘুমিয়ে পড়ে। তাছাড়া, সে রেগে আছে এবং আমি ঘরের বাইরে তার চিৎকার ছাড়া কিছুই করতে পারছি না কারণ আমি খুব বেশি শব্দ করছি (এমনকি পানির বোতল ভরে নিচ্ছি)। তাছাড়া, সে সাহায্যের জন্য হ"&amp;"াসপাতালে যেতে অস্বীকৃতি জানায়। আমার মনে হয় আমি ভাবছি কেউ কি এরকম কিছুর মধ্য দিয়ে গেছে কিনা এবং তারা কি কিছু পরামর্শ দিতে পারে। আমি আমার মায়ের জন্য ভয় পাচ্ছি এবং আমি ভয় পাচ্ছি যে সে এখন হাল ছেড়ে দিয়েছে। আমি ভয় পাচ্ছি যে সে প্রতিবার ঘুমাতে গেলে ঘুম থেকে উ"&amp;"ঠবে না।")</f>
        <v>আমি মদ্যপানের পর্যায় সম্পর্কে খুব একটা অবগত নই, আর আমি কখনও ব্যক্তিগতভাবে এর মধ্য দিয়ে যাইনি, তাই আমার কিছু পরামর্শের প্রয়োজন। আমার মা (৪৩) যতদিন ধরে (২৩) মনে করতে পারেন, ততদিন ধরে আসক্তির সাথে লড়াই করে আসছেন। বছরের পর বছর ধরে তার অবস্থা আরও খারাপ হয়ে গেছে। প্রায় ৫ বছর আগে যখন তিনি প্রথমবার মদ্যপান বন্ধ করার চেষ্টা করেছিলেন। তখন থেকে এটি একটি দুষ্টচক্র। বছরে প্রায় দুবার সে বাড়িতে ডিটক্স করার চেষ্টা করে, প্রায় এক সপ্তাহ পরে হ্যালুসিনেশনের পর্যায়ে পৌঁছায় এবং অবশেষে আমি তাকে জরুরি বিভাগে যেতে রাজি করি। সে হাসপাতালে যথেষ্ট সময় থাকে যাতে তার শরীর থেকে সমস্ত অ্যালকোহল আরামে বেরিয়ে যায়, কিন্তু কখনও পুনর্বাসনে যায় না। সে কিছুক্ষণের জন্য মদ্যপান বন্ধ রাখে কিন্তু অবশেষে পুনরায় রোগে আক্রান্ত হয়। প্রতিটি মদ্যপানের সময়কাল ক্রমশ ছোট হতে থাকে, সাম্প্রতিক সময়টি তার বাড়ি ফিরে আসার জন্য যথেষ্ট দীর্ঘ। এখন, বর্তমান সমস্যার দিকে দ্রুত এগিয়ে যাওয়া যাক। গত দুই সপ্তাহ ধরে আমার মা ঘুম ছাড়া আর কিছুই করেননি। দুই সপ্তাহ ধরে তার কিছু খাওয়ার নেই, এই মুহুর্তে আমি জানি না সে কীভাবে বেঁচে আছে। সে সারাদিন এবং সারারাত ঘুমায়। তাছাড়া, সে দিনের বেলায় কয়েকবার উঠে সিগারেট খেয়ে পান করে, তারপর আবার ঘুমিয়ে পড়ে। তাছাড়া, সে রেগে আছে এবং আমি ঘরের বাইরে তার চিৎকার ছাড়া কিছুই করতে পারছি না কারণ আমি খুব বেশি শব্দ করছি (এমনকি পানির বোতল ভরে নিচ্ছি)। তাছাড়া, সে সাহায্যের জন্য হাসপাতালে যেতে অস্বীকৃতি জানায়। আমার মনে হয় আমি ভাবছি কেউ কি এরকম কিছুর মধ্য দিয়ে গেছে কিনা এবং তারা কি কিছু পরামর্শ দিতে পারে। আমি আমার মায়ের জন্য ভয় পাচ্ছি এবং আমি ভয় পাচ্ছি যে সে এখন হাল ছেড়ে দিয়েছে। আমি ভয় পাচ্ছি যে সে প্রতিবার ঘুমাতে গেলে ঘুম থেকে উঠবে না।</v>
      </c>
    </row>
    <row r="1292" spans="1:3" ht="15" x14ac:dyDescent="0.25">
      <c r="A1292" s="3" t="s">
        <v>1287</v>
      </c>
      <c r="B1292" s="3" t="s">
        <v>997</v>
      </c>
      <c r="C1292" s="4" t="str">
        <f ca="1">IFERROR(__xludf.DUMMYFUNCTION("GOOGLETRANSLATE(A1292, ""auto"", ""bn"")"),"সম্প্রতি আমি আবারও প্রচুর পরিমাণে মদ্যপান করছি। জুলাই মাসে আমার ডিইউআই হয়েছিল, পুনর্বাসনে গিয়েছিলাম এবং বাড়ি ফিরে আসার কিছুক্ষণ পরেই আবারও অসুস্থ হয়ে পড়েছিলাম। আমার খাওয়ার পরিমাণ কি ""পরিচালনা করা"" ভালো ছিল, তাই আমি ধরে নিয়েছিলাম যে আমি ""ভালো"" হ"&amp;"য়ে গেছি। আচ্ছা, গত দুই মাস ধরে আমার শক্ত মলত্যাগ হয়নি, তীব্র পেট ফাঁপা এবং পেটে ব্যথা হয়েছে। গত সপ্তাহে আমি বমি না করে খেতে পারছি না। পরের সপ্তাহে আমার ডাক্তারের সাথে অ্যাপয়েন্টমেন্ট আছে, কিন্তু আমি খুব কমই প্রোটিন শেক খেতে পারি। অন্য কেউ কি এরকম কিছু"&amp;" অনুভব করেছেন?")</f>
        <v>সম্প্রতি আমি আবারও প্রচুর পরিমাণে মদ্যপান করছি। জুলাই মাসে আমার ডিইউআই হয়েছিল, পুনর্বাসনে গিয়েছিলাম এবং বাড়ি ফিরে আসার কিছুক্ষণ পরেই আবারও অসুস্থ হয়ে পড়েছিলাম। আমার খাওয়ার পরিমাণ কি "পরিচালনা করা" ভালো ছিল, তাই আমি ধরে নিয়েছিলাম যে আমি "ভালো" হয়ে গেছি। আচ্ছা, গত দুই মাস ধরে আমার শক্ত মলত্যাগ হয়নি, তীব্র পেট ফাঁপা এবং পেটে ব্যথা হয়েছে। গত সপ্তাহে আমি বমি না করে খেতে পারছি না। পরের সপ্তাহে আমার ডাক্তারের সাথে অ্যাপয়েন্টমেন্ট আছে, কিন্তু আমি খুব কমই প্রোটিন শেক খেতে পারি। অন্য কেউ কি এরকম কিছু অনুভব করেছেন?</v>
      </c>
    </row>
    <row r="1293" spans="1:3" ht="15" x14ac:dyDescent="0.25">
      <c r="A1293" s="3" t="s">
        <v>1288</v>
      </c>
      <c r="B1293" s="3" t="s">
        <v>997</v>
      </c>
      <c r="C1293" s="4" t="str">
        <f ca="1">IFERROR(__xludf.DUMMYFUNCTION("GOOGLETRANSLATE(A1293, ""auto"", ""bn"")"),"আমি ভাবছিলাম যে যারা প্রতিদিন প্রচুর পরিমাণে মদ্যপান করেন এবং এখনও থামাতে পারেননি তাদের ক্ষতি কমানোর জন্য কারো কি কোন পরামর্শ আছে? থায়ামিন এবং অন্যান্য বি-ভিটামিনের ঘাটতি এড়াতে আমাকে বি-কমপ্লেক্স ভিটামিন গ্রহণ করতে বলা হয়েছে যা মস্তিষ্কের ক্ষতি করতে পা"&amp;"রে। তাছাড়া, আমি শুনেছি প্রচুর পরিমাণে তরল এবং ইলেক্ট্রোলাইট গ্রহণ কিডনি সিস্টেম এবং মস্তিষ্কের ক্ষতিও কমাতে পারে। তাছাড়া, আমি বুঝতে পারি যে ত্যাগ করাই সর্বোত্তম কাজ এবং মদ্যপানের ফলে শরীরের ক্ষতি সম্পূর্ণরূপে বন্ধ করার একমাত্র উপায়, কিন্তু ত্যাগ করতে সক্"&amp;"ষম না হওয়া পর্যন্ত কী করা যেতে পারে যা অ্যালকোহলের ক্ষতি কমাবে?")</f>
        <v>আমি ভাবছিলাম যে যারা প্রতিদিন প্রচুর পরিমাণে মদ্যপান করেন এবং এখনও থামাতে পারেননি তাদের ক্ষতি কমানোর জন্য কারো কি কোন পরামর্শ আছে? থায়ামিন এবং অন্যান্য বি-ভিটামিনের ঘাটতি এড়াতে আমাকে বি-কমপ্লেক্স ভিটামিন গ্রহণ করতে বলা হয়েছে যা মস্তিষ্কের ক্ষতি করতে পারে। তাছাড়া, আমি শুনেছি প্রচুর পরিমাণে তরল এবং ইলেক্ট্রোলাইট গ্রহণ কিডনি সিস্টেম এবং মস্তিষ্কের ক্ষতিও কমাতে পারে। তাছাড়া, আমি বুঝতে পারি যে ত্যাগ করাই সর্বোত্তম কাজ এবং মদ্যপানের ফলে শরীরের ক্ষতি সম্পূর্ণরূপে বন্ধ করার একমাত্র উপায়, কিন্তু ত্যাগ করতে সক্ষম না হওয়া পর্যন্ত কী করা যেতে পারে যা অ্যালকোহলের ক্ষতি কমাবে?</v>
      </c>
    </row>
    <row r="1294" spans="1:3" ht="15" x14ac:dyDescent="0.25">
      <c r="A1294" s="3" t="s">
        <v>1289</v>
      </c>
      <c r="B1294" s="3" t="s">
        <v>997</v>
      </c>
      <c r="C1294" s="4" t="str">
        <f ca="1">IFERROR(__xludf.DUMMYFUNCTION("GOOGLETRANSLATE(A1294, ""auto"", ""bn"")"),"গত বুধবার থেকে গত রবিবার পর্যন্ত আমি মেডিকেল ডিটক্স করেছি এবং গত কয়েক বছর ধরে প্রতিদিন কমপক্ষে পঞ্চমাংশ মদ্যপানের পর এখন আমি এক সপ্তাহেরও বেশি সময় ধরে সুস্থ আছি। আমি লক্ষ্য করেছি যে আমার পেট ফুলে গেছে এবং স্পর্শ করা কঠিন হয়ে পড়েছে, এবং শুয়ে থেকে উঠতে"&amp;" চেষ্টা করলে ব্যথা হয়, ইত্যাদি। ডাক্তার আমাকে তীব্র অ্যালকোহলিক হেপাটাইটিস রোগ নির্ণয় করেছেন এবং বলেছেন যে আমি সেরে উঠতে পারি, তবে আমাকে একেবারেই মদ্যপান থেকে বিরত থাকতে হবে। আপনাদের কাছে আমার প্রশ্ন কি কেবল সুস্থতার প্রথম সপ্তাহেই এটি হওয়া স্বাভাবিক? "&amp;"যদি তাই হয়, তাহলে আপনার রোগটি ঠিক হতে কতক্ষণ সময় লেগেছে?")</f>
        <v>গত বুধবার থেকে গত রবিবার পর্যন্ত আমি মেডিকেল ডিটক্স করেছি এবং গত কয়েক বছর ধরে প্রতিদিন কমপক্ষে পঞ্চমাংশ মদ্যপানের পর এখন আমি এক সপ্তাহেরও বেশি সময় ধরে সুস্থ আছি। আমি লক্ষ্য করেছি যে আমার পেট ফুলে গেছে এবং স্পর্শ করা কঠিন হয়ে পড়েছে, এবং শুয়ে থেকে উঠতে চেষ্টা করলে ব্যথা হয়, ইত্যাদি। ডাক্তার আমাকে তীব্র অ্যালকোহলিক হেপাটাইটিস রোগ নির্ণয় করেছেন এবং বলেছেন যে আমি সেরে উঠতে পারি, তবে আমাকে একেবারেই মদ্যপান থেকে বিরত থাকতে হবে। আপনাদের কাছে আমার প্রশ্ন কি কেবল সুস্থতার প্রথম সপ্তাহেই এটি হওয়া স্বাভাবিক? যদি তাই হয়, তাহলে আপনার রোগটি ঠিক হতে কতক্ষণ সময় লেগেছে?</v>
      </c>
    </row>
    <row r="1295" spans="1:3" ht="15" x14ac:dyDescent="0.25">
      <c r="A1295" s="3" t="s">
        <v>1290</v>
      </c>
      <c r="B1295" s="3" t="s">
        <v>997</v>
      </c>
      <c r="C1295" s="4" t="str">
        <f ca="1">IFERROR(__xludf.DUMMYFUNCTION("GOOGLETRANSLATE(A1295, ""auto"", ""bn"")"),"৩২ মিলিয়ন মানুষ, অন্তত গত ৩-৪ বছর ধরে উল্লেখযোগ্যভাবে অ্যালকোহল অপব্যবহার করছে। আমার মায়ের অ্যালকোহল ব্যবহারের ব্যাধি আছে, প্রায় ১০ বছর ধরে তিনি মাদকাসক্ত ছিলেন এবং সম্প্রতি প্রায় ১-২ বছর আগে আবার ব্যবহার শুরু করেছেন, এবং এখন আমি এবং আমার ভাই তাকে প্রত্য"&amp;"াহারের জটিলতা সহ দেখতে পাচ্ছি, তবে প্রাথমিকভাবে দীর্ঘস্থায়ী লিভারের রোগও। আমি স্বাস্থ্যসেবায়ও আছি এবং আমি নিয়মিতভাবে মদ্যপানের ফলে আক্রান্ত রোগীদের দেখি। আমার কী হতে পারে তা নিয়ে আমি সত্যিই ভীত। সম্প্রতি অ্যালকোহল গ্রহণ বৃদ্ধির ফলে আমার অনেক ওজন বেড়েছ"&amp;"ে, তবে আমি আশাবাদী যে লিভারের ক্ষতির সাথে সম্পর্কিত কোনও জটিলতা আমার এখনও নেই। তাছাড়া, আমি থামাতে চাই, তবে আমার মনে হচ্ছে আমি নিজেকে ছেড়ে দেব না। অতিরিক্ত মদ্যপানের পর কয়েক দিন ধরে আমার কাঁপুনি/বমি বমি ভাব/ঘাম হয়েছে, যা আমার মনে হয় উল্লেখযোগ্যভাবে প্"&amp;"রত্যাহারের ইঙ্গিত দেবে, যদিও আমি মনে করি আমি এখন আরও ভালো অবস্থানে আছি। তবে, আমি নিজেকে বারবার বলি যে নিয়মিত ব্যবহারের কারণে আমার মদ্যপান কমানো দরকার, এবং একই সাথে আমি নিজেকে ধ্বংস করে ফেলি কারণ আমি নিজেকে মদ্যপান করতে দিতে থাকি, এবং আমি কেবল প্রভাবগুলি "&amp;"অনুভব করতে চাই এবং আমি কার্যকরভাবে মদ্যপান কমিয়ে থামাতে পারি না। আমার জরুরি পরামর্শের প্রয়োজন কারণ আমার মনে হয় যদি আমি এটি চালিয়ে যাই তবে আমি শীঘ্রই সমস্যায় পড়ব।")</f>
        <v>৩২ মিলিয়ন মানুষ, অন্তত গত ৩-৪ বছর ধরে উল্লেখযোগ্যভাবে অ্যালকোহল অপব্যবহার করছে। আমার মায়ের অ্যালকোহল ব্যবহারের ব্যাধি আছে, প্রায় ১০ বছর ধরে তিনি মাদকাসক্ত ছিলেন এবং সম্প্রতি প্রায় ১-২ বছর আগে আবার ব্যবহার শুরু করেছেন, এবং এখন আমি এবং আমার ভাই তাকে প্রত্যাহারের জটিলতা সহ দেখতে পাচ্ছি, তবে প্রাথমিকভাবে দীর্ঘস্থায়ী লিভারের রোগও। আমি স্বাস্থ্যসেবায়ও আছি এবং আমি নিয়মিতভাবে মদ্যপানের ফলে আক্রান্ত রোগীদের দেখি। আমার কী হতে পারে তা নিয়ে আমি সত্যিই ভীত। সম্প্রতি অ্যালকোহল গ্রহণ বৃদ্ধির ফলে আমার অনেক ওজন বেড়েছে, তবে আমি আশাবাদী যে লিভারের ক্ষতির সাথে সম্পর্কিত কোনও জটিলতা আমার এখনও নেই। তাছাড়া, আমি থামাতে চাই, তবে আমার মনে হচ্ছে আমি নিজেকে ছেড়ে দেব না। অতিরিক্ত মদ্যপানের পর কয়েক দিন ধরে আমার কাঁপুনি/বমি বমি ভাব/ঘাম হয়েছে, যা আমার মনে হয় উল্লেখযোগ্যভাবে প্রত্যাহারের ইঙ্গিত দেবে, যদিও আমি মনে করি আমি এখন আরও ভালো অবস্থানে আছি। তবে, আমি নিজেকে বারবার বলি যে নিয়মিত ব্যবহারের কারণে আমার মদ্যপান কমানো দরকার, এবং একই সাথে আমি নিজেকে ধ্বংস করে ফেলি কারণ আমি নিজেকে মদ্যপান করতে দিতে থাকি, এবং আমি কেবল প্রভাবগুলি অনুভব করতে চাই এবং আমি কার্যকরভাবে মদ্যপান কমিয়ে থামাতে পারি না। আমার জরুরি পরামর্শের প্রয়োজন কারণ আমার মনে হয় যদি আমি এটি চালিয়ে যাই তবে আমি শীঘ্রই সমস্যায় পড়ব।</v>
      </c>
    </row>
    <row r="1296" spans="1:3" ht="15" x14ac:dyDescent="0.25">
      <c r="A1296" s="3" t="s">
        <v>1291</v>
      </c>
      <c r="B1296" s="3" t="s">
        <v>997</v>
      </c>
      <c r="C1296" s="4" t="str">
        <f ca="1">IFERROR(__xludf.DUMMYFUNCTION("GOOGLETRANSLATE(A1296, ""auto"", ""bn"")"),"এখানে ২০ মিলিয়ন কলেজ ছাত্র। ৩ দিন আগে, যখন আমি ক্যাম্পাসে ফিরে আসি, আমি গাঁজা ধূমপান ছেড়ে দিয়েছিলাম, এবং প্রায় ২ মাস আগে আমি প্রতিদিন ৩০০ মিলিগ্রাম বুপ্রোপিয়ন এবং ১০ মিলিগ্রাম অ্যাডেরাল উভয়ই গ্রহণ বন্ধ করে দিয়েছিলাম। প্রথম দুই রাত আমি পাঁচটি করে ডো"&amp;"জ নিয়েছিলাম যাতে আমি ঘুমাতে যেতে পারি। গত রাতে আমার তিনটি ডোজ ছিল। আজ সকালে ঘুম থেকে উঠে আমি দুই মাস আগে বন্ধ করার পর প্রথমবারের মতো ১০ মিলিগ্রাম অ্যাডেরাল গ্রহণ করেছি, সাথে ২০০ মিলিগ্রাম ক্যাফেইন বড়িও। সারা সকাল ধরে আমার কাঁপুনি অনুভব করছি, এবং এখন আমি"&amp;" অত্যন্ত উদ্বিগ্ন/আতঙ্কিত বোধ করছি। আমি জানি একটি ওষুধ ব্যবহার করে অন্য ওষুধ খাওয়া বন্ধ করার বিড়ম্বনা কতটা, কিন্তু আমি ভেবেছিলাম আপনারা ভালো করেই বুঝতে পারবেন... এটা কি প্রত্যাহারের মতো শোনাচ্ছে? আর যদি তা হয়, তাহলে আমার কি ডাক্তারের কাছে যাওয়া উচিত? "&amp;"যেহেতু আমি ধূমপান ছেড়ে দিয়েছি, আমি গত কয়েকদিন ধরে অ্যালকোহল থাকা সত্ত্বেও রাতে ৪-৫ ঘন্টা ঘুমিয়েছি।")</f>
        <v>এখানে ২০ মিলিয়ন কলেজ ছাত্র। ৩ দিন আগে, যখন আমি ক্যাম্পাসে ফিরে আসি, আমি গাঁজা ধূমপান ছেড়ে দিয়েছিলাম, এবং প্রায় ২ মাস আগে আমি প্রতিদিন ৩০০ মিলিগ্রাম বুপ্রোপিয়ন এবং ১০ মিলিগ্রাম অ্যাডেরাল উভয়ই গ্রহণ বন্ধ করে দিয়েছিলাম। প্রথম দুই রাত আমি পাঁচটি করে ডোজ নিয়েছিলাম যাতে আমি ঘুমাতে যেতে পারি। গত রাতে আমার তিনটি ডোজ ছিল। আজ সকালে ঘুম থেকে উঠে আমি দুই মাস আগে বন্ধ করার পর প্রথমবারের মতো ১০ মিলিগ্রাম অ্যাডেরাল গ্রহণ করেছি, সাথে ২০০ মিলিগ্রাম ক্যাফেইন বড়িও। সারা সকাল ধরে আমার কাঁপুনি অনুভব করছি, এবং এখন আমি অত্যন্ত উদ্বিগ্ন/আতঙ্কিত বোধ করছি। আমি জানি একটি ওষুধ ব্যবহার করে অন্য ওষুধ খাওয়া বন্ধ করার বিড়ম্বনা কতটা, কিন্তু আমি ভেবেছিলাম আপনারা ভালো করেই বুঝতে পারবেন... এটা কি প্রত্যাহারের মতো শোনাচ্ছে? আর যদি তা হয়, তাহলে আমার কি ডাক্তারের কাছে যাওয়া উচিত? যেহেতু আমি ধূমপান ছেড়ে দিয়েছি, আমি গত কয়েকদিন ধরে অ্যালকোহল থাকা সত্ত্বেও রাতে ৪-৫ ঘন্টা ঘুমিয়েছি।</v>
      </c>
    </row>
    <row r="1297" spans="1:3" ht="15" x14ac:dyDescent="0.25">
      <c r="A1297" s="3" t="s">
        <v>1292</v>
      </c>
      <c r="B1297" s="3" t="s">
        <v>997</v>
      </c>
      <c r="C1297" s="4" t="str">
        <f ca="1">IFERROR(__xludf.DUMMYFUNCTION("GOOGLETRANSLATE(A1297, ""auto"", ""bn"")"),"গত গ্রীষ্মে আমার কাকা আমাদের সাথে থাকতে এসেছিলেন যখন তার স্ত্রী তাকে তাড়িয়ে দিয়ে বিবাহবিচ্ছেদের আবেদন করেছিলেন। তিনি এটা করেছিলেন কারণ তিনি মদ্যপানের কারণে চাকরি হারিয়েছিলেন এবং প্রায় মারা যাচ্ছিলেন। তিনি তাকে বলেছিলেন যে তিনি চাকরি ছেড়ে দিয়েছেন, এব"&amp;"ং তিনি তাকে ক্রমাগত গোপনে মদ্যপান করতে দেখেন। আমাদের সাথে তার প্রথম রাত, তিনি নষ্ট হয়ে গেছেন। আমরা কখনও বলিনি যে তাকে শান্ত থাকতে হবে বরং আমরা তাকে ভালো থাকতে চাই। সে কখনও আমাদের সামনে মদ্যপান করেনি, তবে আমরা বলতে পারি যে সে সবসময় মাতাল ছিল। আমরা প্রতি "&amp;"রাতে মদ্যপান করতাম এবং সে আমাদের কাছে আসার আগে থামত, তাই কোনও প্রলোভন ছিল না। কয়েক মাস কেটে যায়, এবং সে এখনও বেকার, প্রতিদিন বাড়িতে থাকে, সারাদিন কিন্তু শপথ করে যে সে শান্ত এবং ক্রমাগত সাক্ষাৎকার নিচ্ছে। আমি কর্মক্ষেত্রে একটি ভয়ঙ্কর সপ্তাহ কাটিয়েছি এ"&amp;"বং তাকে সতর্ক করে দিয়েছি যে আমি মদ্যপান করব কিন্তু আমার ঘরে লুকিয়ে থাকব। বাড়িতে ফিরে কাউন্টারে ভদকার বোতল এবং ওয়াইন। আমার জন্য ভদকা, ছেলেদের জন্য ওয়াইন। ঠিক আছে? পরের দিন এক বোতল হুইস্কি ছিল এবং বেশিরভাগ ভদকা শেষ হয়ে গিয়েছিল। আমাদের সকলের একসাথে খো"&amp;"লাখুলি পান করা দ্রুত স্বাভাবিক হয়ে গিয়েছিল। কয়েক সপ্তাহ পরে আমরা তাকে বলি যে আমরা আবার মদ্যপান বন্ধ করে দিচ্ছি, এবং যখন আমি তাকে সকাল ৬ টায় এক কাপ ভদকা খেতে দেখলাম, তখন তারও উচিত। ""টমেটো লেস ব্লাডি মেরি"" সে আমাকে বলল। সে সারা দিন ধরে মদ্যপান করেনি এ"&amp;"বং তার শরীর হতবাক হয়ে গিয়েছিল। সারা দিন তার প্রচণ্ড বমি বমি ভাব হচ্ছিল এবং যখন সে দোকানে গাড়ি চালাতে গেল তখন তার খিঁচুনি হয়েছিল এবং এক সপ্তাহ ধরে তাকে হাসপাতালে ভর্তি করা হয়েছিল। যখন সে বেরিয়ে এলো তখন আমরা বলি পুনর্বাসন, অথবা আমরা তাকে বের করে দিই। "&amp;"আশ্চর্যজনকভাবে সে ৫ সপ্তাহের জন্য পুনর্বাসনে গিয়েছিল, ফিরে এসে কিছুক্ষণের জন্য শান্ত/অস্থির মানুষ ছিল। তার ওষুধ খেয়েছে, তার প্রতিদিনের AA মিটিংয়ে গেছে এবং মনে হচ্ছে সে ভালোই করছে। সম্প্রতি পর্যন্ত। সে আবার স্পষ্টতই মাতাল হয়ে গেছে এবং AA-তে সে কতটা অসা"&amp;"ধারণ এবং তারা তাকে কীভাবে শীর্ষে রেখেছে তা নিয়ে বড়াই করছে। আমাদের বসার ঘরে ক্যামেরা দেখা শুরু করার আগে পর্যন্ত আমাদের কাছে কোনও প্রমাণ ছিল না (যা সে জানত!)। আমরা তাকে ঘর থেকে বেরিয়ে যেতে দেখেছি, একটি বাদামী ব্যাগ নিয়ে ফিরে এসে সরাসরি তার ঘরে যেতে দেখে"&amp;"ছি। তারপর ভদকার খালি বোতল নিয়ে বেরিয়ে এসে রিসাইক্লিং-এ নিয়ে গেল। আমার স্বামী সেখানে গিয়ে বোতলটি ধরে তার মুখোমুখি হল, ক্যামেরা থেকে তাকে যে অংশে দেখেছিলাম সেই অংশটি বাদ দিয়ে। সে অস্বীকার করল এবং বলল যে সে পরিষ্কার করছিল এবং খুঁজে পেল যা মিথ্যা ছিল। আম"&amp;"রা বলেছিলাম যে আমরা তাকে বের করে দেব না, কিন্তু তার মলমূত্র সংগ্রহ করতে হবে। তারপর থেকে, আমরা তাকে আরও চারবার একই কাজ করতে দেখেছি। সরাসরি তার ঘরে একটি বাদামী ব্যাগ আনুন, একটি মোড়ানো বোতল বের করুন এবং তার গাড়িতে নিয়ে যান। (আমরা রিসাইক্লিং/আবর্জনা পরীক্ষ"&amp;"া করেছি, এবং এটি বিদ্যমান নেই) আমরা জানি সে এখনও মদ্যপান করছে এবং এখন সে এটি সম্পর্কে অতিরিক্ত লুকোচুরি করছে। শুধু জানি না কিভাবে এটি সম্পর্কে তার সাথে যোগাযোগ করতে হবে। ""আরে, আমরা তোমাকে ক্যামেরার মাধ্যমে দেখতে শুরু করেছি যা সম্পর্কে তুমি জানো এবং বোকা "&amp;"নও?"" তার চাকরি, স্ত্রী, বাড়ি হারানো এবং দুবার প্রায় মারা যাওয়া তাকে থামাতে পারেনি। পুনর্বাসন, থেরাপি, AA এবং তার মুখোমুখি হওয়া কিছুই করেনি কারণ সে কেবল এটি সম্পর্কে মিথ্যা বলেছে। আমরা কি এমন আচরণ করি যেন আমরা জানি না, আমাদের জীবন চালিয়ে যাই এবং তার "&amp;"দ্রুত চলে যাওয়ার জন্য প্রার্থনা করি? হস্তক্ষেপের প্রয়োজন?")</f>
        <v>গত গ্রীষ্মে আমার কাকা আমাদের সাথে থাকতে এসেছিলেন যখন তার স্ত্রী তাকে তাড়িয়ে দিয়ে বিবাহবিচ্ছেদের আবেদন করেছিলেন। তিনি এটা করেছিলেন কারণ তিনি মদ্যপানের কারণে চাকরি হারিয়েছিলেন এবং প্রায় মারা যাচ্ছিলেন। তিনি তাকে বলেছিলেন যে তিনি চাকরি ছেড়ে দিয়েছেন, এবং তিনি তাকে ক্রমাগত গোপনে মদ্যপান করতে দেখেন। আমাদের সাথে তার প্রথম রাত, তিনি নষ্ট হয়ে গেছেন। আমরা কখনও বলিনি যে তাকে শান্ত থাকতে হবে বরং আমরা তাকে ভালো থাকতে চাই। সে কখনও আমাদের সামনে মদ্যপান করেনি, তবে আমরা বলতে পারি যে সে সবসময় মাতাল ছিল। আমরা প্রতি রাতে মদ্যপান করতাম এবং সে আমাদের কাছে আসার আগে থামত, তাই কোনও প্রলোভন ছিল না। কয়েক মাস কেটে যায়, এবং সে এখনও বেকার, প্রতিদিন বাড়িতে থাকে, সারাদিন কিন্তু শপথ করে যে সে শান্ত এবং ক্রমাগত সাক্ষাৎকার নিচ্ছে। আমি কর্মক্ষেত্রে একটি ভয়ঙ্কর সপ্তাহ কাটিয়েছি এবং তাকে সতর্ক করে দিয়েছি যে আমি মদ্যপান করব কিন্তু আমার ঘরে লুকিয়ে থাকব। বাড়িতে ফিরে কাউন্টারে ভদকার বোতল এবং ওয়াইন। আমার জন্য ভদকা, ছেলেদের জন্য ওয়াইন। ঠিক আছে? পরের দিন এক বোতল হুইস্কি ছিল এবং বেশিরভাগ ভদকা শেষ হয়ে গিয়েছিল। আমাদের সকলের একসাথে খোলাখুলি পান করা দ্রুত স্বাভাবিক হয়ে গিয়েছিল। কয়েক সপ্তাহ পরে আমরা তাকে বলি যে আমরা আবার মদ্যপান বন্ধ করে দিচ্ছি, এবং যখন আমি তাকে সকাল ৬ টায় এক কাপ ভদকা খেতে দেখলাম, তখন তারও উচিত। "টমেটো লেস ব্লাডি মেরি" সে আমাকে বলল। সে সারা দিন ধরে মদ্যপান করেনি এবং তার শরীর হতবাক হয়ে গিয়েছিল। সারা দিন তার প্রচণ্ড বমি বমি ভাব হচ্ছিল এবং যখন সে দোকানে গাড়ি চালাতে গেল তখন তার খিঁচুনি হয়েছিল এবং এক সপ্তাহ ধরে তাকে হাসপাতালে ভর্তি করা হয়েছিল। যখন সে বেরিয়ে এলো তখন আমরা বলি পুনর্বাসন, অথবা আমরা তাকে বের করে দিই। আশ্চর্যজনকভাবে সে ৫ সপ্তাহের জন্য পুনর্বাসনে গিয়েছিল, ফিরে এসে কিছুক্ষণের জন্য শান্ত/অস্থির মানুষ ছিল। তার ওষুধ খেয়েছে, তার প্রতিদিনের AA মিটিংয়ে গেছে এবং মনে হচ্ছে সে ভালোই করছে। সম্প্রতি পর্যন্ত। সে আবার স্পষ্টতই মাতাল হয়ে গেছে এবং AA-তে সে কতটা অসাধারণ এবং তারা তাকে কীভাবে শীর্ষে রেখেছে তা নিয়ে বড়াই করছে। আমাদের বসার ঘরে ক্যামেরা দেখা শুরু করার আগে পর্যন্ত আমাদের কাছে কোনও প্রমাণ ছিল না (যা সে জানত!)। আমরা তাকে ঘর থেকে বেরিয়ে যেতে দেখেছি, একটি বাদামী ব্যাগ নিয়ে ফিরে এসে সরাসরি তার ঘরে যেতে দেখেছি। তারপর ভদকার খালি বোতল নিয়ে বেরিয়ে এসে রিসাইক্লিং-এ নিয়ে গেল। আমার স্বামী সেখানে গিয়ে বোতলটি ধরে তার মুখোমুখি হল, ক্যামেরা থেকে তাকে যে অংশে দেখেছিলাম সেই অংশটি বাদ দিয়ে। সে অস্বীকার করল এবং বলল যে সে পরিষ্কার করছিল এবং খুঁজে পেল যা মিথ্যা ছিল। আমরা বলেছিলাম যে আমরা তাকে বের করে দেব না, কিন্তু তার মলমূত্র সংগ্রহ করতে হবে। তারপর থেকে, আমরা তাকে আরও চারবার একই কাজ করতে দেখেছি। সরাসরি তার ঘরে একটি বাদামী ব্যাগ আনুন, একটি মোড়ানো বোতল বের করুন এবং তার গাড়িতে নিয়ে যান। (আমরা রিসাইক্লিং/আবর্জনা পরীক্ষা করেছি, এবং এটি বিদ্যমান নেই) আমরা জানি সে এখনও মদ্যপান করছে এবং এখন সে এটি সম্পর্কে অতিরিক্ত লুকোচুরি করছে। শুধু জানি না কিভাবে এটি সম্পর্কে তার সাথে যোগাযোগ করতে হবে। "আরে, আমরা তোমাকে ক্যামেরার মাধ্যমে দেখতে শুরু করেছি যা সম্পর্কে তুমি জানো এবং বোকা নও?" তার চাকরি, স্ত্রী, বাড়ি হারানো এবং দুবার প্রায় মারা যাওয়া তাকে থামাতে পারেনি। পুনর্বাসন, থেরাপি, AA এবং তার মুখোমুখি হওয়া কিছুই করেনি কারণ সে কেবল এটি সম্পর্কে মিথ্যা বলেছে। আমরা কি এমন আচরণ করি যেন আমরা জানি না, আমাদের জীবন চালিয়ে যাই এবং তার দ্রুত চলে যাওয়ার জন্য প্রার্থনা করি? হস্তক্ষেপের প্রয়োজন?</v>
      </c>
    </row>
    <row r="1298" spans="1:3" ht="15" x14ac:dyDescent="0.25">
      <c r="A1298" s="3" t="s">
        <v>1293</v>
      </c>
      <c r="B1298" s="3" t="s">
        <v>997</v>
      </c>
      <c r="C1298" s="4" t="str">
        <f ca="1">IFERROR(__xludf.DUMMYFUNCTION("GOOGLETRANSLATE(A1298, ""auto"", ""bn"")"),"আমার বয়স ১৭, আমি পার্টিতে এলোমেলোভাবে মদ্যপান শুরু করেছিলাম এবং সেই সব বাজে কথা, কিন্তু এখন আমি সেই ভিড় থেকে সরে এসেছি কারণ আমরা যে ওষুধগুলো নিচ্ছিলাম সেগুলো আরও খারাপ হচ্ছিল, আর এটা আমার জীবনকে নষ্ট করে দিচ্ছিল। আমি ভেবেছিলাম যে আমার জীবন থেকে লোকেদের ক"&amp;"েটে ফেলে এবং কঠোর ওষুধ বন্ধ করে আমি সমস্ত ব্যথা পিছনে ফেলে এসেছি, কিন্তু এখন আমি নিজেকে কমপক্ষে ৫টি বিয়ার না খেলে ঘুমাতে পারছি না। আমি জানি যে এটা আমার শরীরকে ধ্বংস করছে এবং যদি আমি এখন থামি না, তাহলে সম্ভবত কখনও পারব না, কিন্তু যখন আমি ঘুমাতে পারি না তখ"&amp;"ন আমি পাগল হয়ে যাই, এবং আমি যাদের ভালোবাসি তাদের উপর বকবক করি, আমার কী করা উচিত তা আমার কোনও ধারণা নেই।")</f>
        <v>আমার বয়স ১৭, আমি পার্টিতে এলোমেলোভাবে মদ্যপান শুরু করেছিলাম এবং সেই সব বাজে কথা, কিন্তু এখন আমি সেই ভিড় থেকে সরে এসেছি কারণ আমরা যে ওষুধগুলো নিচ্ছিলাম সেগুলো আরও খারাপ হচ্ছিল, আর এটা আমার জীবনকে নষ্ট করে দিচ্ছিল। আমি ভেবেছিলাম যে আমার জীবন থেকে লোকেদের কেটে ফেলে এবং কঠোর ওষুধ বন্ধ করে আমি সমস্ত ব্যথা পিছনে ফেলে এসেছি, কিন্তু এখন আমি নিজেকে কমপক্ষে ৫টি বিয়ার না খেলে ঘুমাতে পারছি না। আমি জানি যে এটা আমার শরীরকে ধ্বংস করছে এবং যদি আমি এখন থামি না, তাহলে সম্ভবত কখনও পারব না, কিন্তু যখন আমি ঘুমাতে পারি না তখন আমি পাগল হয়ে যাই, এবং আমি যাদের ভালোবাসি তাদের উপর বকবক করি, আমার কী করা উচিত তা আমার কোনও ধারণা নেই।</v>
      </c>
    </row>
    <row r="1299" spans="1:3" ht="15" x14ac:dyDescent="0.25">
      <c r="A1299" s="3" t="s">
        <v>1294</v>
      </c>
      <c r="B1299" s="3" t="s">
        <v>997</v>
      </c>
      <c r="C1299" s="4" t="str">
        <f ca="1">IFERROR(__xludf.DUMMYFUNCTION("GOOGLETRANSLATE(A1299, ""auto"", ""bn"")"),"আমি আমার প্রেমিকার সাথে থাকি, আর তার প্রাপ্তবয়স্ক ছেলে আমাদের সাথেই থাকে। মাঝে মাঝে সে আঘাত করে, জিনিসপত্র মারে, এবং গালিগালাজ করে, আর এটা খুবই বিরক্তিকর কারণ আমি বাসা থেকে কাজ করি। একদিন সকাল ১০টা থেকে শুরু করে সারাদিন ধরে আমাকে তাকে বারবার বলতে হয়েছে "&amp;"এটা বন্ধ করতে, ক্রমবর্ধমান জরুরিতার সাথে...অর্থাৎ আমি চিৎকার করার অনুরোধ থেকে শুরু করে তার মুখে গিয়ে তাকে F বন্ধ করতে বলি। অবশেষে, সন্ধ্যা ৬টার পর চূড়ান্ত সংঘর্ষে, সারাদিন প্রচুর চিৎকার, বমি বমি ভাব, এবং বাথরুমে ভাঙা শাওয়ারের পর্দা এবং ক্যাবিনেট ছিল। স"&amp;"ে দাবি করে যে সে কিছুই মনে রাখে না এবং সে দুঃখিত। আমার বিশ্বাস করা কঠিন যে এত দীর্ঘ সময় স্মৃতি থেকে মুছে ফেলা যায়, কিন্তু আমি এটি আরও ভালভাবে বুঝতে পারি। অন্যদিকে, আমি মনে করি এটি খুব সুবিধাজনক যে সারাদিন ঘটে যাওয়া সমস্ত বিশৃঙ্খলা এবং বাজে কথার কারণে ক"&amp;"িছুই মনে থাকে না। স্মৃতিশক্তির অভাবের কারণে এটি ছেড়ে দেওয়া খুব সহজ।")</f>
        <v>আমি আমার প্রেমিকার সাথে থাকি, আর তার প্রাপ্তবয়স্ক ছেলে আমাদের সাথেই থাকে। মাঝে মাঝে সে আঘাত করে, জিনিসপত্র মারে, এবং গালিগালাজ করে, আর এটা খুবই বিরক্তিকর কারণ আমি বাসা থেকে কাজ করি। একদিন সকাল ১০টা থেকে শুরু করে সারাদিন ধরে আমাকে তাকে বারবার বলতে হয়েছে এটা বন্ধ করতে, ক্রমবর্ধমান জরুরিতার সাথে...অর্থাৎ আমি চিৎকার করার অনুরোধ থেকে শুরু করে তার মুখে গিয়ে তাকে F বন্ধ করতে বলি। অবশেষে, সন্ধ্যা ৬টার পর চূড়ান্ত সংঘর্ষে, সারাদিন প্রচুর চিৎকার, বমি বমি ভাব, এবং বাথরুমে ভাঙা শাওয়ারের পর্দা এবং ক্যাবিনেট ছিল। সে দাবি করে যে সে কিছুই মনে রাখে না এবং সে দুঃখিত। আমার বিশ্বাস করা কঠিন যে এত দীর্ঘ সময় স্মৃতি থেকে মুছে ফেলা যায়, কিন্তু আমি এটি আরও ভালভাবে বুঝতে পারি। অন্যদিকে, আমি মনে করি এটি খুব সুবিধাজনক যে সারাদিন ঘটে যাওয়া সমস্ত বিশৃঙ্খলা এবং বাজে কথার কারণে কিছুই মনে থাকে না। স্মৃতিশক্তির অভাবের কারণে এটি ছেড়ে দেওয়া খুব সহজ।</v>
      </c>
    </row>
    <row r="1300" spans="1:3" ht="15" x14ac:dyDescent="0.25">
      <c r="A1300" s="3" t="s">
        <v>1295</v>
      </c>
      <c r="B1300" s="3" t="s">
        <v>997</v>
      </c>
      <c r="C1300" s="4" t="str">
        <f ca="1">IFERROR(__xludf.DUMMYFUNCTION("GOOGLETRANSLATE(A1300, ""auto"", ""bn"")"),"আমি প্রায় ২ সপ্তাহ ধরে সুস্থ আছি এবং আমি সবসময় ক্ষুধার্ত থাকি, আমি ওজন বাড়াতে চাই না। আমার এটা খুব খারাপ লাগে, মনে হচ্ছে আমি ২৪/৭ খাবার খাই। আমি সম্প্রতি সবকিছুতেই এবং সবার উপর খুব বিরক্ত হচ্ছি। আর কারো কি এইরকম অভিজ্ঞতা হচ্ছে? আমার কি আবার ক্ষুধা কমে যা"&amp;"বে? আমি পেট ফাঁপা এবং এত বেশি খেতে পছন্দ করি না।")</f>
        <v>আমি প্রায় ২ সপ্তাহ ধরে সুস্থ আছি এবং আমি সবসময় ক্ষুধার্ত থাকি, আমি ওজন বাড়াতে চাই না। আমার এটা খুব খারাপ লাগে, মনে হচ্ছে আমি ২৪/৭ খাবার খাই। আমি সম্প্রতি সবকিছুতেই এবং সবার উপর খুব বিরক্ত হচ্ছি। আর কারো কি এইরকম অভিজ্ঞতা হচ্ছে? আমার কি আবার ক্ষুধা কমে যাবে? আমি পেট ফাঁপা এবং এত বেশি খেতে পছন্দ করি না।</v>
      </c>
    </row>
    <row r="1301" spans="1:3" ht="15" x14ac:dyDescent="0.25">
      <c r="A1301" s="3" t="s">
        <v>1296</v>
      </c>
      <c r="B1301" s="3" t="s">
        <v>997</v>
      </c>
      <c r="C1301" s="4" t="str">
        <f ca="1">IFERROR(__xludf.DUMMYFUNCTION("GOOGLETRANSLATE(A1301, ""auto"", ""bn"")"),"তারপর যখন ভোর ৪টার দিকে ঘুম থেকে উঠলাম, তখন একটা অসমাপ্ত বিয়ার পেলাম। আমি জানি না আমি এখানে কী করছি, আর আমি জানি না কেন আমি আমার স্ত্রী এবং আমার এক ভালো বন্ধুকে বলছি যে আমি ছেড়ে দিচ্ছি। চেষ্টা করে হাল ছেড়ে দেওয়া খারাপ লাগে। আমি জানি না কিভাবে আমি এই খ"&amp;"ারাপ পরিস্থিতির মধ্য দিয়ে মানুষকে সাহায্য করতে পারব।")</f>
        <v>তারপর যখন ভোর ৪টার দিকে ঘুম থেকে উঠলাম, তখন একটা অসমাপ্ত বিয়ার পেলাম। আমি জানি না আমি এখানে কী করছি, আর আমি জানি না কেন আমি আমার স্ত্রী এবং আমার এক ভালো বন্ধুকে বলছি যে আমি ছেড়ে দিচ্ছি। চেষ্টা করে হাল ছেড়ে দেওয়া খারাপ লাগে। আমি জানি না কিভাবে আমি এই খারাপ পরিস্থিতির মধ্য দিয়ে মানুষকে সাহায্য করতে পারব।</v>
      </c>
    </row>
    <row r="1302" spans="1:3" ht="15" x14ac:dyDescent="0.25">
      <c r="A1302" s="3" t="s">
        <v>1297</v>
      </c>
      <c r="B1302" s="3" t="s">
        <v>997</v>
      </c>
      <c r="C1302" s="4" t="str">
        <f ca="1">IFERROR(__xludf.DUMMYFUNCTION("GOOGLETRANSLATE(A1302, ""auto"", ""bn"")"),"আমি একজন অতিরিক্ত মদ্যপানকারী। সপ্তাহে প্রায় একবার, আমি এক সেশনে ১২-১৬টি বিয়ার পান করি। পরের দিন আমার মনে হয় যেন আবর্জনা। আমি বেশিরভাগ সময় একঘেয়েমি এবং উদ্বেগের কারণে এটা করি। তাছাড়া, অক্টোবরে আমি সত্যিই নিজেকে আঘাত করি, আমার প্রেমিক এবং আমি প্রচুর মদ্"&amp;"যপান করেছি, আমরা ঝগড়া শুরু করেছি। তাছাড়া, আমি তাকে ঘুষি মারছিলাম, এবং সে আমার আঘাতের বিরুদ্ধে লড়াই করার সময় দুর্ঘটনাক্রমে আমার চোখে আঘাত করেছিল। তাছাড়া, আমি কোথাও পড়ে গিয়ে আমার মাথায় মারাত্মকভাবে আঘাত করেছিলাম যার ফলে আমার মাথা ব্যথা হয়েছিল এবং ঠ"&amp;"োঁট ফেটে গিয়েছিল, এটি একটি ঝাপসা কারণ আমি কালো হয়ে গিয়েছিলাম। তাছাড়া, আমি ভেবেছিলাম এটি আমার থামার সময়, কিন্তু ৪ সপ্তাহ পরে আমি আবার এটিতে ফিরে এসেছি। আমার প্রেমিক এবং আমি একসাথে থাকি, এবং সেও অতিরিক্ত মদ্যপানকারী। যখন আমরা সুস্থ থাকি, তখন কোনও ঝগড়া"&amp;" হয় না, এবং আমরা সাধারণত মাতালও হই, তবে মাঝে মাঝে আমাদের মধ্যে কেউ ""উল্টে যায়""। যদি আমি মদ্যপান শুরু করি তবে তাকেও মদ্যপান করতে হয়। তার ৩টি ডিইউআই হয়েছে এবং অতীতে জেল খেটেছে। এখন পর্যন্ত, আমার কোনও আইনি সমস্যা হয়নি। আমি কীভাবে থামব? আমি আর এটা করতে"&amp;" চাই না। আমার বয়স ৪৭ এবং এইসবের জন্য আমার বয়স অনেক বেশি।")</f>
        <v>আমি একজন অতিরিক্ত মদ্যপানকারী। সপ্তাহে প্রায় একবার, আমি এক সেশনে ১২-১৬টি বিয়ার পান করি। পরের দিন আমার মনে হয় যেন আবর্জনা। আমি বেশিরভাগ সময় একঘেয়েমি এবং উদ্বেগের কারণে এটা করি। তাছাড়া, অক্টোবরে আমি সত্যিই নিজেকে আঘাত করি, আমার প্রেমিক এবং আমি প্রচুর মদ্যপান করেছি, আমরা ঝগড়া শুরু করেছি। তাছাড়া, আমি তাকে ঘুষি মারছিলাম, এবং সে আমার আঘাতের বিরুদ্ধে লড়াই করার সময় দুর্ঘটনাক্রমে আমার চোখে আঘাত করেছিল। তাছাড়া, আমি কোথাও পড়ে গিয়ে আমার মাথায় মারাত্মকভাবে আঘাত করেছিলাম যার ফলে আমার মাথা ব্যথা হয়েছিল এবং ঠোঁট ফেটে গিয়েছিল, এটি একটি ঝাপসা কারণ আমি কালো হয়ে গিয়েছিলাম। তাছাড়া, আমি ভেবেছিলাম এটি আমার থামার সময়, কিন্তু ৪ সপ্তাহ পরে আমি আবার এটিতে ফিরে এসেছি। আমার প্রেমিক এবং আমি একসাথে থাকি, এবং সেও অতিরিক্ত মদ্যপানকারী। যখন আমরা সুস্থ থাকি, তখন কোনও ঝগড়া হয় না, এবং আমরা সাধারণত মাতালও হই, তবে মাঝে মাঝে আমাদের মধ্যে কেউ "উল্টে যায়"। যদি আমি মদ্যপান শুরু করি তবে তাকেও মদ্যপান করতে হয়। তার ৩টি ডিইউআই হয়েছে এবং অতীতে জেল খেটেছে। এখন পর্যন্ত, আমার কোনও আইনি সমস্যা হয়নি। আমি কীভাবে থামব? আমি আর এটা করতে চাই না। আমার বয়স ৪৭ এবং এইসবের জন্য আমার বয়স অনেক বেশি।</v>
      </c>
    </row>
    <row r="1303" spans="1:3" ht="15" x14ac:dyDescent="0.25">
      <c r="A1303" s="3" t="s">
        <v>1298</v>
      </c>
      <c r="B1303" s="3" t="s">
        <v>997</v>
      </c>
      <c r="C1303" s="4" t="str">
        <f ca="1">IFERROR(__xludf.DUMMYFUNCTION("GOOGLETRANSLATE(A1303, ""auto"", ""bn"")"),"আমি ১ মাস ২৬ দিন ধরে মদ্যপান থেকে মুক্ত ছিলাম এবং শনিবার আমার আবার নেশা শুরু হয়ে গেল। কাজ শেষে আমি কিছু লোকের সাথে বাইরে গিয়েছিলাম, এবং একেবারেই অতিরিক্ত মদ্যপান করেছিলাম যে বার থেকে বেরিয়ে গাড়িতেই ঘুমিয়ে পড়েছিলাম বলে মনেও নেই। রবিবার সকালে আবার গাড"&amp;"়িতে উঠেছিলাম এবং তারপর থেকে আর কোনও পানীয় পান করিনি, কোনও পরিকল্পনাও ছিল না। গত ৩ দিন ধরে আমি অপরাধবোধ এবং উদ্বেগের এক বিরাট অনুভূতি অনুভব করছি। আমি বারবার আমার মাথায় বারবার এই সিদ্ধান্তটি পুনরাবৃত্তি করছি এবং এটি কতটা বোকামিপূর্ণ সিদ্ধান্ত ছিল। বিশেষ "&amp;"করে, আমি আমার প্রেমিকের প্রতি অত্যন্ত অপরাধবোধ অনুভব করছি এবং মনে হচ্ছে আমি তাকে হতাশ করেছি। আমি ভাবছি যে কীভাবে এগিয়ে যেতে হবে সে সম্পর্কে কারও কাছে কোনও পরামর্শ, নির্দেশিকা বা জ্ঞানের কথা আছে কিনা।")</f>
        <v>আমি ১ মাস ২৬ দিন ধরে মদ্যপান থেকে মুক্ত ছিলাম এবং শনিবার আমার আবার নেশা শুরু হয়ে গেল। কাজ শেষে আমি কিছু লোকের সাথে বাইরে গিয়েছিলাম, এবং একেবারেই অতিরিক্ত মদ্যপান করেছিলাম যে বার থেকে বেরিয়ে গাড়িতেই ঘুমিয়ে পড়েছিলাম বলে মনেও নেই। রবিবার সকালে আবার গাড়িতে উঠেছিলাম এবং তারপর থেকে আর কোনও পানীয় পান করিনি, কোনও পরিকল্পনাও ছিল না। গত ৩ দিন ধরে আমি অপরাধবোধ এবং উদ্বেগের এক বিরাট অনুভূতি অনুভব করছি। আমি বারবার আমার মাথায় বারবার এই সিদ্ধান্তটি পুনরাবৃত্তি করছি এবং এটি কতটা বোকামিপূর্ণ সিদ্ধান্ত ছিল। বিশেষ করে, আমি আমার প্রেমিকের প্রতি অত্যন্ত অপরাধবোধ অনুভব করছি এবং মনে হচ্ছে আমি তাকে হতাশ করেছি। আমি ভাবছি যে কীভাবে এগিয়ে যেতে হবে সে সম্পর্কে কারও কাছে কোনও পরামর্শ, নির্দেশিকা বা জ্ঞানের কথা আছে কিনা।</v>
      </c>
    </row>
    <row r="1304" spans="1:3" ht="15" x14ac:dyDescent="0.25">
      <c r="A1304" s="3" t="s">
        <v>1299</v>
      </c>
      <c r="B1304" s="3" t="s">
        <v>997</v>
      </c>
      <c r="C1304" s="4" t="str">
        <f ca="1">IFERROR(__xludf.DUMMYFUNCTION("GOOGLETRANSLATE(A1304, ""auto"", ""bn"")"),"মূলত আমার মা একজন মদ্যপ, তার বয়স এখন ৫০ বছর, কিন্তু প্রায় ১০ বছর ধরে সে মদ্যপ, কিন্তু সম্প্রতি তার পেট খুব ফুলে গেছে, সে খুব কম খায়, আসলে তার হাত, পা এবং সবকিছুই পাতলা, কিন্তু তার পেট ক্রমাগত ফুলে থাকে। সে প্রায় ৬ মাস আগে অন্য কারণে হাসপাতালে গিয়েছিল"&amp;" (তার পেট তখনও খুব ফুলে ছিল) এবং তারা তাকে পরীক্ষা করে বলেছিল যে গুরুতর কিছু হয়নি, কেবল তার লিভার বড় হয়ে গেছে, তাই সে বলে, কিন্তু আমি তার জন্য চিন্তিত। কারও কাছে কি কোন উত্তর আছে? সম্পাদনা: তার পেট এখন প্রায় এক বছর ধরে ফুলে আছে, মনে হচ্ছে এটি এখন আরও "&amp;"খারাপ হচ্ছে। তার জন্ডিস বা অন্য কিছু আছে। সে যদি রাতে প্রায় ৪ লিটার সিডার পান করে, তাহলে কেউ ভাববে।")</f>
        <v>মূলত আমার মা একজন মদ্যপ, তার বয়স এখন ৫০ বছর, কিন্তু প্রায় ১০ বছর ধরে সে মদ্যপ, কিন্তু সম্প্রতি তার পেট খুব ফুলে গেছে, সে খুব কম খায়, আসলে তার হাত, পা এবং সবকিছুই পাতলা, কিন্তু তার পেট ক্রমাগত ফুলে থাকে। সে প্রায় ৬ মাস আগে অন্য কারণে হাসপাতালে গিয়েছিল (তার পেট তখনও খুব ফুলে ছিল) এবং তারা তাকে পরীক্ষা করে বলেছিল যে গুরুতর কিছু হয়নি, কেবল তার লিভার বড় হয়ে গেছে, তাই সে বলে, কিন্তু আমি তার জন্য চিন্তিত। কারও কাছে কি কোন উত্তর আছে? সম্পাদনা: তার পেট এখন প্রায় এক বছর ধরে ফুলে আছে, মনে হচ্ছে এটি এখন আরও খারাপ হচ্ছে। তার জন্ডিস বা অন্য কিছু আছে। সে যদি রাতে প্রায় ৪ লিটার সিডার পান করে, তাহলে কেউ ভাববে।</v>
      </c>
    </row>
    <row r="1305" spans="1:3" ht="15" x14ac:dyDescent="0.25">
      <c r="A1305" s="3" t="s">
        <v>1300</v>
      </c>
      <c r="B1305" s="3" t="s">
        <v>997</v>
      </c>
      <c r="C1305" s="4" t="str">
        <f ca="1">IFERROR(__xludf.DUMMYFUNCTION("GOOGLETRANSLATE(A1305, ""auto"", ""bn"")"),"আমি নালট্রেক্সোন নিয়েছি যা আমি আগামীকাল থেকে শুরু করব। আমি আমার স্ত্রীকে বলেছি। তাছাড়া, আমাকে কেবল বেঁচে থাকার বা ধীর মৃত্যুর হাত থেকে নিজেকে বাঁচানোর দরকার নেই। তাছাড়া, আমাকে সেই ব্যক্তি হতে হবে যা আমি ছোটবেলায় স্বপ্ন দেখেছিলাম। এটি একটি সাধারণ স্বপ্ন"&amp;" ছিল। আমি মুখের উপর মুখ রেখে এটা করতে পারি না। আমি মানবতার কিছু নীচুতম গভীরতা অনুভব করেছি। আমি ভূত দেখেছি। তাছাড়া, আমি তাদের সাথে নিয়ে যাব এবং সেই জ্ঞান অন্যদের সাহায্য করার জন্য ব্যবহার করব। এটি আমার পরিবার এবং আমার জন্য একটি প্রতিশ্রুতি। আমি সুস্থ হয়ে"&amp;" অন্যদের সাহায্য করব। এটিই আমার উদ্দেশ্য। এই কারণেই আমি এখানে।")</f>
        <v>আমি নালট্রেক্সোন নিয়েছি যা আমি আগামীকাল থেকে শুরু করব। আমি আমার স্ত্রীকে বলেছি। তাছাড়া, আমাকে কেবল বেঁচে থাকার বা ধীর মৃত্যুর হাত থেকে নিজেকে বাঁচানোর দরকার নেই। তাছাড়া, আমাকে সেই ব্যক্তি হতে হবে যা আমি ছোটবেলায় স্বপ্ন দেখেছিলাম। এটি একটি সাধারণ স্বপ্ন ছিল। আমি মুখের উপর মুখ রেখে এটা করতে পারি না। আমি মানবতার কিছু নীচুতম গভীরতা অনুভব করেছি। আমি ভূত দেখেছি। তাছাড়া, আমি তাদের সাথে নিয়ে যাব এবং সেই জ্ঞান অন্যদের সাহায্য করার জন্য ব্যবহার করব। এটি আমার পরিবার এবং আমার জন্য একটি প্রতিশ্রুতি। আমি সুস্থ হয়ে অন্যদের সাহায্য করব। এটিই আমার উদ্দেশ্য। এই কারণেই আমি এখানে।</v>
      </c>
    </row>
    <row r="1306" spans="1:3" ht="15" x14ac:dyDescent="0.25">
      <c r="A1306" s="3" t="s">
        <v>1301</v>
      </c>
      <c r="B1306" s="3" t="s">
        <v>997</v>
      </c>
      <c r="C1306" s="4" t="str">
        <f ca="1">IFERROR(__xludf.DUMMYFUNCTION("GOOGLETRANSLATE(A1306, ""auto"", ""bn"")"),"তাই আমি কয়েক বছর ধরে প্রতি রাতে ১-৬টি IPA বিয়ার খাচ্ছি। সপ্তাহান্তে বা ছুটির দিনে আমি আরও বেশি পান করব কিন্তু কখনও বমি বা বমি বমি ভাব হবে না। কখনও কখনও আমার মাত্র ১টি পান করতে হবে, এবং আমি ভালো আছি, কিন্তু আমি কিছুক্ষণের জন্য পান করা বন্ধ করতে চাই কারণ "&amp;"আমার লিভারে ব্যথা অনুভব করছি, এবং আমার রক্ত ​​পরীক্ষায় আমার GGT বেশি ছিল। এর ফলে আমার কী হবে বলে আশা করা উচিত? আমি সবসময় এটি পান করতে খুব ভয় পাই কারণ আমি কিছু লক্ষণ সম্পর্কে শুনেছি এবং এটি আমাকে আতঙ্কিত করে তোলে।")</f>
        <v>তাই আমি কয়েক বছর ধরে প্রতি রাতে ১-৬টি IPA বিয়ার খাচ্ছি। সপ্তাহান্তে বা ছুটির দিনে আমি আরও বেশি পান করব কিন্তু কখনও বমি বা বমি বমি ভাব হবে না। কখনও কখনও আমার মাত্র ১টি পান করতে হবে, এবং আমি ভালো আছি, কিন্তু আমি কিছুক্ষণের জন্য পান করা বন্ধ করতে চাই কারণ আমার লিভারে ব্যথা অনুভব করছি, এবং আমার রক্ত ​​পরীক্ষায় আমার GGT বেশি ছিল। এর ফলে আমার কী হবে বলে আশা করা উচিত? আমি সবসময় এটি পান করতে খুব ভয় পাই কারণ আমি কিছু লক্ষণ সম্পর্কে শুনেছি এবং এটি আমাকে আতঙ্কিত করে তোলে।</v>
      </c>
    </row>
    <row r="1307" spans="1:3" ht="15" x14ac:dyDescent="0.25">
      <c r="A1307" s="3" t="s">
        <v>1302</v>
      </c>
      <c r="B1307" s="3" t="s">
        <v>997</v>
      </c>
      <c r="C1307" s="4" t="str">
        <f ca="1">IFERROR(__xludf.DUMMYFUNCTION("GOOGLETRANSLATE(A1307, ""auto"", ""bn"")"),"আমি (৩৪ বছর বয়সী) ১৭ বছর বয়সে প্রথমবার মদ্যপান করার পর থেকেই অ্যালকোহলের সাথে লড়াই করে আসছি, যদিও আমি অনেক দিন ধরে এটি বুঝতে পারিনি, এবং তারপরেও আমার মনে হয় আমি অবচেতনভাবে সবসময় ভাবতাম যে আমি যদি সত্যিই চাই তবে থামাতে পারি। আমি পারিনি, এবং লজ্জা এবং "&amp;"হতাশা আমাকে গ্রাস করছে বলে আমি আমার ভাঙনের পর্যায়ে পৌঁছেছি। তাছাড়া, আমি গত আড়াই বছর ধরে আমার বান্ধবী (৩৫) এবং তার দুই সন্তান (৬ বছর বয়সী ছেলে এবং ১৩ বছর বয়সী মেয়ে) এর সাথে তার শহরে আমাদের জন্য কেনা একটি বাড়িতে বাস করছি। সেই সময় তারা আমার পরিবার হয়"&amp;"ে উঠেছে, কিন্তু আমার অ্যালকোহল ব্যবহার এবং হতাশার কারণে আমি সে সব ফেলে দিচ্ছি। আমি স্বার্থপরভাবে তাদের ছেড়ে দিতে চাই না, কিন্তু এই মুহুর্তে আমার কাছে স্পষ্ট যে আমি তাদের উপকারের চেয়ে বেশি ক্ষতি করছি। আমার বান্ধবীর ইতিমধ্যেই যথেষ্ট আছে এবং তাকে মাল্টিপল "&amp;"স্ক্লেরোসিসের সাথে মোকাবিলা করতে হচ্ছে, তার উপরে একজন বাজে বাবা তার সন্তানদের জন্য যারা রাজ্যের বাইরে চলে গেছে এবং কোনও সহায়তা দেয় না। আমার লক্ষ্য সবসময়ই ছিল তার এবং বাচ্চাদের জীবন উন্নত করার চেষ্টা করা, কিন্তু এখন আমি তাদের জীবনকে আরও কঠিন করে তুলছি। "&amp;"আমি হিংস্র ব্যক্তি নই, কিন্তু এক বছর আগে আমার বান্ধবীকে ধাক্কা দেওয়ার জন্য পারিবারিক সহিংসতার অভিযোগে গ্রেপ্তার হয়েছিলাম কারণ মদ্যপান আমাকে অন্য একজন ব্যক্তিতে পরিণত করে। বাচ্চারা আমাদের কোনও বড় ঝগড়া করতে দেখেনি, তবে এই ঘটনার কারণে আমি কয়েক মাস ধরে ত"&amp;"াদের থেকে দূরে ছিলাম এবং পুনর্বাসনের জন্য আবার বাইরে ছিলাম, যা তাদের জন্য খুব বিভ্রান্তিকর এবং অস্বাস্থ্যকর ছিল, উল্লেখ না করেই আমাদের কিশোরীটি খুব বুদ্ধিমান তাই সে অবশ্যই জানে যে কিছু গভীর সমস্যা রয়েছে। তারা যে বাড়িতে থাকে (আমি সম্প্রতি সেখানে মাঝে মাঝ"&amp;"ে থাকি এবং আমরা যখন জিনিসপত্র সমাধানের চেষ্টা করছিলাম তখনও আমার বাবার সাথে থাকি) আমার নামে এবং আমি এর খরচ বহন করি, কিন্তু আমি যদি বাইরে চলে যাই তবে আমি তা চালিয়ে যেতে পারব না, এবং আমি জানি যে সে নিজেকে এবং বাচ্চাদের আর্থিকভাবে সহায়তা করতে একা অনেক লড়াই"&amp;" করবে, তাই আমি কী করব তা বুঝতে পারছি না। আমার মনে হচ্ছে আমি স্বার্থপর এবং নেতিবাচক আচরণ করছি যদি আমি থাকি তাহলে তাদের জীবনে এর প্রভাব পড়বে, আর আমার মনে হচ্ছে যদি আমি চলে যাই তাহলে তাদের আর্থিক ও মানসিকভাবে অনেক কষ্ট করতে হবে, বাচ্চাদের জন্য। যদি কারো কোন"&amp;" পরামর্শ থাকে, তাহলে তা অত্যন্ত প্রশংসিত হবে, আমার পরিবারের পরিস্থিতি এবং সুস্থ থাকার বিষয়ে। প্রথমবার যখন আমি পুনর্বাসনে যাই, তখন এটি ছিল এক চরম বিপর্যয় যার ফলে আমি ঐসব সুবিধাগুলিতে মোটেও বিশ্বাস করতে পারিনি। আমার থাকার সময় ঠিক হওয়ার আগেই আমি বাস্কেটব"&amp;"ল খেলতে খেলতে আমার হাঁটুর তিনটি লিগামেন্ট ছিঁড়ে ফেলেছিলাম এবং সেখানে মূলত জিম্মি করে রাখা হয়েছিল এবং তারা যখন নিজেদের রক্ষা করার জন্য তাড়াহুড়ো করছিল তখন মিথ্যা বলেছিলাম। তবুও তারা আমাকে যে ৫ অঙ্কের বিল বলেছিল তা সব সময় মেইলে লেখা ছিল। আমি আমার সংগ্রা"&amp;"মের বিভিন্ন পর্যায়ে অনেকবার AA চেষ্টা করেছি, কিন্তু অতীতে এটি আমার জন্য উপযুক্ত হয়নি। আপনি যদি এটি এখনও পড়ে থাকেন এবং আমার জন্য যদি আপনার কোন পরামর্শ থাকে তাহলে আপনাকে ধন্যবাদ। আমি সময়ে সময়ে Reddit স্ক্রোল করি কিন্তু খুব বেশি পোস্ট করিনি এবং সাধারণত "&amp;"খুব বন্ধ ব্যক্তি, তাই এটি আমার জন্য কঠিন ছিল। বলতে গেলে, আমি এখন একেবারে শেষ প্রান্তে এসে পৌঁছেছি এবং আত্মহত্যার চিন্তাভাবনাগুলো তাড়িয়ে দিচ্ছি। তাছাড়া, আমি জানি এতে কারো কোন লাভ হবে না এবং আমার এখনও আশা আছে যে আমি একদিন নিজের ভেতরে সুখ খুঁজে পেতে পারব।")</f>
        <v>আমি (৩৪ বছর বয়সী) ১৭ বছর বয়সে প্রথমবার মদ্যপান করার পর থেকেই অ্যালকোহলের সাথে লড়াই করে আসছি, যদিও আমি অনেক দিন ধরে এটি বুঝতে পারিনি, এবং তারপরেও আমার মনে হয় আমি অবচেতনভাবে সবসময় ভাবতাম যে আমি যদি সত্যিই চাই তবে থামাতে পারি। আমি পারিনি, এবং লজ্জা এবং হতাশা আমাকে গ্রাস করছে বলে আমি আমার ভাঙনের পর্যায়ে পৌঁছেছি। তাছাড়া, আমি গত আড়াই বছর ধরে আমার বান্ধবী (৩৫) এবং তার দুই সন্তান (৬ বছর বয়সী ছেলে এবং ১৩ বছর বয়সী মেয়ে) এর সাথে তার শহরে আমাদের জন্য কেনা একটি বাড়িতে বাস করছি। সেই সময় তারা আমার পরিবার হয়ে উঠেছে, কিন্তু আমার অ্যালকোহল ব্যবহার এবং হতাশার কারণে আমি সে সব ফেলে দিচ্ছি। আমি স্বার্থপরভাবে তাদের ছেড়ে দিতে চাই না, কিন্তু এই মুহুর্তে আমার কাছে স্পষ্ট যে আমি তাদের উপকারের চেয়ে বেশি ক্ষতি করছি। আমার বান্ধবীর ইতিমধ্যেই যথেষ্ট আছে এবং তাকে মাল্টিপল স্ক্লেরোসিসের সাথে মোকাবিলা করতে হচ্ছে, তার উপরে একজন বাজে বাবা তার সন্তানদের জন্য যারা রাজ্যের বাইরে চলে গেছে এবং কোনও সহায়তা দেয় না। আমার লক্ষ্য সবসময়ই ছিল তার এবং বাচ্চাদের জীবন উন্নত করার চেষ্টা করা, কিন্তু এখন আমি তাদের জীবনকে আরও কঠিন করে তুলছি। আমি হিংস্র ব্যক্তি নই, কিন্তু এক বছর আগে আমার বান্ধবীকে ধাক্কা দেওয়ার জন্য পারিবারিক সহিংসতার অভিযোগে গ্রেপ্তার হয়েছিলাম কারণ মদ্যপান আমাকে অন্য একজন ব্যক্তিতে পরিণত করে। বাচ্চারা আমাদের কোনও বড় ঝগড়া করতে দেখেনি, তবে এই ঘটনার কারণে আমি কয়েক মাস ধরে তাদের থেকে দূরে ছিলাম এবং পুনর্বাসনের জন্য আবার বাইরে ছিলাম, যা তাদের জন্য খুব বিভ্রান্তিকর এবং অস্বাস্থ্যকর ছিল, উল্লেখ না করেই আমাদের কিশোরীটি খুব বুদ্ধিমান তাই সে অবশ্যই জানে যে কিছু গভীর সমস্যা রয়েছে। তারা যে বাড়িতে থাকে (আমি সম্প্রতি সেখানে মাঝে মাঝে থাকি এবং আমরা যখন জিনিসপত্র সমাধানের চেষ্টা করছিলাম তখনও আমার বাবার সাথে থাকি) আমার নামে এবং আমি এর খরচ বহন করি, কিন্তু আমি যদি বাইরে চলে যাই তবে আমি তা চালিয়ে যেতে পারব না, এবং আমি জানি যে সে নিজেকে এবং বাচ্চাদের আর্থিকভাবে সহায়তা করতে একা অনেক লড়াই করবে, তাই আমি কী করব তা বুঝতে পারছি না। আমার মনে হচ্ছে আমি স্বার্থপর এবং নেতিবাচক আচরণ করছি যদি আমি থাকি তাহলে তাদের জীবনে এর প্রভাব পড়বে, আর আমার মনে হচ্ছে যদি আমি চলে যাই তাহলে তাদের আর্থিক ও মানসিকভাবে অনেক কষ্ট করতে হবে, বাচ্চাদের জন্য। যদি কারো কোন পরামর্শ থাকে, তাহলে তা অত্যন্ত প্রশংসিত হবে, আমার পরিবারের পরিস্থিতি এবং সুস্থ থাকার বিষয়ে। প্রথমবার যখন আমি পুনর্বাসনে যাই, তখন এটি ছিল এক চরম বিপর্যয় যার ফলে আমি ঐসব সুবিধাগুলিতে মোটেও বিশ্বাস করতে পারিনি। আমার থাকার সময় ঠিক হওয়ার আগেই আমি বাস্কেটবল খেলতে খেলতে আমার হাঁটুর তিনটি লিগামেন্ট ছিঁড়ে ফেলেছিলাম এবং সেখানে মূলত জিম্মি করে রাখা হয়েছিল এবং তারা যখন নিজেদের রক্ষা করার জন্য তাড়াহুড়ো করছিল তখন মিথ্যা বলেছিলাম। তবুও তারা আমাকে যে ৫ অঙ্কের বিল বলেছিল তা সব সময় মেইলে লেখা ছিল। আমি আমার সংগ্রামের বিভিন্ন পর্যায়ে অনেকবার AA চেষ্টা করেছি, কিন্তু অতীতে এটি আমার জন্য উপযুক্ত হয়নি। আপনি যদি এটি এখনও পড়ে থাকেন এবং আমার জন্য যদি আপনার কোন পরামর্শ থাকে তাহলে আপনাকে ধন্যবাদ। আমি সময়ে সময়ে Reddit স্ক্রোল করি কিন্তু খুব বেশি পোস্ট করিনি এবং সাধারণত খুব বন্ধ ব্যক্তি, তাই এটি আমার জন্য কঠিন ছিল। বলতে গেলে, আমি এখন একেবারে শেষ প্রান্তে এসে পৌঁছেছি এবং আত্মহত্যার চিন্তাভাবনাগুলো তাড়িয়ে দিচ্ছি। তাছাড়া, আমি জানি এতে কারো কোন লাভ হবে না এবং আমার এখনও আশা আছে যে আমি একদিন নিজের ভেতরে সুখ খুঁজে পেতে পারব।</v>
      </c>
    </row>
    <row r="1308" spans="1:3" ht="15" x14ac:dyDescent="0.25">
      <c r="A1308" s="3" t="s">
        <v>1303</v>
      </c>
      <c r="B1308" s="3" t="s">
        <v>997</v>
      </c>
      <c r="C1308" s="4" t="str">
        <f ca="1">IFERROR(__xludf.DUMMYFUNCTION("GOOGLETRANSLATE(A1308, ""auto"", ""bn"")"),"আমি বিষণ্ণ এবং মদ্যপানে আসক্ত। সম্প্রতি যখন আমি ঘুম থেকে উঠে দেখি যে আমি অন্য মেয়েদের সাথে খারাপ ব্যবহার করছি। আমি আমার বান্ধবীকে প্রাণভরে ভালোবাসি এবং আমি জানি না কেন আমি কয়েকবার এটা করেছি। বার্তাগুলি না দেখা পর্যন্ত আমার মনে নেই যে আমি এটা করেছি। তোমর"&amp;"া কি কিছু করেছ বা অ্যালকোহলের প্রতি আসক্ত?")</f>
        <v>আমি বিষণ্ণ এবং মদ্যপানে আসক্ত। সম্প্রতি যখন আমি ঘুম থেকে উঠে দেখি যে আমি অন্য মেয়েদের সাথে খারাপ ব্যবহার করছি। আমি আমার বান্ধবীকে প্রাণভরে ভালোবাসি এবং আমি জানি না কেন আমি কয়েকবার এটা করেছি। বার্তাগুলি না দেখা পর্যন্ত আমার মনে নেই যে আমি এটা করেছি। তোমরা কি কিছু করেছ বা অ্যালকোহলের প্রতি আসক্ত?</v>
      </c>
    </row>
    <row r="1309" spans="1:3" ht="15" x14ac:dyDescent="0.25">
      <c r="A1309" s="3" t="s">
        <v>1304</v>
      </c>
      <c r="B1309" s="3" t="s">
        <v>997</v>
      </c>
      <c r="C1309" s="4" t="str">
        <f ca="1">IFERROR(__xludf.DUMMYFUNCTION("GOOGLETRANSLATE(A1309, ""auto"", ""bn"")"),"ডিসেম্বর মাসটা আমার জন্য খারাপ/অপ্রীতিকর ছিল, ভালো ছিল কারণ আমি প্রতিদিন মদ্যপান করতাম, মজাও ছিল, আবার খারাপও ছিল কারণ আমার অনেক সকালে সন্ধ্যার শেষ তিন ঘন্টা মনে করতে পারতাম না। আমি কমিয়ে আনার সিদ্ধান্ত নিয়েছি এবং আসলে ১লা জানুয়ারী থেকে মাত্র তিনটি সেশ"&amp;"ন মদ্যপান করেছি এবং প্রতি সেশনে খাবারের সাথে মাত্র এক বোতল ওয়াইন। আমার বন্ধুবান্ধব এবং স্বামীরা খুব বেশি মদ্যপান করে, তাই আমরা পাবটিতে অনেক সময় কাটাই, এর পরিবর্তে আমি কী পান করতে পারি? আমি ডায়েট কোক খেয়েছি কিন্তু মাত্র কয়েকটি খেতে পারি। আমি স্বাস্থ্য"&amp;"কর খাবার খাওয়ার চেষ্টা করছি তাই লেবুপান চাই না কারণ এটি ক্যালোরিতে পূর্ণ। তাছাড়া, আমি আসলে বিয়ার পানকারী নই, তবে চেষ্টা করে দেখব। পানীয় সম্পর্কে পরামর্শ আশা করি আগামীকাল থেকে আমার স্বামীর সাথে শুরু হওয়া ৯ দিনের ছুটিতে সাহায্য করবে এবং আমরা সম্ভবত পাব"&amp;"টিতে অনেক সময় কাটাব। আমি আর মনে করতে না পারার আগে পর্যন্ত পান করতে চাই না, তবে কিছু পান করতেও চাই। তাই ভাবছি অ-অ্যালকোহল দিয়ে শুরু করব, তারপর খাবারের সাথে ওয়াইন দিয়ে আবার অ-অ্যালকোহল দিয়ে ফিরে যাব।")</f>
        <v>ডিসেম্বর মাসটা আমার জন্য খারাপ/অপ্রীতিকর ছিল, ভালো ছিল কারণ আমি প্রতিদিন মদ্যপান করতাম, মজাও ছিল, আবার খারাপও ছিল কারণ আমার অনেক সকালে সন্ধ্যার শেষ তিন ঘন্টা মনে করতে পারতাম না। আমি কমিয়ে আনার সিদ্ধান্ত নিয়েছি এবং আসলে ১লা জানুয়ারী থেকে মাত্র তিনটি সেশন মদ্যপান করেছি এবং প্রতি সেশনে খাবারের সাথে মাত্র এক বোতল ওয়াইন। আমার বন্ধুবান্ধব এবং স্বামীরা খুব বেশি মদ্যপান করে, তাই আমরা পাবটিতে অনেক সময় কাটাই, এর পরিবর্তে আমি কী পান করতে পারি? আমি ডায়েট কোক খেয়েছি কিন্তু মাত্র কয়েকটি খেতে পারি। আমি স্বাস্থ্যকর খাবার খাওয়ার চেষ্টা করছি তাই লেবুপান চাই না কারণ এটি ক্যালোরিতে পূর্ণ। তাছাড়া, আমি আসলে বিয়ার পানকারী নই, তবে চেষ্টা করে দেখব। পানীয় সম্পর্কে পরামর্শ আশা করি আগামীকাল থেকে আমার স্বামীর সাথে শুরু হওয়া ৯ দিনের ছুটিতে সাহায্য করবে এবং আমরা সম্ভবত পাবটিতে অনেক সময় কাটাব। আমি আর মনে করতে না পারার আগে পর্যন্ত পান করতে চাই না, তবে কিছু পান করতেও চাই। তাই ভাবছি অ-অ্যালকোহল দিয়ে শুরু করব, তারপর খাবারের সাথে ওয়াইন দিয়ে আবার অ-অ্যালকোহল দিয়ে ফিরে যাব।</v>
      </c>
    </row>
    <row r="1310" spans="1:3" ht="15" x14ac:dyDescent="0.25">
      <c r="A1310" s="3" t="s">
        <v>1305</v>
      </c>
      <c r="B1310" s="3" t="s">
        <v>997</v>
      </c>
      <c r="C1310" s="4" t="str">
        <f ca="1">IFERROR(__xludf.DUMMYFUNCTION("GOOGLETRANSLATE(A1310, ""auto"", ""bn"")"),"এটা ঠিক হবে কিনা জানি না, যদি না হয়, তাহলে আমি ক্ষমা চাইছি। কিন্তু আমার মনে হয়েছে যে এটা কোনওভাবে, কোনওভাবে বের করে আনার সময় এসেছে। আর? আমার মনে হয়? এটা একটা বাজে কথা। আমি জানি আমি জানি এবং আমি এতে আটকে আছি। আমার একটা দুর্দান্ত ক্যারিয়ার আছে, একটা অসাধার"&amp;"ণ স্ত্রী এবং ছেলে আছে, আমি আরেকটা থাকার কথা বলি, আর আমি একজন মাতাল। তাছাড়া, আমি বেশ নিখুঁতভাবে বোরবন খেলে কাজ করি এবং ঘুমাতেও পারি না। মদ্যপান এবং আসক্তি আমার পরিবারের গভীরে। আমার বাবা বহু বছর আগে এটা ছেড়ে দিয়েছেন এবং ধর্মকে তার জায়গায় খুঁজে পেয়েছেন"&amp;" - আমার জন্য সেখানে যাওয়ার কোনও সম্ভাবনা নেই - এবং আমি স্পষ্ট দৃষ্টিতে এটা লুকিয়ে রাখতে ওস্তাদ হয়ে গেছি, হয় চতুর অজুহাত দিয়ে অথবা সুপরিচিত উপাখ্যান দিয়ে ভুল ব্যাখ্যা করার জন্য, অন্যদের কাছে এবং নিজের কাছে। আমি এটা করে বেশি দিন টিকে থাকতে পারছি না। আমা"&amp;"র বয়স ৪৩ এবং আমি জানি এটি আমার শরীরের উপর কী প্রভাব ফেলছে, এবং এটি অস্থির। কিন্তু আমি নিজের জন্য তৈরি একটি চক্রেও আটকা পড়েছি যেখানে আমি সাহায্য চাইতে পারি না, অন্তত প্রকাশ্যে নয়। অস্থির পারিবারিক পরিস্থিতির জন্য আমাকেই পাথর হিসেবে দেখা হয়, তা তাৎক্ষণি"&amp;"ক এবং দীর্ঘস্থায়ী উভয় ক্ষেত্রেই। আমি দুর্বলতা দেখাতে পারি না।")</f>
        <v>এটা ঠিক হবে কিনা জানি না, যদি না হয়, তাহলে আমি ক্ষমা চাইছি। কিন্তু আমার মনে হয়েছে যে এটা কোনওভাবে, কোনওভাবে বের করে আনার সময় এসেছে। আর? আমার মনে হয়? এটা একটা বাজে কথা। আমি জানি আমি জানি এবং আমি এতে আটকে আছি। আমার একটা দুর্দান্ত ক্যারিয়ার আছে, একটা অসাধারণ স্ত্রী এবং ছেলে আছে, আমি আরেকটা থাকার কথা বলি, আর আমি একজন মাতাল। তাছাড়া, আমি বেশ নিখুঁতভাবে বোরবন খেলে কাজ করি এবং ঘুমাতেও পারি না। মদ্যপান এবং আসক্তি আমার পরিবারের গভীরে। আমার বাবা বহু বছর আগে এটা ছেড়ে দিয়েছেন এবং ধর্মকে তার জায়গায় খুঁজে পেয়েছেন - আমার জন্য সেখানে যাওয়ার কোনও সম্ভাবনা নেই - এবং আমি স্পষ্ট দৃষ্টিতে এটা লুকিয়ে রাখতে ওস্তাদ হয়ে গেছি, হয় চতুর অজুহাত দিয়ে অথবা সুপরিচিত উপাখ্যান দিয়ে ভুল ব্যাখ্যা করার জন্য, অন্যদের কাছে এবং নিজের কাছে। আমি এটা করে বেশি দিন টিকে থাকতে পারছি না। আমার বয়স ৪৩ এবং আমি জানি এটি আমার শরীরের উপর কী প্রভাব ফেলছে, এবং এটি অস্থির। কিন্তু আমি নিজের জন্য তৈরি একটি চক্রেও আটকা পড়েছি যেখানে আমি সাহায্য চাইতে পারি না, অন্তত প্রকাশ্যে নয়। অস্থির পারিবারিক পরিস্থিতির জন্য আমাকেই পাথর হিসেবে দেখা হয়, তা তাৎক্ষণিক এবং দীর্ঘস্থায়ী উভয় ক্ষেত্রেই। আমি দুর্বলতা দেখাতে পারি না।</v>
      </c>
    </row>
    <row r="1311" spans="1:3" ht="15" x14ac:dyDescent="0.25">
      <c r="A1311" s="3" t="s">
        <v>1306</v>
      </c>
      <c r="B1311" s="3" t="s">
        <v>997</v>
      </c>
      <c r="C1311" s="4" t="str">
        <f ca="1">IFERROR(__xludf.DUMMYFUNCTION("GOOGLETRANSLATE(A1311, ""auto"", ""bn"")"),"আমি নিশ্চিত নই যে এই গ্রুপটি এর জন্য উপযুক্ত কিনা তবে আমার সত্যিই কিছু পরামর্শের প্রয়োজন। আমি আগে মদ্যপান এবং বন্ধুদের সাথে বাইরে বেরোনোর ​​অভ্যাস সামলাতে পারতাম। কিন্তু গত দুই বছরে আমার অনেক ব্ল্যাকআউট হয়েছে। এটা প্রায় নিয়ন্ত্রণহীন। আমি একটি দীর্ঘমেয"&amp;"়াদী সম্পর্কের মধ্যে আছি যা আমি যখন মদ্যপান করি তখন ক্রমাগত পরীক্ষা করা হয়। অ্যালকোহলের কারণে খারাপ বিশ্বাসের সমস্যা দেখা দিয়েছে, কিন্তু সে পাশে থেকেছে এবং টিকে আছে। সে আমাকে অফুরন্ত সুযোগ দিয়েছে এবং আমি তাকে বলেছি যে এটি আর ঘটবে না, কিন্তু তা ঘটে। আমি"&amp;" কেবল একবার খুব বেশি মদ্যপান করি, এবং এটি আমাকে মিথ্যা বলে, তার সাথে খারাপ ব্যবহার করে অথবা কেবল ঝামেলা করে। আমি তাকে হারাতে পারি না এবং আমি জানি না কী করব। আমার বয়স 23 এবং এর কারণে আমি আর আমার বন্ধুদের সাথে বাইরেও যাই না। এটি কেবল সামাজিক নিয়ম এবং আমি "&amp;"কীভাবে এগিয়ে যাব তা বুঝতে পারছি না। আমি কয়েক মাস ধরে মদ্যপান ছাড়াই কাটিয়েছি, ধীরে ধীরে পুনরায় পরিচয় করিয়ে দেওয়ার চেষ্টা করেছি, কিন্তু এটি সর্বদা কেবল একটি খারাপ রাতের সাথে শেষ হয়।")</f>
        <v>আমি নিশ্চিত নই যে এই গ্রুপটি এর জন্য উপযুক্ত কিনা তবে আমার সত্যিই কিছু পরামর্শের প্রয়োজন। আমি আগে মদ্যপান এবং বন্ধুদের সাথে বাইরে বেরোনোর ​​অভ্যাস সামলাতে পারতাম। কিন্তু গত দুই বছরে আমার অনেক ব্ল্যাকআউট হয়েছে। এটা প্রায় নিয়ন্ত্রণহীন। আমি একটি দীর্ঘমেয়াদী সম্পর্কের মধ্যে আছি যা আমি যখন মদ্যপান করি তখন ক্রমাগত পরীক্ষা করা হয়। অ্যালকোহলের কারণে খারাপ বিশ্বাসের সমস্যা দেখা দিয়েছে, কিন্তু সে পাশে থেকেছে এবং টিকে আছে। সে আমাকে অফুরন্ত সুযোগ দিয়েছে এবং আমি তাকে বলেছি যে এটি আর ঘটবে না, কিন্তু তা ঘটে। আমি কেবল একবার খুব বেশি মদ্যপান করি, এবং এটি আমাকে মিথ্যা বলে, তার সাথে খারাপ ব্যবহার করে অথবা কেবল ঝামেলা করে। আমি তাকে হারাতে পারি না এবং আমি জানি না কী করব। আমার বয়স 23 এবং এর কারণে আমি আর আমার বন্ধুদের সাথে বাইরেও যাই না। এটি কেবল সামাজিক নিয়ম এবং আমি কীভাবে এগিয়ে যাব তা বুঝতে পারছি না। আমি কয়েক মাস ধরে মদ্যপান ছাড়াই কাটিয়েছি, ধীরে ধীরে পুনরায় পরিচয় করিয়ে দেওয়ার চেষ্টা করেছি, কিন্তু এটি সর্বদা কেবল একটি খারাপ রাতের সাথে শেষ হয়।</v>
      </c>
    </row>
    <row r="1312" spans="1:3" ht="15" x14ac:dyDescent="0.25">
      <c r="A1312" s="3" t="s">
        <v>1307</v>
      </c>
      <c r="B1312" s="3" t="s">
        <v>997</v>
      </c>
      <c r="C1312" s="4" t="str">
        <f ca="1">IFERROR(__xludf.DUMMYFUNCTION("GOOGLETRANSLATE(A1312, ""auto"", ""bn"")"),"২২শে জানুয়ারী, ২০০৮ তারিখে ৯১১ নম্বরে ফোন করে মনে হচ্ছিল আমি মারা যাচ্ছি। ৩০+ দিনের বেশি সময় ধরে মদ্যপান করছিলাম এবং মদ্যপান বন্ধ করতে পারছিলাম না। ৭+ ঘন্টা ধরে জরুরি বিভাগে ডিটক্সিং করছিলাম। এই ঘরে বসে আমার বুকে মনিটর এবং আমার শরীরে আইভি ছিল, ৪৩ বছর বয"&amp;"়সে আমি তলপেটে পৌঁছে গিয়েছিলাম। আমি ১৪ বছর বয়স থেকেই মদ্যপান করে আসছিলাম। ১৪ বছর বয়সে, আমি প্রায় ১/২ পাইন্ট গোল্ডেন গ্রেইন পান করেছিলাম এবং মনে হচ্ছিল আমি আফিমের আস্তানায় আছি। এখান থেকেই আমার সবকিছু শুরু হয়েছিল। আমি সাধারণ কিশোরদের মতো পান করতাম যতক"&amp;"্ষণ না আমি প্রায় ২১ বছর বয়সে বারে পৌঁছাই। আমি সবসময় কাজ করতাম এবং চাকরি করতাম, কিন্তু ৪০ বছর বয়সে রোগটি আমার উপর উল্টে যেতে শুরু করে। তাছাড়া, আমি আর আমার মদ্যপান নিয়ন্ত্রণ করতে পারিনি, এটি এখন আমাকে নিয়ন্ত্রণ করছে। এবং পরিমাণ ছাদের উপর দিয়ে যাচ্ছি"&amp;"ল এবং মৃত্যু আমার কাছে এসেছিল, আমি বলতে পারি। ২২ জানুয়ারী, ২০০৮ আমার জন্য এটি ছিল। আমি সিদ্ধান্ত নিয়েছিলাম যে আমি মদ্যপ হব এবং আর কখনও মদ্যপান করতে পারব না। ২০০৮ সালের ২৩শে জানুয়ারী আমি আমার যাত্রা শুরু করি। ৫১১৪ দিন পর আমার আর মদ্যপানের ইচ্ছা নেই। আমি আ"&amp;"র পিছনে ফিরে যেতে চাই না। আমি আর কষ্ট পেতে চাই না। তাছাড়া, এখন আমি শান্তভাবে জীবনযাপন করছি। প্রতি বছর সহজ হচ্ছে। যদি আপনার কোন প্রশ্ন থাকে বা আজ সমস্যা হচ্ছে, তাহলে অনুগ্রহ করে আমাকে PM করুন।")</f>
        <v>২২শে জানুয়ারী, ২০০৮ তারিখে ৯১১ নম্বরে ফোন করে মনে হচ্ছিল আমি মারা যাচ্ছি। ৩০+ দিনের বেশি সময় ধরে মদ্যপান করছিলাম এবং মদ্যপান বন্ধ করতে পারছিলাম না। ৭+ ঘন্টা ধরে জরুরি বিভাগে ডিটক্সিং করছিলাম। এই ঘরে বসে আমার বুকে মনিটর এবং আমার শরীরে আইভি ছিল, ৪৩ বছর বয়সে আমি তলপেটে পৌঁছে গিয়েছিলাম। আমি ১৪ বছর বয়স থেকেই মদ্যপান করে আসছিলাম। ১৪ বছর বয়সে, আমি প্রায় ১/২ পাইন্ট গোল্ডেন গ্রেইন পান করেছিলাম এবং মনে হচ্ছিল আমি আফিমের আস্তানায় আছি। এখান থেকেই আমার সবকিছু শুরু হয়েছিল। আমি সাধারণ কিশোরদের মতো পান করতাম যতক্ষণ না আমি প্রায় ২১ বছর বয়সে বারে পৌঁছাই। আমি সবসময় কাজ করতাম এবং চাকরি করতাম, কিন্তু ৪০ বছর বয়সে রোগটি আমার উপর উল্টে যেতে শুরু করে। তাছাড়া, আমি আর আমার মদ্যপান নিয়ন্ত্রণ করতে পারিনি, এটি এখন আমাকে নিয়ন্ত্রণ করছে। এবং পরিমাণ ছাদের উপর দিয়ে যাচ্ছিল এবং মৃত্যু আমার কাছে এসেছিল, আমি বলতে পারি। ২২ জানুয়ারী, ২০০৮ আমার জন্য এটি ছিল। আমি সিদ্ধান্ত নিয়েছিলাম যে আমি মদ্যপ হব এবং আর কখনও মদ্যপান করতে পারব না। ২০০৮ সালের ২৩শে জানুয়ারী আমি আমার যাত্রা শুরু করি। ৫১১৪ দিন পর আমার আর মদ্যপানের ইচ্ছা নেই। আমি আর পিছনে ফিরে যেতে চাই না। আমি আর কষ্ট পেতে চাই না। তাছাড়া, এখন আমি শান্তভাবে জীবনযাপন করছি। প্রতি বছর সহজ হচ্ছে। যদি আপনার কোন প্রশ্ন থাকে বা আজ সমস্যা হচ্ছে, তাহলে অনুগ্রহ করে আমাকে PM করুন।</v>
      </c>
    </row>
    <row r="1313" spans="1:3" ht="15" x14ac:dyDescent="0.25">
      <c r="A1313" s="3" t="s">
        <v>1308</v>
      </c>
      <c r="B1313" s="3" t="s">
        <v>997</v>
      </c>
      <c r="C1313" s="4" t="str">
        <f ca="1">IFERROR(__xludf.DUMMYFUNCTION("GOOGLETRANSLATE(A1313, ""auto"", ""bn"")"),"আমি জানতে চাইছি কেউ কি এরকম কিছু অনুভব করেছে কিনা, প্রথমবার যখন আমি সুস্থ হয়ে উঠি, তখন আমার মনে হয় না এটা ঘটেছে, কিন্তু তারপর আবার হাসপাতালে ৪ দিনের ডিটক্স ছিল। যাই হোক, আমি প্রায় ২.৫ দিন সুস্থ ছিলাম এবং শেষ কয়েক রাত ধরে এই অদ্ভুত জিনিসটি ঘটছে। প্রথমত"&amp;", এটি সম্ভবত অনেকক্ষণ জেগে থাকার মতো ক্লান্ত (কিন্তু চোখের পিছনে আবার সেই সত্যিকারের ক্লান্তি অনুভব করা ভালো, যদি তা বোধগম্য হয় তবে অজ্ঞান না হওয়া পর্যন্ত পান করব না) এবং আমি ঘুমাতে যাব এবং ঠিক যখন আমি স্বপ্নের দেশে রূপান্তরিত হচ্ছি, তখন স্বপ্নের শব্দ হ"&amp;"ঠাৎ করেই খুব জোরে জোরে আমাকে জাগিয়ে তুলবে। এটি পরপর কয়েকবার ঘটবে। এটি ঘুমকে একরকম বিপর্যস্ত করে তোলে, কিন্তু আমি ইতিমধ্যেই জানতাম যে মাত্র কয়েক দিনের মধ্যে ঘুম স্বাভাবিক অবস্থায় ফিরে আসবে না এবং তবুও আমি এখনও আরও বিশ্রাম বোধ করছি।")</f>
        <v>আমি জানতে চাইছি কেউ কি এরকম কিছু অনুভব করেছে কিনা, প্রথমবার যখন আমি সুস্থ হয়ে উঠি, তখন আমার মনে হয় না এটা ঘটেছে, কিন্তু তারপর আবার হাসপাতালে ৪ দিনের ডিটক্স ছিল। যাই হোক, আমি প্রায় ২.৫ দিন সুস্থ ছিলাম এবং শেষ কয়েক রাত ধরে এই অদ্ভুত জিনিসটি ঘটছে। প্রথমত, এটি সম্ভবত অনেকক্ষণ জেগে থাকার মতো ক্লান্ত (কিন্তু চোখের পিছনে আবার সেই সত্যিকারের ক্লান্তি অনুভব করা ভালো, যদি তা বোধগম্য হয় তবে অজ্ঞান না হওয়া পর্যন্ত পান করব না) এবং আমি ঘুমাতে যাব এবং ঠিক যখন আমি স্বপ্নের দেশে রূপান্তরিত হচ্ছি, তখন স্বপ্নের শব্দ হঠাৎ করেই খুব জোরে জোরে আমাকে জাগিয়ে তুলবে। এটি পরপর কয়েকবার ঘটবে। এটি ঘুমকে একরকম বিপর্যস্ত করে তোলে, কিন্তু আমি ইতিমধ্যেই জানতাম যে মাত্র কয়েক দিনের মধ্যে ঘুম স্বাভাবিক অবস্থায় ফিরে আসবে না এবং তবুও আমি এখনও আরও বিশ্রাম বোধ করছি।</v>
      </c>
    </row>
    <row r="1314" spans="1:3" ht="15" x14ac:dyDescent="0.25">
      <c r="A1314" s="3" t="s">
        <v>1309</v>
      </c>
      <c r="B1314" s="3" t="s">
        <v>997</v>
      </c>
      <c r="C1314" s="4" t="str">
        <f ca="1">IFERROR(__xludf.DUMMYFUNCTION("GOOGLETRANSLATE(A1314, ""auto"", ""bn"")"),"আমার অবশ্যই একটা সমস্যা আছে। প্রথমবার যখন আমি এক চুমুকও মদ্যপান করেছিলাম, তখনই আমি জানতাম এটা আমাকে সারা জীবনের জন্য ভোগাবে। আর আমি এখন, ২৫ বছর বয়সী, কলেজ ডিগ্রিধারী, সপ্তাহে ৪০ ঘন্টা একটি পেট্রোল পাম্পের চাকরিতে কাজ করছি যা প্রতিদিন আমার আত্মাকে ধীরে ধী"&amp;"রে চুষে দিচ্ছে। আমার জীবনকে আমি কতটা ঘৃণা করি তার একমাত্র অবকাশ হল মদ্যপান। আমি আগে বন্ধুদের সাথে বাইরে মদ্যপান করতাম, কিন্তু এখন আমি একা থাকতে চাই এবং প্লাস্টার হয়ে যাই। আমি আমার জীবনকে ঘৃণা করি। তাছাড়া, আমি মাতাল অবস্থায় দুবার আত্মহত্যার চেষ্টা করেছি"&amp;" এবং একবার একটি হাসপাতালে ভর্তি হয়েছি। সেখানে থাকার ফলে আমি এমন স্বচ্ছতার অনুভূতি পেয়েছি যা আগে কখনও পাইনি কিন্তু, যখনই আমি বেরিয়ে আসি, তখনই আমি আবার একই পুরনো চক্রে ফিরে যাই। এখন জিনিসপত্র আরও খারাপ হচ্ছে। কিন্তু আমি এখনও মদ্যপান ছাড়া আমার জীবন কল্পন"&amp;"া করতে পারি না। আমি শান্ত থাকতে প্রস্তুত নই, তবে আমি এই জীবনকে একেবারেই ঘৃণা করি এবং বিশেষ করে এটি আমার শরীরের সাথে যা করা হচ্ছে তা ঘৃণা করি। আমি ক্রমাগত নিজেকে মদ্যপানের জন্য অজুহাত দিচ্ছি, এবং আমি নিয়ন্ত্রণের বাইরে বোধ করছি। তাছাড়া, আমি সপ্তাহে কয়েকবার"&amp;" মাতাল হই এবং এমন পুরুষদের সাথে যৌন সম্পর্ক করি যারা আমাকে সম্পূর্ণরূপে বিরক্ত করে... তাছাড়া, আমি আর কী করব জানি না। তাছাড়া, আমি থামতে পারছি না, কিন্তু আমার একটা সমস্যা আছে তা স্বীকার করতে ভয় পাচ্ছি। আমার বাবা-মা দুজনেই সুস্থ হয়েছেন মদ্যপ, এবং আমি ভয় পাচ্"&amp;"ছি যে আমি যদি স্বীকার করি যে আমি এই সমস্যার সাথে লড়াই করছি তাহলে আমি তাদের হতাশ করব। কখনও কখনও আমি জানি না কোনটা আসল আর কোনটা নয়। এই মুহূর্তে, আমি আটকে আছি। আমি আমার মায়ের সাথে ফিরে যাওয়ার চেষ্টা করছি, কিন্তু ভয়ে আমি পক্ষাঘাতগ্রস্ত এবং এই পরিকল্পনাটি "&amp;"এগিয়ে নিতে কিছুই করতে পারছি না কারণ আমার মনে হয় আমি এমন পরিবেশে থাকতে নার্ভাস যেখানে আমি মদ্যপান করতে পারব না.... আমার জীবন পরিবর্তন করা দরকার, কিন্তু আমি যথেষ্ট শক্তিশালী বোধ করছি না.... উৎসাহের যেকোনো শব্দ স্বাগত।")</f>
        <v>আমার অবশ্যই একটা সমস্যা আছে। প্রথমবার যখন আমি এক চুমুকও মদ্যপান করেছিলাম, তখনই আমি জানতাম এটা আমাকে সারা জীবনের জন্য ভোগাবে। আর আমি এখন, ২৫ বছর বয়সী, কলেজ ডিগ্রিধারী, সপ্তাহে ৪০ ঘন্টা একটি পেট্রোল পাম্পের চাকরিতে কাজ করছি যা প্রতিদিন আমার আত্মাকে ধীরে ধীরে চুষে দিচ্ছে। আমার জীবনকে আমি কতটা ঘৃণা করি তার একমাত্র অবকাশ হল মদ্যপান। আমি আগে বন্ধুদের সাথে বাইরে মদ্যপান করতাম, কিন্তু এখন আমি একা থাকতে চাই এবং প্লাস্টার হয়ে যাই। আমি আমার জীবনকে ঘৃণা করি। তাছাড়া, আমি মাতাল অবস্থায় দুবার আত্মহত্যার চেষ্টা করেছি এবং একবার একটি হাসপাতালে ভর্তি হয়েছি। সেখানে থাকার ফলে আমি এমন স্বচ্ছতার অনুভূতি পেয়েছি যা আগে কখনও পাইনি কিন্তু, যখনই আমি বেরিয়ে আসি, তখনই আমি আবার একই পুরনো চক্রে ফিরে যাই। এখন জিনিসপত্র আরও খারাপ হচ্ছে। কিন্তু আমি এখনও মদ্যপান ছাড়া আমার জীবন কল্পনা করতে পারি না। আমি শান্ত থাকতে প্রস্তুত নই, তবে আমি এই জীবনকে একেবারেই ঘৃণা করি এবং বিশেষ করে এটি আমার শরীরের সাথে যা করা হচ্ছে তা ঘৃণা করি। আমি ক্রমাগত নিজেকে মদ্যপানের জন্য অজুহাত দিচ্ছি, এবং আমি নিয়ন্ত্রণের বাইরে বোধ করছি। তাছাড়া, আমি সপ্তাহে কয়েকবার মাতাল হই এবং এমন পুরুষদের সাথে যৌন সম্পর্ক করি যারা আমাকে সম্পূর্ণরূপে বিরক্ত করে... তাছাড়া, আমি আর কী করব জানি না। তাছাড়া, আমি থামতে পারছি না, কিন্তু আমার একটা সমস্যা আছে তা স্বীকার করতে ভয় পাচ্ছি। আমার বাবা-মা দুজনেই সুস্থ হয়েছেন মদ্যপ, এবং আমি ভয় পাচ্ছি যে আমি যদি স্বীকার করি যে আমি এই সমস্যার সাথে লড়াই করছি তাহলে আমি তাদের হতাশ করব। কখনও কখনও আমি জানি না কোনটা আসল আর কোনটা নয়। এই মুহূর্তে, আমি আটকে আছি। আমি আমার মায়ের সাথে ফিরে যাওয়ার চেষ্টা করছি, কিন্তু ভয়ে আমি পক্ষাঘাতগ্রস্ত এবং এই পরিকল্পনাটি এগিয়ে নিতে কিছুই করতে পারছি না কারণ আমার মনে হয় আমি এমন পরিবেশে থাকতে নার্ভাস যেখানে আমি মদ্যপান করতে পারব না.... আমার জীবন পরিবর্তন করা দরকার, কিন্তু আমি যথেষ্ট শক্তিশালী বোধ করছি না.... উৎসাহের যেকোনো শব্দ স্বাগত।</v>
      </c>
    </row>
    <row r="1315" spans="1:3" ht="15" x14ac:dyDescent="0.25">
      <c r="A1315" s="3" t="s">
        <v>1310</v>
      </c>
      <c r="B1315" s="3" t="s">
        <v>997</v>
      </c>
      <c r="C1315" s="4" t="str">
        <f ca="1">IFERROR(__xludf.DUMMYFUNCTION("GOOGLETRANSLATE(A1315, ""auto"", ""bn"")"),"কলেজ শেষ করার কয়েক বছর আগে আমি শহরে চলে এসেছি। এখন আমি প্রতি সপ্তাহান্তে, মাঝে মাঝে সপ্তাহের মধ্যে, নিজেকে অন্ধকারে দেখতে পাই এবং একই চক্রে বাস করি যা থামাতে পারি না। সপ্তাহান্তে বন্ধুদের সাথে বাইরে যাওয়া, অন্ধকারে যাওয়ার জন্য পর্যাপ্ত মদ্যপান করা, এক "&amp;"ব্যাগ কোকেন খাওয়া, কখনও কখনও মলি খাওয়া, এবং সর্বদা কোনও এলোমেলো ব্যক্তির সাথে বাড়িতে যাওয়া। আমি এমনকি এমন পর্যায়ে পৌঁছেছি যেখানে আমি কেবল টিন্ডারে পুরুষদের সাথে দেখা করি এবং তাদের সাথে যৌন মিলনের জন্য মাতাল হই এবং তাদের সাথে আর কখনও কথা বলি না। সমস্য"&amp;"া হল আমার পেশার সবাই একই রকম, আমার সব বন্ধু একই রকম এবং আমি কোথা থেকে শুরু করব তাও জানি না। আমি সারা সপ্তাহ ধরে বেশ কয়েকদিন অস্থির থাকি, কিন্তু সপ্তাহান্তে কারও কাছ থেকে বাইরে যাওয়ার জন্য একটি টেক্সট পাওয়ার পরে এটি ঘটে। আমি বাইরে যাওয়ার পরে পুরো পরের "&amp;"দিন বা দুই দিন বিছানায় মৃত্যুর সাথে কাটাই। আমি বাড়ি থেকে কাজ করি, এবং তাই লগ ইন করার এক মিনিট আগে আমি ঘুম থেকে উঠে যাই, তাই কর্মক্ষেত্রে আমার এখনও কোনও নেতিবাচক প্রভাব পড়েনি। শুধু - আমি কীভাবে এটি বন্ধ করব? আমি চেষ্টা করেছি, কিন্তু কারো কাছ থেকে আসা এক"&amp;"টা টেক্সট আমাকে আবার আগের মতোই অভ্যাসের মধ্যে নিয়ে যায়। আমি সপ্তাহজুড়ে জিমে গিয়ে পরিষ্কার-পরিচ্ছন্নতার চেষ্টা করি যাতে আমার মনোযোগ নষ্ট না হয়। কিন্তু সপ্তাহান্তে একেবারেই আলাদা। আমার কী করা উচিত?")</f>
        <v>কলেজ শেষ করার কয়েক বছর আগে আমি শহরে চলে এসেছি। এখন আমি প্রতি সপ্তাহান্তে, মাঝে মাঝে সপ্তাহের মধ্যে, নিজেকে অন্ধকারে দেখতে পাই এবং একই চক্রে বাস করি যা থামাতে পারি না। সপ্তাহান্তে বন্ধুদের সাথে বাইরে যাওয়া, অন্ধকারে যাওয়ার জন্য পর্যাপ্ত মদ্যপান করা, এক ব্যাগ কোকেন খাওয়া, কখনও কখনও মলি খাওয়া, এবং সর্বদা কোনও এলোমেলো ব্যক্তির সাথে বাড়িতে যাওয়া। আমি এমনকি এমন পর্যায়ে পৌঁছেছি যেখানে আমি কেবল টিন্ডারে পুরুষদের সাথে দেখা করি এবং তাদের সাথে যৌন মিলনের জন্য মাতাল হই এবং তাদের সাথে আর কখনও কথা বলি না। সমস্যা হল আমার পেশার সবাই একই রকম, আমার সব বন্ধু একই রকম এবং আমি কোথা থেকে শুরু করব তাও জানি না। আমি সারা সপ্তাহ ধরে বেশ কয়েকদিন অস্থির থাকি, কিন্তু সপ্তাহান্তে কারও কাছ থেকে বাইরে যাওয়ার জন্য একটি টেক্সট পাওয়ার পরে এটি ঘটে। আমি বাইরে যাওয়ার পরে পুরো পরের দিন বা দুই দিন বিছানায় মৃত্যুর সাথে কাটাই। আমি বাড়ি থেকে কাজ করি, এবং তাই লগ ইন করার এক মিনিট আগে আমি ঘুম থেকে উঠে যাই, তাই কর্মক্ষেত্রে আমার এখনও কোনও নেতিবাচক প্রভাব পড়েনি। শুধু - আমি কীভাবে এটি বন্ধ করব? আমি চেষ্টা করেছি, কিন্তু কারো কাছ থেকে আসা একটা টেক্সট আমাকে আবার আগের মতোই অভ্যাসের মধ্যে নিয়ে যায়। আমি সপ্তাহজুড়ে জিমে গিয়ে পরিষ্কার-পরিচ্ছন্নতার চেষ্টা করি যাতে আমার মনোযোগ নষ্ট না হয়। কিন্তু সপ্তাহান্তে একেবারেই আলাদা। আমার কী করা উচিত?</v>
      </c>
    </row>
    <row r="1316" spans="1:3" ht="15" x14ac:dyDescent="0.25">
      <c r="A1316" s="3" t="s">
        <v>1311</v>
      </c>
      <c r="B1316" s="3" t="s">
        <v>997</v>
      </c>
      <c r="C1316" s="4" t="str">
        <f ca="1">IFERROR(__xludf.DUMMYFUNCTION("GOOGLETRANSLATE(A1316, ""auto"", ""bn"")"),"৭ বছর আগে হাঁটুতে আঘাত পাওয়ার পর থেকেই আমার বাবা মদ্যপান শুরু করেছিলেন। তখন আমি বেশ ছোট ছিলাম, তাই আমি আসলে এটা নিয়ে খুব একটা ভাবতাম না। এর পর থেকে অন্তত পাঁচ মাস তিনি হাঁটতে পারতেন না, তাই বিছানায় শুয়ে থাকার সময় তিনি কী পরিস্থিতির মধ্য দিয়ে যাচ্ছিল"&amp;"েন তা আমি কল্পনা করতে পারি। প্রথমে, মাতাল অবস্থায় তিনি কেবল কাঁদতেন। এত জোরে যে আমি সাধারণত চলে যেতাম অথবা আমার ঘরে গান বাজিয়ে বসে থাকতাম যাতে তা কমানো যায়। কিন্তু বছর যত গড়িয়েছে, তার অবস্থা আরও খারাপ হতে থাকে। ধীরে ধীরে তিনি আরও বেশি সোচ্চার হয়ে ওঠ"&amp;"েন, যা তিনি সাধারণত ঘুমের সময় নিজের মনে রাখতেন। বিশেষ করে আমার সৎ মা বা আমার সম্পর্কে যা নিজের মধ্যে রাখা উচিত। তখনও আমি বুঝতে পারিনি যে এটি কতটা ভুল ছিল। আমি হাই স্কুলের সিনিয়র ইয়ারে না ওঠা পর্যন্ত নয়। তখনই তিনি চিৎকার করতেন এবং আমাদের উপর কটূক্তি কর"&amp;"তেন। শারীরিকভাবে হিংস্র ছিলেন না কিন্তু আমাদের ভয় দেখানোর জন্য যথেষ্ট ছিল। এবং আমার বুঝতে খুব কষ্ট হয়েছিল যে কেন তিনি এমন ছিলেন এবং কেন তিনি আমাদের প্রতি ক্ষতিকারক হবেন। মহামারীর কয়েক বছর পর, আমি কল্পনাও করতে পারছি না যে সে কতটা খারাপ হতে পারে। সে মদ্যপ"&amp;"ান করে গাড়ি চালায়, মানসিক ও মৌখিকভাবে আমাকে গালিগালাজ করে (সম্প্রতি আমি এর সাথে একমত হয়েছি), এবং প্রায় প্রতিদিনই মদ্যপান করে। আমি বলতে চাই যে আমি এখনও তাকে ভালোবাসি, কিন্তু একই সাথে তাকে বিরক্ত ও ঘৃণা না করা কঠিন। এটা স্বীকার করে আমি অপরাধবোধ করি, কিন্তু"&amp;" এ সম্পর্কে আমার অনুভূতি কীভাবে প্রকাশ করব তাও আমি নিশ্চিত নই।")</f>
        <v>৭ বছর আগে হাঁটুতে আঘাত পাওয়ার পর থেকেই আমার বাবা মদ্যপান শুরু করেছিলেন। তখন আমি বেশ ছোট ছিলাম, তাই আমি আসলে এটা নিয়ে খুব একটা ভাবতাম না। এর পর থেকে অন্তত পাঁচ মাস তিনি হাঁটতে পারতেন না, তাই বিছানায় শুয়ে থাকার সময় তিনি কী পরিস্থিতির মধ্য দিয়ে যাচ্ছিলেন তা আমি কল্পনা করতে পারি। প্রথমে, মাতাল অবস্থায় তিনি কেবল কাঁদতেন। এত জোরে যে আমি সাধারণত চলে যেতাম অথবা আমার ঘরে গান বাজিয়ে বসে থাকতাম যাতে তা কমানো যায়। কিন্তু বছর যত গড়িয়েছে, তার অবস্থা আরও খারাপ হতে থাকে। ধীরে ধীরে তিনি আরও বেশি সোচ্চার হয়ে ওঠেন, যা তিনি সাধারণত ঘুমের সময় নিজের মনে রাখতেন। বিশেষ করে আমার সৎ মা বা আমার সম্পর্কে যা নিজের মধ্যে রাখা উচিত। তখনও আমি বুঝতে পারিনি যে এটি কতটা ভুল ছিল। আমি হাই স্কুলের সিনিয়র ইয়ারে না ওঠা পর্যন্ত নয়। তখনই তিনি চিৎকার করতেন এবং আমাদের উপর কটূক্তি করতেন। শারীরিকভাবে হিংস্র ছিলেন না কিন্তু আমাদের ভয় দেখানোর জন্য যথেষ্ট ছিল। এবং আমার বুঝতে খুব কষ্ট হয়েছিল যে কেন তিনি এমন ছিলেন এবং কেন তিনি আমাদের প্রতি ক্ষতিকারক হবেন। মহামারীর কয়েক বছর পর, আমি কল্পনাও করতে পারছি না যে সে কতটা খারাপ হতে পারে। সে মদ্যপান করে গাড়ি চালায়, মানসিক ও মৌখিকভাবে আমাকে গালিগালাজ করে (সম্প্রতি আমি এর সাথে একমত হয়েছি), এবং প্রায় প্রতিদিনই মদ্যপান করে। আমি বলতে চাই যে আমি এখনও তাকে ভালোবাসি, কিন্তু একই সাথে তাকে বিরক্ত ও ঘৃণা না করা কঠিন। এটা স্বীকার করে আমি অপরাধবোধ করি, কিন্তু এ সম্পর্কে আমার অনুভূতি কীভাবে প্রকাশ করব তাও আমি নিশ্চিত নই।</v>
      </c>
    </row>
    <row r="1317" spans="1:3" ht="15" x14ac:dyDescent="0.25">
      <c r="A1317" s="3" t="s">
        <v>1312</v>
      </c>
      <c r="B1317" s="3" t="s">
        <v>997</v>
      </c>
      <c r="C1317" s="4" t="str">
        <f ca="1">IFERROR(__xludf.DUMMYFUNCTION("GOOGLETRANSLATE(A1317, ""auto"", ""bn"")"),"আমার পরিবারে মদ্যপান চলে আসছে, আমি আমার প্রাপ্তবয়স্ক জীবনের বেশিরভাগ সময় ধরে প্রায় প্রতিদিনই মদ্যপান করে আসছি। সম্প্রতি (গত বছর নিশ্চিতভাবেই) ক্যালোরি কমাতে ভদকা পানি ব্যবহার করার ফলে এটি বেশ খারাপ হয়ে গেছে? প্রথমে এটি একটি ভালো ধারণা বলে মনে হয়েছিল, "&amp;"এবং এটি কয়েক বছর আগে প্রতিদিন এক বোতল ওয়াইন পান করে আমার যে ৫০ পাউন্ড আয় হয়েছিল তা কমাতে সাহায্য করেছে। যাইহোক, গত কয়েক মাস ধরে আমি প্রতি ২-৩ দিনে ৪০ পান করছি, কারণ আমি জানি যে আমি হতাশাগ্রস্ত হয়ে নিজের ক্ষতি করছি। আমি যখন দুঃখিত, ক্ষুব্ধ, বিরক্ত, এ"&amp;"কা বা মজা করি তখন আমি পান করি। কিন্তু এটা এমন পর্যায়ে পৌঁছেছে যে কাজের পরে মুদিখানার দোকানে যাওয়ার আগেও আমার এটি প্রয়োজন। গত সপ্তাহে আমি মানসিক এবং শারীরিকভাবে অনেক আলাদা বোধ করছি, কাজ খুব চ্যালেঞ্জিং হয়ে উঠেছে (আমি একজন শিক্ষক হাহ) এবং তাই আমার বিষ্ঠ"&amp;"া একত্রিত করতে হবে কারণ আমার মনে হচ্ছে আমি আমার শরীরের ক্ষতি করতে পারি। আমার আসল প্রশ্ন হল আমি যদি থামি না তাহলে কী হবে? থামা কি যথেষ্ট হবে? ঠান্ডা টার্কি থামানো কি ঠিক হবে, আমি কি ঠিক থাকবো? আগামীকাল আমাকে কাজে যেতে হবে এবং আমি এখানে শুয়ে থাকা ছাড়া আর "&amp;"কী করব তা ভেবে খুব হতাশ বোধ করছি। গতকাল আমি মদ্যপান করিনি, তাই দ্বিতীয় দিনটি শুরু করেছি।")</f>
        <v>আমার পরিবারে মদ্যপান চলে আসছে, আমি আমার প্রাপ্তবয়স্ক জীবনের বেশিরভাগ সময় ধরে প্রায় প্রতিদিনই মদ্যপান করে আসছি। সম্প্রতি (গত বছর নিশ্চিতভাবেই) ক্যালোরি কমাতে ভদকা পানি ব্যবহার করার ফলে এটি বেশ খারাপ হয়ে গেছে? প্রথমে এটি একটি ভালো ধারণা বলে মনে হয়েছিল, এবং এটি কয়েক বছর আগে প্রতিদিন এক বোতল ওয়াইন পান করে আমার যে ৫০ পাউন্ড আয় হয়েছিল তা কমাতে সাহায্য করেছে। যাইহোক, গত কয়েক মাস ধরে আমি প্রতি ২-৩ দিনে ৪০ পান করছি, কারণ আমি জানি যে আমি হতাশাগ্রস্ত হয়ে নিজের ক্ষতি করছি। আমি যখন দুঃখিত, ক্ষুব্ধ, বিরক্ত, একা বা মজা করি তখন আমি পান করি। কিন্তু এটা এমন পর্যায়ে পৌঁছেছে যে কাজের পরে মুদিখানার দোকানে যাওয়ার আগেও আমার এটি প্রয়োজন। গত সপ্তাহে আমি মানসিক এবং শারীরিকভাবে অনেক আলাদা বোধ করছি, কাজ খুব চ্যালেঞ্জিং হয়ে উঠেছে (আমি একজন শিক্ষক হাহ) এবং তাই আমার বিষ্ঠা একত্রিত করতে হবে কারণ আমার মনে হচ্ছে আমি আমার শরীরের ক্ষতি করতে পারি। আমার আসল প্রশ্ন হল আমি যদি থামি না তাহলে কী হবে? থামা কি যথেষ্ট হবে? ঠান্ডা টার্কি থামানো কি ঠিক হবে, আমি কি ঠিক থাকবো? আগামীকাল আমাকে কাজে যেতে হবে এবং আমি এখানে শুয়ে থাকা ছাড়া আর কী করব তা ভেবে খুব হতাশ বোধ করছি। গতকাল আমি মদ্যপান করিনি, তাই দ্বিতীয় দিনটি শুরু করেছি।</v>
      </c>
    </row>
    <row r="1318" spans="1:3" ht="15" x14ac:dyDescent="0.25">
      <c r="A1318" s="3" t="s">
        <v>1313</v>
      </c>
      <c r="B1318" s="3" t="s">
        <v>997</v>
      </c>
      <c r="C1318" s="4" t="str">
        <f ca="1">IFERROR(__xludf.DUMMYFUNCTION("GOOGLETRANSLATE(A1318, ""auto"", ""bn"")"),"আমার মনে হয় আমার কোনও সমস্যা হতে পারে। গত বছর আমার নান মারা যাওয়ার পর থেকেই সবকিছু শুরু হয়েছিল। আমরা বিশেষভাবে ঘনিষ্ঠ ছিলাম। আমি প্রায় প্রতিদিনই তাকে দেখতে যেতাম, এবং তার মৃত্যুর আগের সপ্তাহগুলিতে আমি আমার মাকে তার যত্ন নিতে সাহায্য করতাম। আমার সবসময় "&amp;"মানসিক স্বাস্থ্য এবং বিষণ্ণতা খারাপ ছিল, কিন্তু এর আগে এটি নিয়ন্ত্রণযোগ্য ছিল। তার মৃত্যুর পর আমার তীব্র আতঙ্কের আক্রমণ শুরু হয়। যেগুলি এতটাই খারাপ ছিল যে আমি অ্যাম্বুলেন্স ডাকতে বাধ্য হতাম যে আমি নিশ্চিত যে আমি মারা যাচ্ছি। সেগুলি এতটাই নিয়ন্ত্রণের বা"&amp;"ইরে চলে গিয়েছিল যে আমি আমার চাকরি ছেড়ে দিয়েছিলাম, বাড়ি থেকে বের হওয়া বন্ধ করে দিয়েছিলাম, বন্ধুদের সাথে দেখা করা বন্ধ করে দিয়েছিলাম। মূলত উদ্বেগের কারণে আমার জীবন শেষ হয়ে গিয়েছিল। ক্রমাগত আতঙ্ক থামাতে একমাত্র জিনিস ছিল পান করা। আমি ২-৩ গ্লাস জিন এ"&amp;"বং লেবুর শরবত খেতাম এবং উদ্বেগ হঠাৎ করেই চলে যেত। স্বাভাবিক কাজ করার জন্য আমি অ্যালকোহল ব্যবহার শুরু করেছিলাম। যদি আমার স্থানীয় দোকানে রুটির জন্য যেতে হয়, তাহলে আমি প্রথমে একটি পানীয় খেতাম। যদি আমার খুব উদ্বিগ্ন দিন কাটত, তাহলে আমি একটি পানীয় খেতাম। এ"&amp;"টি কেবল একটি পানীয়ও হত না। আমি এক বোতল জিনের তিন চতুর্থাংশ পান করতাম। এক বছর ধরে এটা চলছে, আর আমি ভয় পাচ্ছি। আমি সপ্তাহে ৩/৪ বার অতিরিক্ত মদ্যপান করি। হয়তো আরও বেশি। এটা এমন একটা বিষয় যে আমার মা চিন্তিত। মা যখন এই বিষয়টা নিয়ে কথা বলেন তখন আমি খুব আত্মরক্"&amp;"ষামূলক আচরণ করি। আমি যখন মদ্যপান করি তখন আমি অনেক বোকামি করেছি। তাছাড়া, মাতাল হয়ে আমার কোনও নিয়ন্ত্রণ থাকে না এবং সম্পূর্ণ আত্মঘাতী আচরণ করি। তাছাড়া, আমি এমন বোকাদের সাথে ঘুমাই যারা আমার সম্পর্কে কোনও মন্তব্য করতে পারে না, নিজেকে বিপজ্জনক অবস্থানে ফেলে,"&amp;" আত্মহত্যা করার চেষ্টা করে। তাছাড়া, আমি জানি না আমার কোনও সমস্যা আছে কিনা এবং আমি যদি সাহায্য চাইও তবে কোথায় সাহায্য চাইব তাও জানি না। তাছাড়া, আমি খুব একা এবং খালি বোধ করি। তাছাড়া, গত রাত ৪টা পর্যন্ত আমি মদ্যপান করেছি, এবং এখন আমি লজ্জা এবং অনুশোচনায় "&amp;"পূর্ণ কারণ আমার উদ্বেগ দশগুণ ফিরে এসেছে এবং আমার কেউ নেই। তাছাড়া, আমি কেবল চাই কেউ আমাকে জড়িয়ে ধরে বলুক সব ঠিক হয়ে যাবে।")</f>
        <v>আমার মনে হয় আমার কোনও সমস্যা হতে পারে। গত বছর আমার নান মারা যাওয়ার পর থেকেই সবকিছু শুরু হয়েছিল। আমরা বিশেষভাবে ঘনিষ্ঠ ছিলাম। আমি প্রায় প্রতিদিনই তাকে দেখতে যেতাম, এবং তার মৃত্যুর আগের সপ্তাহগুলিতে আমি আমার মাকে তার যত্ন নিতে সাহায্য করতাম। আমার সবসময় মানসিক স্বাস্থ্য এবং বিষণ্ণতা খারাপ ছিল, কিন্তু এর আগে এটি নিয়ন্ত্রণযোগ্য ছিল। তার মৃত্যুর পর আমার তীব্র আতঙ্কের আক্রমণ শুরু হয়। যেগুলি এতটাই খারাপ ছিল যে আমি অ্যাম্বুলেন্স ডাকতে বাধ্য হতাম যে আমি নিশ্চিত যে আমি মারা যাচ্ছি। সেগুলি এতটাই নিয়ন্ত্রণের বাইরে চলে গিয়েছিল যে আমি আমার চাকরি ছেড়ে দিয়েছিলাম, বাড়ি থেকে বের হওয়া বন্ধ করে দিয়েছিলাম, বন্ধুদের সাথে দেখা করা বন্ধ করে দিয়েছিলাম। মূলত উদ্বেগের কারণে আমার জীবন শেষ হয়ে গিয়েছিল। ক্রমাগত আতঙ্ক থামাতে একমাত্র জিনিস ছিল পান করা। আমি ২-৩ গ্লাস জিন এবং লেবুর শরবত খেতাম এবং উদ্বেগ হঠাৎ করেই চলে যেত। স্বাভাবিক কাজ করার জন্য আমি অ্যালকোহল ব্যবহার শুরু করেছিলাম। যদি আমার স্থানীয় দোকানে রুটির জন্য যেতে হয়, তাহলে আমি প্রথমে একটি পানীয় খেতাম। যদি আমার খুব উদ্বিগ্ন দিন কাটত, তাহলে আমি একটি পানীয় খেতাম। এটি কেবল একটি পানীয়ও হত না। আমি এক বোতল জিনের তিন চতুর্থাংশ পান করতাম। এক বছর ধরে এটা চলছে, আর আমি ভয় পাচ্ছি। আমি সপ্তাহে ৩/৪ বার অতিরিক্ত মদ্যপান করি। হয়তো আরও বেশি। এটা এমন একটা বিষয় যে আমার মা চিন্তিত। মা যখন এই বিষয়টা নিয়ে কথা বলেন তখন আমি খুব আত্মরক্ষামূলক আচরণ করি। আমি যখন মদ্যপান করি তখন আমি অনেক বোকামি করেছি। তাছাড়া, মাতাল হয়ে আমার কোনও নিয়ন্ত্রণ থাকে না এবং সম্পূর্ণ আত্মঘাতী আচরণ করি। তাছাড়া, আমি এমন বোকাদের সাথে ঘুমাই যারা আমার সম্পর্কে কোনও মন্তব্য করতে পারে না, নিজেকে বিপজ্জনক অবস্থানে ফেলে, আত্মহত্যা করার চেষ্টা করে। তাছাড়া, আমি জানি না আমার কোনও সমস্যা আছে কিনা এবং আমি যদি সাহায্য চাইও তবে কোথায় সাহায্য চাইব তাও জানি না। তাছাড়া, আমি খুব একা এবং খালি বোধ করি। তাছাড়া, গত রাত ৪টা পর্যন্ত আমি মদ্যপান করেছি, এবং এখন আমি লজ্জা এবং অনুশোচনায় পূর্ণ কারণ আমার উদ্বেগ দশগুণ ফিরে এসেছে এবং আমার কেউ নেই। তাছাড়া, আমি কেবল চাই কেউ আমাকে জড়িয়ে ধরে বলুক সব ঠিক হয়ে যাবে।</v>
      </c>
    </row>
    <row r="1319" spans="1:3" ht="15" x14ac:dyDescent="0.25">
      <c r="A1319" s="3" t="s">
        <v>1314</v>
      </c>
      <c r="B1319" s="3" t="s">
        <v>997</v>
      </c>
      <c r="C1319" s="4" t="str">
        <f ca="1">IFERROR(__xludf.DUMMYFUNCTION("GOOGLETRANSLATE(A1319, ""auto"", ""bn"")"),"এক সপ্তাহ ধরে আমি শান্ত ছিলাম, কোনও দৃঢ় পরিকল্পনা ছাড়াই, নাকি পুরোপুরি বন্ধ করে দেব নাকি সপ্তাহান্তে মদ্যপান চালিয়ে যাব। বুধবার আমার একটা খারাপ দিন কেটেছিল এবং শুক্রবারের মধ্যে আমি খুব রেগে গিয়েছিলাম, তাই, আমি সিদ্ধান্ত নিলাম যে আমি বেশি মদ্যপান করব ন"&amp;"া, যদিও প্রতি শুক্রবার আমার সাথে দেখা করা একজন লোক ইয়াকিমাকে নিয়ে আসে। তাই, সে যথারীতি রাত ৮ টায় তার পাছায় বসে পড়ল। আমি জানতাম যদি আমি মাতাল হই তবে আমি পাগলের মতো আচরণ করব (অনেক রাগের কারণে) এবং পরে আমার আর কোনও স্মৃতি নেই। আমি সন্ধ্যার বেশিরভাগ সময়"&amp;" নিজেকে চায়ে চুমুক দিচ্ছিলাম, কিন্তু লোকটি কথা বলা বন্ধ করতে পারছিল না। সে রাত ৮ টা থেকে ভোর ৪ টা পর্যন্ত একটানা কথা বলছিল। রাত ১ টার দিকে কোথাও আমি ইয়াকিমার ছোট ছোট টুকরো খাচ্ছিলাম। প্রতি আধ ঘন্টা অন্তর স্যুপের চামচের মতো। মাঝে মাঝে জল এবং চা।")</f>
        <v>এক সপ্তাহ ধরে আমি শান্ত ছিলাম, কোনও দৃঢ় পরিকল্পনা ছাড়াই, নাকি পুরোপুরি বন্ধ করে দেব নাকি সপ্তাহান্তে মদ্যপান চালিয়ে যাব। বুধবার আমার একটা খারাপ দিন কেটেছিল এবং শুক্রবারের মধ্যে আমি খুব রেগে গিয়েছিলাম, তাই, আমি সিদ্ধান্ত নিলাম যে আমি বেশি মদ্যপান করব না, যদিও প্রতি শুক্রবার আমার সাথে দেখা করা একজন লোক ইয়াকিমাকে নিয়ে আসে। তাই, সে যথারীতি রাত ৮ টায় তার পাছায় বসে পড়ল। আমি জানতাম যদি আমি মাতাল হই তবে আমি পাগলের মতো আচরণ করব (অনেক রাগের কারণে) এবং পরে আমার আর কোনও স্মৃতি নেই। আমি সন্ধ্যার বেশিরভাগ সময় নিজেকে চায়ে চুমুক দিচ্ছিলাম, কিন্তু লোকটি কথা বলা বন্ধ করতে পারছিল না। সে রাত ৮ টা থেকে ভোর ৪ টা পর্যন্ত একটানা কথা বলছিল। রাত ১ টার দিকে কোথাও আমি ইয়াকিমার ছোট ছোট টুকরো খাচ্ছিলাম। প্রতি আধ ঘন্টা অন্তর স্যুপের চামচের মতো। মাঝে মাঝে জল এবং চা।</v>
      </c>
    </row>
    <row r="1320" spans="1:3" ht="15" x14ac:dyDescent="0.25">
      <c r="A1320" s="3" t="s">
        <v>1315</v>
      </c>
      <c r="B1320" s="3" t="s">
        <v>997</v>
      </c>
      <c r="C1320" s="4" t="str">
        <f ca="1">IFERROR(__xludf.DUMMYFUNCTION("GOOGLETRANSLATE(A1320, ""auto"", ""bn"")"),"আমি মদ্যপ নই, কিন্তু রাতে হেইনকেনের কয়েক ক্যান পান করি। আমার মনে হয় যখন আমি পান করি, তখন আমি বেশি নাক ডাকি। যা আমার জানা মতে অস্বাভাবিক নয়। আমি জানতে আগ্রহী যে কেউ কি খারাপ নাক ডাকায় ভুগছেন যা মদ্যপান বন্ধ করার পর চলে যায়? আমি এটাও জানি যে ওজন কমানো নাক ড"&amp;"াকা কমাতে সাহায্য করতে পারে - তাই মদ্যপান ত্যাগ করাও সাহায্য করতে পারে।")</f>
        <v>আমি মদ্যপ নই, কিন্তু রাতে হেইনকেনের কয়েক ক্যান পান করি। আমার মনে হয় যখন আমি পান করি, তখন আমি বেশি নাক ডাকি। যা আমার জানা মতে অস্বাভাবিক নয়। আমি জানতে আগ্রহী যে কেউ কি খারাপ নাক ডাকায় ভুগছেন যা মদ্যপান বন্ধ করার পর চলে যায়? আমি এটাও জানি যে ওজন কমানো নাক ডাকা কমাতে সাহায্য করতে পারে - তাই মদ্যপান ত্যাগ করাও সাহায্য করতে পারে।</v>
      </c>
    </row>
    <row r="1321" spans="1:3" ht="15" x14ac:dyDescent="0.25">
      <c r="A1321" s="3" t="s">
        <v>1316</v>
      </c>
      <c r="B1321" s="3" t="s">
        <v>997</v>
      </c>
      <c r="C1321" s="4" t="str">
        <f ca="1">IFERROR(__xludf.DUMMYFUNCTION("GOOGLETRANSLATE(A1321, ""auto"", ""bn"")"),"আজ থেকে আমার পুরো সপ্তাহটা সুস্থ থাকছে। গতকাল যদি আমি মদ্যপান করতাম, তাহলে হয়তো আমার বয়ফ্রেন্ডের সাথে ঝগড়া শুরু হতো এবং অন্য কোথাও থাকার জন্য উবার ধরতে হতো। আচ্ছা, আজ আমরা ঘুম থেকে উঠেছি এবং দিনটা দারুন কাটছে। দেখা যাচ্ছে, তুমি সুস্থ থাকতে মজা করতে পারো। "&amp;"হা হা। তোমাকে শুধু ঘরে রান্না করা ছাড়া অন্য কিছু করতে হবে! বুধবার আমার একটা চাকরির ইন্টারভিউও আসছে। গত কয়েক মাস ধরে অসুস্থ এবং ক্ষুধার্ত থাকার পর এখন সবকিছু ঠিকঠাক লাগছে। এমন একজনের কাছ থেকে এসেছি যার বেশিরভাগ সময়ই কোনও ড্রাইভ থাকে না, তুমিও এটা করতে পার"&amp;"ো, আমি প্রতিশ্রুতি দিচ্ছি।")</f>
        <v>আজ থেকে আমার পুরো সপ্তাহটা সুস্থ থাকছে। গতকাল যদি আমি মদ্যপান করতাম, তাহলে হয়তো আমার বয়ফ্রেন্ডের সাথে ঝগড়া শুরু হতো এবং অন্য কোথাও থাকার জন্য উবার ধরতে হতো। আচ্ছা, আজ আমরা ঘুম থেকে উঠেছি এবং দিনটা দারুন কাটছে। দেখা যাচ্ছে, তুমি সুস্থ থাকতে মজা করতে পারো। হা হা। তোমাকে শুধু ঘরে রান্না করা ছাড়া অন্য কিছু করতে হবে! বুধবার আমার একটা চাকরির ইন্টারভিউও আসছে। গত কয়েক মাস ধরে অসুস্থ এবং ক্ষুধার্ত থাকার পর এখন সবকিছু ঠিকঠাক লাগছে। এমন একজনের কাছ থেকে এসেছি যার বেশিরভাগ সময়ই কোনও ড্রাইভ থাকে না, তুমিও এটা করতে পারো, আমি প্রতিশ্রুতি দিচ্ছি।</v>
      </c>
    </row>
    <row r="1322" spans="1:3" ht="15" x14ac:dyDescent="0.25">
      <c r="A1322" s="3" t="s">
        <v>1317</v>
      </c>
      <c r="B1322" s="3" t="s">
        <v>997</v>
      </c>
      <c r="C1322" s="4" t="str">
        <f ca="1">IFERROR(__xludf.DUMMYFUNCTION("GOOGLETRANSLATE(A1322, ""auto"", ""bn"")"),"আমার বয়স ৩৯ মিটার এবং কিশোর বয়স থেকেই আমি মদ্যপ। অবশেষে ৩৫ বছর বয়সে আমার শরীর সুস্থ হয়ে ওঠে কিন্তু কয়েক মাস ধরে আমি খুব বেশি সময় ধরে মদ্যপানের অভ্যাসে ভুগছি। আমি প্রতিদিন ৩০টি সাধারণ পানীয় পান করছি এবং নিজেকে বিষমুক্ত করার চেষ্টা করছি, আমি বিষমুক্ত"&amp;" করতে পারছি না বা বেজোসকে পান করতে পারছি না। আজই দিনটি হওয়ার কথা ছিল, কিন্তু ভোর ৬টা নাগাদ আমার হৃদস্পন্দন এতটাই বেড়ে গেল যে আমার হৃদয় দ্রুত স্পন্দিত হয়ে উঠল। আমি গরম বিয়ারে চুমুক দিচ্ছি মাত্র ৩ চুমুক দেওয়ার পর প্রথম দুটি আবার এসেছিল। আমি কেন এটা পো"&amp;"স্ট করছি তা নিশ্চিত নই, হয়তো তোমাদের সকলকে শান্ত রাখার জন্য। আমার খুব ব্যথা হচ্ছে, আমার বমিতে রক্ত, কিন্তু আমাকে কিছুটা সুস্থ করার জন্য এই বিয়ারগুলো পান করার চেষ্টা করা ছাড়া আমার আর কোন বিকল্প নেই। যদি তুমি আবার পানীয় নেওয়ার কথা ভাবো তাহলে এই জিনিসটা"&amp;" মনে রেখো। এটা একটা পিচ্ছিল ঢাল এবং নিজেকে বের করে আনা খুবই কঠিন। ভালো থাকো, নিরাপদ থাকো এবং সুস্থ থাকো।")</f>
        <v>আমার বয়স ৩৯ মিটার এবং কিশোর বয়স থেকেই আমি মদ্যপ। অবশেষে ৩৫ বছর বয়সে আমার শরীর সুস্থ হয়ে ওঠে কিন্তু কয়েক মাস ধরে আমি খুব বেশি সময় ধরে মদ্যপানের অভ্যাসে ভুগছি। আমি প্রতিদিন ৩০টি সাধারণ পানীয় পান করছি এবং নিজেকে বিষমুক্ত করার চেষ্টা করছি, আমি বিষমুক্ত করতে পারছি না বা বেজোসকে পান করতে পারছি না। আজই দিনটি হওয়ার কথা ছিল, কিন্তু ভোর ৬টা নাগাদ আমার হৃদস্পন্দন এতটাই বেড়ে গেল যে আমার হৃদয় দ্রুত স্পন্দিত হয়ে উঠল। আমি গরম বিয়ারে চুমুক দিচ্ছি মাত্র ৩ চুমুক দেওয়ার পর প্রথম দুটি আবার এসেছিল। আমি কেন এটা পোস্ট করছি তা নিশ্চিত নই, হয়তো তোমাদের সকলকে শান্ত রাখার জন্য। আমার খুব ব্যথা হচ্ছে, আমার বমিতে রক্ত, কিন্তু আমাকে কিছুটা সুস্থ করার জন্য এই বিয়ারগুলো পান করার চেষ্টা করা ছাড়া আমার আর কোন বিকল্প নেই। যদি তুমি আবার পানীয় নেওয়ার কথা ভাবো তাহলে এই জিনিসটা মনে রেখো। এটা একটা পিচ্ছিল ঢাল এবং নিজেকে বের করে আনা খুবই কঠিন। ভালো থাকো, নিরাপদ থাকো এবং সুস্থ থাকো।</v>
      </c>
    </row>
    <row r="1323" spans="1:3" ht="15" x14ac:dyDescent="0.25">
      <c r="A1323" s="3" t="s">
        <v>1318</v>
      </c>
      <c r="B1323" s="3" t="s">
        <v>997</v>
      </c>
      <c r="C1323" s="4" t="str">
        <f ca="1">IFERROR(__xludf.DUMMYFUNCTION("GOOGLETRANSLATE(A1323, ""auto"", ""bn"")"),"প্রতিবার যখনই আমি পান করি, তখন আমার পায়ের শেষ ৩টি আঙুল এবং গোড়ালি পুড়ে যায় এবং ঝিঁঝিঁ পোড়া হয়, এবং এখন আমার অনামিকা এবং ছোট আঙুলগুলিও একই রকম হতে শুরু করেছে। আমি পান করা বন্ধ করতে পারছি না। আমি অনেকবার চেষ্টা করেছি, আমার একজন থেরাপিস্ট আছে, আমি AA-ত"&amp;"ে গিয়েছি। তাছাড়া, আমি এত বেশি মদ পান করতে পারি যে এখন আমাকে ভয় লাগে। তাছাড়া, আমি মদ্যপানের কারণে প্রায় মারা গেছি (আমার মাথায় এমনটা ছিল না যে আমার অ্যালকোহলের বিষক্রিয়া হয়েছিল) এবং আমি জানি না এই মুহূর্তে কী করব।")</f>
        <v>প্রতিবার যখনই আমি পান করি, তখন আমার পায়ের শেষ ৩টি আঙুল এবং গোড়ালি পুড়ে যায় এবং ঝিঁঝিঁ পোড়া হয়, এবং এখন আমার অনামিকা এবং ছোট আঙুলগুলিও একই রকম হতে শুরু করেছে। আমি পান করা বন্ধ করতে পারছি না। আমি অনেকবার চেষ্টা করেছি, আমার একজন থেরাপিস্ট আছে, আমি AA-তে গিয়েছি। তাছাড়া, আমি এত বেশি মদ পান করতে পারি যে এখন আমাকে ভয় লাগে। তাছাড়া, আমি মদ্যপানের কারণে প্রায় মারা গেছি (আমার মাথায় এমনটা ছিল না যে আমার অ্যালকোহলের বিষক্রিয়া হয়েছিল) এবং আমি জানি না এই মুহূর্তে কী করব।</v>
      </c>
    </row>
    <row r="1324" spans="1:3" ht="15" x14ac:dyDescent="0.25">
      <c r="A1324" s="3" t="s">
        <v>1319</v>
      </c>
      <c r="B1324" s="3" t="s">
        <v>997</v>
      </c>
      <c r="C1324" s="4" t="str">
        <f ca="1">IFERROR(__xludf.DUMMYFUNCTION("GOOGLETRANSLATE(A1324, ""auto"", ""bn"")"),"মূলত ঘুমের জন্য আমি সাধারণত প্রতি রাতে দুটি পানীয় পান করি। আমি হাইনেকেন দিয়ে শুরু করি, একটি ঘুমের বড়ি পান করি এবং তারপর একটি পানীয় পান করি, হয়তো আরও একটি বিয়ার বা ওয়াইন পান করি। যদি আমি এটি না করি তবে সম্ভবত আমার পুরো রাতের ঘুম হবে না। আমার মনে হয়"&amp;" না যে আমি ক্ষতি করছি কারণ আমি (মনে করি) আমি সুস্থ, প্রতিদিন ব্যায়াম করি এবং সঠিক খাবার খাওয়ার চেষ্টা করি এবং অতিরিক্ত ওজন নেই। আমার ঘুমের সমস্যা আছে তাই একটি বিয়ার এবং একটি ঘুমের বড়ি নিশ্চিত করতে পারে যে আমি ক্লান্তি ছাড়াই একটি ভাল রাতের বিশ্রাম পাই"&amp;"। অন্যদিকে, আমার পরিবার মনে করে যে আমি একজন মদ্যপ, তারা আমার ঘুমের বড়ি সম্পর্কে জানে না তারা শুধু দেখে যে আমি প্রতি রাতে পান করি। আমি এই বিষয়ে চিন্তিত নই কিন্তু সম্প্রতি আমার মনে হচ্ছে তারা খুব বেশি বিচার করছে। আপনার মতামত কী?")</f>
        <v>মূলত ঘুমের জন্য আমি সাধারণত প্রতি রাতে দুটি পানীয় পান করি। আমি হাইনেকেন দিয়ে শুরু করি, একটি ঘুমের বড়ি পান করি এবং তারপর একটি পানীয় পান করি, হয়তো আরও একটি বিয়ার বা ওয়াইন পান করি। যদি আমি এটি না করি তবে সম্ভবত আমার পুরো রাতের ঘুম হবে না। আমার মনে হয় না যে আমি ক্ষতি করছি কারণ আমি (মনে করি) আমি সুস্থ, প্রতিদিন ব্যায়াম করি এবং সঠিক খাবার খাওয়ার চেষ্টা করি এবং অতিরিক্ত ওজন নেই। আমার ঘুমের সমস্যা আছে তাই একটি বিয়ার এবং একটি ঘুমের বড়ি নিশ্চিত করতে পারে যে আমি ক্লান্তি ছাড়াই একটি ভাল রাতের বিশ্রাম পাই। অন্যদিকে, আমার পরিবার মনে করে যে আমি একজন মদ্যপ, তারা আমার ঘুমের বড়ি সম্পর্কে জানে না তারা শুধু দেখে যে আমি প্রতি রাতে পান করি। আমি এই বিষয়ে চিন্তিত নই কিন্তু সম্প্রতি আমার মনে হচ্ছে তারা খুব বেশি বিচার করছে। আপনার মতামত কী?</v>
      </c>
    </row>
    <row r="1325" spans="1:3" ht="15" x14ac:dyDescent="0.25">
      <c r="A1325" s="3" t="s">
        <v>1320</v>
      </c>
      <c r="B1325" s="3" t="s">
        <v>997</v>
      </c>
      <c r="C1325" s="4" t="str">
        <f ca="1">IFERROR(__xludf.DUMMYFUNCTION("GOOGLETRANSLATE(A1325, ""auto"", ""bn"")"),"আমি আমার ব্যক্তিত্ব পরিবর্তনের জন্য বৈধ প্রচেষ্টা করেছি। আমি প্রায় ৯০ দিন ধরে সুস্থ, এবং আমি নিজেকে নিয়ে গর্বিত। আমার ৩৫ বছর বয়সী ভাই ঘুরে ঘুরে আমার ছিলাম এবং আমি কতটা খারাপ এবং ভয়াবহ, তার গল্প বলে চলেছে। আক্ষরিক অর্থেই নতুন নতুন লোকদের বলছে যারা আমার পরি"&amp;"বারে আসে অথবা অন্যভাবে আমার ১৩-১৬ বছর বয়সে আমার সম্পর্কে লিখে রাখে। আমি কতটা দুষ্ট, পাগল, ভয়ঙ্কর, আসক্ত, সন্ত্রাসী ছিলাম। সে এই গল্পগুলো এমনভাবে তৈরি করে যেন আমি আগের দিনই এই সব করেছি। আমি অনেক দিন ধরে তার সাথে কথা বলিনি এবং এখনও অন্যদের কাছ থেকে শুনতে পা"&amp;"ই যে সে আমার সম্পর্কে এমন গল্প বলছে যা অনেক আগে ঘটেছিল অথবা একেবারেই সত্য নয়। আমি আজ আক্ষরিক অর্থেই একজন ভিন্ন ব্যক্তি কিন্তু কেউ পাত্তা দেয় না। আমার নাম এখনও সর্বত্র ছড়িয়ে আছে। আমার ভাইয়ের সাথে আমার দেখা প্রত্যেকেই আমাকে ঘৃণা এবং ঘৃণার সাথে স্বাগত জ"&amp;"ানায়। পরিবর্তন এবং বেড়ে ওঠার কী লাভ?")</f>
        <v>আমি আমার ব্যক্তিত্ব পরিবর্তনের জন্য বৈধ প্রচেষ্টা করেছি। আমি প্রায় ৯০ দিন ধরে সুস্থ, এবং আমি নিজেকে নিয়ে গর্বিত। আমার ৩৫ বছর বয়সী ভাই ঘুরে ঘুরে আমার ছিলাম এবং আমি কতটা খারাপ এবং ভয়াবহ, তার গল্প বলে চলেছে। আক্ষরিক অর্থেই নতুন নতুন লোকদের বলছে যারা আমার পরিবারে আসে অথবা অন্যভাবে আমার ১৩-১৬ বছর বয়সে আমার সম্পর্কে লিখে রাখে। আমি কতটা দুষ্ট, পাগল, ভয়ঙ্কর, আসক্ত, সন্ত্রাসী ছিলাম। সে এই গল্পগুলো এমনভাবে তৈরি করে যেন আমি আগের দিনই এই সব করেছি। আমি অনেক দিন ধরে তার সাথে কথা বলিনি এবং এখনও অন্যদের কাছ থেকে শুনতে পাই যে সে আমার সম্পর্কে এমন গল্প বলছে যা অনেক আগে ঘটেছিল অথবা একেবারেই সত্য নয়। আমি আজ আক্ষরিক অর্থেই একজন ভিন্ন ব্যক্তি কিন্তু কেউ পাত্তা দেয় না। আমার নাম এখনও সর্বত্র ছড়িয়ে আছে। আমার ভাইয়ের সাথে আমার দেখা প্রত্যেকেই আমাকে ঘৃণা এবং ঘৃণার সাথে স্বাগত জানায়। পরিবর্তন এবং বেড়ে ওঠার কী লাভ?</v>
      </c>
    </row>
    <row r="1326" spans="1:3" ht="15" x14ac:dyDescent="0.25">
      <c r="A1326" s="3" t="s">
        <v>1321</v>
      </c>
      <c r="B1326" s="3" t="s">
        <v>997</v>
      </c>
      <c r="C1326" s="4" t="str">
        <f ca="1">IFERROR(__xludf.DUMMYFUNCTION("GOOGLETRANSLATE(A1326, ""auto"", ""bn"")"),"আমার বয়স ২২, বেশ কিছুদিন ধরেই মদ্যপানের সাথে ঝামেলা হচ্ছে। আমি মাঝে মাঝে একা মদ্যপান করি কিন্তু খুব বেশি নয়। আমার প্রধান সমস্যা হলো বন্ধুদের সাথে বাইরে থাকাকালীন কতটা মদ্যপান করি তা নিয়ন্ত্রণ করা। আমি আমার জীবনে এতটা নেতিবাচক প্রভাব ফেলিনি যে নিজেকে মদ্যপ"&amp;" বলব। আমি শুধু ভাবছি কখন কেউ বুঝতে পারবে যে সে মদ্যপ। নিজের জন্য একটু চিন্তিত।")</f>
        <v>আমার বয়স ২২, বেশ কিছুদিন ধরেই মদ্যপানের সাথে ঝামেলা হচ্ছে। আমি মাঝে মাঝে একা মদ্যপান করি কিন্তু খুব বেশি নয়। আমার প্রধান সমস্যা হলো বন্ধুদের সাথে বাইরে থাকাকালীন কতটা মদ্যপান করি তা নিয়ন্ত্রণ করা। আমি আমার জীবনে এতটা নেতিবাচক প্রভাব ফেলিনি যে নিজেকে মদ্যপ বলব। আমি শুধু ভাবছি কখন কেউ বুঝতে পারবে যে সে মদ্যপ। নিজের জন্য একটু চিন্তিত।</v>
      </c>
    </row>
    <row r="1327" spans="1:3" ht="15" x14ac:dyDescent="0.25">
      <c r="A1327" s="3" t="s">
        <v>1322</v>
      </c>
      <c r="B1327" s="3" t="s">
        <v>997</v>
      </c>
      <c r="C1327" s="4" t="str">
        <f ca="1">IFERROR(__xludf.DUMMYFUNCTION("GOOGLETRANSLATE(A1327, ""auto"", ""bn"")"),"""আমি এটা নিয়ে একটু হতাশ বোধ করছি,"" সে বলে, ""একটা ঠান্ডা দিনের কথা ভাবলেই সে ভয়ে ভরে যায়। এটা জেনে আমার খুব খারাপ লাগছে, আর আমি শুধু সাহায্য করতে চাই। কিন্তু সম্প্রতি মনে হচ্ছে তার অব্যবস্থাপনা এবং তার বিশৃঙ্খলা আমাকে টেনে টেনে নামিয়ে দিচ্ছে, এবং আম"&amp;"ার নিজের জীবনকেও ছিঁড়ে ফেলছে। আমি তাও চাই না। সে PTSD এবং অনিদ্রার সাথে লড়াই করছে, যার মধ্যে রয়েছে নিজের ক্ষতি করার মতো অন্যান্য সমস্যা। আমার মনে হয় আমি তাকে খারাপ দেখাচ্ছি, কিন্তু সে সুন্দর, তার আত্মা সুন্দর, এবং তার কেবল এটি দেখা দরকার। মাঝে মাঝে এখ"&amp;"ন আমি তার সাথে মদ্যপান করি, কারণ সাধারণ মানুষের জন্য আমার মনে হয় কয়েক রাত মদ্যপান এত খারাপ নয়... কিন্তু এটি আমার সুস্থতার উপর প্রভাব ফেলতে শুরু করেছে কারণ আমার উদ্বেগ বেশি, এবং হ্যাংওভার এটিকে আরও খারাপ করে তোলে।""")</f>
        <v>"আমি এটা নিয়ে একটু হতাশ বোধ করছি," সে বলে, "একটা ঠান্ডা দিনের কথা ভাবলেই সে ভয়ে ভরে যায়। এটা জেনে আমার খুব খারাপ লাগছে, আর আমি শুধু সাহায্য করতে চাই। কিন্তু সম্প্রতি মনে হচ্ছে তার অব্যবস্থাপনা এবং তার বিশৃঙ্খলা আমাকে টেনে টেনে নামিয়ে দিচ্ছে, এবং আমার নিজের জীবনকেও ছিঁড়ে ফেলছে। আমি তাও চাই না। সে PTSD এবং অনিদ্রার সাথে লড়াই করছে, যার মধ্যে রয়েছে নিজের ক্ষতি করার মতো অন্যান্য সমস্যা। আমার মনে হয় আমি তাকে খারাপ দেখাচ্ছি, কিন্তু সে সুন্দর, তার আত্মা সুন্দর, এবং তার কেবল এটি দেখা দরকার। মাঝে মাঝে এখন আমি তার সাথে মদ্যপান করি, কারণ সাধারণ মানুষের জন্য আমার মনে হয় কয়েক রাত মদ্যপান এত খারাপ নয়... কিন্তু এটি আমার সুস্থতার উপর প্রভাব ফেলতে শুরু করেছে কারণ আমার উদ্বেগ বেশি, এবং হ্যাংওভার এটিকে আরও খারাপ করে তোলে।"</v>
      </c>
    </row>
    <row r="1328" spans="1:3" ht="15" x14ac:dyDescent="0.25">
      <c r="A1328" s="3" t="s">
        <v>1323</v>
      </c>
      <c r="B1328" s="3" t="s">
        <v>997</v>
      </c>
      <c r="C1328" s="4" t="str">
        <f ca="1">IFERROR(__xludf.DUMMYFUNCTION("GOOGLETRANSLATE(A1328, ""auto"", ""bn"")"),"আমার ভাই বেশ কিছুদিন ধরেই মদ্যপ, আর আমি শুধু তার মানসিক আঘাত এবং চাপ মোকাবেলা করার জন্য কিছু সাহায্য খুঁজছি, বিশেষ করে আমার বাবা-মায়ের জন্য যাদের প্রায়শই তাকে জরুরি বিভাগে নিয়ে যেতে হয়। এটা কয়েক বছর ধরে চলছে, সম্ভবত ৬ বছর ধরে। সে কাউন্সেলর এবং থেরাপি"&amp;"স্টদের কাছে গেছে, আজ বিকেলে সে অন্য হাসপাতালে শেষ হয়েছে। তার বয়স ৩২ বছর, কেউ জানে না কী করতে হবে। এখানে অনেক মানুষ আছে যারা তাদের সমস্যা স্বীকার করেছে এবং একজন সুস্থ, কর্মক্ষম প্রাপ্তবয়স্ক হিসেবে নিজেকে প্রতিষ্ঠিত করেছে। যখনই আমি কিছু পরামর্শ দিই, তখন "&amp;"মনে হয় তা কাজ করছে না, অথবা সে তার সমস্যাটিকে এতটা গুরুত্বের সাথে নেয় না যে পরিবর্তন করতে পারবে।")</f>
        <v>আমার ভাই বেশ কিছুদিন ধরেই মদ্যপ, আর আমি শুধু তার মানসিক আঘাত এবং চাপ মোকাবেলা করার জন্য কিছু সাহায্য খুঁজছি, বিশেষ করে আমার বাবা-মায়ের জন্য যাদের প্রায়শই তাকে জরুরি বিভাগে নিয়ে যেতে হয়। এটা কয়েক বছর ধরে চলছে, সম্ভবত ৬ বছর ধরে। সে কাউন্সেলর এবং থেরাপিস্টদের কাছে গেছে, আজ বিকেলে সে অন্য হাসপাতালে শেষ হয়েছে। তার বয়স ৩২ বছর, কেউ জানে না কী করতে হবে। এখানে অনেক মানুষ আছে যারা তাদের সমস্যা স্বীকার করেছে এবং একজন সুস্থ, কর্মক্ষম প্রাপ্তবয়স্ক হিসেবে নিজেকে প্রতিষ্ঠিত করেছে। যখনই আমি কিছু পরামর্শ দিই, তখন মনে হয় তা কাজ করছে না, অথবা সে তার সমস্যাটিকে এতটা গুরুত্বের সাথে নেয় না যে পরিবর্তন করতে পারবে।</v>
      </c>
    </row>
    <row r="1329" spans="1:3" ht="15" x14ac:dyDescent="0.25">
      <c r="A1329" s="3" t="s">
        <v>1324</v>
      </c>
      <c r="B1329" s="3" t="s">
        <v>997</v>
      </c>
      <c r="C1329" s="4" t="str">
        <f ca="1">IFERROR(__xludf.DUMMYFUNCTION("GOOGLETRANSLATE(A1329, ""auto"", ""bn"")"),"আমার বয়স ১৮ বছর, আর আমি ১৬ বছর বয়স থেকে মদ্যপান শুরু করি (একা, স্কুলে, যেকোনো সামাজিক অনুষ্ঠানে যাওয়ার আগে)। খুব বেশি পরিমাণে নয়, তবুও আমার মানসিক স্বাস্থ্যের জন্য খুবই ক্ষতিকর। আমি যেহেতু অনেক ছোট, তাই এটা নিয়ে কথা বলা কঠিন, এটা খুবই লজ্জাজনক। আমার পক্ষ"&amp;"ে সম্পূর্ণরূপে ত্যাগ করা কঠিন, কারণ আমার পরিবার প্রচুর পরিমাণে মদ্যপান করে। এছাড়াও, আমার বয়সে প্রায় প্রতিটি সামাজিক জমায়েত এবং পার্টিতে মদ্যপান করা হয়। আমার বাসস্থানের বৈধ বয়স ১৮ বছর, কিন্তু প্রায় সব কিশোর-কিশোরীই তার আগেই মদ্যপান শুরু করে। আমি যদি পান ক"&amp;"রতে অস্বীকৃতি জানাই, তাহলে আমি জানি মানুষ বিভ্রান্ত হবে এবং প্রশ্ন জিজ্ঞাসা করবে। আমি চাই না সবাই এই বিষয়টি জানুক। আমি পার্টি করতেও ভালোবাসি। কেউ কি কখনও পরিমাণ কমাতে, নাকি শুধুমাত্র সামাজিকভাবে মদ্যপান করতে সফল হয়েছে? এটা কি সম্ভব, নাকি আমার কেবল বন্ধ ক"&amp;"রা উচিত? আমার সন্দেহ আছে যে আমি এটি চিরতরে সম্পূর্ণরূপে কমাতে পারব। ১৮ বছর বয়সের স্বাভাবিক জীবনে ফিরে যেতে কি খুব দেরি হয়ে গেছে? নতুন বছরের পর থেকে আমি মাত্র একবার মদ্যপান করতে পেরেছি।")</f>
        <v>আমার বয়স ১৮ বছর, আর আমি ১৬ বছর বয়স থেকে মদ্যপান শুরু করি (একা, স্কুলে, যেকোনো সামাজিক অনুষ্ঠানে যাওয়ার আগে)। খুব বেশি পরিমাণে নয়, তবুও আমার মানসিক স্বাস্থ্যের জন্য খুবই ক্ষতিকর। আমি যেহেতু অনেক ছোট, তাই এটা নিয়ে কথা বলা কঠিন, এটা খুবই লজ্জাজনক। আমার পক্ষে সম্পূর্ণরূপে ত্যাগ করা কঠিন, কারণ আমার পরিবার প্রচুর পরিমাণে মদ্যপান করে। এছাড়াও, আমার বয়সে প্রায় প্রতিটি সামাজিক জমায়েত এবং পার্টিতে মদ্যপান করা হয়। আমার বাসস্থানের বৈধ বয়স ১৮ বছর, কিন্তু প্রায় সব কিশোর-কিশোরীই তার আগেই মদ্যপান শুরু করে। আমি যদি পান করতে অস্বীকৃতি জানাই, তাহলে আমি জানি মানুষ বিভ্রান্ত হবে এবং প্রশ্ন জিজ্ঞাসা করবে। আমি চাই না সবাই এই বিষয়টি জানুক। আমি পার্টি করতেও ভালোবাসি। কেউ কি কখনও পরিমাণ কমাতে, নাকি শুধুমাত্র সামাজিকভাবে মদ্যপান করতে সফল হয়েছে? এটা কি সম্ভব, নাকি আমার কেবল বন্ধ করা উচিত? আমার সন্দেহ আছে যে আমি এটি চিরতরে সম্পূর্ণরূপে কমাতে পারব। ১৮ বছর বয়সের স্বাভাবিক জীবনে ফিরে যেতে কি খুব দেরি হয়ে গেছে? নতুন বছরের পর থেকে আমি মাত্র একবার মদ্যপান করতে পেরেছি।</v>
      </c>
    </row>
    <row r="1330" spans="1:3" ht="15" x14ac:dyDescent="0.25">
      <c r="A1330" s="3" t="s">
        <v>1325</v>
      </c>
      <c r="B1330" s="3" t="s">
        <v>997</v>
      </c>
      <c r="C1330" s="4" t="str">
        <f ca="1">IFERROR(__xludf.DUMMYFUNCTION("GOOGLETRANSLATE(A1330, ""auto"", ""bn"")"),"আমি দেড় বছর ধরে সুস্থ ছিলাম। ৬ মাস আগে আমি লাস ভেগাসে একটি বিয়েতে গিয়েছিলাম এই ভেবে যে আমি AA মিটিংয়ে যাব এবং সুস্থ থাকব, কিন্তু শেষ পর্যন্ত আমি মদ্যপান করেছিলাম... তারপর থেকে আমি এক মাস ধরে সুস্থ ছিলাম কিন্তু বারবার পড়ে যাচ্ছি। এটা এমন পর্যায়ে পৌঁছ"&amp;"েছে যে আমার কাঁপুনি শুরু হয়েছে এবং মনে হচ্ছে যদি আমি থামি তাহলে আবার খিঁচুনি হবে... প্রতি রাতে আমি বলি এটাই শেষবার এবং তারপর সকালে আমি অসুস্থ হয়ে পড়ি এবং নিজের সাথে যা করছি তার পরিণতি সহ্য করতে পারি না। আমি সবেমাত্র একটি নতুন শহরে চলে এসেছি, আমার বাড়ি"&amp;"র গ্রুপ যেখানে ছিল সেখান থেকে দুই রাজ্য দূরে, এবং নতুন লোকেদের সাথে নতুন মিটিংয়ে যাওয়া কঠিন হয়ে পড়েছে। প্রতিবার যখন আমি আবার বাইরে যাই, তখন ফিরে আসা আরও কঠিন হয়ে ওঠে। আমি আগামীকাল প্রথমবারের মতো এই অবস্থায় আমার প্রথম মিটিংয়ে যেতে যাচ্ছি।")</f>
        <v>আমি দেড় বছর ধরে সুস্থ ছিলাম। ৬ মাস আগে আমি লাস ভেগাসে একটি বিয়েতে গিয়েছিলাম এই ভেবে যে আমি AA মিটিংয়ে যাব এবং সুস্থ থাকব, কিন্তু শেষ পর্যন্ত আমি মদ্যপান করেছিলাম... তারপর থেকে আমি এক মাস ধরে সুস্থ ছিলাম কিন্তু বারবার পড়ে যাচ্ছি। এটা এমন পর্যায়ে পৌঁছেছে যে আমার কাঁপুনি শুরু হয়েছে এবং মনে হচ্ছে যদি আমি থামি তাহলে আবার খিঁচুনি হবে... প্রতি রাতে আমি বলি এটাই শেষবার এবং তারপর সকালে আমি অসুস্থ হয়ে পড়ি এবং নিজের সাথে যা করছি তার পরিণতি সহ্য করতে পারি না। আমি সবেমাত্র একটি নতুন শহরে চলে এসেছি, আমার বাড়ির গ্রুপ যেখানে ছিল সেখান থেকে দুই রাজ্য দূরে, এবং নতুন লোকেদের সাথে নতুন মিটিংয়ে যাওয়া কঠিন হয়ে পড়েছে। প্রতিবার যখন আমি আবার বাইরে যাই, তখন ফিরে আসা আরও কঠিন হয়ে ওঠে। আমি আগামীকাল প্রথমবারের মতো এই অবস্থায় আমার প্রথম মিটিংয়ে যেতে যাচ্ছি।</v>
      </c>
    </row>
    <row r="1331" spans="1:3" ht="15" x14ac:dyDescent="0.25">
      <c r="A1331" s="3" t="s">
        <v>1326</v>
      </c>
      <c r="B1331" s="3" t="s">
        <v>997</v>
      </c>
      <c r="C1331" s="4" t="str">
        <f ca="1">IFERROR(__xludf.DUMMYFUNCTION("GOOGLETRANSLATE(A1331, ""auto"", ""bn"")"),"মদ্যপ, বন্ধুবান্ধব এবং মদ্যপদের পরিবার, আমার একটি গুরুতর প্রশ্ন আছে। যদি আপনি ৬০ দিনের ইনপেশেন্ট রিহ্যাব করার পর ৬ মাস ধরে সুস্থ থাকেন এবং ২ বার পানীয় পান করেন কিন্তু তাৎক্ষণিকভাবে তা মেনে নেন এবং সৎ হন, তাহলে আপনি কি এটিকে পুনরায় নেশা বলে মনে করেন এবং "&amp;"আপনার কি মনে হয় আপনার অবিলম্বে ৪৫-৬০ দিনের ইনপেশেন্ট রিহ্যাবে ফিরে যাওয়া উচিত? আমার সবচেয়ে ভালো বন্ধুর অনেক সমস্যা হয়েছে, কিন্তু আমি জানি না যে এটি অবিলম্বে ইনপেশেন্ট চিকিৎসায় ফিরে যাওয়ার প্রয়োজন এবং তাদের AA স্পনসরও এটিকে উপযুক্ত প্রতিক্রিয়া বলে "&amp;"মনে করেননি। তাদের একজন অত্যন্ত কৌশলী SO আছে যে আবেগগতভাবে নির্যাতনকারী এবং নবম ডিগ্রি পর্যন্ত আলো জ্বালায় এবং অতীতের খারাপ আচরণের জন্য শাস্তি সম্পর্কে। আমি তাদের অতীতের কারণে সবকিছু নিয়ে প্রশ্ন তুলি, কিন্তু আমি জানি না কিভাবে সহায়ক হওয়া বনাম সক্ষম হওয"&amp;"়া এই লাইনে চলতে হয়। আমি আশা করি এটি নিয়মের মধ্যে আছে, এই উপ-পশ্চিমে এটি আমার প্রথমবার, তবে আমার সাহায্যের প্রয়োজন কারণ আমি জানি না কিভাবে আমার বন্ধুকে সাহায্য করতে হয়।")</f>
        <v>মদ্যপ, বন্ধুবান্ধব এবং মদ্যপদের পরিবার, আমার একটি গুরুতর প্রশ্ন আছে। যদি আপনি ৬০ দিনের ইনপেশেন্ট রিহ্যাব করার পর ৬ মাস ধরে সুস্থ থাকেন এবং ২ বার পানীয় পান করেন কিন্তু তাৎক্ষণিকভাবে তা মেনে নেন এবং সৎ হন, তাহলে আপনি কি এটিকে পুনরায় নেশা বলে মনে করেন এবং আপনার কি মনে হয় আপনার অবিলম্বে ৪৫-৬০ দিনের ইনপেশেন্ট রিহ্যাবে ফিরে যাওয়া উচিত? আমার সবচেয়ে ভালো বন্ধুর অনেক সমস্যা হয়েছে, কিন্তু আমি জানি না যে এটি অবিলম্বে ইনপেশেন্ট চিকিৎসায় ফিরে যাওয়ার প্রয়োজন এবং তাদের AA স্পনসরও এটিকে উপযুক্ত প্রতিক্রিয়া বলে মনে করেননি। তাদের একজন অত্যন্ত কৌশলী SO আছে যে আবেগগতভাবে নির্যাতনকারী এবং নবম ডিগ্রি পর্যন্ত আলো জ্বালায় এবং অতীতের খারাপ আচরণের জন্য শাস্তি সম্পর্কে। আমি তাদের অতীতের কারণে সবকিছু নিয়ে প্রশ্ন তুলি, কিন্তু আমি জানি না কিভাবে সহায়ক হওয়া বনাম সক্ষম হওয়া এই লাইনে চলতে হয়। আমি আশা করি এটি নিয়মের মধ্যে আছে, এই উপ-পশ্চিমে এটি আমার প্রথমবার, তবে আমার সাহায্যের প্রয়োজন কারণ আমি জানি না কিভাবে আমার বন্ধুকে সাহায্য করতে হয়।</v>
      </c>
    </row>
    <row r="1332" spans="1:3" ht="15" x14ac:dyDescent="0.25">
      <c r="A1332" s="3" t="s">
        <v>1327</v>
      </c>
      <c r="B1332" s="3" t="s">
        <v>997</v>
      </c>
      <c r="C1332" s="4" t="str">
        <f ca="1">IFERROR(__xludf.DUMMYFUNCTION("GOOGLETRANSLATE(A1332, ""auto"", ""bn"")"),"আমি শুক্রবারে ৪ বারের বেশি বিয়ার পান করি না, বাকি সপ্তাহটা আমি শান্ত থাকি। কিন্তু এখনও আমার শারীরিক দুর্বলতা, উদ্বেগ এবং ঘর থেকে বের হওয়ার ভয় আছে। পাবলিক অনুষ্ঠানে গেলে আমার মাথা খারাপ হয়ে যায় এবং আমার মনে হয় আমি মারা যাব। ক্রমাগত উদ্বেগ। কেউ কি জান"&amp;"েন আমি কীভাবে এর সাথে মানিয়ে নেব? আমার খালার শেষকৃত্য আগামীকাল সকাল ১০ টায়। আর আমি নার্ভাস এবং ভয় পাচ্ছি যে আমি শারীরিকভাবে খারাপ বোধ করব যদিও আমি মাত্র ৪ বার বিয়ার খেয়েছি। ভিটামিন? পুষ্টি? আপনারা যা জানেন তা আমাকে কিছুটা স্বাভাবিক বোধ করতে সাহায্য ক"&amp;"রবে?")</f>
        <v>আমি শুক্রবারে ৪ বারের বেশি বিয়ার পান করি না, বাকি সপ্তাহটা আমি শান্ত থাকি। কিন্তু এখনও আমার শারীরিক দুর্বলতা, উদ্বেগ এবং ঘর থেকে বের হওয়ার ভয় আছে। পাবলিক অনুষ্ঠানে গেলে আমার মাথা খারাপ হয়ে যায় এবং আমার মনে হয় আমি মারা যাব। ক্রমাগত উদ্বেগ। কেউ কি জানেন আমি কীভাবে এর সাথে মানিয়ে নেব? আমার খালার শেষকৃত্য আগামীকাল সকাল ১০ টায়। আর আমি নার্ভাস এবং ভয় পাচ্ছি যে আমি শারীরিকভাবে খারাপ বোধ করব যদিও আমি মাত্র ৪ বার বিয়ার খেয়েছি। ভিটামিন? পুষ্টি? আপনারা যা জানেন তা আমাকে কিছুটা স্বাভাবিক বোধ করতে সাহায্য করবে?</v>
      </c>
    </row>
    <row r="1333" spans="1:3" ht="15" x14ac:dyDescent="0.25">
      <c r="A1333" s="3" t="s">
        <v>1328</v>
      </c>
      <c r="B1333" s="3" t="s">
        <v>997</v>
      </c>
      <c r="C1333" s="4" t="str">
        <f ca="1">IFERROR(__xludf.DUMMYFUNCTION("GOOGLETRANSLATE(A1333, ""auto"", ""bn"")"),"আমি প্রায় চার মাস ধরে মদ্যপান ছাড়াই কাটিয়েছি, আমার মনে হয়েছিল আমি সবকিছু সামলাতে পারব, তাই আমার মনে একটা দারুন ভাবনা এলো যে আমি আমার পুরনো শখগুলো আবার বাড়ি থেকে বানিয়ে নেব...। আমি ভাবলাম ""আচ্ছা, আমার পরিবার পান করে, তাই তারা এটা উপভোগ করবে, এমনকি যদি আমি"&amp;" পান করতে নাও পারি""। সত্যি বলতে, এর জন্য সবচেয়ে বোকা অজুহাত। যে অংশটি আমাকে সত্যিই দুঃখিত করে তা হল, আমি এটা নিয়ে ভাবছিলাম এবং মনে মনে নিজেকে বলেছিলাম, ""আচ্ছা, রাঁধুনিরা সবসময় তাদের তৈরি খাবার চেষ্টা করে, এটা একই রকম, আমি এটা চাই বলে পান করি না, আমার শ"&amp;"ুধু জানা দরকার যে আমি এটা সঠিকভাবে তৈরি করেছি কিনা""। আমি কেগটি সংযুক্ত করলাম, CO2 চালু করলাম এবং একটি গ্লাস ভরে দিলাম। চার গ্লাস বিয়ারের পর, আর আমি এত দুর্বল এবং ভেঙে পড়া অনুভব করতে পারছি না, চার মাস নষ্ট হয়ে গেল, আর কেন? কিছুই না। আমার অপরাধবোধ হচ্ছে,"&amp;" আমি মাতাল হইনি, কিন্তু আমার মধ্যে উত্তেজনা ছিল, আর আমি নিজেকে মিথ্যা বলতে থাকলাম, ""এটা ধরা পড়ে না যে আমি মাতালও হইনি"", কিন্তু আমি জানি, আমি জানি আমি মিথ্যা বলছি, আর আমি নিজের সাথে ছাড়া আর কারো সাথে মিথ্যা বলছি না। আমার ফ্রিজে এখন একটা পুরো পিপা আছে, "&amp;"আমি রান্নাঘরের কাছেও যেতে পারছি না।")</f>
        <v>আমি প্রায় চার মাস ধরে মদ্যপান ছাড়াই কাটিয়েছি, আমার মনে হয়েছিল আমি সবকিছু সামলাতে পারব, তাই আমার মনে একটা দারুন ভাবনা এলো যে আমি আমার পুরনো শখগুলো আবার বাড়ি থেকে বানিয়ে নেব...। আমি ভাবলাম "আচ্ছা, আমার পরিবার পান করে, তাই তারা এটা উপভোগ করবে, এমনকি যদি আমি পান করতে নাও পারি"। সত্যি বলতে, এর জন্য সবচেয়ে বোকা অজুহাত। যে অংশটি আমাকে সত্যিই দুঃখিত করে তা হল, আমি এটা নিয়ে ভাবছিলাম এবং মনে মনে নিজেকে বলেছিলাম, "আচ্ছা, রাঁধুনিরা সবসময় তাদের তৈরি খাবার চেষ্টা করে, এটা একই রকম, আমি এটা চাই বলে পান করি না, আমার শুধু জানা দরকার যে আমি এটা সঠিকভাবে তৈরি করেছি কিনা"। আমি কেগটি সংযুক্ত করলাম, CO2 চালু করলাম এবং একটি গ্লাস ভরে দিলাম। চার গ্লাস বিয়ারের পর, আর আমি এত দুর্বল এবং ভেঙে পড়া অনুভব করতে পারছি না, চার মাস নষ্ট হয়ে গেল, আর কেন? কিছুই না। আমার অপরাধবোধ হচ্ছে, আমি মাতাল হইনি, কিন্তু আমার মধ্যে উত্তেজনা ছিল, আর আমি নিজেকে মিথ্যা বলতে থাকলাম, "এটা ধরা পড়ে না যে আমি মাতালও হইনি", কিন্তু আমি জানি, আমি জানি আমি মিথ্যা বলছি, আর আমি নিজের সাথে ছাড়া আর কারো সাথে মিথ্যা বলছি না। আমার ফ্রিজে এখন একটা পুরো পিপা আছে, আমি রান্নাঘরের কাছেও যেতে পারছি না।</v>
      </c>
    </row>
    <row r="1334" spans="1:3" ht="15" x14ac:dyDescent="0.25">
      <c r="A1334" s="3" t="s">
        <v>1329</v>
      </c>
      <c r="B1334" s="3" t="s">
        <v>997</v>
      </c>
      <c r="C1334" s="4" t="str">
        <f ca="1">IFERROR(__xludf.DUMMYFUNCTION("GOOGLETRANSLATE(A1334, ""auto"", ""bn"")"),"ডেল্টা ৮ আমার জন্য ব্যক্তিগতভাবে একটি অলৌকিক পদার্থ। আমি THC এর অনেক ঔষধি উপকারিতা পেয়েছি, অতিরিক্ত মাত্রা ছাড়াই। আমার কাছে, এটি মানসম্পন্ন CBD এর মতো মনে হয় কিন্তু কিছুটা ঝাঁকুনি দিয়ে। হ্যাঁ, আমি এখনও জনপ্রিয়, তবে এটি ডেল্টা ৯ বা অবৈধ পদার্থের তুলনা"&amp;"য় অনেক হালকা এবং সেই কারণেই আমি এটি পছন্দ করি। আমি এটি খুব বেশি মাত্রায় গ্রহণ করতে পারি না এবং নিয়মিত ডেল্টা ৯ পণ্য গ্রহণের ফলে আমি যে নেতিবাচক পার্শ্ব প্রতিক্রিয়াগুলি অনুভব করি তা আমি পাই না। এটি আরও কার্যকর। আমি একজন মদ্যপ আসক্ত এবং ১২ বছর বয়স থেকে"&amp;" আছি। আমার বয়স এখন প্রায় ৩০। তাছাড়া, আমি মদ্যপান কমাতে বা ছেড়ে দেওয়ার জন্য Naltrexone এবং Antabuse এর মতো ওষুধ সহ অনেকগুলি বিভিন্ন জিনিস চেষ্টা করেছি এবং কিছুই খুব একটা সফল হয়নি। তাছাড়া, আমি ২০১৯ সালে Delta 8 আবিষ্কার করেছি। এটি আমার জীবন বদলে দিয়েছ"&amp;"ে। আমি এটি ব্যবহার করতে এবং স্বাভাবিক কার্যকারিতা বজায় রেখে আমার পছন্দের গুঞ্জনের সাথে প্রকৃত ঔষধি প্রভাব পেতে সক্ষম। আমি এখনও পান করি কিন্তু প্রায় ততটা নয়। তাছাড়া, আমি দিনে দুই পঞ্চমাংশ ভদকা পান করতাম এবং বিয়ারের সাথে খেলতাম। এখন আমি সাধারণত রাতে ২টি"&amp;" শট এবং ১টি বিয়ার থেকে শুরু করে ৪টি শট এবং ২টি বিয়ার পর্যন্ত পান করি। আমার কাছে এটা একটা উন্নতি, এবং আমি নিশ্চিত নই যে ডেল্টা ৮ এবং অন্যান্য ক্যানাবিনয়েড ব্যবহার না করে আমি পরিমাণ এত কমাতে পারতাম কিনা। এটা কেবল আমার গল্প এবং ব্যক্তিগত অভিজ্ঞতা, এবং আমি"&amp;" কাউকে বলছি না যে তাদের এক পদার্থের পরিবর্তে অন্য পদার্থ ব্যবহার করা উচিত।")</f>
        <v>ডেল্টা ৮ আমার জন্য ব্যক্তিগতভাবে একটি অলৌকিক পদার্থ। আমি THC এর অনেক ঔষধি উপকারিতা পেয়েছি, অতিরিক্ত মাত্রা ছাড়াই। আমার কাছে, এটি মানসম্পন্ন CBD এর মতো মনে হয় কিন্তু কিছুটা ঝাঁকুনি দিয়ে। হ্যাঁ, আমি এখনও জনপ্রিয়, তবে এটি ডেল্টা ৯ বা অবৈধ পদার্থের তুলনায় অনেক হালকা এবং সেই কারণেই আমি এটি পছন্দ করি। আমি এটি খুব বেশি মাত্রায় গ্রহণ করতে পারি না এবং নিয়মিত ডেল্টা ৯ পণ্য গ্রহণের ফলে আমি যে নেতিবাচক পার্শ্ব প্রতিক্রিয়াগুলি অনুভব করি তা আমি পাই না। এটি আরও কার্যকর। আমি একজন মদ্যপ আসক্ত এবং ১২ বছর বয়স থেকে আছি। আমার বয়স এখন প্রায় ৩০। তাছাড়া, আমি মদ্যপান কমাতে বা ছেড়ে দেওয়ার জন্য Naltrexone এবং Antabuse এর মতো ওষুধ সহ অনেকগুলি বিভিন্ন জিনিস চেষ্টা করেছি এবং কিছুই খুব একটা সফল হয়নি। তাছাড়া, আমি ২০১৯ সালে Delta 8 আবিষ্কার করেছি। এটি আমার জীবন বদলে দিয়েছে। আমি এটি ব্যবহার করতে এবং স্বাভাবিক কার্যকারিতা বজায় রেখে আমার পছন্দের গুঞ্জনের সাথে প্রকৃত ঔষধি প্রভাব পেতে সক্ষম। আমি এখনও পান করি কিন্তু প্রায় ততটা নয়। তাছাড়া, আমি দিনে দুই পঞ্চমাংশ ভদকা পান করতাম এবং বিয়ারের সাথে খেলতাম। এখন আমি সাধারণত রাতে ২টি শট এবং ১টি বিয়ার থেকে শুরু করে ৪টি শট এবং ২টি বিয়ার পর্যন্ত পান করি। আমার কাছে এটা একটা উন্নতি, এবং আমি নিশ্চিত নই যে ডেল্টা ৮ এবং অন্যান্য ক্যানাবিনয়েড ব্যবহার না করে আমি পরিমাণ এত কমাতে পারতাম কিনা। এটা কেবল আমার গল্প এবং ব্যক্তিগত অভিজ্ঞতা, এবং আমি কাউকে বলছি না যে তাদের এক পদার্থের পরিবর্তে অন্য পদার্থ ব্যবহার করা উচিত।</v>
      </c>
    </row>
    <row r="1335" spans="1:3" ht="15" x14ac:dyDescent="0.25">
      <c r="A1335" s="3" t="s">
        <v>1330</v>
      </c>
      <c r="B1335" s="3" t="s">
        <v>997</v>
      </c>
      <c r="C1335" s="4" t="str">
        <f ca="1">IFERROR(__xludf.DUMMYFUNCTION("GOOGLETRANSLATE(A1335, ""auto"", ""bn"")"),"আমি বেজোসের সাথে ২ বছরে ৪ বার পুনর্বাসনের চেষ্টা করেছি এবং কয়েক সপ্তাহ থেকে মাস ধরে সুস্থ থাকতে পেরেছি যতক্ষণ না সেই খারাপ মুহূর্তটি আসে। এবং তারপর আবার শুরু হয়। আমি ধীরে ধীরে অ্যালকোহল কমানোর চেষ্টা করতে চাই, যাতে আমার উদ্বেগ, খিঁচুনি এবং মাথাব্যথা না "&amp;"হয়। কীভাবে এগিয়ে যেতে হবে তার জন্য কারও কাছে কি কোনও উপায় আছে? এছাড়াও, যদি আমি আমার অ্যালকোহল গ্রহণ কমিয়ে দেই তবে আমি রাতে প্রায় ৬ ঘন্টা ঘুমাই এবং খুব উত্তেজনাপূর্ণ শরীর নিয়ে ঘুম থেকে উঠি এবং সত্যিই অদ্ভুত এবং উদ্বিগ্ন বোধ করি। কোন টিপস? আমি এভাবে "&amp;"চালিয়ে যেতে পারি না এবং বেজোস দীর্ঘমেয়াদী সাহায্য করে না। আমার পরবর্তী পদক্ষেপ হবে একজন বৌদ্ধ সন্ন্যাসী হওয়া (কোনও রসিকতা নয়)। আসক্তির সাথে যে যন্ত্রণা আসে তা আমি সহ্য করতে পারছি না।")</f>
        <v>আমি বেজোসের সাথে ২ বছরে ৪ বার পুনর্বাসনের চেষ্টা করেছি এবং কয়েক সপ্তাহ থেকে মাস ধরে সুস্থ থাকতে পেরেছি যতক্ষণ না সেই খারাপ মুহূর্তটি আসে। এবং তারপর আবার শুরু হয়। আমি ধীরে ধীরে অ্যালকোহল কমানোর চেষ্টা করতে চাই, যাতে আমার উদ্বেগ, খিঁচুনি এবং মাথাব্যথা না হয়। কীভাবে এগিয়ে যেতে হবে তার জন্য কারও কাছে কি কোনও উপায় আছে? এছাড়াও, যদি আমি আমার অ্যালকোহল গ্রহণ কমিয়ে দেই তবে আমি রাতে প্রায় ৬ ঘন্টা ঘুমাই এবং খুব উত্তেজনাপূর্ণ শরীর নিয়ে ঘুম থেকে উঠি এবং সত্যিই অদ্ভুত এবং উদ্বিগ্ন বোধ করি। কোন টিপস? আমি এভাবে চালিয়ে যেতে পারি না এবং বেজোস দীর্ঘমেয়াদী সাহায্য করে না। আমার পরবর্তী পদক্ষেপ হবে একজন বৌদ্ধ সন্ন্যাসী হওয়া (কোনও রসিকতা নয়)। আসক্তির সাথে যে যন্ত্রণা আসে তা আমি সহ্য করতে পারছি না।</v>
      </c>
    </row>
    <row r="1336" spans="1:3" ht="15" x14ac:dyDescent="0.25">
      <c r="A1336" s="3" t="s">
        <v>1331</v>
      </c>
      <c r="B1336" s="3" t="s">
        <v>997</v>
      </c>
      <c r="C1336" s="4" t="str">
        <f ca="1">IFERROR(__xludf.DUMMYFUNCTION("GOOGLETRANSLATE(A1336, ""auto"", ""bn"")"),"আমার মদ্যপান এবং মাদকের ব্যবহার আমাকে এক ভয়াবহ পরিস্থিতিতে ফেলে দিয়েছে। আমার স্বাস্থ্য এবং জীবনযাত্রা সহ সবকিছুতেই আমার আগ্রহ হারিয়ে ফেলেছে। আমার পরিবর্তন আনা দরকার। তাছাড়া, আমি বারবার চেষ্টা করেছি কিন্তু পারিনি। তাছাড়া, আমি চাই এই সময়টা আলাদা হোক। "&amp;"তাছাড়া, আমি সোমবার থেকে খুব বেশি মদ্যপান এবং মদ্যপান করছি। তাছাড়া, আমি এখনই থামতে চাই, আমার যা আছে তা ফেলে দিতে চাই এবং আজ রাতের 830 মিটিংয়ের জন্য একটু শান্ত থাকতে চাই। তাছাড়া, আমি সম্ভবত এখনও খুব বেশি শান্ত থাকব না বা নিজের যত্ন না নেওয়ার কারণে বিরক"&amp;"্ত হব না। তাছাড়া, আমি ভাবছি শান্ত থাকার জন্য আমার এখনই মিটিংয়ে যাওয়া শুরু করা উচিত। এটা কি এভাবেই কাজ করে? আমি কি একটু সুস্থ হয়ে উঠলে এবং হয়তো আগামীকাল বা শনিবার যেতে পারলে ভালো হবে? এবং যদি এমন কিছু থাকে যা শুরুতে আপনাকে সাহায্য করেছে দয়া করে আমাকে"&amp;" জানান। আমি আশা করি এটি সবই যুক্তিসঙ্গত হবে।")</f>
        <v>আমার মদ্যপান এবং মাদকের ব্যবহার আমাকে এক ভয়াবহ পরিস্থিতিতে ফেলে দিয়েছে। আমার স্বাস্থ্য এবং জীবনযাত্রা সহ সবকিছুতেই আমার আগ্রহ হারিয়ে ফেলেছে। আমার পরিবর্তন আনা দরকার। তাছাড়া, আমি বারবার চেষ্টা করেছি কিন্তু পারিনি। তাছাড়া, আমি চাই এই সময়টা আলাদা হোক। তাছাড়া, আমি সোমবার থেকে খুব বেশি মদ্যপান এবং মদ্যপান করছি। তাছাড়া, আমি এখনই থামতে চাই, আমার যা আছে তা ফেলে দিতে চাই এবং আজ রাতের 830 মিটিংয়ের জন্য একটু শান্ত থাকতে চাই। তাছাড়া, আমি সম্ভবত এখনও খুব বেশি শান্ত থাকব না বা নিজের যত্ন না নেওয়ার কারণে বিরক্ত হব না। তাছাড়া, আমি ভাবছি শান্ত থাকার জন্য আমার এখনই মিটিংয়ে যাওয়া শুরু করা উচিত। এটা কি এভাবেই কাজ করে? আমি কি একটু সুস্থ হয়ে উঠলে এবং হয়তো আগামীকাল বা শনিবার যেতে পারলে ভালো হবে? এবং যদি এমন কিছু থাকে যা শুরুতে আপনাকে সাহায্য করেছে দয়া করে আমাকে জানান। আমি আশা করি এটি সবই যুক্তিসঙ্গত হবে।</v>
      </c>
    </row>
    <row r="1337" spans="1:3" ht="15" x14ac:dyDescent="0.25">
      <c r="A1337" s="3" t="s">
        <v>1332</v>
      </c>
      <c r="B1337" s="3" t="s">
        <v>997</v>
      </c>
      <c r="C1337" s="4" t="str">
        <f ca="1">IFERROR(__xludf.DUMMYFUNCTION("GOOGLETRANSLATE(A1337, ""auto"", ""bn"")"),"বেশ কয়েক বছর ধরে ক্রমাগত অতিরিক্ত সুবিধাবাদী মদ্যপানের (যখন আমি ভেবেছিলাম ধরা পড়বে না তখন লুকিয়ে লুকিয়ে) পর আমি ৩৫ দিন ধরে ক্লান্ত এবং প্রায় নিশ্চিত যে আমার ADHD আছে (মনোবিজ্ঞানী বলেছেন যে এই সপ্তাহের শেষের দিকে সম্ভাব্য এবং ডায়াগনস্টিক পরীক্ষা নির্"&amp;"ধারিত)। যাইহোক, কেউ কি ADHD-এর বিচ্ছিন্নতা এবং বিশৃঙ্খলা মোকাবেলা করার উপায় হিসাবে অ্যালকোহল অপব্যবহারের সাথে মোকাবিলা করেছেন? যদি তাই হয়, তাহলে অ্যালকোহল বন্ধ করার পরে আপনি ADHD-কে কীভাবে মোকাবেলা করেছেন? আমার মনে হয় এটি কোনও স্পষ্ট পোস্ট নয় - আমি যে"&amp;" উদ্বেগের সমাধান করার চেষ্টা করছি তা হল 1.) আমার অপব্যবহার কতটা আসক্তি সম্পর্কিত ছিল বনাম স্ব-ওষুধ সেবন। 2.) খারাপ অভ্যাস থেকে মুক্তি না পেয়ে ADHD-কে মোকাবেলা করার কৌশল। 3.) ADHD-এর লক্ষণগুলি মোকাবেলায় (যদি থাকে) কীভাবে বিরত থাকা সাহায্য করেছিল?")</f>
        <v>বেশ কয়েক বছর ধরে ক্রমাগত অতিরিক্ত সুবিধাবাদী মদ্যপানের (যখন আমি ভেবেছিলাম ধরা পড়বে না তখন লুকিয়ে লুকিয়ে) পর আমি ৩৫ দিন ধরে ক্লান্ত এবং প্রায় নিশ্চিত যে আমার ADHD আছে (মনোবিজ্ঞানী বলেছেন যে এই সপ্তাহের শেষের দিকে সম্ভাব্য এবং ডায়াগনস্টিক পরীক্ষা নির্ধারিত)। যাইহোক, কেউ কি ADHD-এর বিচ্ছিন্নতা এবং বিশৃঙ্খলা মোকাবেলা করার উপায় হিসাবে অ্যালকোহল অপব্যবহারের সাথে মোকাবিলা করেছেন? যদি তাই হয়, তাহলে অ্যালকোহল বন্ধ করার পরে আপনি ADHD-কে কীভাবে মোকাবেলা করেছেন? আমার মনে হয় এটি কোনও স্পষ্ট পোস্ট নয় - আমি যে উদ্বেগের সমাধান করার চেষ্টা করছি তা হল 1.) আমার অপব্যবহার কতটা আসক্তি সম্পর্কিত ছিল বনাম স্ব-ওষুধ সেবন। 2.) খারাপ অভ্যাস থেকে মুক্তি না পেয়ে ADHD-কে মোকাবেলা করার কৌশল। 3.) ADHD-এর লক্ষণগুলি মোকাবেলায় (যদি থাকে) কীভাবে বিরত থাকা সাহায্য করেছিল?</v>
      </c>
    </row>
    <row r="1338" spans="1:3" ht="15" x14ac:dyDescent="0.25">
      <c r="A1338" s="3" t="s">
        <v>1333</v>
      </c>
      <c r="B1338" s="3" t="s">
        <v>997</v>
      </c>
      <c r="C1338" s="4" t="str">
        <f ca="1">IFERROR(__xludf.DUMMYFUNCTION("GOOGLETRANSLATE(A1338, ""auto"", ""bn"")"),"আমি নিশ্চিত নই যে আমি মাতাল কিনা, কিন্তু হঠাৎ করেই আমার আচরণের দিকে একবার নজর দিলাম, আর আমি চিন্তিত হলাম যে আমি হয়তো মাতাল। আমি কখনোই মাতাল হই না, এমনকি আমি এতটা মাতালও হই না যে কেউ খেয়াল করতে পারে। তাছাড়া, আমি দিনের বেলায় খুব কমই মদ্যপান করি। কিন্তু "&amp;"প্রতিদিনই মদ্যপান করি। এবং, সম্ভবত আরও গুরুত্বপূর্ণ বিষয় হল, কেউ জানে না যে আমি কতটা মদ্যপান করি। আমি আমার ড্রেসার পিছনে বোতল ওয়াইন লুকিয়ে রাখি যাতে আমার প্রেমিক জানতে না পারে, এবং যখন আমি তার বা অন্য কারো আশেপাশে থাকি তখন যতটা সম্ভব সংযত থাকার চেষ্টা "&amp;"করি। যখন আমি সামাজিকভাবে মদ্যপান করি তখন আমি অন্যদের তুলনায় অনেক বেশি পান করি, অন্যদের তুলনায় অনেক দ্রুত, কিন্তু আমি আসলে অন্যদের চেয়ে বেশি মাতাল কখনও দেখি না। আমি মাত্র আধা বোতল ওয়াইন পান করি অথবা, যদি আমি বাইরে থাকি, তাহলে রাতে ২-৩ বার পান করি। এটা "&amp;"কি কোন সমস্যা? নাকি এটা স্বাভাবিক কারণ আমি কর্মক্ষম এবং কেউ এতে বিরক্ত হয় না?")</f>
        <v>আমি নিশ্চিত নই যে আমি মাতাল কিনা, কিন্তু হঠাৎ করেই আমার আচরণের দিকে একবার নজর দিলাম, আর আমি চিন্তিত হলাম যে আমি হয়তো মাতাল। আমি কখনোই মাতাল হই না, এমনকি আমি এতটা মাতালও হই না যে কেউ খেয়াল করতে পারে। তাছাড়া, আমি দিনের বেলায় খুব কমই মদ্যপান করি। কিন্তু প্রতিদিনই মদ্যপান করি। এবং, সম্ভবত আরও গুরুত্বপূর্ণ বিষয় হল, কেউ জানে না যে আমি কতটা মদ্যপান করি। আমি আমার ড্রেসার পিছনে বোতল ওয়াইন লুকিয়ে রাখি যাতে আমার প্রেমিক জানতে না পারে, এবং যখন আমি তার বা অন্য কারো আশেপাশে থাকি তখন যতটা সম্ভব সংযত থাকার চেষ্টা করি। যখন আমি সামাজিকভাবে মদ্যপান করি তখন আমি অন্যদের তুলনায় অনেক বেশি পান করি, অন্যদের তুলনায় অনেক দ্রুত, কিন্তু আমি আসলে অন্যদের চেয়ে বেশি মাতাল কখনও দেখি না। আমি মাত্র আধা বোতল ওয়াইন পান করি অথবা, যদি আমি বাইরে থাকি, তাহলে রাতে ২-৩ বার পান করি। এটা কি কোন সমস্যা? নাকি এটা স্বাভাবিক কারণ আমি কর্মক্ষম এবং কেউ এতে বিরক্ত হয় না?</v>
      </c>
    </row>
    <row r="1339" spans="1:3" ht="15" x14ac:dyDescent="0.25">
      <c r="A1339" s="3" t="s">
        <v>1334</v>
      </c>
      <c r="B1339" s="3" t="s">
        <v>997</v>
      </c>
      <c r="C1339" s="4" t="str">
        <f ca="1">IFERROR(__xludf.DUMMYFUNCTION("GOOGLETRANSLATE(A1339, ""auto"", ""bn"")"),"এই সাব-এ নতুন। আমি সারা জীবন মানসিক স্বাস্থ্যের সাথে লড়াই করেছি, এবং সম্প্রতি আমি অ্যালকোহলের উপর নির্ভরশীল হয়ে পড়েছি। আমি বলি যে আমি নই বা করছি না, কিন্তু মূল কথা হল, আমি খুব বেশি পান করি এবং এটি আমার শরীর এবং আমার সম্পর্কের উপর প্রভাব ফেলছে। আমার SO "&amp;"বলে যে আমি একজন সক্রিয় ব্যক্তি এবং যেহেতু সে বিষণ্ণতার সাথে লড়াই করছে, তাই আমার মদ্যপান সাহায্য করছে না। আমি এই লোকটিকে আমার সারা জীবনে অন্য কারও চেয়ে বেশি ভালোবাসি। আমরা জানি আমরা বিয়ে, বাচ্চা এবং একসাথে জীবন দেখছি। আমি কীভাবে আমার যাত্রা শুরু করব, য"&amp;"াতে আমি নিজেকে সাহায্য করতে পারি এবং তাকে সাহায্য করতে পারি? বর্তমানে, আমি সপ্তাহে ৫-৬ দিন, কমপক্ষে ২ এবং প্রায়শই দিনে ৪টি পানীয় পান করি। কখনও কর্মক্ষেত্রে বা বাড়ির বাইরে না। সর্বদা ""অবসর সময়ে""? কিন্তু আমি সক্রিয়ভাবে আমার পরবর্তী পানীয় সম্পর্কে চি"&amp;"ন্তা করি।")</f>
        <v>এই সাব-এ নতুন। আমি সারা জীবন মানসিক স্বাস্থ্যের সাথে লড়াই করেছি, এবং সম্প্রতি আমি অ্যালকোহলের উপর নির্ভরশীল হয়ে পড়েছি। আমি বলি যে আমি নই বা করছি না, কিন্তু মূল কথা হল, আমি খুব বেশি পান করি এবং এটি আমার শরীর এবং আমার সম্পর্কের উপর প্রভাব ফেলছে। আমার SO বলে যে আমি একজন সক্রিয় ব্যক্তি এবং যেহেতু সে বিষণ্ণতার সাথে লড়াই করছে, তাই আমার মদ্যপান সাহায্য করছে না। আমি এই লোকটিকে আমার সারা জীবনে অন্য কারও চেয়ে বেশি ভালোবাসি। আমরা জানি আমরা বিয়ে, বাচ্চা এবং একসাথে জীবন দেখছি। আমি কীভাবে আমার যাত্রা শুরু করব, যাতে আমি নিজেকে সাহায্য করতে পারি এবং তাকে সাহায্য করতে পারি? বর্তমানে, আমি সপ্তাহে ৫-৬ দিন, কমপক্ষে ২ এবং প্রায়শই দিনে ৪টি পানীয় পান করি। কখনও কর্মক্ষেত্রে বা বাড়ির বাইরে না। সর্বদা "অবসর সময়ে"? কিন্তু আমি সক্রিয়ভাবে আমার পরবর্তী পানীয় সম্পর্কে চিন্তা করি।</v>
      </c>
    </row>
    <row r="1340" spans="1:3" ht="15" x14ac:dyDescent="0.25">
      <c r="A1340" s="3" t="s">
        <v>1335</v>
      </c>
      <c r="B1340" s="3" t="s">
        <v>997</v>
      </c>
      <c r="C1340" s="4" t="str">
        <f ca="1">IFERROR(__xludf.DUMMYFUNCTION("GOOGLETRANSLATE(A1340, ""auto"", ""bn"")"),"শিরোনামে যেমন বলা হয়েছে, আমি মনে করি আমি বুঝতে পেরেছি যে আমার একটা সমস্যা তৈরি হতে শুরু করেছে, আমি সামাজিক মদ্যপান থেকে একা মদ্যপান শুরু করেছি এবং সপ্তাহে ৩-৪ দিন মদ্যপান করছি। আমার মনে হয় এটি একটি সমস্যা হয়ে উঠেছে কারণ আমি এটি লুকিয়ে রাখি, এবং কখনও ক"&amp;"খনও এটি আমার যা করা উচিত তার পথে বাধা হয়ে দাঁড়ায়। আমার প্রশ্ন হল, এটা কি যুক্তিসঙ্গত যে আমি সম্পূর্ণরূপে হাল ছেড়ে না দিয়ে আমার মদ্যপানকে একটি গ্রহণযোগ্য স্তরে ফিরিয়ে আনতে পারব, কারণ সত্যি বলতে, আমি এখনও সামাজিক অনুষ্ঠানে মদ্যপান উপভোগ করি?")</f>
        <v>শিরোনামে যেমন বলা হয়েছে, আমি মনে করি আমি বুঝতে পেরেছি যে আমার একটা সমস্যা তৈরি হতে শুরু করেছে, আমি সামাজিক মদ্যপান থেকে একা মদ্যপান শুরু করেছি এবং সপ্তাহে ৩-৪ দিন মদ্যপান করছি। আমার মনে হয় এটি একটি সমস্যা হয়ে উঠেছে কারণ আমি এটি লুকিয়ে রাখি, এবং কখনও কখনও এটি আমার যা করা উচিত তার পথে বাধা হয়ে দাঁড়ায়। আমার প্রশ্ন হল, এটা কি যুক্তিসঙ্গত যে আমি সম্পূর্ণরূপে হাল ছেড়ে না দিয়ে আমার মদ্যপানকে একটি গ্রহণযোগ্য স্তরে ফিরিয়ে আনতে পারব, কারণ সত্যি বলতে, আমি এখনও সামাজিক অনুষ্ঠানে মদ্যপান উপভোগ করি?</v>
      </c>
    </row>
    <row r="1341" spans="1:3" ht="15" x14ac:dyDescent="0.25">
      <c r="A1341" s="3" t="s">
        <v>1336</v>
      </c>
      <c r="B1341" s="3" t="s">
        <v>997</v>
      </c>
      <c r="C1341" s="4" t="str">
        <f ca="1">IFERROR(__xludf.DUMMYFUNCTION("GOOGLETRANSLATE(A1341, ""auto"", ""bn"")"),"আমার বয়স ২৮, আমি ২১ বছর বয়স থেকে এক বোতল ওয়াইন খাচ্ছি। আরও কয়েকদিন। আমার মনে হয় আমি এখানে নিজের পরিচয় করিয়ে দিতে এসেছি। লম্বা পোস্টের জন্য আগেই দুঃখিত। আমি কয়েক বছর ধরে থেরাপিতে যাচ্ছি এবং প্রায়ই আমার মদ্যপান নিয়ে কথা বলি কিন্তু তাতে কোনও লাভ হচ্ছে না। আম"&amp;"ার প্রায় সব মানসিক এবং মানসিক সমস্যা সমাধান হয়ে গেছে, কিন্তু আমার মদ্যপান এখনও আটকে আছে, তাই আমি সম্ভাব্য ওষুধের জন্য আমার প্রাথমিক চিকিৎসার ডাক্তারের সাথে যোগাযোগ করছি। আমি গুগলিং করেছি কিন্তু প্রকৃত লোকদের কাছ থেকে জানতে আগ্রহী যে বিভিন্ন ওষুধ তাদের জন্"&amp;"য কী করে, ভালো/খারাপ উভয়ই। আমি মাঝে মাঝে চাপের পরিস্থিতি মোকাবেলা করার জন্য মদ্যপান করি, যেমন কর্মক্ষেত্রে খারাপ দিন বা প্রিয়জনের সাথে ঝগড়া। কিন্তু বেশিরভাগ সময় এটি কেবল মজার কারণে। আমি খুব বেশি আনন্দিত বোধ করতে পছন্দ করি। আমার স্বামী গাঁজা ধূমপান করেন"&amp;" এবং আসলে মদ্যপান করেন না, এবং আমি ভ্যাপ পেন সম্পর্কে সত্যিই আগ্রহী কারণ এতে ধোঁয়া বেশি কিন্তু ধোঁয়া নেই। সে বারবার বলে যে আমি সত্যিই এগুলো উপভোগ করব, এবং এতে আমার লিভার বাঁচবে, কিন্তু সমস্যা হল আমি ধূমপান করতে পারি না কারণ আমার চাকরিতে এলোমেলোভাবে ড্রা"&amp;"গ টেস্ট করা হতে পারে। যাইহোক, আমি অন্য বিভাগে যেতে পারি, কিন্তু এতে কম বেতন এবং শারীরিকভাবে অনেক বেশি পরিশ্রম হবে। আমি এখন আমার কাজটি সত্যিই পছন্দ করি। আমি এতে ভালো এবং এর চ্যালেঞ্জগুলি আমি পছন্দ করি। তাই আমি সত্যিই বিরক্ত। মদ্যপানের পরে কেউ আগাছা নেয়? এট"&amp;"া কেমন গেল তা শুনতে চাই। গতকাল দুই বোতল ওয়াইন পান করার পর আমি এটি লিখছি এবং ফলস্বরূপ শারীরিক ও মানসিকভাবে খারাপ লাগছে। আমি নিজের সাথে এটি ঘৃণা করি। তাছাড়া, আমাকে থামতে হবে কারণ আমি জানি যদি আমি তা চালিয়ে যাই তবে আমি মারা যাব। আসক্ত মস্তিষ্ক সবচেয়ে খার"&amp;"াপ।")</f>
        <v>আমার বয়স ২৮, আমি ২১ বছর বয়স থেকে এক বোতল ওয়াইন খাচ্ছি। আরও কয়েকদিন। আমার মনে হয় আমি এখানে নিজের পরিচয় করিয়ে দিতে এসেছি। লম্বা পোস্টের জন্য আগেই দুঃখিত। আমি কয়েক বছর ধরে থেরাপিতে যাচ্ছি এবং প্রায়ই আমার মদ্যপান নিয়ে কথা বলি কিন্তু তাতে কোনও লাভ হচ্ছে না। আমার প্রায় সব মানসিক এবং মানসিক সমস্যা সমাধান হয়ে গেছে, কিন্তু আমার মদ্যপান এখনও আটকে আছে, তাই আমি সম্ভাব্য ওষুধের জন্য আমার প্রাথমিক চিকিৎসার ডাক্তারের সাথে যোগাযোগ করছি। আমি গুগলিং করেছি কিন্তু প্রকৃত লোকদের কাছ থেকে জানতে আগ্রহী যে বিভিন্ন ওষুধ তাদের জন্য কী করে, ভালো/খারাপ উভয়ই। আমি মাঝে মাঝে চাপের পরিস্থিতি মোকাবেলা করার জন্য মদ্যপান করি, যেমন কর্মক্ষেত্রে খারাপ দিন বা প্রিয়জনের সাথে ঝগড়া। কিন্তু বেশিরভাগ সময় এটি কেবল মজার কারণে। আমি খুব বেশি আনন্দিত বোধ করতে পছন্দ করি। আমার স্বামী গাঁজা ধূমপান করেন এবং আসলে মদ্যপান করেন না, এবং আমি ভ্যাপ পেন সম্পর্কে সত্যিই আগ্রহী কারণ এতে ধোঁয়া বেশি কিন্তু ধোঁয়া নেই। সে বারবার বলে যে আমি সত্যিই এগুলো উপভোগ করব, এবং এতে আমার লিভার বাঁচবে, কিন্তু সমস্যা হল আমি ধূমপান করতে পারি না কারণ আমার চাকরিতে এলোমেলোভাবে ড্রাগ টেস্ট করা হতে পারে। যাইহোক, আমি অন্য বিভাগে যেতে পারি, কিন্তু এতে কম বেতন এবং শারীরিকভাবে অনেক বেশি পরিশ্রম হবে। আমি এখন আমার কাজটি সত্যিই পছন্দ করি। আমি এতে ভালো এবং এর চ্যালেঞ্জগুলি আমি পছন্দ করি। তাই আমি সত্যিই বিরক্ত। মদ্যপানের পরে কেউ আগাছা নেয়? এটা কেমন গেল তা শুনতে চাই। গতকাল দুই বোতল ওয়াইন পান করার পর আমি এটি লিখছি এবং ফলস্বরূপ শারীরিক ও মানসিকভাবে খারাপ লাগছে। আমি নিজের সাথে এটি ঘৃণা করি। তাছাড়া, আমাকে থামতে হবে কারণ আমি জানি যদি আমি তা চালিয়ে যাই তবে আমি মারা যাব। আসক্ত মস্তিষ্ক সবচেয়ে খারাপ।</v>
      </c>
    </row>
    <row r="1342" spans="1:3" ht="15" x14ac:dyDescent="0.25">
      <c r="A1342" s="3" t="s">
        <v>1337</v>
      </c>
      <c r="B1342" s="3" t="s">
        <v>997</v>
      </c>
      <c r="C1342" s="4" t="str">
        <f ca="1">IFERROR(__xludf.DUMMYFUNCTION("GOOGLETRANSLATE(A1342, ""auto"", ""bn"")"),"আমার বন্ধু (৩৯ মি) CV-১৯ এর লক্ষণগুলি স্পষ্ট, কিন্তু এখনও মনে হচ্ছে সে মদ্যপান ত্যাগের লক্ষণগুলির মধ্য দিয়ে যাচ্ছে। গত দুই দিন ভীতিকর ছিল। সে কখনও ধার্মিক ছিল না, তবে গতকাল থেকে মনে হচ্ছে সে সম্পূর্ণ ১৮০ ডিগ্রি সেলসিয়াস অতিক্রম করেছে। আমি যখনই তার সাথে "&amp;"কথা বলি, আমরা ঈশ্বর এবং শয়তান সম্পর্কে কথা বলি। আমি সমর্থন করি কিন্তু চিন্তিত কারণ এটি এত তীব্র ব্যক্তিত্বের পরিবর্তন। এটি কি ডিটি হতে পারে?")</f>
        <v>আমার বন্ধু (৩৯ মি) CV-১৯ এর লক্ষণগুলি স্পষ্ট, কিন্তু এখনও মনে হচ্ছে সে মদ্যপান ত্যাগের লক্ষণগুলির মধ্য দিয়ে যাচ্ছে। গত দুই দিন ভীতিকর ছিল। সে কখনও ধার্মিক ছিল না, তবে গতকাল থেকে মনে হচ্ছে সে সম্পূর্ণ ১৮০ ডিগ্রি সেলসিয়াস অতিক্রম করেছে। আমি যখনই তার সাথে কথা বলি, আমরা ঈশ্বর এবং শয়তান সম্পর্কে কথা বলি। আমি সমর্থন করি কিন্তু চিন্তিত কারণ এটি এত তীব্র ব্যক্তিত্বের পরিবর্তন। এটি কি ডিটি হতে পারে?</v>
      </c>
    </row>
    <row r="1343" spans="1:3" ht="15" x14ac:dyDescent="0.25">
      <c r="A1343" s="3" t="s">
        <v>1338</v>
      </c>
      <c r="B1343" s="3" t="s">
        <v>997</v>
      </c>
      <c r="C1343" s="4" t="str">
        <f ca="1">IFERROR(__xludf.DUMMYFUNCTION("GOOGLETRANSLATE(A1343, ""auto"", ""bn"")"),"আমি ৫ম দিনে পৌঁছে গেছি! দেড় বছরেরও বেশি সময় ধরে মদ্যপানের দীর্ঘতম ধারাবাহিকতা। ১-৩ দিন ছিল তীব্র ঝাঁকুনির সাথে, বাচ্চা, গরম/ঠান্ডা, বমি বমি ভাব, উদ্বেগ এবং ঘুম না আসা। ৪র্থ দিন ছিল একটু অস্থিরতা, কিন্তু ক্ষুধা আবার তীব্র হয়ে উঠল এবং স্পষ্টতা ফিরে আসতে "&amp;"শুরু করল। ঘুমানোর সময় ঘুমের জন্য এখনও একটু কঠিন ছিল কিন্তু ১-৩ দিনের মতো নয় এবং দুঃস্বপ্ন কমতে শুরু করল। ক্ষুধা ছিল কিন্তু আমি সেখানে লাথি মারলাম! এখন আমি ৫ম দিনে আছি!!!! বলো তো?!? অবশেষে আমার ঘুম পেলাম এবং কেবল একটি দুঃস্বপ্ন। আমি ঘুম থেকে উঠেছিলাম, আম"&amp;"ার ঘর পরিষ্কার করেছি, ৮ দেড় ঘন্টা কাজ করেছি এবং এক ঘন্টা কার্ডিও ওয়ার্কআউট করেছি! তাছাড়া, আমি আমার পরিবারের জন্য ঘরে তৈরি রাতের খাবার রান্না করেছি এবং আজ আমি নিজেকে নিয়ে খুব গর্বিত বোধ করছি!!! এটা ভালো হয়ে যাচ্ছে! আমি জানি আমি মাত্র ৫ম দিনে, কিন্তু ঘ"&amp;"ন্টার পর ঘন্টা গরম হচ্ছে, এবং আমি এটা করছি! আমার মনে হচ্ছে আমি অবশেষে একজন স্ত্রী, মা এবং নিজেকে আবার খুঁজে পাচ্ছি। তাদের বন্ধুদের সাথে থাকুন! আমরা এটা পেয়েছি!")</f>
        <v>আমি ৫ম দিনে পৌঁছে গেছি! দেড় বছরেরও বেশি সময় ধরে মদ্যপানের দীর্ঘতম ধারাবাহিকতা। ১-৩ দিন ছিল তীব্র ঝাঁকুনির সাথে, বাচ্চা, গরম/ঠান্ডা, বমি বমি ভাব, উদ্বেগ এবং ঘুম না আসা। ৪র্থ দিন ছিল একটু অস্থিরতা, কিন্তু ক্ষুধা আবার তীব্র হয়ে উঠল এবং স্পষ্টতা ফিরে আসতে শুরু করল। ঘুমানোর সময় ঘুমের জন্য এখনও একটু কঠিন ছিল কিন্তু ১-৩ দিনের মতো নয় এবং দুঃস্বপ্ন কমতে শুরু করল। ক্ষুধা ছিল কিন্তু আমি সেখানে লাথি মারলাম! এখন আমি ৫ম দিনে আছি!!!! বলো তো?!? অবশেষে আমার ঘুম পেলাম এবং কেবল একটি দুঃস্বপ্ন। আমি ঘুম থেকে উঠেছিলাম, আমার ঘর পরিষ্কার করেছি, ৮ দেড় ঘন্টা কাজ করেছি এবং এক ঘন্টা কার্ডিও ওয়ার্কআউট করেছি! তাছাড়া, আমি আমার পরিবারের জন্য ঘরে তৈরি রাতের খাবার রান্না করেছি এবং আজ আমি নিজেকে নিয়ে খুব গর্বিত বোধ করছি!!! এটা ভালো হয়ে যাচ্ছে! আমি জানি আমি মাত্র ৫ম দিনে, কিন্তু ঘন্টার পর ঘন্টা গরম হচ্ছে, এবং আমি এটা করছি! আমার মনে হচ্ছে আমি অবশেষে একজন স্ত্রী, মা এবং নিজেকে আবার খুঁজে পাচ্ছি। তাদের বন্ধুদের সাথে থাকুন! আমরা এটা পেয়েছি!</v>
      </c>
    </row>
    <row r="1344" spans="1:3" ht="15" x14ac:dyDescent="0.25">
      <c r="A1344" s="3" t="s">
        <v>1339</v>
      </c>
      <c r="B1344" s="3" t="s">
        <v>997</v>
      </c>
      <c r="C1344" s="4" t="str">
        <f ca="1">IFERROR(__xludf.DUMMYFUNCTION("GOOGLETRANSLATE(A1344, ""auto"", ""bn"")"),"আমার যখন কমপক্ষে .১ BAC থাকে তখনই আমি স্বাভাবিক এবং পরিষ্কার মাথা বোধ করি। আমি কখনও প্রতিদিন মদ্যপান করিনি বা সকালে পান করার বা ঘুমাতে যাওয়ার ইচ্ছা ছিল না। তাছাড়া, আমার নিজের ত্বকে আরাম বোধ করার জন্য আমাকে কেবল ৬ বা তার বেশি পানীয় পান করতে হয়। তাছাড়া,"&amp;" আমি মনে করি, হয়তো আমার কোনও উদ্বেগজনিত ব্যাধি আছে, কিন্তু চিকিৎসার পরামর্শ নেওয়ার জন্য আমার কোনও চাকরি বা টাকা নেই। নিয়ন্ত্রণ করার চেষ্টা করার সময় কি অন্য কেউ এই অভিজ্ঞতা পেয়েছে? আমি সাধারণত কয়েক সপ্তাহ ধরে শান্ত থাকতে পারলে ভালো/ভালো বোধ করি কিন্তু"&amp;" কেন আমার খারাপ লাগছে তার কোনও নির্দিষ্ট উত্তর না থাকলে তা করা সত্যিই কঠিন।")</f>
        <v>আমার যখন কমপক্ষে .১ BAC থাকে তখনই আমি স্বাভাবিক এবং পরিষ্কার মাথা বোধ করি। আমি কখনও প্রতিদিন মদ্যপান করিনি বা সকালে পান করার বা ঘুমাতে যাওয়ার ইচ্ছা ছিল না। তাছাড়া, আমার নিজের ত্বকে আরাম বোধ করার জন্য আমাকে কেবল ৬ বা তার বেশি পানীয় পান করতে হয়। তাছাড়া, আমি মনে করি, হয়তো আমার কোনও উদ্বেগজনিত ব্যাধি আছে, কিন্তু চিকিৎসার পরামর্শ নেওয়ার জন্য আমার কোনও চাকরি বা টাকা নেই। নিয়ন্ত্রণ করার চেষ্টা করার সময় কি অন্য কেউ এই অভিজ্ঞতা পেয়েছে? আমি সাধারণত কয়েক সপ্তাহ ধরে শান্ত থাকতে পারলে ভালো/ভালো বোধ করি কিন্তু কেন আমার খারাপ লাগছে তার কোনও নির্দিষ্ট উত্তর না থাকলে তা করা সত্যিই কঠিন।</v>
      </c>
    </row>
    <row r="1345" spans="1:3" ht="15" x14ac:dyDescent="0.25">
      <c r="A1345" s="3" t="s">
        <v>1340</v>
      </c>
      <c r="B1345" s="3" t="s">
        <v>997</v>
      </c>
      <c r="C1345" s="4" t="str">
        <f ca="1">IFERROR(__xludf.DUMMYFUNCTION("GOOGLETRANSLATE(A1345, ""auto"", ""bn"")"),"সে বছরের পর বছর ধরে অনেক খারাপ সময়ে মদ্যপান করে আসছে, কিন্তু কখনোই সত্যিকার অর্থে তার কাজের জন্য জবাবদিহিতা স্বীকার করে না। বিরল মুহূর্ত যখন আমি তার গলায় লাফিয়ে উঠে চুপচাপ সরে যাই না, তখন সে স্বীকার করে যে সে খুব বেশি মদ্যপান করেছে এবং বলে যে সে কিছুক্ষ"&amp;"ণের জন্য থামতে চায়। সে খুব কমই তা করে। মদ্যপানের কারণে তার একটি খারাপ সপ্তাহ কেটেছে কিন্তু বলেছে যে সোমবার (আজ) একটি নতুন শুরু হবে। পরিবর্তে, সে সারা রাত মদ্যপান করেছে এবং আজ সকালেও চালিয়ে গেছে। সে বর্তমানে অজ্ঞান হয়ে গেছে কিন্তু তার পাশে একটি ককটেলের "&amp;"অবশিষ্টাংশ রয়েছে। আমার পদক্ষেপ কী? তার উপর রাগ করে তাকে বিরক্ত করতে চাই না, কিন্তু চাই না সে ভাবুক যে আমি জানি না? তাকে F-কে রূপ দিতে হবে। যদি এটি ভুল উপায় হয় তবে আমি কেবল এমন কিছু সম্পর্কে মতামত খুঁজছি যা আসলে কাজ করতে পারে কারণ আমি যা করি তা কখনও কাজ "&amp;"করে না। আমি জানি আমি তাকে নিরাময় করতে পারি না, তবে আমি তাকে সাহায্য করতে চাই এবং আমার ব্যক্তিগত হতাশাও প্রকাশ করতে চাই।")</f>
        <v>সে বছরের পর বছর ধরে অনেক খারাপ সময়ে মদ্যপান করে আসছে, কিন্তু কখনোই সত্যিকার অর্থে তার কাজের জন্য জবাবদিহিতা স্বীকার করে না। বিরল মুহূর্ত যখন আমি তার গলায় লাফিয়ে উঠে চুপচাপ সরে যাই না, তখন সে স্বীকার করে যে সে খুব বেশি মদ্যপান করেছে এবং বলে যে সে কিছুক্ষণের জন্য থামতে চায়। সে খুব কমই তা করে। মদ্যপানের কারণে তার একটি খারাপ সপ্তাহ কেটেছে কিন্তু বলেছে যে সোমবার (আজ) একটি নতুন শুরু হবে। পরিবর্তে, সে সারা রাত মদ্যপান করেছে এবং আজ সকালেও চালিয়ে গেছে। সে বর্তমানে অজ্ঞান হয়ে গেছে কিন্তু তার পাশে একটি ককটেলের অবশিষ্টাংশ রয়েছে। আমার পদক্ষেপ কী? তার উপর রাগ করে তাকে বিরক্ত করতে চাই না, কিন্তু চাই না সে ভাবুক যে আমি জানি না? তাকে F-কে রূপ দিতে হবে। যদি এটি ভুল উপায় হয় তবে আমি কেবল এমন কিছু সম্পর্কে মতামত খুঁজছি যা আসলে কাজ করতে পারে কারণ আমি যা করি তা কখনও কাজ করে না। আমি জানি আমি তাকে নিরাময় করতে পারি না, তবে আমি তাকে সাহায্য করতে চাই এবং আমার ব্যক্তিগত হতাশাও প্রকাশ করতে চাই।</v>
      </c>
    </row>
    <row r="1346" spans="1:3" ht="15" x14ac:dyDescent="0.25">
      <c r="A1346" s="3" t="s">
        <v>1341</v>
      </c>
      <c r="B1346" s="3" t="s">
        <v>997</v>
      </c>
      <c r="C1346" s="4" t="str">
        <f ca="1">IFERROR(__xludf.DUMMYFUNCTION("GOOGLETRANSLATE(A1346, ""auto"", ""bn"")"),"আমার বয়স ২১ এবং ১৬ বছর বয়স থেকে মদ্যপান করছি। একবার শুরু করলে আমি থামতে পারি না, কেবল একটা পানীয় ৮-১০ পানীয়তে পরিণত হয় এবং রাতটা সাধারণত আমার অলসতা দিয়ে শেষ হয়। আমি মাসের পর মাস মদ্যপান ছাড়াই থাকতে পারি এবং একা মদ্যপান করি না। আমি ভেবেছিলাম আমি কেবল একজন "&amp;"সামাজিক মদ্যপানকারী, কিন্তু এখন আমি ভাবতে শুরু করেছি যে আমার কোন সমস্যা আছে কিনা। এটা এমন পর্যায়ে পৌঁছেছে যে আমি মদ্যপান করার সময় যেসব বোকামি দেখেছি তা আমার সম্পর্ককে ক্ষতিগ্রস্ত করতে শুরু করেছে। আমি বুঝতে পারছি না কেন আমি বেশিরভাগ মানুষের মতো ২-৩টি পান"&amp;"ীয় পান করতে পারি না। আমার বয়স মাত্র ২১ মাস, এবং আমি ভাবছি যে আমার কি পুরোপুরি মদ্যপান ত্যাগ করা উচিত?")</f>
        <v>আমার বয়স ২১ এবং ১৬ বছর বয়স থেকে মদ্যপান করছি। একবার শুরু করলে আমি থামতে পারি না, কেবল একটা পানীয় ৮-১০ পানীয়তে পরিণত হয় এবং রাতটা সাধারণত আমার অলসতা দিয়ে শেষ হয়। আমি মাসের পর মাস মদ্যপান ছাড়াই থাকতে পারি এবং একা মদ্যপান করি না। আমি ভেবেছিলাম আমি কেবল একজন সামাজিক মদ্যপানকারী, কিন্তু এখন আমি ভাবতে শুরু করেছি যে আমার কোন সমস্যা আছে কিনা। এটা এমন পর্যায়ে পৌঁছেছে যে আমি মদ্যপান করার সময় যেসব বোকামি দেখেছি তা আমার সম্পর্ককে ক্ষতিগ্রস্ত করতে শুরু করেছে। আমি বুঝতে পারছি না কেন আমি বেশিরভাগ মানুষের মতো ২-৩টি পানীয় পান করতে পারি না। আমার বয়স মাত্র ২১ মাস, এবং আমি ভাবছি যে আমার কি পুরোপুরি মদ্যপান ত্যাগ করা উচিত?</v>
      </c>
    </row>
    <row r="1347" spans="1:3" ht="15" x14ac:dyDescent="0.25">
      <c r="A1347" s="3" t="s">
        <v>1342</v>
      </c>
      <c r="B1347" s="3" t="s">
        <v>997</v>
      </c>
      <c r="C1347" s="4" t="str">
        <f ca="1">IFERROR(__xludf.DUMMYFUNCTION("GOOGLETRANSLATE(A1347, ""auto"", ""bn"")"),"গত সপ্তাহে আমি নিজেকে এবং আমার স্ত্রীকে প্রতিশ্রুতি দিয়েছিলাম যে এই সপ্তাহান্তে আমি মদ্যপান করব না। শনিবার কাজ শেষে কিছু CBD গামি খেয়েছিলাম যাতে আরাম পাওয়া যায় এবং পেশীর ব্যথা কমাতে পারি। রবিবার খুব ভোরে ঘুম থেকে উঠে কিছু কাজ সেরে ফেলি, কিন্তু সবকিছুই ন"&amp;"ষ্ট হয়ে যায় যখন আমি ""নিজেকে সামলাতে পারিনি"" এবং সকাল ১১ টায় লম্বা ছেলেটিকে আনতে মদের দোকানে যাই এবং চুরি করি। বাড়ি ফিরে আসার সাথে সাথেই সব মদ্যপান শুরু করি এবং রাত ১০ টা পর্যন্ত থামিনি। প্রায় পুরোটাই পান করে ফেলেছি! এখন আমার মাথাব্যথা তীব্র এবং আমা"&amp;"র প্রতিশ্রুতি না রাখার জন্য এতটা হেরে যাওয়া এবং হতাশার মতো অনুভব করছি। আমি এক সপ্তাহও টিকতে পারিনি। প্রতি সপ্তাহান্তে আমাকে প্রচুর পরিমাণে মদ্যপান করতে হবে যতক্ষণ না আমি নষ্ট হয়ে যাই। এটি সারা সপ্তাহ আমার মনোভাবের উপর নেতিবাচক প্রভাব ফেলে (অর্থাৎ রাগ অন"&amp;"ুভব করা) এবং, যদি আমি সতর্ক না হই, তবে এটি আমার চাকরিকে বিপদে ফেলতে পারে। আমাকে বড় হতে হবে এবং এই বোকামি বন্ধ করতে হবে কারণ এটি আমার জীবন কেড়ে নিচ্ছে এবং")</f>
        <v>গত সপ্তাহে আমি নিজেকে এবং আমার স্ত্রীকে প্রতিশ্রুতি দিয়েছিলাম যে এই সপ্তাহান্তে আমি মদ্যপান করব না। শনিবার কাজ শেষে কিছু CBD গামি খেয়েছিলাম যাতে আরাম পাওয়া যায় এবং পেশীর ব্যথা কমাতে পারি। রবিবার খুব ভোরে ঘুম থেকে উঠে কিছু কাজ সেরে ফেলি, কিন্তু সবকিছুই নষ্ট হয়ে যায় যখন আমি "নিজেকে সামলাতে পারিনি" এবং সকাল ১১ টায় লম্বা ছেলেটিকে আনতে মদের দোকানে যাই এবং চুরি করি। বাড়ি ফিরে আসার সাথে সাথেই সব মদ্যপান শুরু করি এবং রাত ১০ টা পর্যন্ত থামিনি। প্রায় পুরোটাই পান করে ফেলেছি! এখন আমার মাথাব্যথা তীব্র এবং আমার প্রতিশ্রুতি না রাখার জন্য এতটা হেরে যাওয়া এবং হতাশার মতো অনুভব করছি। আমি এক সপ্তাহও টিকতে পারিনি। প্রতি সপ্তাহান্তে আমাকে প্রচুর পরিমাণে মদ্যপান করতে হবে যতক্ষণ না আমি নষ্ট হয়ে যাই। এটি সারা সপ্তাহ আমার মনোভাবের উপর নেতিবাচক প্রভাব ফেলে (অর্থাৎ রাগ অনুভব করা) এবং, যদি আমি সতর্ক না হই, তবে এটি আমার চাকরিকে বিপদে ফেলতে পারে। আমাকে বড় হতে হবে এবং এই বোকামি বন্ধ করতে হবে কারণ এটি আমার জীবন কেড়ে নিচ্ছে এবং</v>
      </c>
    </row>
    <row r="1348" spans="1:3" ht="15" x14ac:dyDescent="0.25">
      <c r="A1348" s="3" t="s">
        <v>1343</v>
      </c>
      <c r="B1348" s="3" t="s">
        <v>997</v>
      </c>
      <c r="C1348" s="4" t="str">
        <f ca="1">IFERROR(__xludf.DUMMYFUNCTION("GOOGLETRANSLATE(A1348, ""auto"", ""bn"")"),"আমি (২৮ ফারেনহাইট) আমার বয়ফ্রেন্ডের (২৯ মিটার) সাথে কয়েক বছর ধরে আছি, এবং সে সপ্তাহান্তে তার বন্ধুদের সাথে ফুটবল ম্যাচ দেখতে কেবল কয়েকটি বিয়ার পান করত, কিন্তু কিছুক্ষণ আগে সে নিজের সাইডার তৈরি করা শুরু করেছিল, এবং এখন সে প্রতি ৩-৪ দিন অন্তর ৪০ পিন্ট প"&amp;"ান করছে, এবং মনে হচ্ছে এটি তাকে আর বিরক্ত করছে না কারণ সে কেবল পান করে এবং পান করতে পারে এবং সে ঠিক আছে। এখানে কি হচ্ছে??? আমি তাকে জিজ্ঞাসা করলাম, ""তুমি আজকাল এত পান করছো কেন?"" এবং সে উত্তর দিল, ""আমি কাজের পরে কয়েকটি পানীয় পছন্দ করি, এতে সমস্যা কী?"&amp;"""")</f>
        <v>আমি (২৮ ফারেনহাইট) আমার বয়ফ্রেন্ডের (২৯ মিটার) সাথে কয়েক বছর ধরে আছি, এবং সে সপ্তাহান্তে তার বন্ধুদের সাথে ফুটবল ম্যাচ দেখতে কেবল কয়েকটি বিয়ার পান করত, কিন্তু কিছুক্ষণ আগে সে নিজের সাইডার তৈরি করা শুরু করেছিল, এবং এখন সে প্রতি ৩-৪ দিন অন্তর ৪০ পিন্ট পান করছে, এবং মনে হচ্ছে এটি তাকে আর বিরক্ত করছে না কারণ সে কেবল পান করে এবং পান করতে পারে এবং সে ঠিক আছে। এখানে কি হচ্ছে??? আমি তাকে জিজ্ঞাসা করলাম, "তুমি আজকাল এত পান করছো কেন?" এবং সে উত্তর দিল, "আমি কাজের পরে কয়েকটি পানীয় পছন্দ করি, এতে সমস্যা কী?"</v>
      </c>
    </row>
    <row r="1349" spans="1:3" ht="15" x14ac:dyDescent="0.25">
      <c r="A1349" s="3" t="s">
        <v>1344</v>
      </c>
      <c r="B1349" s="3" t="s">
        <v>997</v>
      </c>
      <c r="C1349" s="4" t="str">
        <f ca="1">IFERROR(__xludf.DUMMYFUNCTION("GOOGLETRANSLATE(A1349, ""auto"", ""bn"")"),"এক বছরেরও বেশি সময় ধরে আমি কাজে যাচ্ছি, বাড়ি ফিরে আসছি, হঠাৎ করেই ব্ল্যাকআউট হয়ে যাচ্ছি, ঘুম থেকে উঠেছি, বারবার বলছি। মনে হচ্ছে সব আশা হারিয়ে গেছে। এই হারে ৮ ঘন্টার বেশি সুস্থ থাকতে পারছি না। পরিস্থিতি এমন পর্যায়ে পৌঁছেছে যে আমি আবার আত্মহত্যা করার চ"&amp;"েষ্টা করার কথা ভাবছি। আমার একটি ভালো বেতনের চাকরি আছে, ২০ বছর বয়সে আমার স্বপ্নের গাড়ি কিনেছি, আমার একজন প্রেমিক বান্ধবী আছে, তবুও এখনও নিজেকে ব্যর্থতা ছাড়া আর কিছুই মনে হচ্ছে না। আমার চারপাশের লোকদের কাছে হতাশা। আমি জীবনে কাজ করছি, কিন্তু আমি খুশি নই। "&amp;"প্রতিদিন একই দুষ্টচক্র। মদ্যপানই একমাত্র জিনিস যা আমাকে সত্যিকার অর্থে খুশি করে বলে মনে হয়। আমি যদি কখনও ত্যাগ করতে না পারি তবে আমি কি স্থানের অপচয় ছাড়া আর কিছুই নই? আমি নিজেকে বোকা বানাই যে আমি কিছুর যোগ্য কারণ আমি একজন স্বাস্থ্যসেবা কর্মী, কিন্তু যখন"&amp;" আমি নিজের যত্নও নিতে পারি না তখন এর লাভ কী?")</f>
        <v>এক বছরেরও বেশি সময় ধরে আমি কাজে যাচ্ছি, বাড়ি ফিরে আসছি, হঠাৎ করেই ব্ল্যাকআউট হয়ে যাচ্ছি, ঘুম থেকে উঠেছি, বারবার বলছি। মনে হচ্ছে সব আশা হারিয়ে গেছে। এই হারে ৮ ঘন্টার বেশি সুস্থ থাকতে পারছি না। পরিস্থিতি এমন পর্যায়ে পৌঁছেছে যে আমি আবার আত্মহত্যা করার চেষ্টা করার কথা ভাবছি। আমার একটি ভালো বেতনের চাকরি আছে, ২০ বছর বয়সে আমার স্বপ্নের গাড়ি কিনেছি, আমার একজন প্রেমিক বান্ধবী আছে, তবুও এখনও নিজেকে ব্যর্থতা ছাড়া আর কিছুই মনে হচ্ছে না। আমার চারপাশের লোকদের কাছে হতাশা। আমি জীবনে কাজ করছি, কিন্তু আমি খুশি নই। প্রতিদিন একই দুষ্টচক্র। মদ্যপানই একমাত্র জিনিস যা আমাকে সত্যিকার অর্থে খুশি করে বলে মনে হয়। আমি যদি কখনও ত্যাগ করতে না পারি তবে আমি কি স্থানের অপচয় ছাড়া আর কিছুই নই? আমি নিজেকে বোকা বানাই যে আমি কিছুর যোগ্য কারণ আমি একজন স্বাস্থ্যসেবা কর্মী, কিন্তু যখন আমি নিজের যত্নও নিতে পারি না তখন এর লাভ কী?</v>
      </c>
    </row>
    <row r="1350" spans="1:3" ht="15" x14ac:dyDescent="0.25">
      <c r="A1350" s="3" t="s">
        <v>1345</v>
      </c>
      <c r="B1350" s="3" t="s">
        <v>997</v>
      </c>
      <c r="C1350" s="4" t="str">
        <f ca="1">IFERROR(__xludf.DUMMYFUNCTION("GOOGLETRANSLATE(A1350, ""auto"", ""bn"")"),"আমি প্রতিদিন প্রায় ৭০ মিলি স্পিরিট পান করি, বেশিরভাগ সময় সারাদিন সন্ধ্যা পর্যন্ত খাই, তারপর পান করি, এখন খাবার বন্ধ করে দেই, ঘুমাতে যাই অথবা ভোর পর্যন্ত জেগে থাকি এবং তারপর দিনের বেলায় ঘুমাই। কোনও রুটিন নেই। আমার সঙ্গী গাঁজা ধূমপান করে, কিন্তু পানও করে, ক"&amp;"িন্তু মাত্র কয়েকটি জ্যাক ড্যানিয়েলের ক্যান বা আমার পানীয়ের এক বা দুটি। আমি সাহায্যের জন্য আমার ডাক্তারের সাথে যোগাযোগ করার চেষ্টা করেছি কিন্তু কোথাও পাইনি, স্থানীয় অ্যালকোহল পরিষেবার সাথে যোগাযোগ করার চেষ্টা করেছি কিন্তু কোনও প্রতিক্রিয়া পাইনি। অনেক সমস"&amp;"্যা হয়েছে। কিছুক্ষণ আগে আমি অসুস্থ হয়ে পড়েছিলাম এবং এটি কেবল কারণ আমার সঙ্গী কারাগারে গিয়েছিল এবং অবশেষে আমি সোজা হয়ে গিয়েছিলাম এবং ওজন হ্রাস পেয়েছি। ECT শুধু আটকে আছি। আমার সঙ্গীর সাথে সম্পর্ক ছিন্ন করতে চাই না, যদিও সে আমাকে আমার সেবন নিয়ন্ত্রণে "&amp;"সাহায্য করে না। আমার পরিবার মূলত অকেজো এবং তাদের নিজস্ব জীবনযাপন করার আছে। মনে হয় তারা আমার মতো আচরণে অভ্যস্ত হয়ে গেছে। আমি খারাপ মানসিক স্বাস্থ্যে ভুগছি এবং যখন আমি ছেড়ে দিই তখন এটি আরও খারাপ হয়। যদিও এটি কেবল আরেকটি অজুহাত।")</f>
        <v>আমি প্রতিদিন প্রায় ৭০ মিলি স্পিরিট পান করি, বেশিরভাগ সময় সারাদিন সন্ধ্যা পর্যন্ত খাই, তারপর পান করি, এখন খাবার বন্ধ করে দেই, ঘুমাতে যাই অথবা ভোর পর্যন্ত জেগে থাকি এবং তারপর দিনের বেলায় ঘুমাই। কোনও রুটিন নেই। আমার সঙ্গী গাঁজা ধূমপান করে, কিন্তু পানও করে, কিন্তু মাত্র কয়েকটি জ্যাক ড্যানিয়েলের ক্যান বা আমার পানীয়ের এক বা দুটি। আমি সাহায্যের জন্য আমার ডাক্তারের সাথে যোগাযোগ করার চেষ্টা করেছি কিন্তু কোথাও পাইনি, স্থানীয় অ্যালকোহল পরিষেবার সাথে যোগাযোগ করার চেষ্টা করেছি কিন্তু কোনও প্রতিক্রিয়া পাইনি। অনেক সমস্যা হয়েছে। কিছুক্ষণ আগে আমি অসুস্থ হয়ে পড়েছিলাম এবং এটি কেবল কারণ আমার সঙ্গী কারাগারে গিয়েছিল এবং অবশেষে আমি সোজা হয়ে গিয়েছিলাম এবং ওজন হ্রাস পেয়েছি। ECT শুধু আটকে আছি। আমার সঙ্গীর সাথে সম্পর্ক ছিন্ন করতে চাই না, যদিও সে আমাকে আমার সেবন নিয়ন্ত্রণে সাহায্য করে না। আমার পরিবার মূলত অকেজো এবং তাদের নিজস্ব জীবনযাপন করার আছে। মনে হয় তারা আমার মতো আচরণে অভ্যস্ত হয়ে গেছে। আমি খারাপ মানসিক স্বাস্থ্যে ভুগছি এবং যখন আমি ছেড়ে দিই তখন এটি আরও খারাপ হয়। যদিও এটি কেবল আরেকটি অজুহাত।</v>
      </c>
    </row>
    <row r="1351" spans="1:3" ht="15" x14ac:dyDescent="0.25">
      <c r="A1351" s="3" t="s">
        <v>1346</v>
      </c>
      <c r="B1351" s="3" t="s">
        <v>997</v>
      </c>
      <c r="C1351" s="4" t="str">
        <f ca="1">IFERROR(__xludf.DUMMYFUNCTION("GOOGLETRANSLATE(A1351, ""auto"", ""bn"")"),"সংক্ষেপে বলতে গেলে, আমি ২৩ বছর বয়সী একজন মদ্যপ। আমার বান্ধবী (আমরা মাত্র আড়াই মাস ধরে ডেটিং করছি) ৬ মাস ধরে মাদকাসক্ত এবং আমি মদ্যপান ছেড়ে দেওয়ার চেষ্টা করেছি কারণ সে আমাকে আরও ভালো করার জন্য অনুপ্রাণিত করছে। আমি একটি ট্রাকিং কোম্পানিতে কাজ করি, এবং আ"&amp;"মরা ডেলিভারির জন্য বিভিন্ন রাজ্যে গাড়ি চালাই। আমি নিজেকে বেশ ইতিবাচক ব্যক্তি বলে মনে করি এবং গত ১১ দিন ধরে আমি অনেক ভালো বোধ করছি... তবে, আজ আমার সহকর্মী এবং আমি (দীর্ঘ দূরত্বের গাড়িতে) ঝগড়ায় জড়িয়ে পড়েছিলাম। আমি খুব উজ্জীবিত এবং আমি দিনটি তার মেজাজ"&amp;"ের চেয়ে একটু বেশি ইতিবাচক শুরু করেছিলাম। আমি মজার আমি দুটি টুইস্টেড চা কিনেছিলাম এবং আমার ক্রয়ের মোট দাম ছিল $6.66 (2টি পানীয়ের জন্য)")</f>
        <v>সংক্ষেপে বলতে গেলে, আমি ২৩ বছর বয়সী একজন মদ্যপ। আমার বান্ধবী (আমরা মাত্র আড়াই মাস ধরে ডেটিং করছি) ৬ মাস ধরে মাদকাসক্ত এবং আমি মদ্যপান ছেড়ে দেওয়ার চেষ্টা করেছি কারণ সে আমাকে আরও ভালো করার জন্য অনুপ্রাণিত করছে। আমি একটি ট্রাকিং কোম্পানিতে কাজ করি, এবং আমরা ডেলিভারির জন্য বিভিন্ন রাজ্যে গাড়ি চালাই। আমি নিজেকে বেশ ইতিবাচক ব্যক্তি বলে মনে করি এবং গত ১১ দিন ধরে আমি অনেক ভালো বোধ করছি... তবে, আজ আমার সহকর্মী এবং আমি (দীর্ঘ দূরত্বের গাড়িতে) ঝগড়ায় জড়িয়ে পড়েছিলাম। আমি খুব উজ্জীবিত এবং আমি দিনটি তার মেজাজের চেয়ে একটু বেশি ইতিবাচক শুরু করেছিলাম। আমি মজার আমি দুটি টুইস্টেড চা কিনেছিলাম এবং আমার ক্রয়ের মোট দাম ছিল $6.66 (2টি পানীয়ের জন্য)</v>
      </c>
    </row>
    <row r="1352" spans="1:3" ht="15" x14ac:dyDescent="0.25">
      <c r="A1352" s="3" t="s">
        <v>1347</v>
      </c>
      <c r="B1352" s="3" t="s">
        <v>997</v>
      </c>
      <c r="C1352" s="4" t="str">
        <f ca="1">IFERROR(__xludf.DUMMYFUNCTION("GOOGLETRANSLATE(A1352, ""auto"", ""bn"")"),"আমি অনেক দিন ধরে মদ্যপান করছি কিন্তু গত কয়েকদিন ধরে আমার খুব কষ্ট হচ্ছিল। আমি কাজ থেকে ছুটি নিতাম এবং আমার শরীরে কোনও খাবার না দিয়েই মদ্যপান শুরু করতাম। তাছাড়া, আমি গত সপ্তাহে এটি করেছিলাম এবং শনিবার লক্ষ্য করেছি যে আমার লিভার অদ্ভুত অনুভূত হচ্ছে - যেম"&amp;"ন আমার লিভার যেখানে থাকে। আমি হাসলে এটি ফুলে ওঠে এবং কিছুটা ব্যথা অনুভব করে। আমি তা উপেক্ষা করে সেই রাতে আবার পান করেছিলাম। পরের দিন সকালে কিছুটা ব্যথা হয়েছিল কিন্তু ফুলে ওঠেনি এবং আমার পেট ব্যথা করে। মনে হচ্ছে আমার সবচেয়ে খারাপ অ্যাসিড রিফ্লাক্স হয়েছে"&amp;", এবং আমি এত ফুলে গিয়েছিলাম এবং সারা দিন ধরে বিষ্ঠার মতো অনুভব করছিলাম। যেন আমি কিছু খেতে পারিনি এবং আমার হৃদস্পন্দন দ্রুত গতিতে ছিল। তবে কোনও হলুদ চোখ নেই তাই ঠিক আছে?? আমি আমার সমস্ত অ্যালকোহল ঢেলে দিয়েছি। আমি আর পান করতে চাই না। এটা ভীতিকর ছিল এবং আম"&amp;"ি চিন্তিত যে আমি আমার লিভারকে ক্ষয় করে ফেলেছি। আমার মনে হয় আমি কিছুক্ষণের জন্য বিরতি নেব যাতে আমার লিভার বিরতি নিতে পারে।")</f>
        <v>আমি অনেক দিন ধরে মদ্যপান করছি কিন্তু গত কয়েকদিন ধরে আমার খুব কষ্ট হচ্ছিল। আমি কাজ থেকে ছুটি নিতাম এবং আমার শরীরে কোনও খাবার না দিয়েই মদ্যপান শুরু করতাম। তাছাড়া, আমি গত সপ্তাহে এটি করেছিলাম এবং শনিবার লক্ষ্য করেছি যে আমার লিভার অদ্ভুত অনুভূত হচ্ছে - যেমন আমার লিভার যেখানে থাকে। আমি হাসলে এটি ফুলে ওঠে এবং কিছুটা ব্যথা অনুভব করে। আমি তা উপেক্ষা করে সেই রাতে আবার পান করেছিলাম। পরের দিন সকালে কিছুটা ব্যথা হয়েছিল কিন্তু ফুলে ওঠেনি এবং আমার পেট ব্যথা করে। মনে হচ্ছে আমার সবচেয়ে খারাপ অ্যাসিড রিফ্লাক্স হয়েছে, এবং আমি এত ফুলে গিয়েছিলাম এবং সারা দিন ধরে বিষ্ঠার মতো অনুভব করছিলাম। যেন আমি কিছু খেতে পারিনি এবং আমার হৃদস্পন্দন দ্রুত গতিতে ছিল। তবে কোনও হলুদ চোখ নেই তাই ঠিক আছে?? আমি আমার সমস্ত অ্যালকোহল ঢেলে দিয়েছি। আমি আর পান করতে চাই না। এটা ভীতিকর ছিল এবং আমি চিন্তিত যে আমি আমার লিভারকে ক্ষয় করে ফেলেছি। আমার মনে হয় আমি কিছুক্ষণের জন্য বিরতি নেব যাতে আমার লিভার বিরতি নিতে পারে।</v>
      </c>
    </row>
    <row r="1353" spans="1:3" ht="15" x14ac:dyDescent="0.25">
      <c r="A1353" s="3" t="s">
        <v>1348</v>
      </c>
      <c r="B1353" s="3" t="s">
        <v>997</v>
      </c>
      <c r="C1353" s="4" t="str">
        <f ca="1">IFERROR(__xludf.DUMMYFUNCTION("GOOGLETRANSLATE(A1353, ""auto"", ""bn"")"),"আমার মনে হয় আমরা বেশিরভাগই প্রতিদিন এই কথা বলি। কিন্তু আমি এখানে একা শুয়ে আছি। আমি তাকে বেশ কয়েকবার মেরেছি কিন্তু কোনও সাড়া পাইনি, শুধু আমাকে পড়তেই রেখেছি। আমার ফোনে এটি টাইপ করতে আমার খুব কষ্ট হচ্ছে। তাছাড়া, আমার লিভারে ব্যথা অনুভব হচ্ছে এবং আমি সব"&amp;"কিছু শেষ করার সিদ্ধান্ত নিচ্ছি। তাছাড়া, আমি এটি পছন্দ করেছি এবং আমি তাকে ভালোবাসি। আমি সবসময় এখানে সকলের প্রশংসা করব এবং তোমাদের সকলের জন্য মঙ্গল কামনা করব। আর মদ্যপান নয়।")</f>
        <v>আমার মনে হয় আমরা বেশিরভাগই প্রতিদিন এই কথা বলি। কিন্তু আমি এখানে একা শুয়ে আছি। আমি তাকে বেশ কয়েকবার মেরেছি কিন্তু কোনও সাড়া পাইনি, শুধু আমাকে পড়তেই রেখেছি। আমার ফোনে এটি টাইপ করতে আমার খুব কষ্ট হচ্ছে। তাছাড়া, আমার লিভারে ব্যথা অনুভব হচ্ছে এবং আমি সবকিছু শেষ করার সিদ্ধান্ত নিচ্ছি। তাছাড়া, আমি এটি পছন্দ করেছি এবং আমি তাকে ভালোবাসি। আমি সবসময় এখানে সকলের প্রশংসা করব এবং তোমাদের সকলের জন্য মঙ্গল কামনা করব। আর মদ্যপান নয়।</v>
      </c>
    </row>
    <row r="1354" spans="1:3" ht="15" x14ac:dyDescent="0.25">
      <c r="A1354" s="3" t="s">
        <v>1349</v>
      </c>
      <c r="B1354" s="3" t="s">
        <v>997</v>
      </c>
      <c r="C1354" s="4" t="str">
        <f ca="1">IFERROR(__xludf.DUMMYFUNCTION("GOOGLETRANSLATE(A1354, ""auto"", ""bn"")"),"এক বছর ধরে মিটিংয়ে যাওয়ার পর এবং সীমিত পরিমাণে মদ্যপান করতে সক্ষম হওয়ার পর, কিন্তু বন্ধ না করার পর... আমি নালট্রেক্সোন ব্যবহার করার সিদ্ধান্ত নিলাম। আমার ডাক্তার এটি লিখে দিতে উত্তেজিত ছিলেন কারণ তিনি বলেছিলেন যে তার বেশ কিছু রোগী সফল হয়েছেন। নির্দেশাবল"&amp;"ী ছিল প্রথম সপ্তাহে প্রতিদিন একটি করে বড়ি খেতে হবে এবং স্বাভাবিকভাবে পান করতে হবে। আমি তা করেছিলাম, যদিও কিছু দিন এটি কঠিন ছিল কারণ বড়িটি আমাকে বমি বমি ভাব দিত। একটি সমস্যা যা আমি লক্ষ্য করেছি তা হল গত দুই দিন ""গুঞ্জন"" ফিরে এসেছে যখন আমি যথেষ্ট পরিমাণ"&amp;"ে পান করেছি। আজ আমি আমার দ্বিতীয় সপ্তাহ শুরু করছি, যেখানে আমি ডোজ দ্বিগুণ করি এবং পান না করার চেষ্টা করি। এর বাইরে আমি খুব বেশি নির্দেশনা পাইনি। আমি সিনক্লেয়ার পদ্ধতিটি দেখেছি, তবে আপনাকে এর জন্য অর্থ প্রদান করতে হবে। কেউ কি এতে সাফল্য পেয়েছেন? আমার কা"&amp;"ছে একটি ""নিরাপত্তা বোতল"" আছে যদি আমি")</f>
        <v>এক বছর ধরে মিটিংয়ে যাওয়ার পর এবং সীমিত পরিমাণে মদ্যপান করতে সক্ষম হওয়ার পর, কিন্তু বন্ধ না করার পর... আমি নালট্রেক্সোন ব্যবহার করার সিদ্ধান্ত নিলাম। আমার ডাক্তার এটি লিখে দিতে উত্তেজিত ছিলেন কারণ তিনি বলেছিলেন যে তার বেশ কিছু রোগী সফল হয়েছেন। নির্দেশাবলী ছিল প্রথম সপ্তাহে প্রতিদিন একটি করে বড়ি খেতে হবে এবং স্বাভাবিকভাবে পান করতে হবে। আমি তা করেছিলাম, যদিও কিছু দিন এটি কঠিন ছিল কারণ বড়িটি আমাকে বমি বমি ভাব দিত। একটি সমস্যা যা আমি লক্ষ্য করেছি তা হল গত দুই দিন "গুঞ্জন" ফিরে এসেছে যখন আমি যথেষ্ট পরিমাণে পান করেছি। আজ আমি আমার দ্বিতীয় সপ্তাহ শুরু করছি, যেখানে আমি ডোজ দ্বিগুণ করি এবং পান না করার চেষ্টা করি। এর বাইরে আমি খুব বেশি নির্দেশনা পাইনি। আমি সিনক্লেয়ার পদ্ধতিটি দেখেছি, তবে আপনাকে এর জন্য অর্থ প্রদান করতে হবে। কেউ কি এতে সাফল্য পেয়েছেন? আমার কাছে একটি "নিরাপত্তা বোতল" আছে যদি আমি</v>
      </c>
    </row>
    <row r="1355" spans="1:3" ht="15" x14ac:dyDescent="0.25">
      <c r="A1355" s="3" t="s">
        <v>1350</v>
      </c>
      <c r="B1355" s="3" t="s">
        <v>997</v>
      </c>
      <c r="C1355" s="4" t="str">
        <f ca="1">IFERROR(__xludf.DUMMYFUNCTION("GOOGLETRANSLATE(A1355, ""auto"", ""bn"")"),"নয় বছর আগে, আমার মায়ের জীবনে একটা ঘটনা ঘটেছিল যার ফলে তিনি মদ্যপানের নেশায় আচ্ছন্ন হয়ে পড়েছিলেন। আমি ৮.৫ বছর ধরে বাড়িতেই আছি। ঘরে ফিরে অনেক রাত চিৎকার, ঝগড়া এবং মাতাল আচরণের মধ্য দিয়ে গেছে। নানান কথাবার্তা হতো, ঘন্টার পর ঘন্টা বকবক হতো, আর এটা সবসময়ই চ"&amp;"লতে থাকতো। অনেক রাত পর্যন্ত ঘরে ফিরে তাকে মেঝেতে মাতাল অবস্থায় অজ্ঞান থাকতে দেখেছিলাম। সেই রাতগুলো সহ্য করা আরও সহজ ছিল। এই সব অবিরাম ঝগড়া, ঘৃণা এবং ভয় সময়ের সাথে সাথে তৈরি হয়ে উঠতো। যখনই আমি নীচে কোন শব্দ শুনতাম, তখনই আমি নিজেকে লাফিয়ে ফেলতাম, ভাবতাম স"&amp;"ে হোঁচট খাচ্ছে, পড়ে গেছে অথবা পায়ে আঘাত করেছে। বাড়ি ফিরে আসার পর আমি শব্দ করতে ভয় পেতাম, যদি সে অজ্ঞান হয়, আর রাতের জন্য তার আশেপাশে থাকা এড়াতে পারতাম। এখন এমন একটা সময় এসে গেছে যখন আমি কখনই বুঝতে পারি না যে সে মাতাল কিনা। সে মাতাল হয়ে বাড়ি থেকে কাজ করে, "&amp;"কখন গাড়ি চালায়, আর বেশিরভাগ কথোপকথনে এটা একটা শিশুর সাথে কথা বলার মতো, এমনকি যখন সে সুস্থ থাকে। আমি বুঝতে পারছি যে এই বৈশিষ্ট্যগুলো আমার নিজের মধ্যে প্রকাশ পাচ্ছে এবং আমি কী করব বুঝতে পারছি না। আমি কেবল সবকিছু থেকে দূরে সরে যেতে চাই। আমি খুব ক্লান্ত।")</f>
        <v>নয় বছর আগে, আমার মায়ের জীবনে একটা ঘটনা ঘটেছিল যার ফলে তিনি মদ্যপানের নেশায় আচ্ছন্ন হয়ে পড়েছিলেন। আমি ৮.৫ বছর ধরে বাড়িতেই আছি। ঘরে ফিরে অনেক রাত চিৎকার, ঝগড়া এবং মাতাল আচরণের মধ্য দিয়ে গেছে। নানান কথাবার্তা হতো, ঘন্টার পর ঘন্টা বকবক হতো, আর এটা সবসময়ই চলতে থাকতো। অনেক রাত পর্যন্ত ঘরে ফিরে তাকে মেঝেতে মাতাল অবস্থায় অজ্ঞান থাকতে দেখেছিলাম। সেই রাতগুলো সহ্য করা আরও সহজ ছিল। এই সব অবিরাম ঝগড়া, ঘৃণা এবং ভয় সময়ের সাথে সাথে তৈরি হয়ে উঠতো। যখনই আমি নীচে কোন শব্দ শুনতাম, তখনই আমি নিজেকে লাফিয়ে ফেলতাম, ভাবতাম সে হোঁচট খাচ্ছে, পড়ে গেছে অথবা পায়ে আঘাত করেছে। বাড়ি ফিরে আসার পর আমি শব্দ করতে ভয় পেতাম, যদি সে অজ্ঞান হয়, আর রাতের জন্য তার আশেপাশে থাকা এড়াতে পারতাম। এখন এমন একটা সময় এসে গেছে যখন আমি কখনই বুঝতে পারি না যে সে মাতাল কিনা। সে মাতাল হয়ে বাড়ি থেকে কাজ করে, কখন গাড়ি চালায়, আর বেশিরভাগ কথোপকথনে এটা একটা শিশুর সাথে কথা বলার মতো, এমনকি যখন সে সুস্থ থাকে। আমি বুঝতে পারছি যে এই বৈশিষ্ট্যগুলো আমার নিজের মধ্যে প্রকাশ পাচ্ছে এবং আমি কী করব বুঝতে পারছি না। আমি কেবল সবকিছু থেকে দূরে সরে যেতে চাই। আমি খুব ক্লান্ত।</v>
      </c>
    </row>
    <row r="1356" spans="1:3" ht="15" x14ac:dyDescent="0.25">
      <c r="A1356" s="3" t="s">
        <v>1351</v>
      </c>
      <c r="B1356" s="3" t="s">
        <v>997</v>
      </c>
      <c r="C1356" s="4" t="str">
        <f ca="1">IFERROR(__xludf.DUMMYFUNCTION("GOOGLETRANSLATE(A1356, ""auto"", ""bn"")"),"গত সপ্তাহান্তে আমি (২৬ বছর বয়সী) এত মাতাল হয়ে পড়েছিলাম যে আমার পাঁজর ভেঙে গিয়েছিল। মাতাল অবস্থায় আমি প্রথমবার আহত হইনি, কিন্তু কখনও এরকম হয়নি। আমি উঠে মঞ্চে অর্ধনগ্ন হয়ে নাচতে শুরু করি, ভাঙা পাঁজর নিয়ে। কয়েকদিন ধরে আমি এটি পরিষ্কার করেছিলাম, কিন্"&amp;"তু ব্যথা আরও খারাপ হওয়ার পর আমি নিজেকে হাসপাতালে নিয়ে যাই। ভবিষ্যতের জন্য আমি ঘরবন্দি এবং এটি বেশ খারাপ। আমি ব্যথার জন্য কোডিনের কম ডোজ (প্রেসক্রিপশন) খাচ্ছি, তাই আমি আক্ষরিক অর্থেই পান করতে পারছি না, তবে এটি আমাকে আমার ক্রিয়াগুলি এবং অ্যালকোহল কীভাবে "&amp;"অনেক কিছু নষ্ট করছে তা নিয়ে ভাবার জন্য একটি মুহূর্ত দিয়েছে। তদুপরি, আমি ফিট থাকতে চাই, ওজন কমাতে চাই, সুস্থ থাকতে চাই, আরও পড়াশোনা করতে চাই এবং আসলে কী গুরুত্বপূর্ণ তা নিয়ে মনোনিবেশ করতে চাই। আমার জীবনকে উন্নত করা আমার লক্ষ্য ছিল এবং আমি চেষ্টা করছি, "&amp;"কিন্তু পরবর্তী পানীয়টি সর্বদা অগ্রাধিকার পেয়েছে। ? ঠিক আজ রাতে? পরের দিন, তারপর পরের দিন, যার ফলে টানা ৫ বা ৬ দিন চলে যায়। আমি এই প্রক্রিয়ায় নিজেকে হারিয়ে ফেলেছি। আমি আগেও মদ্যপান থেকে বিরতি নিয়েছি, আর ঈশ্বর, আমি ক্ষুধার্ত না থাকতে ভালোবাসি, কিন্তু"&amp;" আমার মনে হয় ""শুধু আজ রাতে?"" এখন থেকে প্রতিদিন সুস্থ থাকার জন্য আমার প্রতিদিনের মন্ত্র হওয়া উচিত। আমি আমার বন্ধুদের মদ্যপান বন্ধ করার কথা বলার ব্যাপারে চিন্তিত নই, তবে আমাদের বেশিরভাগ পরিকল্পনা এটিকে ঘিরেই। আমি একা মদ্যপান বন্ধ করতে পারি, তবে আমার উদ্"&amp;"বেগ হল যে আমার বন্ধুদের সাথে রাত কাটানোর ফলে আমি আবারও মদ্যপান শুরু করব অথবা আমি আবার একা মদ্যপান করব। তাছাড়া, আমার বাইপোলার টাইপ ২ আছে এবং যখন আমি হাইপোম্যানিক হই তখন আমিও মদ্যপান করি। এটি সর্বদা একটি ভারসাম্য। যদি আপনি একই রকম পরিস্থিতিতে থাকেন, তাহলে আ"&amp;"পনি কীভাবে এটি করেছেন? আপনি কি এমন জায়গায় যেতে পারেন যেখানে আপনি নিরাপদে পান করতে পারেন?")</f>
        <v>গত সপ্তাহান্তে আমি (২৬ বছর বয়সী) এত মাতাল হয়ে পড়েছিলাম যে আমার পাঁজর ভেঙে গিয়েছিল। মাতাল অবস্থায় আমি প্রথমবার আহত হইনি, কিন্তু কখনও এরকম হয়নি। আমি উঠে মঞ্চে অর্ধনগ্ন হয়ে নাচতে শুরু করি, ভাঙা পাঁজর নিয়ে। কয়েকদিন ধরে আমি এটি পরিষ্কার করেছিলাম, কিন্তু ব্যথা আরও খারাপ হওয়ার পর আমি নিজেকে হাসপাতালে নিয়ে যাই। ভবিষ্যতের জন্য আমি ঘরবন্দি এবং এটি বেশ খারাপ। আমি ব্যথার জন্য কোডিনের কম ডোজ (প্রেসক্রিপশন) খাচ্ছি, তাই আমি আক্ষরিক অর্থেই পান করতে পারছি না, তবে এটি আমাকে আমার ক্রিয়াগুলি এবং অ্যালকোহল কীভাবে অনেক কিছু নষ্ট করছে তা নিয়ে ভাবার জন্য একটি মুহূর্ত দিয়েছে। তদুপরি, আমি ফিট থাকতে চাই, ওজন কমাতে চাই, সুস্থ থাকতে চাই, আরও পড়াশোনা করতে চাই এবং আসলে কী গুরুত্বপূর্ণ তা নিয়ে মনোনিবেশ করতে চাই। আমার জীবনকে উন্নত করা আমার লক্ষ্য ছিল এবং আমি চেষ্টা করছি, কিন্তু পরবর্তী পানীয়টি সর্বদা অগ্রাধিকার পেয়েছে। ? ঠিক আজ রাতে? পরের দিন, তারপর পরের দিন, যার ফলে টানা ৫ বা ৬ দিন চলে যায়। আমি এই প্রক্রিয়ায় নিজেকে হারিয়ে ফেলেছি। আমি আগেও মদ্যপান থেকে বিরতি নিয়েছি, আর ঈশ্বর, আমি ক্ষুধার্ত না থাকতে ভালোবাসি, কিন্তু আমার মনে হয় "শুধু আজ রাতে?" এখন থেকে প্রতিদিন সুস্থ থাকার জন্য আমার প্রতিদিনের মন্ত্র হওয়া উচিত। আমি আমার বন্ধুদের মদ্যপান বন্ধ করার কথা বলার ব্যাপারে চিন্তিত নই, তবে আমাদের বেশিরভাগ পরিকল্পনা এটিকে ঘিরেই। আমি একা মদ্যপান বন্ধ করতে পারি, তবে আমার উদ্বেগ হল যে আমার বন্ধুদের সাথে রাত কাটানোর ফলে আমি আবারও মদ্যপান শুরু করব অথবা আমি আবার একা মদ্যপান করব। তাছাড়া, আমার বাইপোলার টাইপ ২ আছে এবং যখন আমি হাইপোম্যানিক হই তখন আমিও মদ্যপান করি। এটি সর্বদা একটি ভারসাম্য। যদি আপনি একই রকম পরিস্থিতিতে থাকেন, তাহলে আপনি কীভাবে এটি করেছেন? আপনি কি এমন জায়গায় যেতে পারেন যেখানে আপনি নিরাপদে পান করতে পারেন?</v>
      </c>
    </row>
    <row r="1357" spans="1:3" ht="15" x14ac:dyDescent="0.25">
      <c r="A1357" s="3" t="s">
        <v>1352</v>
      </c>
      <c r="B1357" s="3" t="s">
        <v>997</v>
      </c>
      <c r="C1357" s="4" t="str">
        <f ca="1">IFERROR(__xludf.DUMMYFUNCTION("GOOGLETRANSLATE(A1357, ""auto"", ""bn"")"),"অতিরিক্ত মদ্যপানের কারণে (কয়েকদিন আগে আমার ছোট গল্পটি পোস্ট করেছিলাম) তৃতীয় দিনে আমি লজ্জা পেয়ে মদ্যপানের অভ্যাসে ভুগছি এবং এখন WD-র অবস্থাও খারাপ। আজ আমার কাছে একটা বোতল ওয়াইন ছিল যা নষ্ট করা হয়নি। আমি লুকিয়ে রাখিনি যে আমি এটা চেয়েছিলাম এবং আমার স"&amp;"্বামী তা ফেলে দিয়েছে। প্রায় দুই বছরেরও বেশি সময় পর এই প্রথম আমি বললাম যে আমি আজ মদ্যপান করব না!")</f>
        <v>অতিরিক্ত মদ্যপানের কারণে (কয়েকদিন আগে আমার ছোট গল্পটি পোস্ট করেছিলাম) তৃতীয় দিনে আমি লজ্জা পেয়ে মদ্যপানের অভ্যাসে ভুগছি এবং এখন WD-র অবস্থাও খারাপ। আজ আমার কাছে একটা বোতল ওয়াইন ছিল যা নষ্ট করা হয়নি। আমি লুকিয়ে রাখিনি যে আমি এটা চেয়েছিলাম এবং আমার স্বামী তা ফেলে দিয়েছে। প্রায় দুই বছরেরও বেশি সময় পর এই প্রথম আমি বললাম যে আমি আজ মদ্যপান করব না!</v>
      </c>
    </row>
    <row r="1358" spans="1:3" ht="15" x14ac:dyDescent="0.25">
      <c r="A1358" s="3" t="s">
        <v>1353</v>
      </c>
      <c r="B1358" s="3" t="s">
        <v>997</v>
      </c>
      <c r="C1358" s="4" t="str">
        <f ca="1">IFERROR(__xludf.DUMMYFUNCTION("GOOGLETRANSLATE(A1358, ""auto"", ""bn"")"),"আমি গত আড়াই বছর ধরে অতিরিক্ত মদ্যপান করছি। আমার বয়স যখন প্রায় ২১ বছর, তখন থেকেই আমার অভ্যাস শুরু হয়েছিল, আমি প্রতি রাতে খুব বেশি ভদকা পান করি। তাছাড়া, আমি দীর্ঘ সময় ধরে খুব ভারী অবস্থা পার করেছিলাম, সম্ভবত ১.৫ বছর ধরে, ৩-৪ রাতে বিয়ারের সাথে ১.৭৫ লি"&amp;"টার মদ্যপান করছিলাম। তারপর গত বছর ধরে আমি এক পাইন্ট ভদকা খাওয়ার জন্য যথাসাধ্য চেষ্টা করছিলাম, কিন্তু তারপর অনেক বেশি বিয়ারের সাথে। দেড় সপ্তাহ আগে আমার কোভিড হয়েছিল, তাই আমি প্রায় ৪ দিন ধরে পান করিনি এবং আমার প্রত্যাহার আগের চেয়েও খারাপ ছিল। বেশিরভাগ"&amp;" সময়ই প্রচণ্ড ঘাম, প্রচণ্ড ঝাঁকুনি, এবং বেশিরভাগ সময়ই তাই হয়েছে, কিন্তু তারপর গত দুই রাত ধরে আমার হিপনাগোজিক হ্যালুসিনেশন হয়েছে... সারা রাত। এটা অন্যদের অভিজ্ঞতার মতো খারাপ নয়, তবে আমি এখনও আতঙ্কিত কারণ মনে হচ্ছে হ্যালুসিনেশনের পরে যা হতে পারে তা হল "&amp;"খিঁচুনি। আমি এখন নিজেকে পুরোপুরিভাবে কমিয়ে আনার পরিকল্পনা করছি, কারণ আমি আগে থেকেই এই খারাপ অভ্যাসটা বুঝতে পেরেছি। আমি শুধু দেখতে চেয়েছিলাম যে আমার জায়গায় কেউ আছে কিনা, আর তুমি কীভাবে নিজেকে কমিয়ে এনেছো। তাছাড়া, আমি সত্যিই, সত্যিই ডিটক্সে যেতে চাই ন"&amp;"া, যদিও আমি জানি এটি সবচেয়ে নিরাপদ। কিন্তু তোমার ছেলেদের অভিজ্ঞতা কেমন ছিল তা শুনতে সত্যিই চাই এবং হয়তো কমিয়ে আনার প্রক্রিয়ার জন্য এটি একটি ভালো স্কেল হতে পারে।")</f>
        <v>আমি গত আড়াই বছর ধরে অতিরিক্ত মদ্যপান করছি। আমার বয়স যখন প্রায় ২১ বছর, তখন থেকেই আমার অভ্যাস শুরু হয়েছিল, আমি প্রতি রাতে খুব বেশি ভদকা পান করি। তাছাড়া, আমি দীর্ঘ সময় ধরে খুব ভারী অবস্থা পার করেছিলাম, সম্ভবত ১.৫ বছর ধরে, ৩-৪ রাতে বিয়ারের সাথে ১.৭৫ লিটার মদ্যপান করছিলাম। তারপর গত বছর ধরে আমি এক পাইন্ট ভদকা খাওয়ার জন্য যথাসাধ্য চেষ্টা করছিলাম, কিন্তু তারপর অনেক বেশি বিয়ারের সাথে। দেড় সপ্তাহ আগে আমার কোভিড হয়েছিল, তাই আমি প্রায় ৪ দিন ধরে পান করিনি এবং আমার প্রত্যাহার আগের চেয়েও খারাপ ছিল। বেশিরভাগ সময়ই প্রচণ্ড ঘাম, প্রচণ্ড ঝাঁকুনি, এবং বেশিরভাগ সময়ই তাই হয়েছে, কিন্তু তারপর গত দুই রাত ধরে আমার হিপনাগোজিক হ্যালুসিনেশন হয়েছে... সারা রাত। এটা অন্যদের অভিজ্ঞতার মতো খারাপ নয়, তবে আমি এখনও আতঙ্কিত কারণ মনে হচ্ছে হ্যালুসিনেশনের পরে যা হতে পারে তা হল খিঁচুনি। আমি এখন নিজেকে পুরোপুরিভাবে কমিয়ে আনার পরিকল্পনা করছি, কারণ আমি আগে থেকেই এই খারাপ অভ্যাসটা বুঝতে পেরেছি। আমি শুধু দেখতে চেয়েছিলাম যে আমার জায়গায় কেউ আছে কিনা, আর তুমি কীভাবে নিজেকে কমিয়ে এনেছো। তাছাড়া, আমি সত্যিই, সত্যিই ডিটক্সে যেতে চাই না, যদিও আমি জানি এটি সবচেয়ে নিরাপদ। কিন্তু তোমার ছেলেদের অভিজ্ঞতা কেমন ছিল তা শুনতে সত্যিই চাই এবং হয়তো কমিয়ে আনার প্রক্রিয়ার জন্য এটি একটি ভালো স্কেল হতে পারে।</v>
      </c>
    </row>
    <row r="1359" spans="1:3" ht="15" x14ac:dyDescent="0.25">
      <c r="A1359" s="3" t="s">
        <v>1354</v>
      </c>
      <c r="B1359" s="3" t="s">
        <v>997</v>
      </c>
      <c r="C1359" s="4" t="str">
        <f ca="1">IFERROR(__xludf.DUMMYFUNCTION("GOOGLETRANSLATE(A1359, ""auto"", ""bn"")"),"আমি অবশ্যই একজন কার্যকরী মদ্যপ। আমার চাকরিটা দারুন এবং আমি একজন সাধারণ মানুষের মতো কাজ করার জন্য জিনিসপত্র একসাথে রাখতে পারি। কিন্তু আমি প্রচুর পরিমাণে পান করি। কাজের পরে আমি একটি মদের দোকানে যাই, দু-একটি ভদকা এবং কমপক্ষে ৪টি বিয়ার। এটি হালকা দিনে। কর্মক"&amp;"্ষেত্রে আমার সপ্তাহটা খুবই চাপের ছিল, তাই আমার বস আমাকে শুক্রবার ছুটি দিয়েছিলেন। আমার কোনও বান্ধবী বা আমার সাথে থাকা কেউ নেই, তাই আমি কখনই ফাগ জিনের মতো অধঃপতনের শিকার হই তা আমার কোনও বিচার করার নেই। আজকাল আমার জন্য টানা ছুটির দিনগুলি হল ""আচ্ছা, সকালে প"&amp;"্রথম জিনিস পান করা যাক.... তুমি তাড়াতাড়ি মাতাল হয়ে যাবে.... অজ্ঞান হয়ে যাও.... ঘুম থেকে উঠো.... আরও কিছু পান করো.... আবার অজ্ঞান হয়ে যাও।"" এটাই এখন কিছুদিন ধরে আমার অভ্যাস। আমার মনে হয় শীতকালে এটি আরও খারাপ হয়ে যায় কারণ আর কিছু করার থাকে না। আচ্ছ"&amp;"া, আজ আমি এই ধরণের পরে ঘুম থেকে উঠেছিলাম এবং অবশ্যই আমি এগিয়ে গিয়ে আমার জন্য একটি বিয়ার কিনেছিলাম। এটি চুষে খেয়েছিলাম এবং এটি করার পরেই অস্বস্তি বোধ করছিলাম। আমি কখনোই অ্যালকোহল বমি করিনি, কিন্তু এটা সত্যিই খুব বিরল সময় ছিল। আমি বমি করেছিলাম এবং শেষে"&amp;" আমার বমি করে রক্ত ​​বের হয়ে এসেছিল। এটা অবশ্যই আমার জন্য একটা ""ওহ ছি ছি"" মুহূর্ত ছিল। আমি ভেবেছিলাম এটা হয়তো হঠাৎ করেই ঘটেছিল এবং একবারের জন্যই ঘটেছিল কিন্তু দাঁত ব্রাশ করার সময় আমি জোর করে বমি করে ফেলি এবং হ্যাঁ, অবশ্যই কিছু জমাট বাঁধা রক্ত ​​বেরিয"&amp;"়ে আসে। ধুর! আমার শরীরের এমন একটা অংশ আছে যা সত্যিই ভয় পায়, এবং আমার মনে হয় অ্যালকোহল অন্য BS-কেও অসাড় করে দেয়। এটা কি শুধু পেটের আলসারের মতো মনে হচ্ছে? আমার পেটে কোন ব্যথা নেই কিন্তু আমি হয়তো সম্পূর্ণরূপে অসাড় করে দিচ্ছি। আমি জানি না।")</f>
        <v>আমি অবশ্যই একজন কার্যকরী মদ্যপ। আমার চাকরিটা দারুন এবং আমি একজন সাধারণ মানুষের মতো কাজ করার জন্য জিনিসপত্র একসাথে রাখতে পারি। কিন্তু আমি প্রচুর পরিমাণে পান করি। কাজের পরে আমি একটি মদের দোকানে যাই, দু-একটি ভদকা এবং কমপক্ষে ৪টি বিয়ার। এটি হালকা দিনে। কর্মক্ষেত্রে আমার সপ্তাহটা খুবই চাপের ছিল, তাই আমার বস আমাকে শুক্রবার ছুটি দিয়েছিলেন। আমার কোনও বান্ধবী বা আমার সাথে থাকা কেউ নেই, তাই আমি কখনই ফাগ জিনের মতো অধঃপতনের শিকার হই তা আমার কোনও বিচার করার নেই। আজকাল আমার জন্য টানা ছুটির দিনগুলি হল "আচ্ছা, সকালে প্রথম জিনিস পান করা যাক.... তুমি তাড়াতাড়ি মাতাল হয়ে যাবে.... অজ্ঞান হয়ে যাও.... ঘুম থেকে উঠো.... আরও কিছু পান করো.... আবার অজ্ঞান হয়ে যাও।" এটাই এখন কিছুদিন ধরে আমার অভ্যাস। আমার মনে হয় শীতকালে এটি আরও খারাপ হয়ে যায় কারণ আর কিছু করার থাকে না। আচ্ছা, আজ আমি এই ধরণের পরে ঘুম থেকে উঠেছিলাম এবং অবশ্যই আমি এগিয়ে গিয়ে আমার জন্য একটি বিয়ার কিনেছিলাম। এটি চুষে খেয়েছিলাম এবং এটি করার পরেই অস্বস্তি বোধ করছিলাম। আমি কখনোই অ্যালকোহল বমি করিনি, কিন্তু এটা সত্যিই খুব বিরল সময় ছিল। আমি বমি করেছিলাম এবং শেষে আমার বমি করে রক্ত ​​বের হয়ে এসেছিল। এটা অবশ্যই আমার জন্য একটা "ওহ ছি ছি" মুহূর্ত ছিল। আমি ভেবেছিলাম এটা হয়তো হঠাৎ করেই ঘটেছিল এবং একবারের জন্যই ঘটেছিল কিন্তু দাঁত ব্রাশ করার সময় আমি জোর করে বমি করে ফেলি এবং হ্যাঁ, অবশ্যই কিছু জমাট বাঁধা রক্ত ​​বেরিয়ে আসে। ধুর! আমার শরীরের এমন একটা অংশ আছে যা সত্যিই ভয় পায়, এবং আমার মনে হয় অ্যালকোহল অন্য BS-কেও অসাড় করে দেয়। এটা কি শুধু পেটের আলসারের মতো মনে হচ্ছে? আমার পেটে কোন ব্যথা নেই কিন্তু আমি হয়তো সম্পূর্ণরূপে অসাড় করে দিচ্ছি। আমি জানি না।</v>
      </c>
    </row>
    <row r="1360" spans="1:3" ht="15" x14ac:dyDescent="0.25">
      <c r="A1360" s="3" t="s">
        <v>1355</v>
      </c>
      <c r="B1360" s="3" t="s">
        <v>997</v>
      </c>
      <c r="C1360" s="4" t="str">
        <f ca="1">IFERROR(__xludf.DUMMYFUNCTION("GOOGLETRANSLATE(A1360, ""auto"", ""bn"")"),"আমি ওই টাকা মদের পেছনে খরচ করতেই বেশি পছন্দ করি। আজকাল (অন্তত আমার দেশে) এত দামি যে, আমার রাগ হয় যে মাঝে মাঝে আমি এমন কিছুর পেছনে খরচ করতে চাই যা আমি সত্যিই উপভোগ করি। মানে, খাওয়ার চেয়ে অনেক বেশি উপভোগ করি।")</f>
        <v>আমি ওই টাকা মদের পেছনে খরচ করতেই বেশি পছন্দ করি। আজকাল (অন্তত আমার দেশে) এত দামি যে, আমার রাগ হয় যে মাঝে মাঝে আমি এমন কিছুর পেছনে খরচ করতে চাই যা আমি সত্যিই উপভোগ করি। মানে, খাওয়ার চেয়ে অনেক বেশি উপভোগ করি।</v>
      </c>
    </row>
    <row r="1361" spans="1:3" ht="15" x14ac:dyDescent="0.25">
      <c r="A1361" s="3" t="s">
        <v>1356</v>
      </c>
      <c r="B1361" s="3" t="s">
        <v>997</v>
      </c>
      <c r="C1361" s="4" t="str">
        <f ca="1">IFERROR(__xludf.DUMMYFUNCTION("GOOGLETRANSLATE(A1361, ""auto"", ""bn"")"),"তাই আমার স্বামী যখন ঘুম থেকে উঠলেন, তখন আমি তার সাথে কথা বললাম। তার কিছুই মনে ছিল না, কিন্তু যখন আমি তাকে আমার অভিজ্ঞতার মধ্য দিয়ে যেতে লাগলাম, তখন সেও আমার মতোই বুঝতে পারল। সে বুঝতে পারল যে সে ভুল করেছে এবং সেই দিনই আমাদের HMO-কে চিকিৎসার জন্য ফোন করেছে"&amp;"। ডাক্তার নালট্রেক্সোন এবং কাউন্সেলিং লিখে দিয়েছেন। আমার স্বামী বলছেন যে তিনবার পান করার পর বড়ি খাওয়ার পর তার আর পান করার ইচ্ছা নেই। সে সপ্তাহান্তে মদ্যপান না করে থাকতে পারে, তারপর সপ্তাহান্তে অতিরিক্ত খাওয়ার প্রয়োজন বোধ করছে না। এখনও অনেক আগে, কিন্ত"&amp;"ু এখন পর্যন্ত আমি যা দেখছি তা আশাব্যঞ্জক।")</f>
        <v>তাই আমার স্বামী যখন ঘুম থেকে উঠলেন, তখন আমি তার সাথে কথা বললাম। তার কিছুই মনে ছিল না, কিন্তু যখন আমি তাকে আমার অভিজ্ঞতার মধ্য দিয়ে যেতে লাগলাম, তখন সেও আমার মতোই বুঝতে পারল। সে বুঝতে পারল যে সে ভুল করেছে এবং সেই দিনই আমাদের HMO-কে চিকিৎসার জন্য ফোন করেছে। ডাক্তার নালট্রেক্সোন এবং কাউন্সেলিং লিখে দিয়েছেন। আমার স্বামী বলছেন যে তিনবার পান করার পর বড়ি খাওয়ার পর তার আর পান করার ইচ্ছা নেই। সে সপ্তাহান্তে মদ্যপান না করে থাকতে পারে, তারপর সপ্তাহান্তে অতিরিক্ত খাওয়ার প্রয়োজন বোধ করছে না। এখনও অনেক আগে, কিন্তু এখন পর্যন্ত আমি যা দেখছি তা আশাব্যঞ্জক।</v>
      </c>
    </row>
    <row r="1362" spans="1:3" ht="15" x14ac:dyDescent="0.25">
      <c r="A1362" s="3" t="s">
        <v>1357</v>
      </c>
      <c r="B1362" s="3" t="s">
        <v>997</v>
      </c>
      <c r="C1362" s="4" t="str">
        <f ca="1">IFERROR(__xludf.DUMMYFUNCTION("GOOGLETRANSLATE(A1362, ""auto"", ""bn"")"),"মূলত আমি এবং আমার সহকর্মীরা সেখানে কাজ করা একজনের জন্য একটি বিদায়ী পার্টিতে গিয়েছিলাম। সবাই পানীয় খেয়েছিল, আমি নই। আমি ডায়েট কোক পান করেছিলাম এবং টেবিলের নীচে আমার সংযম অ্যাপের দিকে তাকিয়ে মিনিট গুনতে গুনতে তাদের বোকামি এবং প্রকৃত সুখের কথা শুনতে হয"&amp;"়েছিল। চার মাস দশ দিন। আমার মজাদার ব্যক্তিত্ব বজায় রাখতে পেরেছি এবং আমি ঠিকঠাক বাড়ি ফিরে এসেছি, কিন্তু আমার মাথাব্যথা আছে।")</f>
        <v>মূলত আমি এবং আমার সহকর্মীরা সেখানে কাজ করা একজনের জন্য একটি বিদায়ী পার্টিতে গিয়েছিলাম। সবাই পানীয় খেয়েছিল, আমি নই। আমি ডায়েট কোক পান করেছিলাম এবং টেবিলের নীচে আমার সংযম অ্যাপের দিকে তাকিয়ে মিনিট গুনতে গুনতে তাদের বোকামি এবং প্রকৃত সুখের কথা শুনতে হয়েছিল। চার মাস দশ দিন। আমার মজাদার ব্যক্তিত্ব বজায় রাখতে পেরেছি এবং আমি ঠিকঠাক বাড়ি ফিরে এসেছি, কিন্তু আমার মাথাব্যথা আছে।</v>
      </c>
    </row>
    <row r="1363" spans="1:3" ht="15" x14ac:dyDescent="0.25">
      <c r="A1363" s="3" t="s">
        <v>1358</v>
      </c>
      <c r="B1363" s="3" t="s">
        <v>997</v>
      </c>
      <c r="C1363" s="4" t="str">
        <f ca="1">IFERROR(__xludf.DUMMYFUNCTION("GOOGLETRANSLATE(A1363, ""auto"", ""bn"")"),"সত্যি বলতে, অ্যালকোহলের নাম যাই হোক না কেন, তা এড়িয়ে যাওয়া অসম্ভব। বিজ্ঞাপন, বন্ধুবান্ধব এবং পরিবারের সদস্যরা এমন কিছু পান করে যাদের উপর আমার কোনও নিয়ন্ত্রণ নেই কারণ আমি বর্তমানে তাদের সাথে থাকি। আমার একমাত্র বন্ধুরা (যাদের কাছ থেকে আমি আমার নিজের ভাল"&amp;"োর জন্য মাদকদ্রব্যে ভরা শহর থেকে পালাতে দূরে সরে এসেছি) সবাই পান করে। আমি যেখানেই তাকাই, সেখানেই মদ দেখি বা শুনি, এটি বমি বমি ভাব করে। এটি সহজ করার জন্য আমি কী করতে পারি? আমার মনে হয় আমি সবকিছু চেষ্টা করে দেখেছি।")</f>
        <v>সত্যি বলতে, অ্যালকোহলের নাম যাই হোক না কেন, তা এড়িয়ে যাওয়া অসম্ভব। বিজ্ঞাপন, বন্ধুবান্ধব এবং পরিবারের সদস্যরা এমন কিছু পান করে যাদের উপর আমার কোনও নিয়ন্ত্রণ নেই কারণ আমি বর্তমানে তাদের সাথে থাকি। আমার একমাত্র বন্ধুরা (যাদের কাছ থেকে আমি আমার নিজের ভালোর জন্য মাদকদ্রব্যে ভরা শহর থেকে পালাতে দূরে সরে এসেছি) সবাই পান করে। আমি যেখানেই তাকাই, সেখানেই মদ দেখি বা শুনি, এটি বমি বমি ভাব করে। এটি সহজ করার জন্য আমি কী করতে পারি? আমার মনে হয় আমি সবকিছু চেষ্টা করে দেখেছি।</v>
      </c>
    </row>
    <row r="1364" spans="1:3" ht="15" x14ac:dyDescent="0.25">
      <c r="A1364" s="3" t="s">
        <v>1359</v>
      </c>
      <c r="B1364" s="3" t="s">
        <v>997</v>
      </c>
      <c r="C1364" s="4" t="str">
        <f ca="1">IFERROR(__xludf.DUMMYFUNCTION("GOOGLETRANSLATE(A1364, ""auto"", ""bn"")"),"আমি জানি আমি বেশ কিছুদিন ধরে সীমা লঙ্ঘন করছি। ছোটবেলায় আমরা যেরকম অভিযোগ করেছিলাম, আমার তেমন হ্যাংওভার নেই! তাছাড়া, আমি ৩৬ বছর বয়সী একজন তেজী, যাকে মানুষ সবসময় বলে যে অনেক কম বয়সী দেখাচ্ছে। (আমার মনে হয় ভালো জিন এবং আমি ধূমপান করতাম না?) আমি জানি না"&amp;", কারণ গত ১৫ বছর ধরে আমি আমার শরীর নষ্ট করে ফেলেছি। তবুও, গত কয়েক বছর ধরে আমি ক্রমশ উদ্বিগ্ন হয়ে পড়েছি। আমি আমার এক মামার শেষকৃত্যে অংশ নিয়েছিলাম এবং অনেকের আলমারি থেকে অনেক কঙ্কাল খুঁজে পেয়েছিলাম, এবং এটি আমাকে সীমা লঙ্ঘন করেছে। কয়েকদিন সীমা লঙ্ঘন "&amp;"করার পরে কি কেউ এত খারাপ অনুভব করেছে যে তারা সারা শরীর লাল হয়ে যায় এবং কয়েকদিন শ্বাসকষ্ট হয়? সত্যিই ঠিকভাবে হাঁটতে পারে না, কয়েকদিন ধরে কাঁপতে থাকে কিন্তু এখনও রাত ১০টা বেগে চলে, এক সপ্তাহ ধরে ভয়াবহ মাথাব্যথা ইত্যাদি? মানে আমার গরম/ঠান্ডা ঘাম, উল্টে"&amp;"-পালটে যাওয়া, কিন্তু আমি হাল ছাড়ছিলাম না। আমি এখনও রাত ১০টা বা তার বেশি ছিলাম। হৃদস্পন্দন দ্রুত হওয়াটা সবচেয়ে খারাপ দিক হতে পারে। সত্যি বলতে, এটা এমন নয় যে এটা প্রথমবারের মতো হয়েছে, কিন্তু যখন আমি ১০+ নিচ্ছিলাম তখনও প্রত্যাহারের মধ্য দিয়ে যাচ্ছিলাম যাতে"&amp;" অবস্থা আরও খারাপ না হয়। আমি বুঝতে পারছি এটা স্বাস্থ্যকর নয়। গত কয়েক বছরে সম্ভবত ২০ বার এমনটা হয়েছে। আমি ডাক্তারদের সাথেও কাজ করি, তাই আমার মনে হয় যেন তারা সবাই জানে, এবং আমি দড়ির উপর হাঁটার মতো সার্কাসের অভিনয় করছি। শেষবারটা ছিল সবচেয়ে খারাপ। আমি জানি প"&amp;"্রদাহ কোনও রসিকতা নয়, এটি প্রায় ১২০টি রোগের সাথে সম্পর্কিত, (সবচেয়ে খারাপ হল ক্যান্সার, ডায়াবেটিস, হৃদরোগ), এবং অ্যালকোহল প্রদাহের কারণ হয়, তাই এটি কেবল কিছু সময়ের জন্য। আমি শুধু ভাবছি এই সমস্ত লক্ষণগুলির অর্থ কী। শুধুমাত্র কিডনিই মূলত যেকোনো জায়গায় ব"&amp;"্যথা সৃষ্টি করতে পারে। আমার সব অঙ্গ কি পাগল? আমার শরীর কি ধীরে ধীরে মারা যাচ্ছে? দুটোই? আমি জন্মনিয়ন্ত্রণ ব্যবহারও বন্ধ করে দিয়েছি। কিন্তু সর্বত্র গুলিবিদ্ধ হওয়ার ব্যথা এবং আমার শ্বাস নিতে না পারার অনুভূতি ভীতিকর, যখন আমি আমার উচ্চতার তুলনায় স্বাভাবিক ও"&amp;"জনের হয়ে থাকি তখন আমার মনে হয় আমি অ্যালকোহল-প্ররোচিত আর্মেনিয়ার স্তরে পৌঁছে গেছি। আমি সব যন্ত্রণায় ভয় পাই। তাছাড়া, মানে, গত ৭-৮ বছর ধরে আমি গড়ে প্রতি রাতে ১৫ থেকে ২০টি ইনজেকশন নিচ্ছি, (কিছু মাস ধরে আমার সিঙ্গেল ডিজিট আছে)। তাছাড়া, মানে, আমার মনে হয় আম"&amp;"ি উত্তরগুলো জানি... আমার শুধু কথা বলার জন্য কারো প্রয়োজন। আমি সত্যি বলতে এটা শুধু একটা নেশার চেয়ে বেশি কিছু। তাছাড়া, আমার মনে হয় আমি অসন্তুষ্ট, এবং এটা আমার নিজের জন্য নয়। এটা পৃথিবী সম্পর্কে একটা সাধারণ উদাসীনতা, যদিও আমি সবার কাছে সবচেয়ে দয়ালু। পৃথিব"&amp;"ীটা একটা টুকরো বিষ্ঠা এবং আমি বুঝতে পারি আমি সমুদ্রের বালির এক টুকরো। তাই, আমি সেই দিনটিকে সহজ করার জন্য পান করি যখন এমন সব ভয়াবহ ঘটনা ঘটে যা সবাই উপেক্ষা করতে পছন্দ করে এবং কিছুই করা হয় না? হ্যাঁ, আমি আমার মদ্যপানকে পৃথিবীর সমস্যার সাথে তুলনা করছি। আমি য"&amp;"দি সত্যিই চেষ্টা করি তাহলে কি আমি আরও বেশি আকর্ষণীয় হতে পারব? হ্যাঁ। আমি এটার সাথে বন্ধুত্ব করেছি, তারা শুধু এটাই করে এবং মানুষ মনে করে যে তারা কেবল সুন্দর হওয়ার জন্যই অসাধারণ। আমার মনে হয় ওদের শুধু এইটুকুই চিন্তা। আমি কি আমার মাস্টার্স শেষ করতে পারতাম"&amp;"? হ্যাঁ। কিন্তু, আমি আমার ক্যারিয়ারের দিকে তাকিয়েছিলাম, এবং এটা অবশ্যই বেতন বা প্রতিযোগিতার ক্ষেত্রে সাহায্য করবে না। তবে আমি কি আরও সফল হতে পারতাম? অবশ্যই। আমি জানি আমি সুযোগ নষ্ট করেছি এবং কিছু সেতুতে কিছু কালি রেখেছি। আমি এটা নিয়ে বিরক্ত। আমি কি আমা"&amp;"র সম্পর্ক বাঁচাতে পারব? হ্যাঁ। আমি হয়তো পারব। আমি কি আমার শরীর বাঁচাতে পারব? কোন ধারণা নেই। আমার মনে হয় এটা সম্ভবত খারাপ খবর। আমার মনে হয় আমার বাইরের দিকটা ভিতরে লুকিয়ে থাকা জিনিসের চেয়ে লক্ষ লক্ষ মাইল ভালো দেখাচ্ছে, এবং আমি শারীরিকভাবে তা অনুভব করতে"&amp;" পারি।")</f>
        <v>আমি জানি আমি বেশ কিছুদিন ধরে সীমা লঙ্ঘন করছি। ছোটবেলায় আমরা যেরকম অভিযোগ করেছিলাম, আমার তেমন হ্যাংওভার নেই! তাছাড়া, আমি ৩৬ বছর বয়সী একজন তেজী, যাকে মানুষ সবসময় বলে যে অনেক কম বয়সী দেখাচ্ছে। (আমার মনে হয় ভালো জিন এবং আমি ধূমপান করতাম না?) আমি জানি না, কারণ গত ১৫ বছর ধরে আমি আমার শরীর নষ্ট করে ফেলেছি। তবুও, গত কয়েক বছর ধরে আমি ক্রমশ উদ্বিগ্ন হয়ে পড়েছি। আমি আমার এক মামার শেষকৃত্যে অংশ নিয়েছিলাম এবং অনেকের আলমারি থেকে অনেক কঙ্কাল খুঁজে পেয়েছিলাম, এবং এটি আমাকে সীমা লঙ্ঘন করেছে। কয়েকদিন সীমা লঙ্ঘন করার পরে কি কেউ এত খারাপ অনুভব করেছে যে তারা সারা শরীর লাল হয়ে যায় এবং কয়েকদিন শ্বাসকষ্ট হয়? সত্যিই ঠিকভাবে হাঁটতে পারে না, কয়েকদিন ধরে কাঁপতে থাকে কিন্তু এখনও রাত ১০টা বেগে চলে, এক সপ্তাহ ধরে ভয়াবহ মাথাব্যথা ইত্যাদি? মানে আমার গরম/ঠান্ডা ঘাম, উল্টে-পালটে যাওয়া, কিন্তু আমি হাল ছাড়ছিলাম না। আমি এখনও রাত ১০টা বা তার বেশি ছিলাম। হৃদস্পন্দন দ্রুত হওয়াটা সবচেয়ে খারাপ দিক হতে পারে। সত্যি বলতে, এটা এমন নয় যে এটা প্রথমবারের মতো হয়েছে, কিন্তু যখন আমি ১০+ নিচ্ছিলাম তখনও প্রত্যাহারের মধ্য দিয়ে যাচ্ছিলাম যাতে অবস্থা আরও খারাপ না হয়। আমি বুঝতে পারছি এটা স্বাস্থ্যকর নয়। গত কয়েক বছরে সম্ভবত ২০ বার এমনটা হয়েছে। আমি ডাক্তারদের সাথেও কাজ করি, তাই আমার মনে হয় যেন তারা সবাই জানে, এবং আমি দড়ির উপর হাঁটার মতো সার্কাসের অভিনয় করছি। শেষবারটা ছিল সবচেয়ে খারাপ। আমি জানি প্রদাহ কোনও রসিকতা নয়, এটি প্রায় ১২০টি রোগের সাথে সম্পর্কিত, (সবচেয়ে খারাপ হল ক্যান্সার, ডায়াবেটিস, হৃদরোগ), এবং অ্যালকোহল প্রদাহের কারণ হয়, তাই এটি কেবল কিছু সময়ের জন্য। আমি শুধু ভাবছি এই সমস্ত লক্ষণগুলির অর্থ কী। শুধুমাত্র কিডনিই মূলত যেকোনো জায়গায় ব্যথা সৃষ্টি করতে পারে। আমার সব অঙ্গ কি পাগল? আমার শরীর কি ধীরে ধীরে মারা যাচ্ছে? দুটোই? আমি জন্মনিয়ন্ত্রণ ব্যবহারও বন্ধ করে দিয়েছি। কিন্তু সর্বত্র গুলিবিদ্ধ হওয়ার ব্যথা এবং আমার শ্বাস নিতে না পারার অনুভূতি ভীতিকর, যখন আমি আমার উচ্চতার তুলনায় স্বাভাবিক ওজনের হয়ে থাকি তখন আমার মনে হয় আমি অ্যালকোহল-প্ররোচিত আর্মেনিয়ার স্তরে পৌঁছে গেছি। আমি সব যন্ত্রণায় ভয় পাই। তাছাড়া, মানে, গত ৭-৮ বছর ধরে আমি গড়ে প্রতি রাতে ১৫ থেকে ২০টি ইনজেকশন নিচ্ছি, (কিছু মাস ধরে আমার সিঙ্গেল ডিজিট আছে)। তাছাড়া, মানে, আমার মনে হয় আমি উত্তরগুলো জানি... আমার শুধু কথা বলার জন্য কারো প্রয়োজন। আমি সত্যি বলতে এটা শুধু একটা নেশার চেয়ে বেশি কিছু। তাছাড়া, আমার মনে হয় আমি অসন্তুষ্ট, এবং এটা আমার নিজের জন্য নয়। এটা পৃথিবী সম্পর্কে একটা সাধারণ উদাসীনতা, যদিও আমি সবার কাছে সবচেয়ে দয়ালু। পৃথিবীটা একটা টুকরো বিষ্ঠা এবং আমি বুঝতে পারি আমি সমুদ্রের বালির এক টুকরো। তাই, আমি সেই দিনটিকে সহজ করার জন্য পান করি যখন এমন সব ভয়াবহ ঘটনা ঘটে যা সবাই উপেক্ষা করতে পছন্দ করে এবং কিছুই করা হয় না? হ্যাঁ, আমি আমার মদ্যপানকে পৃথিবীর সমস্যার সাথে তুলনা করছি। আমি যদি সত্যিই চেষ্টা করি তাহলে কি আমি আরও বেশি আকর্ষণীয় হতে পারব? হ্যাঁ। আমি এটার সাথে বন্ধুত্ব করেছি, তারা শুধু এটাই করে এবং মানুষ মনে করে যে তারা কেবল সুন্দর হওয়ার জন্যই অসাধারণ। আমার মনে হয় ওদের শুধু এইটুকুই চিন্তা। আমি কি আমার মাস্টার্স শেষ করতে পারতাম? হ্যাঁ। কিন্তু, আমি আমার ক্যারিয়ারের দিকে তাকিয়েছিলাম, এবং এটা অবশ্যই বেতন বা প্রতিযোগিতার ক্ষেত্রে সাহায্য করবে না। তবে আমি কি আরও সফল হতে পারতাম? অবশ্যই। আমি জানি আমি সুযোগ নষ্ট করেছি এবং কিছু সেতুতে কিছু কালি রেখেছি। আমি এটা নিয়ে বিরক্ত। আমি কি আমার সম্পর্ক বাঁচাতে পারব? হ্যাঁ। আমি হয়তো পারব। আমি কি আমার শরীর বাঁচাতে পারব? কোন ধারণা নেই। আমার মনে হয় এটা সম্ভবত খারাপ খবর। আমার মনে হয় আমার বাইরের দিকটা ভিতরে লুকিয়ে থাকা জিনিসের চেয়ে লক্ষ লক্ষ মাইল ভালো দেখাচ্ছে, এবং আমি শারীরিকভাবে তা অনুভব করতে পারি।</v>
      </c>
    </row>
    <row r="1365" spans="1:3" ht="15" x14ac:dyDescent="0.25">
      <c r="A1365" s="3" t="s">
        <v>1360</v>
      </c>
      <c r="B1365" s="3" t="s">
        <v>997</v>
      </c>
      <c r="C1365" s="4" t="str">
        <f ca="1">IFERROR(__xludf.DUMMYFUNCTION("GOOGLETRANSLATE(A1365, ""auto"", ""bn"")"),"আমি এই লোকটিকে দেখছিলাম, তাকে L (25M) বলা যাক, যে একজন সুস্থ হয়ে ওঠা মদ্যপ ছিল। প্রথমে আমি জানতাম না যে এটি কতটা গুরুতর, এবং সে 6 মাস ধরে সুস্থ ছিল, কিন্তু সে বলেছিল যে সে আগে কখনও এত ভালো ছিল না, এবং অন্য যে কোনও সময় চেষ্টা করার চেয়ে এটি আলাদা ছিল। সে"&amp;" সক্রিয়ভাবে সবকিছু ঠিকঠাক করছিল, থেরাপিতে, সুস্থ থাকার জন্য নিজেকে একটি কাঠামো তৈরি করেছিল। আমি ভেবেছিলাম এটা ঠিক আছে। আমরা খুব তীব্র হয়ে উঠি কিন্তু খোলামেলা, সৎ এবং খুশি ছিলাম, খুব আবেগগতভাবে উপলব্ধ এবং সীমা নির্ধারণে সুস্থ ছিলাম। এক মাস আগে সে আমাকে ব"&amp;"লেছিল যে তার মদ্যপান আমার কল্পনার চেয়ে অনেক খারাপ এবং তারপর আমি ভাবতে শুরু করেছিলাম যে তার কি ডেটিং করা উচিত কারণ তার এক বছরও হয়নি। আমরা এটি নিয়ে একটি গুরুতর কথাবার্তা বলেছিলাম, আমাদের উভয় থেরাপিস্টের সাথে কথা বলেছিলাম, কিন্তু যেহেতু আমরা ভালো করছিলাম"&amp;" বলে মনে হয়েছিল, এবং সে মদ্যপান করছিল না এবং ভাবিনি যে সে করবে, তাই আমরা আমাকে ক্রিসমাসে পরীক্ষক হিসেবে বাড়িতে নিয়ে যাওয়ার সিদ্ধান্ত নিয়েছিলাম। আমি ভেবেছিলাম আমরা একে অপরের সাথে দেখা করার বিরতির পরে ভালো করছিলাম, এবং আমরা কিছুক্ষণের জন্য ছিলাম। কিন্ত"&amp;"ু দৃশ্যত সে প্রায় পুনরায় আসক্ত হয়ে পড়েছিল। আলাদা থাকার দুই সপ্তাহ পর সে চার দিন তার ঘর থেকে বের হয়নি। সে ৬ দিন ধরে কিছু খায়নি, তার ওজন (১৪ পাউন্ড) কমে গেছে, তাকে ২ ঘন্টা গোসল করে মদ্যপান থেকে বিরত থাকতে হয়েছে, সে আমাকে বলেছে যে সে নিজেকে কষ্ট দিচ্ছে "&amp;"যা সে কখনও করেনি, সবই তাকে মদ্যপান থেকে বিরত রাখার জন্য। তাছাড়া, সে বলেছে যে সে চলতে থাকার জন্য একটি কাঠামো তৈরি করেছে, কিন্তু নতুন সম্পর্কের দোদুল্যমানতা সামলানোর জন্য যথেষ্ট পড়াশোনা ছিল না। তাছাড়া, আমরা একসাথে থাকার কারণে সে স্পষ্টতই ভালো করছিল, আমরা খ"&amp;"ুব খুশি ছিলাম এবং খুব ভালো করছিলাম, কিন্তু যখন আমি চলে গেলাম তখন সে নিজেকে আবার একত্রিত করতে বা তার মোকাবেলা করার পদ্ধতিতে ফিরে যেতে পারেনি। আমাদের বিচ্ছেদ হতে হয়েছিল যা হৃদয়বিদারক, আমরা দুজনেই একে অপরের প্রতি এত দৃঢ় বোধ করি। আমি সাধারণত মনে করি না যে "&amp;"সংযোগগুলি বাস্তব, তবে এটি এত বিরল বলে মনে হয়েছিল। সে চায় আমরা বন্ধু হওয়ার চেষ্টা করি, কিন্তু আমি জানি না যে আমি তার জন্য এটি জটিল না করে করতে পারব কিনা যা তার পুনরুদ্ধারকে আরও বিপন্ন করবে। আমি তার জন্য খুব যত্নশীল এবং তার পাশে থাকতে চাই (শুধু আমার জন্য"&amp;" নয়, তার পতনের পেছনে আরও কিছু কারণ ছিল) কিন্তু আমি জানি না কিভাবে। এখন আমরা অনিশ্চয়তার মধ্যে আছি, আবার কথা বলতে যাচ্ছি। আমি শুধু পরামর্শ চাই, অথবা উৎসাহের কথা চাই। আমি শুধু জানতে চাই যে আমার কী করা উচিত যাতে সে ঠিক থাকে - আমি মন খারাপ করে ফেলেছি যে আমরা"&amp;" একসাথে থাকতে পারছি না এবং সময় নষ্ট হচ্ছে, এবং সেও, কিন্তু আমি চাই না যে সে তার স্বাস্থ্য এবং পুনরুদ্ধারকে বিঘ্নিত করুক। তাছাড়া, আমি জানি না কিভাবে সমস্যা না করে তার পাশে থাকব। এটা আমার সন্দেহের কারণ হয় যে আমার প্রতি তার অনুভূতি কি সত্যি ছিল এবং অন্য স"&amp;"ময়ে সুস্থ এবং ভালো থাকতে পারত, নাকি সে কেবল এক ধরণের উত্তেজনা ছিল? সে বলে যে এর পরে সে আর ডেটিং করার চেষ্টা করবে না (আমাদের কেবল একটি নৈমিত্তিক সম্পর্ক হওয়ার কথা ছিল, সে এটা ঘটাতে চায়নি কিন্তু তারপর, আমরা ক্লিক করেছি) কারণ এটি তার কাছে লক্ষ লক্ষের মধ্য"&amp;"ে একটি, যা এটিকে আরও কঠিন করে তোলে কারণ আমি মনে করি সে ঠিক। আমার মনে হয় আমি তার জন্য দুঃখিত এবং ভীত। আমি তার যেকোনো কঠিন সময়ে তার সাথে থাকতে চেয়েছিলাম, এমনকি যদি সে আবার অসুস্থ হয়ে পড়েও, আমি তার পুনরুদ্ধারে সহায়তা করতে চেয়েছিলাম, কিন্তু আমি বুঝতে প"&amp;"ারিনি যে আমি তাকে কতটা বিপদে ফেলছি। যদি কারও কাছে পরামর্শ বা জ্ঞানের কথা থাকে, তাহলে তা অত্যন্ত মূল্যবান হবে। আমি কিছুটা হতাশ, আমি তাকে যেকোনোভাবে দেখতে চাই, তবে তার এবং তার পুনরুদ্ধারের জন্য যা সর্বোত্তম তা করা আমার প্রয়োজন এবং আমি তা করব।")</f>
        <v>আমি এই লোকটিকে দেখছিলাম, তাকে L (25M) বলা যাক, যে একজন সুস্থ হয়ে ওঠা মদ্যপ ছিল। প্রথমে আমি জানতাম না যে এটি কতটা গুরুতর, এবং সে 6 মাস ধরে সুস্থ ছিল, কিন্তু সে বলেছিল যে সে আগে কখনও এত ভালো ছিল না, এবং অন্য যে কোনও সময় চেষ্টা করার চেয়ে এটি আলাদা ছিল। সে সক্রিয়ভাবে সবকিছু ঠিকঠাক করছিল, থেরাপিতে, সুস্থ থাকার জন্য নিজেকে একটি কাঠামো তৈরি করেছিল। আমি ভেবেছিলাম এটা ঠিক আছে। আমরা খুব তীব্র হয়ে উঠি কিন্তু খোলামেলা, সৎ এবং খুশি ছিলাম, খুব আবেগগতভাবে উপলব্ধ এবং সীমা নির্ধারণে সুস্থ ছিলাম। এক মাস আগে সে আমাকে বলেছিল যে তার মদ্যপান আমার কল্পনার চেয়ে অনেক খারাপ এবং তারপর আমি ভাবতে শুরু করেছিলাম যে তার কি ডেটিং করা উচিত কারণ তার এক বছরও হয়নি। আমরা এটি নিয়ে একটি গুরুতর কথাবার্তা বলেছিলাম, আমাদের উভয় থেরাপিস্টের সাথে কথা বলেছিলাম, কিন্তু যেহেতু আমরা ভালো করছিলাম বলে মনে হয়েছিল, এবং সে মদ্যপান করছিল না এবং ভাবিনি যে সে করবে, তাই আমরা আমাকে ক্রিসমাসে পরীক্ষক হিসেবে বাড়িতে নিয়ে যাওয়ার সিদ্ধান্ত নিয়েছিলাম। আমি ভেবেছিলাম আমরা একে অপরের সাথে দেখা করার বিরতির পরে ভালো করছিলাম, এবং আমরা কিছুক্ষণের জন্য ছিলাম। কিন্তু দৃশ্যত সে প্রায় পুনরায় আসক্ত হয়ে পড়েছিল। আলাদা থাকার দুই সপ্তাহ পর সে চার দিন তার ঘর থেকে বের হয়নি। সে ৬ দিন ধরে কিছু খায়নি, তার ওজন (১৪ পাউন্ড) কমে গেছে, তাকে ২ ঘন্টা গোসল করে মদ্যপান থেকে বিরত থাকতে হয়েছে, সে আমাকে বলেছে যে সে নিজেকে কষ্ট দিচ্ছে যা সে কখনও করেনি, সবই তাকে মদ্যপান থেকে বিরত রাখার জন্য। তাছাড়া, সে বলেছে যে সে চলতে থাকার জন্য একটি কাঠামো তৈরি করেছে, কিন্তু নতুন সম্পর্কের দোদুল্যমানতা সামলানোর জন্য যথেষ্ট পড়াশোনা ছিল না। তাছাড়া, আমরা একসাথে থাকার কারণে সে স্পষ্টতই ভালো করছিল, আমরা খুব খুশি ছিলাম এবং খুব ভালো করছিলাম, কিন্তু যখন আমি চলে গেলাম তখন সে নিজেকে আবার একত্রিত করতে বা তার মোকাবেলা করার পদ্ধতিতে ফিরে যেতে পারেনি। আমাদের বিচ্ছেদ হতে হয়েছিল যা হৃদয়বিদারক, আমরা দুজনেই একে অপরের প্রতি এত দৃঢ় বোধ করি। আমি সাধারণত মনে করি না যে সংযোগগুলি বাস্তব, তবে এটি এত বিরল বলে মনে হয়েছিল। সে চায় আমরা বন্ধু হওয়ার চেষ্টা করি, কিন্তু আমি জানি না যে আমি তার জন্য এটি জটিল না করে করতে পারব কিনা যা তার পুনরুদ্ধারকে আরও বিপন্ন করবে। আমি তার জন্য খুব যত্নশীল এবং তার পাশে থাকতে চাই (শুধু আমার জন্য নয়, তার পতনের পেছনে আরও কিছু কারণ ছিল) কিন্তু আমি জানি না কিভাবে। এখন আমরা অনিশ্চয়তার মধ্যে আছি, আবার কথা বলতে যাচ্ছি। আমি শুধু পরামর্শ চাই, অথবা উৎসাহের কথা চাই। আমি শুধু জানতে চাই যে আমার কী করা উচিত যাতে সে ঠিক থাকে - আমি মন খারাপ করে ফেলেছি যে আমরা একসাথে থাকতে পারছি না এবং সময় নষ্ট হচ্ছে, এবং সেও, কিন্তু আমি চাই না যে সে তার স্বাস্থ্য এবং পুনরুদ্ধারকে বিঘ্নিত করুক। তাছাড়া, আমি জানি না কিভাবে সমস্যা না করে তার পাশে থাকব। এটা আমার সন্দেহের কারণ হয় যে আমার প্রতি তার অনুভূতি কি সত্যি ছিল এবং অন্য সময়ে সুস্থ এবং ভালো থাকতে পারত, নাকি সে কেবল এক ধরণের উত্তেজনা ছিল? সে বলে যে এর পরে সে আর ডেটিং করার চেষ্টা করবে না (আমাদের কেবল একটি নৈমিত্তিক সম্পর্ক হওয়ার কথা ছিল, সে এটা ঘটাতে চায়নি কিন্তু তারপর, আমরা ক্লিক করেছি) কারণ এটি তার কাছে লক্ষ লক্ষের মধ্যে একটি, যা এটিকে আরও কঠিন করে তোলে কারণ আমি মনে করি সে ঠিক। আমার মনে হয় আমি তার জন্য দুঃখিত এবং ভীত। আমি তার যেকোনো কঠিন সময়ে তার সাথে থাকতে চেয়েছিলাম, এমনকি যদি সে আবার অসুস্থ হয়ে পড়েও, আমি তার পুনরুদ্ধারে সহায়তা করতে চেয়েছিলাম, কিন্তু আমি বুঝতে পারিনি যে আমি তাকে কতটা বিপদে ফেলছি। যদি কারও কাছে পরামর্শ বা জ্ঞানের কথা থাকে, তাহলে তা অত্যন্ত মূল্যবান হবে। আমি কিছুটা হতাশ, আমি তাকে যেকোনোভাবে দেখতে চাই, তবে তার এবং তার পুনরুদ্ধারের জন্য যা সর্বোত্তম তা করা আমার প্রয়োজন এবং আমি তা করব।</v>
      </c>
    </row>
    <row r="1366" spans="1:3" ht="15" x14ac:dyDescent="0.25">
      <c r="A1366" s="3" t="s">
        <v>1361</v>
      </c>
      <c r="B1366" s="3" t="s">
        <v>997</v>
      </c>
      <c r="C1366" s="4" t="str">
        <f ca="1">IFERROR(__xludf.DUMMYFUNCTION("GOOGLETRANSLATE(A1366, ""auto"", ""bn"")"),"আমার বয়স ২৪ বছর, আর আমি সবেমাত্র ২৮ বছর বয়সী এক ছেলের সাথে আনুষ্ঠানিকভাবে বাইরে যাওয়া শুরু করেছি। আমি একজন ছোটখাটো মেয়ে যে আসলে মদ্যপান করে না, তাই যখন আমরা প্রথমবার বাইরে গিয়েছিলাম, এবং সে এক রাতে ১৫-২০ পিন্ট বিয়ার পান করেছিল, তখন আমি অবাক হয়ে গিয়েছিলাম"&amp;", কিন্তু আমি এটা নিয়ে খুব বেশি ভাবিনি কারণ মানুষ মাঝে মাঝে নিজেদেরকে ছেড়ে দিতে পছন্দ করে যেমনটা মানুষ বলে। যাইহোক, আমরা যখনই বিভিন্ন পাব-এ গিয়েছি, সে আমার ১ পিন্টের তুলনায় কমপক্ষে ৪ পিন্ট পান করছে। সে একটি বিল্ডিং সোসাইটিতে কাজ করে এবং খুব ভালো বেতন পায়"&amp;", কিন্তু কাজ শেষ করার পর সে তার স্থানীয় দোকানে কয়েকটা বিয়ারের জন্য যায়, এবং তারপর সে আমাকে ফোন করবে (মাতাল শোনাচ্ছে না, কিন্তু আমি জানি তার কাছে কয়েকটা বিয়ার আছে কারণ আমার বন্ধু পাবটিতে কাজ করে) এবং আমরা একটি ফিল ম্যাট, একটি সিনেমা দেখব এবং তারপর স্"&amp;"থানীয় দোকানে কয়েকটা বিয়ারের জন্য ফিরে আসব, এবং তারপর আমি তার বাড়িতে থাকব (তার একটি 4 শয়নকক্ষের বাড়ি আছে, এবং সে ইতিমধ্যেই আমাকে একটি ঘর নিজের জন্য রেখে দিয়েছে)। তার কখনও হ্যাংওভার হয় না। তাছাড়া, সে ভোর 5 টায় উঠে নিজেকে গুছিয়ে নেয় এবং তারপর কাজ"&amp;"ে চলে যায়। আমি কয়েকদিন তার বাড়িতে থেকেছি এবং প্রতিদিন সে 3-4 লিটার সাইডার, প্রায় 8 ক্যান বিয়ার এবং কিছু হুইস্কি বা কয়েক বোতল ওয়াইন পান করে। শুক্রবার সে তাড়াতাড়ি শেষ করে, এবং আমি শহরে তার সাথে দেখা করি, এবং আমরা কিছু খেতে যাই, এবং তারপর আমরা রেস্ত"&amp;"োরাঁ এবং পাবগুলিতে যাই এবং তারপর কিছু টেকওয়ে করে বাড়ি যাই। সপ্তাহান্তে সে আমাদের জন্য কিছু রান্না করে খাবে, কিন্তু সে বিকাল ৩টার মধ্যে কয়েক বোতল ওয়াইন খাবে এবং তারপর আমরা বাইরে যাব। সে কলেজে এবং তারপর বিশ্ববিদ্যালয়ে যায়। সে প্রচুর বই পড়ে। তাছাড়া, "&amp;"সে খুব শিক্ষিত মানুষ। তাছাড়া, সে খুব শান্ত স্বভাবের মানুষ যে কখনও কোনও ঝামেলা করে না। সে আমাকে যা বলেছে তা থেকে, তার প্রাক্তন বান্ধবী তার সাথে খুব একটা ভালো ব্যবহার করত না, এবং এটি তাকে খুব কষ্ট দিত। আমি তার মায়ের সাথে খুব ভালোভাবে মিশে যাই এবং আমি খণ্ড"&amp;"কালীন কাজ করি তাই মাঝে মাঝে আমি সপ্তাহে তার সাথে দেখা করি, এবং আমরা কেনাকাটা করতে যাই বা খেতে যাই। আমি আমার মাকে আমার উদ্বেগের কথা বলেছিলাম, এবং সে আমাকে বলেছিল যে যতক্ষণ না সে আমার সাথে সঠিকভাবে আচরণ করে এবং মাদক এড়িয়ে চলে ততক্ষণ আমার চিন্তা করা উচিত ন"&amp;"য় (তার সবচেয়ে ভালো বন্ধু মাদকের অতিরিক্ত মাত্রায় মারা গেছে)। আমার বাবাও সন্ধ্যায় পাব যেতেন, এবং এটি আমার মায়ের জন্য কখনও সমস্যা ছিল না। আমার নতুন প্রেমিককে কি কিছু বলা উচিত?")</f>
        <v>আমার বয়স ২৪ বছর, আর আমি সবেমাত্র ২৮ বছর বয়সী এক ছেলের সাথে আনুষ্ঠানিকভাবে বাইরে যাওয়া শুরু করেছি। আমি একজন ছোটখাটো মেয়ে যে আসলে মদ্যপান করে না, তাই যখন আমরা প্রথমবার বাইরে গিয়েছিলাম, এবং সে এক রাতে ১৫-২০ পিন্ট বিয়ার পান করেছিল, তখন আমি অবাক হয়ে গিয়েছিলাম, কিন্তু আমি এটা নিয়ে খুব বেশি ভাবিনি কারণ মানুষ মাঝে মাঝে নিজেদেরকে ছেড়ে দিতে পছন্দ করে যেমনটা মানুষ বলে। যাইহোক, আমরা যখনই বিভিন্ন পাব-এ গিয়েছি, সে আমার ১ পিন্টের তুলনায় কমপক্ষে ৪ পিন্ট পান করছে। সে একটি বিল্ডিং সোসাইটিতে কাজ করে এবং খুব ভালো বেতন পায়, কিন্তু কাজ শেষ করার পর সে তার স্থানীয় দোকানে কয়েকটা বিয়ারের জন্য যায়, এবং তারপর সে আমাকে ফোন করবে (মাতাল শোনাচ্ছে না, কিন্তু আমি জানি তার কাছে কয়েকটা বিয়ার আছে কারণ আমার বন্ধু পাবটিতে কাজ করে) এবং আমরা একটি ফিল ম্যাট, একটি সিনেমা দেখব এবং তারপর স্থানীয় দোকানে কয়েকটা বিয়ারের জন্য ফিরে আসব, এবং তারপর আমি তার বাড়িতে থাকব (তার একটি 4 শয়নকক্ষের বাড়ি আছে, এবং সে ইতিমধ্যেই আমাকে একটি ঘর নিজের জন্য রেখে দিয়েছে)। তার কখনও হ্যাংওভার হয় না। তাছাড়া, সে ভোর 5 টায় উঠে নিজেকে গুছিয়ে নেয় এবং তারপর কাজে চলে যায়। আমি কয়েকদিন তার বাড়িতে থেকেছি এবং প্রতিদিন সে 3-4 লিটার সাইডার, প্রায় 8 ক্যান বিয়ার এবং কিছু হুইস্কি বা কয়েক বোতল ওয়াইন পান করে। শুক্রবার সে তাড়াতাড়ি শেষ করে, এবং আমি শহরে তার সাথে দেখা করি, এবং আমরা কিছু খেতে যাই, এবং তারপর আমরা রেস্তোরাঁ এবং পাবগুলিতে যাই এবং তারপর কিছু টেকওয়ে করে বাড়ি যাই। সপ্তাহান্তে সে আমাদের জন্য কিছু রান্না করে খাবে, কিন্তু সে বিকাল ৩টার মধ্যে কয়েক বোতল ওয়াইন খাবে এবং তারপর আমরা বাইরে যাব। সে কলেজে এবং তারপর বিশ্ববিদ্যালয়ে যায়। সে প্রচুর বই পড়ে। তাছাড়া, সে খুব শিক্ষিত মানুষ। তাছাড়া, সে খুব শান্ত স্বভাবের মানুষ যে কখনও কোনও ঝামেলা করে না। সে আমাকে যা বলেছে তা থেকে, তার প্রাক্তন বান্ধবী তার সাথে খুব একটা ভালো ব্যবহার করত না, এবং এটি তাকে খুব কষ্ট দিত। আমি তার মায়ের সাথে খুব ভালোভাবে মিশে যাই এবং আমি খণ্ডকালীন কাজ করি তাই মাঝে মাঝে আমি সপ্তাহে তার সাথে দেখা করি, এবং আমরা কেনাকাটা করতে যাই বা খেতে যাই। আমি আমার মাকে আমার উদ্বেগের কথা বলেছিলাম, এবং সে আমাকে বলেছিল যে যতক্ষণ না সে আমার সাথে সঠিকভাবে আচরণ করে এবং মাদক এড়িয়ে চলে ততক্ষণ আমার চিন্তা করা উচিত নয় (তার সবচেয়ে ভালো বন্ধু মাদকের অতিরিক্ত মাত্রায় মারা গেছে)। আমার বাবাও সন্ধ্যায় পাব যেতেন, এবং এটি আমার মায়ের জন্য কখনও সমস্যা ছিল না। আমার নতুন প্রেমিককে কি কিছু বলা উচিত?</v>
      </c>
    </row>
    <row r="1367" spans="1:3" ht="15" x14ac:dyDescent="0.25">
      <c r="A1367" s="3" t="s">
        <v>1362</v>
      </c>
      <c r="B1367" s="3" t="s">
        <v>997</v>
      </c>
      <c r="C1367" s="4" t="str">
        <f ca="1">IFERROR(__xludf.DUMMYFUNCTION("GOOGLETRANSLATE(A1367, ""auto"", ""bn"")"),"ওহ, দারুন। আমি এখন এই প্রক্রিয়ার একটা মনোমুগ্ধকর পর্যায়ে পৌঁছেছি যেখানে মদ্যপান আসলে আপনাকে আরও ভালো বোধ করায়। আমার মনে আছে, গতবারের কথা। শেষবার পান করার প্রায় ৮ ঘন্টা পরে (যা মূলত আপনার স্বাভাবিক কর্মদিবস), আমার অসুস্থ বোধ শুরু হয় এবং হেঁচকি আসে। যদি"&amp;" আমি বারবার মদ্যপান করতে থাকি, তাহলে আমার মনে হতে থাকে যে আমি বমি করব। যদি আমি এখনও আমার বোকামিপূর্ণ প্রচেষ্টা চালিয়ে যাই, তাহলে আমার বমি শুরু হয়। যদি তা আমাকে বোতলে পুরে ফেলার জন্য যথেষ্ট না হয়, তাহলে আমার রক্ত ​​বমি শুরু হয়। তখনই কম্পন শুরু হয়, সাথ"&amp;"ে সাথে হ্যালুসিনেশন, জ্বর, হেঁচকি এবং আরও রক্ত ​​বমি হয়। যদিও আমি পান করি... পরপর প্রায় ৭টি ইনজেকশন, এবং আমার লক্ষণগুলি চলে যায়। আমার যা মনে হয় তা আনন্দের সাথে গুঞ্জন করে। আমি জানি আমি মারা যাচ্ছি। আবার। আমি লক্ষণগুলি জানি, সাদা বিষ্ঠা থেকে শুরু করে খ"&amp;"িঁচুনি পর্যন্ত। আমাকে এটা করতে হয়েছে ৭ বছর হয়ে গেছে। আমি ৩০ বছর বেঁচে ছিলাম, আমার জীবন উন্নত হয়েছে। কিন্তু এখন, আমরা আবার এখানে এসেছি, একমাত্র জিনিস যা আমাকে ভালো বোধ করতে শুরু করে তা হল বিষাক্ত করে তোলা। আমি মনে করি এবার আমি মাদক ও অ্যালকোহলের পরামর্শ "&amp;"নেব। হয়তো সেখানে সাহায্যের সম্ভাবনা আছে। তবে এবার, আমার জীবনে ভালো মানুষ আছে, যারা আমি বাঁচি না মরি, তাদের যত্ন নেয়। এই মুহূর্তে মদ্যপানের সাথে মোকাবিলা করা আমাদের সকলের জন্য আমি শুভেচ্ছা জানাচ্ছি। আপনারা সবাই নিরাপদ থাকুন, সুস্থ হোন এবং সুখী হোন।")</f>
        <v>ওহ, দারুন। আমি এখন এই প্রক্রিয়ার একটা মনোমুগ্ধকর পর্যায়ে পৌঁছেছি যেখানে মদ্যপান আসলে আপনাকে আরও ভালো বোধ করায়। আমার মনে আছে, গতবারের কথা। শেষবার পান করার প্রায় ৮ ঘন্টা পরে (যা মূলত আপনার স্বাভাবিক কর্মদিবস), আমার অসুস্থ বোধ শুরু হয় এবং হেঁচকি আসে। যদি আমি বারবার মদ্যপান করতে থাকি, তাহলে আমার মনে হতে থাকে যে আমি বমি করব। যদি আমি এখনও আমার বোকামিপূর্ণ প্রচেষ্টা চালিয়ে যাই, তাহলে আমার বমি শুরু হয়। যদি তা আমাকে বোতলে পুরে ফেলার জন্য যথেষ্ট না হয়, তাহলে আমার রক্ত ​​বমি শুরু হয়। তখনই কম্পন শুরু হয়, সাথে সাথে হ্যালুসিনেশন, জ্বর, হেঁচকি এবং আরও রক্ত ​​বমি হয়। যদিও আমি পান করি... পরপর প্রায় ৭টি ইনজেকশন, এবং আমার লক্ষণগুলি চলে যায়। আমার যা মনে হয় তা আনন্দের সাথে গুঞ্জন করে। আমি জানি আমি মারা যাচ্ছি। আবার। আমি লক্ষণগুলি জানি, সাদা বিষ্ঠা থেকে শুরু করে খিঁচুনি পর্যন্ত। আমাকে এটা করতে হয়েছে ৭ বছর হয়ে গেছে। আমি ৩০ বছর বেঁচে ছিলাম, আমার জীবন উন্নত হয়েছে। কিন্তু এখন, আমরা আবার এখানে এসেছি, একমাত্র জিনিস যা আমাকে ভালো বোধ করতে শুরু করে তা হল বিষাক্ত করে তোলা। আমি মনে করি এবার আমি মাদক ও অ্যালকোহলের পরামর্শ নেব। হয়তো সেখানে সাহায্যের সম্ভাবনা আছে। তবে এবার, আমার জীবনে ভালো মানুষ আছে, যারা আমি বাঁচি না মরি, তাদের যত্ন নেয়। এই মুহূর্তে মদ্যপানের সাথে মোকাবিলা করা আমাদের সকলের জন্য আমি শুভেচ্ছা জানাচ্ছি। আপনারা সবাই নিরাপদ থাকুন, সুস্থ হোন এবং সুখী হোন।</v>
      </c>
    </row>
    <row r="1368" spans="1:3" ht="15" x14ac:dyDescent="0.25">
      <c r="A1368" s="3" t="s">
        <v>1363</v>
      </c>
      <c r="B1368" s="3" t="s">
        <v>997</v>
      </c>
      <c r="C1368" s="4" t="str">
        <f ca="1">IFERROR(__xludf.DUMMYFUNCTION("GOOGLETRANSLATE(A1368, ""auto"", ""bn"")"),"আমার বয়স ২৯, এপ্রিলে ৩০ হবে। আমার রক্ত ​​পরীক্ষার রিপোর্ট এসেছে। আমার RDW এবং ক্ষারীয় ফসফেটেজ দুটোই বেশি। আমি খোঁজ নিয়েছি এবং এগুলো দুটোই মদ্যপান এবং লিভারের ক্ষতির সাথে সম্পর্কিত? আমার গ্লুকোজ পরীক্ষার জন্য আমার A1Cও বেশি। আমি সোমবার ফলো-আপের জন্য যাই"&amp;"। তাছাড়া, একবার যখন আমি দেখলাম যে আমি আসলে আমার শরীরের ক্ষতি করছি তখন ভেবেছিলাম আমি ধূমপান ছেড়ে দেওয়ার ব্যাপারে আরও কঠোর বোধ করব, কিন্তু আমি তা করি না এবং আমি খুব ভয় পাই? তাছাড়া, আমার এখন ধূমপান ছাড়ার দিন কাটছে। আজকের মতো। তারপর আমি আবার পড়ে যাই এব"&amp;"ং দিনের মাঝামাঝি সময়ে কিছু অনুভব করার জন্য মদ্যপান করি। আমি কেন ধূমপান ছেড়ে দিতে পারি না? :(এটা আমার জীবন এবং আমার শরীরকে নষ্ট করে দিচ্ছে। আমি যখন ধূমপান ছেড়ে দেই তখন আমার মন এবং চিন্তাভাবনা নিয়ে থাকা কঠিন হয়ে পড়ে। আমি বিরক্ত হই এবং আবার মদ্যপান করি"&amp;" এবং তারপরে অনুশোচনা করি। এটি পাগলামি চক্র।")</f>
        <v>আমার বয়স ২৯, এপ্রিলে ৩০ হবে। আমার রক্ত ​​পরীক্ষার রিপোর্ট এসেছে। আমার RDW এবং ক্ষারীয় ফসফেটেজ দুটোই বেশি। আমি খোঁজ নিয়েছি এবং এগুলো দুটোই মদ্যপান এবং লিভারের ক্ষতির সাথে সম্পর্কিত? আমার গ্লুকোজ পরীক্ষার জন্য আমার A1Cও বেশি। আমি সোমবার ফলো-আপের জন্য যাই। তাছাড়া, একবার যখন আমি দেখলাম যে আমি আসলে আমার শরীরের ক্ষতি করছি তখন ভেবেছিলাম আমি ধূমপান ছেড়ে দেওয়ার ব্যাপারে আরও কঠোর বোধ করব, কিন্তু আমি তা করি না এবং আমি খুব ভয় পাই? তাছাড়া, আমার এখন ধূমপান ছাড়ার দিন কাটছে। আজকের মতো। তারপর আমি আবার পড়ে যাই এবং দিনের মাঝামাঝি সময়ে কিছু অনুভব করার জন্য মদ্যপান করি। আমি কেন ধূমপান ছেড়ে দিতে পারি না? :(এটা আমার জীবন এবং আমার শরীরকে নষ্ট করে দিচ্ছে। আমি যখন ধূমপান ছেড়ে দেই তখন আমার মন এবং চিন্তাভাবনা নিয়ে থাকা কঠিন হয়ে পড়ে। আমি বিরক্ত হই এবং আবার মদ্যপান করি এবং তারপরে অনুশোচনা করি। এটি পাগলামি চক্র।</v>
      </c>
    </row>
    <row r="1369" spans="1:3" ht="15" x14ac:dyDescent="0.25">
      <c r="A1369" s="3" t="s">
        <v>1364</v>
      </c>
      <c r="B1369" s="3" t="s">
        <v>997</v>
      </c>
      <c r="C1369" s="4" t="str">
        <f ca="1">IFERROR(__xludf.DUMMYFUNCTION("GOOGLETRANSLATE(A1369, ""auto"", ""bn"")"),"আমি ১৫ বছর বয়স থেকে প্রতিদিন মদ্যপান করছি, আমার বয়স ২২ বছর, এখন যখন আমি মদ্যপান বন্ধ করি তখন আমার চেহারা অন্যরকম হয়ে যায়। আমার কোনও প্রত্যাহার হয় না, কেবল তীব্র আকাঙ্ক্ষা থাকে। আর হ্যাঁ, আমি ৭ বছর ধরে প্রতিদিন মদ্যপান করছি, এক বা দুই মাস ধরে মাঝে মাঝ"&amp;"ে বিরতি।")</f>
        <v>আমি ১৫ বছর বয়স থেকে প্রতিদিন মদ্যপান করছি, আমার বয়স ২২ বছর, এখন যখন আমি মদ্যপান বন্ধ করি তখন আমার চেহারা অন্যরকম হয়ে যায়। আমার কোনও প্রত্যাহার হয় না, কেবল তীব্র আকাঙ্ক্ষা থাকে। আর হ্যাঁ, আমি ৭ বছর ধরে প্রতিদিন মদ্যপান করছি, এক বা দুই মাস ধরে মাঝে মাঝে বিরতি।</v>
      </c>
    </row>
    <row r="1370" spans="1:3" ht="15" x14ac:dyDescent="0.25">
      <c r="A1370" s="3" t="s">
        <v>1365</v>
      </c>
      <c r="B1370" s="3" t="s">
        <v>997</v>
      </c>
      <c r="C1370" s="4" t="str">
        <f ca="1">IFERROR(__xludf.DUMMYFUNCTION("GOOGLETRANSLATE(A1370, ""auto"", ""bn"")"),"এটা পাগলামির সংজ্ঞা। আমি ঘুম থেকে উঠে সিদ্ধান্ত নিই যে আমি আমার কাজটা ঠিক করে ফেলব, কিন্তু রাতের শেষের দিকে তা ম্লান হয়ে যাবে। আমার কাজগুলো ক্রমশ আরও বেশি অনুতপ্ত হয়ে উঠেছে কারণ আমি দুর্ভাগ্যবশত আমার প্রতি যত্নশীল সকলের কাছে বিষাক্ত হয়ে উঠছি। আমি অন্যদ"&amp;"ের উপর যে অপ্রীতিকর আচরণ করি তার জন্য আমি সত্যিকারের অনুশোচনা বোধ করি, কিন্তু অন্য ক্যানটি খোলা এবং একই আচরণ পুনরাবৃত্তি করা বন্ধ করার জন্য তা যথেষ্ট নয়। ধীরে ধীরে আমি আমার করুণ স্বভাবের জন্য নিম্ন থেকে নিম্নতর মান নির্ধারণ করতে শুরু করেছি, এবং আমি এখনও "&amp;"প্রতিবার সেগুলি পূরণ করতে ব্যর্থ হই। গত বছর ধরে আমি বন্ধুবান্ধব এবং সম্পর্কগুলিকে রক্তাক্ত করে আসছি, এবং তাদের চলে যাওয়া অবশ্যই সদয় কথার সাথে সাড়া দেয় না, বরং বিপরীতভাবে। আমি একজন সফটওয়্যার ডেভেলপার, এবং আমি জ্ঞানীয়ভাবে তাল মিলিয়ে চলতে কমই সক্ষম, য"&amp;"দি আমি চালিয়ে যাই তবে আমি এই চাকরিটি ধরে রাখতে পারব না, আমি আমার ভাড়া বহন করতে পারব না এবং আমি রাস্তায় নেমে যাব। যদি তা আমাকে নিরুৎসাহিত না করে, তাহলে এই গ্রহে কি এমন কোন শক্তি আছে যা তা করবে? আমি পদত্যাগ করার কাছাকাছি, কারণ আমি সবসময় মাতাল থাকব এবং এ"&amp;" ব্যাপারে আমার কিছুই করার নেই।")</f>
        <v>এটা পাগলামির সংজ্ঞা। আমি ঘুম থেকে উঠে সিদ্ধান্ত নিই যে আমি আমার কাজটা ঠিক করে ফেলব, কিন্তু রাতের শেষের দিকে তা ম্লান হয়ে যাবে। আমার কাজগুলো ক্রমশ আরও বেশি অনুতপ্ত হয়ে উঠেছে কারণ আমি দুর্ভাগ্যবশত আমার প্রতি যত্নশীল সকলের কাছে বিষাক্ত হয়ে উঠছি। আমি অন্যদের উপর যে অপ্রীতিকর আচরণ করি তার জন্য আমি সত্যিকারের অনুশোচনা বোধ করি, কিন্তু অন্য ক্যানটি খোলা এবং একই আচরণ পুনরাবৃত্তি করা বন্ধ করার জন্য তা যথেষ্ট নয়। ধীরে ধীরে আমি আমার করুণ স্বভাবের জন্য নিম্ন থেকে নিম্নতর মান নির্ধারণ করতে শুরু করেছি, এবং আমি এখনও প্রতিবার সেগুলি পূরণ করতে ব্যর্থ হই। গত বছর ধরে আমি বন্ধুবান্ধব এবং সম্পর্কগুলিকে রক্তাক্ত করে আসছি, এবং তাদের চলে যাওয়া অবশ্যই সদয় কথার সাথে সাড়া দেয় না, বরং বিপরীতভাবে। আমি একজন সফটওয়্যার ডেভেলপার, এবং আমি জ্ঞানীয়ভাবে তাল মিলিয়ে চলতে কমই সক্ষম, যদি আমি চালিয়ে যাই তবে আমি এই চাকরিটি ধরে রাখতে পারব না, আমি আমার ভাড়া বহন করতে পারব না এবং আমি রাস্তায় নেমে যাব। যদি তা আমাকে নিরুৎসাহিত না করে, তাহলে এই গ্রহে কি এমন কোন শক্তি আছে যা তা করবে? আমি পদত্যাগ করার কাছাকাছি, কারণ আমি সবসময় মাতাল থাকব এবং এ ব্যাপারে আমার কিছুই করার নেই।</v>
      </c>
    </row>
    <row r="1371" spans="1:3" ht="15" x14ac:dyDescent="0.25">
      <c r="A1371" s="3" t="s">
        <v>1366</v>
      </c>
      <c r="B1371" s="3" t="s">
        <v>997</v>
      </c>
      <c r="C1371" s="4" t="str">
        <f ca="1">IFERROR(__xludf.DUMMYFUNCTION("GOOGLETRANSLATE(A1371, ""auto"", ""bn"")"),"আমি প্রায় ২০ বছর বয়স থেকেই মদ্যপ। আমার ২৮ বছর হতে আর এক মাস বাকি, আর ২০ বছর বয়স থেকে আমি প্রায় প্রতিদিনই মদ্যপান করি। তাছাড়া, মাঝে মাঝে আমার মদ্যপান বাড়তে থাকে, মাঝে মাঝে আমি ৩-৪ পান করে ঠান্ডা থাকি এবং একে রাত বলে থাকি। অন্য সময় আমি ৮-১২ পান করি। বর্তমা"&amp;"নে আমার মদ্যপান ৭-৮ পানের মতো, যা আমার কাছে স্বাভাবিক দিনের মতো। আমি আসলে কমাতে বা থামাতে পারছি না, একঘেয়েমির ভয় শুরু হয় এবং আমি মদ্যপান করি। তাছাড়া, আমি সাধারণত দিনের বেলায় মদ্যপান করি না কারণ আমি কাজ করি, কিছু ক্ষেত্রে ছাড়া যখন আমার হ্যাংওভার থেকে মু"&amp;"ক্তি পাওয়ার জন্য কিছু পান করেছি। তাছাড়া, আমি আগের মতো ব্যায়াম করি না, আমি খুব সক্রিয় ছিলাম এবং প্রতিদিন মদ্যপানের পাশাপাশি স্বাস্থ্যকর খাবারও খাই। আমি লক্ষ্য করেছি যে গত সপ্তাহে আমার হৃদস্পন্দন বা স্পন্দন হচ্ছে এবং সম্প্রতি অতিরিক্ত মদ্যপানের ফলে রোসেসি"&amp;"য়া হচ্ছে। যদি আমি কমিয়ে ফেলি তাহলে রোসেসিয়া সাধারণত চলে যাবে।")</f>
        <v>আমি প্রায় ২০ বছর বয়স থেকেই মদ্যপ। আমার ২৮ বছর হতে আর এক মাস বাকি, আর ২০ বছর বয়স থেকে আমি প্রায় প্রতিদিনই মদ্যপান করি। তাছাড়া, মাঝে মাঝে আমার মদ্যপান বাড়তে থাকে, মাঝে মাঝে আমি ৩-৪ পান করে ঠান্ডা থাকি এবং একে রাত বলে থাকি। অন্য সময় আমি ৮-১২ পান করি। বর্তমানে আমার মদ্যপান ৭-৮ পানের মতো, যা আমার কাছে স্বাভাবিক দিনের মতো। আমি আসলে কমাতে বা থামাতে পারছি না, একঘেয়েমির ভয় শুরু হয় এবং আমি মদ্যপান করি। তাছাড়া, আমি সাধারণত দিনের বেলায় মদ্যপান করি না কারণ আমি কাজ করি, কিছু ক্ষেত্রে ছাড়া যখন আমার হ্যাংওভার থেকে মুক্তি পাওয়ার জন্য কিছু পান করেছি। তাছাড়া, আমি আগের মতো ব্যায়াম করি না, আমি খুব সক্রিয় ছিলাম এবং প্রতিদিন মদ্যপানের পাশাপাশি স্বাস্থ্যকর খাবারও খাই। আমি লক্ষ্য করেছি যে গত সপ্তাহে আমার হৃদস্পন্দন বা স্পন্দন হচ্ছে এবং সম্প্রতি অতিরিক্ত মদ্যপানের ফলে রোসেসিয়া হচ্ছে। যদি আমি কমিয়ে ফেলি তাহলে রোসেসিয়া সাধারণত চলে যাবে।</v>
      </c>
    </row>
    <row r="1372" spans="1:3" ht="15" x14ac:dyDescent="0.25">
      <c r="A1372" s="3" t="s">
        <v>1367</v>
      </c>
      <c r="B1372" s="3" t="s">
        <v>997</v>
      </c>
      <c r="C1372" s="4" t="str">
        <f ca="1">IFERROR(__xludf.DUMMYFUNCTION("GOOGLETRANSLATE(A1372, ""auto"", ""bn"")"),"গত দুই মাস ধরে আমি অস্থির, সম্প্রতি ফ্লুতে আক্রান্ত হয়েছি এবং আমার মা আমাকে কিছু ভেষজ সিরাপ কিনে দিয়েছিলেন, এবং এটি খাওয়ার দুই দিন পর বোতলের গায়ে লেখা ছিল যে এতে ১০% ইথানল রয়েছে এবং আমি এতে কিছুটা রেগে গিয়েছিলাম, আমি জানি এটি অযৌক্তিক শোনাতে পারে কা"&amp;"রণ এটি একটি অনিচ্ছাকৃত কাজ ছিল, কিন্তু তবুও? আমি জানি এটি বোকামি শোনাতে পারে? আমি জানি না, আমার মনে হয় আমি কেবল হতাশ।")</f>
        <v>গত দুই মাস ধরে আমি অস্থির, সম্প্রতি ফ্লুতে আক্রান্ত হয়েছি এবং আমার মা আমাকে কিছু ভেষজ সিরাপ কিনে দিয়েছিলেন, এবং এটি খাওয়ার দুই দিন পর বোতলের গায়ে লেখা ছিল যে এতে ১০% ইথানল রয়েছে এবং আমি এতে কিছুটা রেগে গিয়েছিলাম, আমি জানি এটি অযৌক্তিক শোনাতে পারে কারণ এটি একটি অনিচ্ছাকৃত কাজ ছিল, কিন্তু তবুও? আমি জানি এটি বোকামি শোনাতে পারে? আমি জানি না, আমার মনে হয় আমি কেবল হতাশ।</v>
      </c>
    </row>
    <row r="1373" spans="1:3" ht="15" x14ac:dyDescent="0.25">
      <c r="A1373" s="3" t="s">
        <v>1368</v>
      </c>
      <c r="B1373" s="3" t="s">
        <v>997</v>
      </c>
      <c r="C1373" s="4" t="str">
        <f ca="1">IFERROR(__xludf.DUMMYFUNCTION("GOOGLETRANSLATE(A1373, ""auto"", ""bn"")"),"আমি অন্যদিন ১৭৯ ডলার দিয়ে একটা লিভার ফাংশন টেস্ট কিনেছিলাম। আমি জানি না ফলাফল কীভাবে নেব। কোভিড-১৯-এর আগে আমার লিভার ফাংশন টেস্ট অস্বাভাবিক ছিল, কিন্তু এর কারণ হতে পারে আমার ওজন একটু বেশি। আমি প্রতি রাতে মদ্যপান করেছি, অফিসে যাওয়ার দরকার নেই, কারণ তখন থে"&amp;"কে আমার জীবন এর উপর নির্ভর করে। আমার মলে একটু লালচে ভাব দেখে আমি ভয় পেয়েছিলাম। আমার বাবা-মা এবং আমার বোনের পরিবারের কাছে এটা ন্যায্য নয়। তাদের বাচ্চাদের কাছে ব্যাখ্যা করার যোগ্য নয় যে তাদের চাচা ৩৯ বছর বয়সে মদ্যপানের কারণে কীভাবে মারা গেছেন। ভয়ের বিষয়"&amp;" হলো আমি জানি না আমি কি ছেড়ে দিতে পারব। আত্ম-বিদ্বেষ এত তীব্র। আমি আক্ষরিক অর্থেই আমার জীবনের প্রতিটি অংশ সহ্য করতে পারি না।")</f>
        <v>আমি অন্যদিন ১৭৯ ডলার দিয়ে একটা লিভার ফাংশন টেস্ট কিনেছিলাম। আমি জানি না ফলাফল কীভাবে নেব। কোভিড-১৯-এর আগে আমার লিভার ফাংশন টেস্ট অস্বাভাবিক ছিল, কিন্তু এর কারণ হতে পারে আমার ওজন একটু বেশি। আমি প্রতি রাতে মদ্যপান করেছি, অফিসে যাওয়ার দরকার নেই, কারণ তখন থেকে আমার জীবন এর উপর নির্ভর করে। আমার মলে একটু লালচে ভাব দেখে আমি ভয় পেয়েছিলাম। আমার বাবা-মা এবং আমার বোনের পরিবারের কাছে এটা ন্যায্য নয়। তাদের বাচ্চাদের কাছে ব্যাখ্যা করার যোগ্য নয় যে তাদের চাচা ৩৯ বছর বয়সে মদ্যপানের কারণে কীভাবে মারা গেছেন। ভয়ের বিষয় হলো আমি জানি না আমি কি ছেড়ে দিতে পারব। আত্ম-বিদ্বেষ এত তীব্র। আমি আক্ষরিক অর্থেই আমার জীবনের প্রতিটি অংশ সহ্য করতে পারি না।</v>
      </c>
    </row>
    <row r="1374" spans="1:3" ht="15" x14ac:dyDescent="0.25">
      <c r="A1374" s="3" t="s">
        <v>1369</v>
      </c>
      <c r="B1374" s="3" t="s">
        <v>997</v>
      </c>
      <c r="C1374" s="4" t="str">
        <f ca="1">IFERROR(__xludf.DUMMYFUNCTION("GOOGLETRANSLATE(A1374, ""auto"", ""bn"")"),"এই যে, আমি প্রায় ৬ সপ্তাহ আগে মদ্যপান ছেড়ে দিয়েছি। ৩ সপ্তাহের মধ্যে, আমি কিছু সমস্যা লক্ষ্য করেছি। সব লক্ষণই রক্তে শর্করার মাত্রা কম বলে ইঙ্গিত করছে। এটা কি কখনো ভারসাম্য বজায় রাখে? আমার ডাক্তার ইঙ্গিত দিচ্ছেন যে এটা গুরুতর নয়, কিন্তু লক্ষণগুলো খুবই বিরক্"&amp;"তিকর। যখন আমি খাই, তখন সাময়িকভাবে ভারসাম্য বজায় থাকে, কিন্তু এখন আমি যা খাচ্ছি তা নিয়ে খুব ইচ্ছাকৃত হতে শিখছি। এটা চাপের। এটা কি চলে যায়?")</f>
        <v>এই যে, আমি প্রায় ৬ সপ্তাহ আগে মদ্যপান ছেড়ে দিয়েছি। ৩ সপ্তাহের মধ্যে, আমি কিছু সমস্যা লক্ষ্য করেছি। সব লক্ষণই রক্তে শর্করার মাত্রা কম বলে ইঙ্গিত করছে। এটা কি কখনো ভারসাম্য বজায় রাখে? আমার ডাক্তার ইঙ্গিত দিচ্ছেন যে এটা গুরুতর নয়, কিন্তু লক্ষণগুলো খুবই বিরক্তিকর। যখন আমি খাই, তখন সাময়িকভাবে ভারসাম্য বজায় থাকে, কিন্তু এখন আমি যা খাচ্ছি তা নিয়ে খুব ইচ্ছাকৃত হতে শিখছি। এটা চাপের। এটা কি চলে যায়?</v>
      </c>
    </row>
    <row r="1375" spans="1:3" ht="15" x14ac:dyDescent="0.25">
      <c r="A1375" s="3" t="s">
        <v>1370</v>
      </c>
      <c r="B1375" s="3" t="s">
        <v>997</v>
      </c>
      <c r="C1375" s="4" t="str">
        <f ca="1">IFERROR(__xludf.DUMMYFUNCTION("GOOGLETRANSLATE(A1375, ""auto"", ""bn"")"),"বেশ কয়েক মাস ধরে বাড়িতে খাওয়ার জন্য কোনও অ্যালকোহল কিনিনি। আমার কাছে থাকা হুইস্কির বোতলে এখনও হুইস্কি আছে। ৫ সপ্তাহ আগে বন্ধুদের সাথে বাইরে থাকার সময় ৫টি বিয়ার খেয়েছিলাম, অতিরিক্ত মদ্যপান করার জন্য খারাপ লাগছিল। ২ সপ্তাহ আগে বন্ধুর সাথে বাইরে থাকার "&amp;"সময় ১টি বিয়ার খেয়েছিলাম, অতিরিক্ত না খেয়ে খুব ভালো লেগেছিল! গত সপ্তাহান্তে, বাড়িতে একা ২ দিন ধরে ৩টি হুইস্কি খেয়েছিলাম। যদিও আপনারা সবাই সম্ভবত বলবেন যে এটি একটি বোকামিপূর্ণ সিদ্ধান্ত ছিল, আমি গর্বিত যে আমি অতিরিক্ত মদ্যপান করিনি, যেমনটি আমি আগে অসং"&amp;"খ্যবার করেছি আমার অবসর সময়ে, আমি একটি নতুন শখের সাথে জড়িত হয়েছি, এবং সত্যিই আমার খারাপ লাগার মতো মনে হয়নি। আমার নতুন শখ কতক্ষণ আমার কাছে আকর্ষণীয় হবে তা নিশ্চিত নই, তবে ইতিমধ্যে আমি বোতল থেকে কয়েক মাস মুক্তি পেয়েছি, এবং আমি আসলে ঠিক বোধ করছি।")</f>
        <v>বেশ কয়েক মাস ধরে বাড়িতে খাওয়ার জন্য কোনও অ্যালকোহল কিনিনি। আমার কাছে থাকা হুইস্কির বোতলে এখনও হুইস্কি আছে। ৫ সপ্তাহ আগে বন্ধুদের সাথে বাইরে থাকার সময় ৫টি বিয়ার খেয়েছিলাম, অতিরিক্ত মদ্যপান করার জন্য খারাপ লাগছিল। ২ সপ্তাহ আগে বন্ধুর সাথে বাইরে থাকার সময় ১টি বিয়ার খেয়েছিলাম, অতিরিক্ত না খেয়ে খুব ভালো লেগেছিল! গত সপ্তাহান্তে, বাড়িতে একা ২ দিন ধরে ৩টি হুইস্কি খেয়েছিলাম। যদিও আপনারা সবাই সম্ভবত বলবেন যে এটি একটি বোকামিপূর্ণ সিদ্ধান্ত ছিল, আমি গর্বিত যে আমি অতিরিক্ত মদ্যপান করিনি, যেমনটি আমি আগে অসংখ্যবার করেছি আমার অবসর সময়ে, আমি একটি নতুন শখের সাথে জড়িত হয়েছি, এবং সত্যিই আমার খারাপ লাগার মতো মনে হয়নি। আমার নতুন শখ কতক্ষণ আমার কাছে আকর্ষণীয় হবে তা নিশ্চিত নই, তবে ইতিমধ্যে আমি বোতল থেকে কয়েক মাস মুক্তি পেয়েছি, এবং আমি আসলে ঠিক বোধ করছি।</v>
      </c>
    </row>
    <row r="1376" spans="1:3" ht="15" x14ac:dyDescent="0.25">
      <c r="A1376" s="3" t="s">
        <v>1371</v>
      </c>
      <c r="B1376" s="3" t="s">
        <v>997</v>
      </c>
      <c r="C1376" s="4" t="str">
        <f ca="1">IFERROR(__xludf.DUMMYFUNCTION("GOOGLETRANSLATE(A1376, ""auto"", ""bn"")"),"আমি জানি না আমার কী হচ্ছে। আমি প্রায় প্রতিদিনই পান করি, অন্তত ১২ প্যাকেট, কিন্তু বেশি করে ১৮ প্যাকেট আর হুইস্কি। মাঝে মাঝে এটা বেশ খারাপ লাগত। আমি প্রায় এক দশক ধরে এটা করে আসছি। আমার মনে হয় আমার বেশিরভাগ সমস্যা ছিল সিগারেট চাওয়া এবং মদ্যপান না করলে ধূমপান"&amp;" পছন্দ না করা, আর ধূমপান না করলে মদ্যপান পছন্দ করতাম না, তাই তারা আমাকে একে অপরের কাছে নিয়ে যায়। যাই হোক, ক্রিসমাসে এক ফুট তুষার জমে যায় এবং বাইরে ধূমপানের জন্য খুব ঠান্ডা ছিল, তাই আমি কমিয়ে ফেলি। আমি একটা ভ্যাপ কিনে ভেতরে বসে থাকতে পেরেছিলাম, কিন্তু এতে "&amp;"আমার স্বাভাবিক মদ্যপানের ইচ্ছা কমে যায়। যাই হোক, দুই সপ্তাহ হয়ে গেছে এবং আমি হয়তো পাঁচ-ছয়টি বিয়ার খেয়েছি। আমি চাইলে পুরোপুরি বন্ধ করে দিতে পারতাম, কয়েকদিন ধরে আমি একটাও মদ্যপান করিনি।")</f>
        <v>আমি জানি না আমার কী হচ্ছে। আমি প্রায় প্রতিদিনই পান করি, অন্তত ১২ প্যাকেট, কিন্তু বেশি করে ১৮ প্যাকেট আর হুইস্কি। মাঝে মাঝে এটা বেশ খারাপ লাগত। আমি প্রায় এক দশক ধরে এটা করে আসছি। আমার মনে হয় আমার বেশিরভাগ সমস্যা ছিল সিগারেট চাওয়া এবং মদ্যপান না করলে ধূমপান পছন্দ না করা, আর ধূমপান না করলে মদ্যপান পছন্দ করতাম না, তাই তারা আমাকে একে অপরের কাছে নিয়ে যায়। যাই হোক, ক্রিসমাসে এক ফুট তুষার জমে যায় এবং বাইরে ধূমপানের জন্য খুব ঠান্ডা ছিল, তাই আমি কমিয়ে ফেলি। আমি একটা ভ্যাপ কিনে ভেতরে বসে থাকতে পেরেছিলাম, কিন্তু এতে আমার স্বাভাবিক মদ্যপানের ইচ্ছা কমে যায়। যাই হোক, দুই সপ্তাহ হয়ে গেছে এবং আমি হয়তো পাঁচ-ছয়টি বিয়ার খেয়েছি। আমি চাইলে পুরোপুরি বন্ধ করে দিতে পারতাম, কয়েকদিন ধরে আমি একটাও মদ্যপান করিনি।</v>
      </c>
    </row>
    <row r="1377" spans="1:3" ht="15" x14ac:dyDescent="0.25">
      <c r="A1377" s="3" t="s">
        <v>1372</v>
      </c>
      <c r="B1377" s="3" t="s">
        <v>997</v>
      </c>
      <c r="C1377" s="4" t="str">
        <f ca="1">IFERROR(__xludf.DUMMYFUNCTION("GOOGLETRANSLATE(A1377, ""auto"", ""bn"")"),"তাই আমি বলবো আমি একজন মদ্যপ। আমি প্রায় প্রতিদিনই মদ্যপান করি এবং যখন আমি উত্তেজিত হই তখন আমার যেরকম অবস্থা হয়, তাকেই আমি পছন্দ করি। আমি আসলে মাতাল হতে পছন্দ করি না, কিন্তু একটানা উত্তেজিত থাকা আমার জন্য উপযুক্ত। আমি অসন্তুষ্ট নই, আমি আসলে আমার জীবনকে ভালো"&amp;"বাসি এবং আমি কেন এমন, তার কোনও বাস্তব কারণ আমার মনে নেই। আমি বিষণ্ণ নই, যদিও আমি উদ্বেগে ভুগছি কিন্তু বছরের পর বছর ধরে আমি মূলত নিয়ন্ত্রণ করতে শিখেছি। মাঝে মাঝে যদি এটি যথেষ্ট খারাপ হয় তবে আমি আমার মনকে শান্ত করার জন্য Xanax নেব, কিন্তু আমি নিয়মিতভাবে "&amp;"এটি মোটেও গ্রহণ করি না, হয়তো বছরে একবার বা দুবার। আমি কেবল বিভ্রান্ত কারণ আপনি যাদের মদ্যপানে আসক্ত দেখেন তারা সাধারণত অসন্তুষ্ট হন এবং আরও কিছু, তবে আমি অসন্তুষ্ট নই। আমি জানি এটি একটি সমস্যা এবং আমি যদি এটিকে শুরু থেকেই দমন না করি তবে এটি খুব খারাপ হবে"&amp;"। আমার মা এবং বাবা উভয়ই মদ্যপ কিন্তু আমার বাবা ঈশ্বরের কৃপায় সুস্থ হয়ে উঠেছেন এবং খুব দৃঢ় মনের মানুষ। আমি কাউকে বলিনি যে আমার সমস্যা কতটা খারাপ কারণ আমি ফ্র্যাঙ্ক হতে লজ্জা পাই এবং আমি চাই না যে অন্যরা আমাকে দুর্বল দেখুক। আমি কোথা থেকে ত্যাগ শুরু করব?")</f>
        <v>তাই আমি বলবো আমি একজন মদ্যপ। আমি প্রায় প্রতিদিনই মদ্যপান করি এবং যখন আমি উত্তেজিত হই তখন আমার যেরকম অবস্থা হয়, তাকেই আমি পছন্দ করি। আমি আসলে মাতাল হতে পছন্দ করি না, কিন্তু একটানা উত্তেজিত থাকা আমার জন্য উপযুক্ত। আমি অসন্তুষ্ট নই, আমি আসলে আমার জীবনকে ভালোবাসি এবং আমি কেন এমন, তার কোনও বাস্তব কারণ আমার মনে নেই। আমি বিষণ্ণ নই, যদিও আমি উদ্বেগে ভুগছি কিন্তু বছরের পর বছর ধরে আমি মূলত নিয়ন্ত্রণ করতে শিখেছি। মাঝে মাঝে যদি এটি যথেষ্ট খারাপ হয় তবে আমি আমার মনকে শান্ত করার জন্য Xanax নেব, কিন্তু আমি নিয়মিতভাবে এটি মোটেও গ্রহণ করি না, হয়তো বছরে একবার বা দুবার। আমি কেবল বিভ্রান্ত কারণ আপনি যাদের মদ্যপানে আসক্ত দেখেন তারা সাধারণত অসন্তুষ্ট হন এবং আরও কিছু, তবে আমি অসন্তুষ্ট নই। আমি জানি এটি একটি সমস্যা এবং আমি যদি এটিকে শুরু থেকেই দমন না করি তবে এটি খুব খারাপ হবে। আমার মা এবং বাবা উভয়ই মদ্যপ কিন্তু আমার বাবা ঈশ্বরের কৃপায় সুস্থ হয়ে উঠেছেন এবং খুব দৃঢ় মনের মানুষ। আমি কাউকে বলিনি যে আমার সমস্যা কতটা খারাপ কারণ আমি ফ্র্যাঙ্ক হতে লজ্জা পাই এবং আমি চাই না যে অন্যরা আমাকে দুর্বল দেখুক। আমি কোথা থেকে ত্যাগ শুরু করব?</v>
      </c>
    </row>
    <row r="1378" spans="1:3" ht="15" x14ac:dyDescent="0.25">
      <c r="A1378" s="3" t="s">
        <v>1373</v>
      </c>
      <c r="B1378" s="3" t="s">
        <v>997</v>
      </c>
      <c r="C1378" s="4" t="str">
        <f ca="1">IFERROR(__xludf.DUMMYFUNCTION("GOOGLETRANSLATE(A1378, ""auto"", ""bn"")"),"সমস্যা হলে কি মদ্যপান নিয়ন্ত্রণ করা সম্ভব? গত কয়েক বছর ধরে আমি প্রতিদিন মদ্যপান করে আসছি। আমি কড়া মদ পান করি না, এবং আমার মদ্যপান আমার জীবনে খুব বেশি প্রভাব ফেলেনি। তাছাড়া, আমি সাধারণত রাতে ৮-১০টি বিয়ার পান করি, এবং রাতে যখন এটি ছাড়া থাকি তখন আমার খ"&amp;"ারাপ লাগে। তাছাড়া, আমার বয়স মাত্র ২০ বছর এবং আমি সত্যিই সবকিছু ছেড়ে দিতে চাই না কিন্তু আমি বেশিরভাগ সময় বেশ ভালো মাতাল হওয়া সত্ত্বেও (খুব বেশি পার্টি করি না, এবং পাগলামি করার মতো কিছু করি না) আসক্তি লক্ষ্য করেছি, আমার পরিবারে আমার মদ্যপানের ইতিহাস রয"&amp;"়েছে এবং আমি সেই পথে যেতে চাই না। আমার মদ্যপান নিয়ন্ত্রণ করা কি একমাত্র সমাধান? নাকি কেউ মদ্যপান কমিয়ে এবং নিয়ন্ত্রণ করে সফল হয়েছে? আমি জানি আমার কিছু করা দরকার, কিন্তু আমি মদ্যপান পছন্দ করি এবং সত্যিই সম্পূর্ণরূপে বন্ধ করতে চাই না।")</f>
        <v>সমস্যা হলে কি মদ্যপান নিয়ন্ত্রণ করা সম্ভব? গত কয়েক বছর ধরে আমি প্রতিদিন মদ্যপান করে আসছি। আমি কড়া মদ পান করি না, এবং আমার মদ্যপান আমার জীবনে খুব বেশি প্রভাব ফেলেনি। তাছাড়া, আমি সাধারণত রাতে ৮-১০টি বিয়ার পান করি, এবং রাতে যখন এটি ছাড়া থাকি তখন আমার খারাপ লাগে। তাছাড়া, আমার বয়স মাত্র ২০ বছর এবং আমি সত্যিই সবকিছু ছেড়ে দিতে চাই না কিন্তু আমি বেশিরভাগ সময় বেশ ভালো মাতাল হওয়া সত্ত্বেও (খুব বেশি পার্টি করি না, এবং পাগলামি করার মতো কিছু করি না) আসক্তি লক্ষ্য করেছি, আমার পরিবারে আমার মদ্যপানের ইতিহাস রয়েছে এবং আমি সেই পথে যেতে চাই না। আমার মদ্যপান নিয়ন্ত্রণ করা কি একমাত্র সমাধান? নাকি কেউ মদ্যপান কমিয়ে এবং নিয়ন্ত্রণ করে সফল হয়েছে? আমি জানি আমার কিছু করা দরকার, কিন্তু আমি মদ্যপান পছন্দ করি এবং সত্যিই সম্পূর্ণরূপে বন্ধ করতে চাই না।</v>
      </c>
    </row>
    <row r="1379" spans="1:3" ht="15" x14ac:dyDescent="0.25">
      <c r="A1379" s="3" t="s">
        <v>1374</v>
      </c>
      <c r="B1379" s="3" t="s">
        <v>997</v>
      </c>
      <c r="C1379" s="4" t="str">
        <f ca="1">IFERROR(__xludf.DUMMYFUNCTION("GOOGLETRANSLATE(A1379, ""auto"", ""bn"")"),"অন্তত যখন আমি মদ্যপান করতাম, যদি আমি এমন কারো সামনে মৃত শিশুদের নিয়ে রসিকতা করতাম যার শিশুটি সবেমাত্র মারা গেছে, আমি সেই জিনিসটি ভুলে যেতাম। এখন সেই স্মৃতি আমাকে রাতে জাগিয়ে রাখে।")</f>
        <v>অন্তত যখন আমি মদ্যপান করতাম, যদি আমি এমন কারো সামনে মৃত শিশুদের নিয়ে রসিকতা করতাম যার শিশুটি সবেমাত্র মারা গেছে, আমি সেই জিনিসটি ভুলে যেতাম। এখন সেই স্মৃতি আমাকে রাতে জাগিয়ে রাখে।</v>
      </c>
    </row>
    <row r="1380" spans="1:3" ht="15" x14ac:dyDescent="0.25">
      <c r="A1380" s="3" t="s">
        <v>1375</v>
      </c>
      <c r="B1380" s="3" t="s">
        <v>997</v>
      </c>
      <c r="C1380" s="4" t="str">
        <f ca="1">IFERROR(__xludf.DUMMYFUNCTION("GOOGLETRANSLATE(A1380, ""auto"", ""bn"")"),"হাই, আমি কিছু অন্তর্দৃষ্টি/পরামর্শ আশা করছি। আমি (৩২ ফুট) বর্তমানে আমার সঙ্গীর (৪৫ মি) থেকে ১৩ বছর আলাদা আছি এবং আমি চেষ্টা চালিয়ে যেতে চাই কিনা তা বোঝার চেষ্টা করছি। আমার সঙ্গী নিয়মিত অতিরিক্ত মদ্যপান করে। সে প্রতি শুক্রবার এবং শনিবার রাতে এতটাই মদ্যপা"&amp;"ন করে যে তার ওজন নষ্ট হয়ে যায়। প্রতি সপ্তাহান্তে কোকেনও ব্যবহার করে (পরিমাণে কম কিন্তু প্রতি সপ্তাহান্তে খুব ধারাবাহিকভাবে)। আমাদের আলাদা হওয়ার প্রক্রিয়ায়, আমি তার মাদক ব্যবহারের বিষয়টি উত্থাপন করেছি। আমার বাবা যখন ছোট ছিলাম তখন IV কোকেনের অতিরিক্ত "&amp;"মাত্রায় মারা গিয়েছিলেন, আমার মা একজন আসক্ত ছিলেন, আমি কোনওভাবে একই পথ এড়িয়ে গিয়েছিলাম। কোকেন আমার প্রশ্নের বিষয় নয় তবে আমি কেন এর সাথে থাকতে রাজি নই তার প্রেক্ষাপট তুলে ধরতে চেয়েছিলাম। যখন আমি এই বিষয়টি উত্থাপন করি যে আমি কোকেনের সাথে ঠিক নই, তখন"&amp;" সে বলেছিল যে সে বুঝতে পেরেছে কিন্তু ""তুমি জানো আমি মদ্যপান বন্ধ করব না""। সে মনে করে যে প্রতি শুক্রবার এবং শনিবার রাতে অপচয় করা কোনও সমস্যা নয়, সে সম্ভবত মদ্যপ হতে পারে না, কারণ সে প্রতিদিন মদ্যপান করে না। তার দীর্ঘদিনের বিষণ্ণতা, উদ্বেগ এবং আত্ম-সম্ম"&amp;"ানের অভাব রয়েছে। আমি তাকে বলেছিলাম যে আমি চাইতাম যে প্রতি সপ্তাহান্তে তাকে এত নষ্ট হতে না হয়। যদি সে নিজের সাথে স্বাচ্ছন্দ্য বোধ করার একটি উপায় খুঁজে পায়, সম্ভবত থেরাপির মাধ্যমে, যা সে আর চাইবে না। কিন্তু মনে হচ্ছে সে আগ্রহী নয়, এবং এই কাজটি করতে ইচ্"&amp;"ছুক নয়। আমি এমন পর্যায়ে আছি যেখানে আমি ভাবছি যে আমি একটি পরিবার শুরু করতে চাই (আমি জানি। 13 বছর একসাথে থাকার পর... আমরা দুজনেই একসাথে আমাদের ভবিষ্যত সম্পর্কে খুব বেশি চিন্তা করা এড়িয়ে চলেছি)। আমি এমন কারো সাথে সন্তান রাখতে পারি না যে প্রতি সপ্তাহান্তে"&amp;" মদ্যপ হয়ে ব্ল্যাকআউট করতে এবং ব্লো করতে জোর দেয়। এবং যে সন্ধ্যায় সে মাতাল থাকে সেই সময়ই সে তার বিষণ্ণতা এবং আত্ম-বিদ্বেষ সম্পর্কে আমার সাথে খোলামেলা কথা বলে। আরেকটি বড় সমস্যা হল যে সে পরের দিন এই কথোপকথনগুলি মনে রাখে না। তাই... আমার মনে হয় আমার প্র"&amp;"শ্ন হল, আমি কি এই মদ্যপানকে একটি সমস্যা হিসেবে দেখার জন্য পাগল?? আমি কি তাকে থেরাপি বিবেচনা করতে বলার জন্য পাগল?? এখনও অনেক ভালোবাসা আছে... আমি হতাশা এবং আত্মপরিচয়ের সমস্যাগুলির বাইরে তার একজন মানুষটির ঝলক দেখতে পাচ্ছি এবং এই কারণেই আমি বহু বছর আগে দৌড়া"&amp;"ইনি।")</f>
        <v>হাই, আমি কিছু অন্তর্দৃষ্টি/পরামর্শ আশা করছি। আমি (৩২ ফুট) বর্তমানে আমার সঙ্গীর (৪৫ মি) থেকে ১৩ বছর আলাদা আছি এবং আমি চেষ্টা চালিয়ে যেতে চাই কিনা তা বোঝার চেষ্টা করছি। আমার সঙ্গী নিয়মিত অতিরিক্ত মদ্যপান করে। সে প্রতি শুক্রবার এবং শনিবার রাতে এতটাই মদ্যপান করে যে তার ওজন নষ্ট হয়ে যায়। প্রতি সপ্তাহান্তে কোকেনও ব্যবহার করে (পরিমাণে কম কিন্তু প্রতি সপ্তাহান্তে খুব ধারাবাহিকভাবে)। আমাদের আলাদা হওয়ার প্রক্রিয়ায়, আমি তার মাদক ব্যবহারের বিষয়টি উত্থাপন করেছি। আমার বাবা যখন ছোট ছিলাম তখন IV কোকেনের অতিরিক্ত মাত্রায় মারা গিয়েছিলেন, আমার মা একজন আসক্ত ছিলেন, আমি কোনওভাবে একই পথ এড়িয়ে গিয়েছিলাম। কোকেন আমার প্রশ্নের বিষয় নয় তবে আমি কেন এর সাথে থাকতে রাজি নই তার প্রেক্ষাপট তুলে ধরতে চেয়েছিলাম। যখন আমি এই বিষয়টি উত্থাপন করি যে আমি কোকেনের সাথে ঠিক নই, তখন সে বলেছিল যে সে বুঝতে পেরেছে কিন্তু "তুমি জানো আমি মদ্যপান বন্ধ করব না"। সে মনে করে যে প্রতি শুক্রবার এবং শনিবার রাতে অপচয় করা কোনও সমস্যা নয়, সে সম্ভবত মদ্যপ হতে পারে না, কারণ সে প্রতিদিন মদ্যপান করে না। তার দীর্ঘদিনের বিষণ্ণতা, উদ্বেগ এবং আত্ম-সম্মানের অভাব রয়েছে। আমি তাকে বলেছিলাম যে আমি চাইতাম যে প্রতি সপ্তাহান্তে তাকে এত নষ্ট হতে না হয়। যদি সে নিজের সাথে স্বাচ্ছন্দ্য বোধ করার একটি উপায় খুঁজে পায়, সম্ভবত থেরাপির মাধ্যমে, যা সে আর চাইবে না। কিন্তু মনে হচ্ছে সে আগ্রহী নয়, এবং এই কাজটি করতে ইচ্ছুক নয়। আমি এমন পর্যায়ে আছি যেখানে আমি ভাবছি যে আমি একটি পরিবার শুরু করতে চাই (আমি জানি। 13 বছর একসাথে থাকার পর... আমরা দুজনেই একসাথে আমাদের ভবিষ্যত সম্পর্কে খুব বেশি চিন্তা করা এড়িয়ে চলেছি)। আমি এমন কারো সাথে সন্তান রাখতে পারি না যে প্রতি সপ্তাহান্তে মদ্যপ হয়ে ব্ল্যাকআউট করতে এবং ব্লো করতে জোর দেয়। এবং যে সন্ধ্যায় সে মাতাল থাকে সেই সময়ই সে তার বিষণ্ণতা এবং আত্ম-বিদ্বেষ সম্পর্কে আমার সাথে খোলামেলা কথা বলে। আরেকটি বড় সমস্যা হল যে সে পরের দিন এই কথোপকথনগুলি মনে রাখে না। তাই... আমার মনে হয় আমার প্রশ্ন হল, আমি কি এই মদ্যপানকে একটি সমস্যা হিসেবে দেখার জন্য পাগল?? আমি কি তাকে থেরাপি বিবেচনা করতে বলার জন্য পাগল?? এখনও অনেক ভালোবাসা আছে... আমি হতাশা এবং আত্মপরিচয়ের সমস্যাগুলির বাইরে তার একজন মানুষটির ঝলক দেখতে পাচ্ছি এবং এই কারণেই আমি বহু বছর আগে দৌড়াইনি।</v>
      </c>
    </row>
    <row r="1381" spans="1:3" ht="15" x14ac:dyDescent="0.25">
      <c r="A1381" s="3" t="s">
        <v>1376</v>
      </c>
      <c r="B1381" s="3" t="s">
        <v>997</v>
      </c>
      <c r="C1381" s="4" t="str">
        <f ca="1">IFERROR(__xludf.DUMMYFUNCTION("GOOGLETRANSLATE(A1381, ""auto"", ""bn"")"),"আমি কাঁদছি, উদ্বিগ্ন, বিষণ্ণ এবং আমার জীবনের শেষ প্রান্তে। গত বছর আমার খুব খারাপ একটা বছর কেটেছে এবং জুলাই/আগস্টের দিকে আমি মদ্যপান শুরু করেছিলাম। আমার বাবা মারা গেছেন, তাই আমি আরও বেশি মদ্যপান করেছি। আমার প্রেমিক আমাকে ছেড়ে চলে গেছে, তাই আমি আরও বেশি মদ"&amp;"্যপান করেছি। আমি প্রতি রাতে প্রায় ৭-৮ বোতল ভদকা পান করি। আমি আর এটা করতে পারছি না। আমি কীভাবে থামাবো? ঠান্ডা টার্কি খেতে ভয় পাচ্ছি কারণ আমি শুনেছি যে এর ফলে মৃত্যু হতে পারে। আমি মরতে চাই না। আমি এত মানসিক যন্ত্রণায় ভুগছি। এত একা থাকা খুব কষ্টকর।")</f>
        <v>আমি কাঁদছি, উদ্বিগ্ন, বিষণ্ণ এবং আমার জীবনের শেষ প্রান্তে। গত বছর আমার খুব খারাপ একটা বছর কেটেছে এবং জুলাই/আগস্টের দিকে আমি মদ্যপান শুরু করেছিলাম। আমার বাবা মারা গেছেন, তাই আমি আরও বেশি মদ্যপান করেছি। আমার প্রেমিক আমাকে ছেড়ে চলে গেছে, তাই আমি আরও বেশি মদ্যপান করেছি। আমি প্রতি রাতে প্রায় ৭-৮ বোতল ভদকা পান করি। আমি আর এটা করতে পারছি না। আমি কীভাবে থামাবো? ঠান্ডা টার্কি খেতে ভয় পাচ্ছি কারণ আমি শুনেছি যে এর ফলে মৃত্যু হতে পারে। আমি মরতে চাই না। আমি এত মানসিক যন্ত্রণায় ভুগছি। এত একা থাকা খুব কষ্টকর।</v>
      </c>
    </row>
    <row r="1382" spans="1:3" ht="15" x14ac:dyDescent="0.25">
      <c r="A1382" s="3" t="s">
        <v>1377</v>
      </c>
      <c r="B1382" s="3" t="s">
        <v>997</v>
      </c>
      <c r="C1382" s="4" t="str">
        <f ca="1">IFERROR(__xludf.DUMMYFUNCTION("GOOGLETRANSLATE(A1382, ""auto"", ""bn"")"),"আজ প্রথম দিন। গত বছর আমার প্রায় সারাদিনই বেন্ডিং ছিল, তাই সবকিছু প্রত্যাশার চেয়ে ভালো যাচ্ছে। গত ৩ দিন ধরে আমি যতটা সম্ভব নিজেকে দুধ ছাড়ানোর চেষ্টা করেছি। আমার অসুস্থ বোধ হচ্ছে না। কিন্তু আমার স্বাভাবিক দুঃস্বপ্ন, অনিদ্রা, উদ্বেগ এবং বিরক্তি হচ্ছে। আমা"&amp;"কে সবচেয়ে বেশি বিরক্ত করছে বিরক্তি। আমার একটি ছোট বাচ্চা আছে, এবং আমি তার বাবার সাথে ডেট করি। তার বাবা সম্ভবত আমাকে সবচেয়ে বেশি বিরক্ত করছেন। আমাদের কখনোই মিল হয় না, এমনকি আমার দীর্ঘ পাছা বেন্ডিং হওয়ার আগেও। নিজেকে দূরে রাখা আসলে কোনও বিকল্প নয়। আর এ"&amp;"খানে নিজেকে সাহায্য করার পরামর্শ??")</f>
        <v>আজ প্রথম দিন। গত বছর আমার প্রায় সারাদিনই বেন্ডিং ছিল, তাই সবকিছু প্রত্যাশার চেয়ে ভালো যাচ্ছে। গত ৩ দিন ধরে আমি যতটা সম্ভব নিজেকে দুধ ছাড়ানোর চেষ্টা করেছি। আমার অসুস্থ বোধ হচ্ছে না। কিন্তু আমার স্বাভাবিক দুঃস্বপ্ন, অনিদ্রা, উদ্বেগ এবং বিরক্তি হচ্ছে। আমাকে সবচেয়ে বেশি বিরক্ত করছে বিরক্তি। আমার একটি ছোট বাচ্চা আছে, এবং আমি তার বাবার সাথে ডেট করি। তার বাবা সম্ভবত আমাকে সবচেয়ে বেশি বিরক্ত করছেন। আমাদের কখনোই মিল হয় না, এমনকি আমার দীর্ঘ পাছা বেন্ডিং হওয়ার আগেও। নিজেকে দূরে রাখা আসলে কোনও বিকল্প নয়। আর এখানে নিজেকে সাহায্য করার পরামর্শ??</v>
      </c>
    </row>
    <row r="1383" spans="1:3" ht="15" x14ac:dyDescent="0.25">
      <c r="A1383" s="3" t="s">
        <v>1378</v>
      </c>
      <c r="B1383" s="3" t="s">
        <v>997</v>
      </c>
      <c r="C1383" s="4" t="str">
        <f ca="1">IFERROR(__xludf.DUMMYFUNCTION("GOOGLETRANSLATE(A1383, ""auto"", ""bn"")"),"আমি এই গ্রুপে যোগ দিয়েছিলাম এই আশায় যে এতে কিছু যোগ করবো। আমার ৮ বছরের প্রেমিক এবং আমাদের ৬ বছরের বাচ্চার বাবা ২০+ বছর ধরে উচ্চ-কার্যক্ষম মদ্যপ থাকার পর ২০২০ সালে মারা যান। তার বয়স ছিল ৪৪। তার শরীর সবেমাত্র হাল ছেড়ে দিয়েছে....কিডনি ফেইলিওর, নিউমোনিয়"&amp;"া, ট্র্যাকিওটমি, কোমা....এবং সবকিছুই অ্যালকোহলের কারণে। আমার মেয়ে এখনও সবকিছু প্রক্রিয়া করছে। তার জন্য আমার হৃদয় ভেঙে যাচ্ছে। আমি ধীরে ধীরে বুঝতে পারছি যে আমি যে মানসিক নির্যাতনের শিকার হয়েছিলাম.....এবং এর মধ্য দিয়ে কাজ করছি। তবে এখানে আমার একটি বিষয"&amp;"় তুলে ধরা দরকার, তা হল আমি খুবই কৃতজ্ঞ যে সে আর কষ্ট পাচ্ছে না এবং সেনাবাহিনীতে থাকার পর শৈশবের ট্রমা এবং PTSD-এর কারণে বছরের পর বছর ধরে যন্ত্রণার সাথে মোকাবিলা করছে। তার জীবনের শেষের দিকে, মদ্যপান সবার আগে ছিল কিন্তু এখন যেহেতু সে চলে গেছে আমি রোগটি এবং"&amp;" মানুষ কেন এটি ভোগ করে সে সম্পর্কে অনেক কিছু শিখেছি। মদ্যপায়ী: আমি তোমার জন্য দুঃখ বোধ করি। দয়া করে সাহায্য পান...এবং শীঘ্রই। দয়া করে তোমার ব্যথার সাথে তাড়াতাড়ি মোকাবিলা করো। আমি জানি এটা সহজ নয়। শুধু বিশ্বাস করো এটা কতটা গুরুত্বপূর্ণ। তুমি আরও ভালো"&amp;"ভাবে প্রাপ্য।")</f>
        <v>আমি এই গ্রুপে যোগ দিয়েছিলাম এই আশায় যে এতে কিছু যোগ করবো। আমার ৮ বছরের প্রেমিক এবং আমাদের ৬ বছরের বাচ্চার বাবা ২০+ বছর ধরে উচ্চ-কার্যক্ষম মদ্যপ থাকার পর ২০২০ সালে মারা যান। তার বয়স ছিল ৪৪। তার শরীর সবেমাত্র হাল ছেড়ে দিয়েছে....কিডনি ফেইলিওর, নিউমোনিয়া, ট্র্যাকিওটমি, কোমা....এবং সবকিছুই অ্যালকোহলের কারণে। আমার মেয়ে এখনও সবকিছু প্রক্রিয়া করছে। তার জন্য আমার হৃদয় ভেঙে যাচ্ছে। আমি ধীরে ধীরে বুঝতে পারছি যে আমি যে মানসিক নির্যাতনের শিকার হয়েছিলাম.....এবং এর মধ্য দিয়ে কাজ করছি। তবে এখানে আমার একটি বিষয় তুলে ধরা দরকার, তা হল আমি খুবই কৃতজ্ঞ যে সে আর কষ্ট পাচ্ছে না এবং সেনাবাহিনীতে থাকার পর শৈশবের ট্রমা এবং PTSD-এর কারণে বছরের পর বছর ধরে যন্ত্রণার সাথে মোকাবিলা করছে। তার জীবনের শেষের দিকে, মদ্যপান সবার আগে ছিল কিন্তু এখন যেহেতু সে চলে গেছে আমি রোগটি এবং মানুষ কেন এটি ভোগ করে সে সম্পর্কে অনেক কিছু শিখেছি। মদ্যপায়ী: আমি তোমার জন্য দুঃখ বোধ করি। দয়া করে সাহায্য পান...এবং শীঘ্রই। দয়া করে তোমার ব্যথার সাথে তাড়াতাড়ি মোকাবিলা করো। আমি জানি এটা সহজ নয়। শুধু বিশ্বাস করো এটা কতটা গুরুত্বপূর্ণ। তুমি আরও ভালোভাবে প্রাপ্য।</v>
      </c>
    </row>
    <row r="1384" spans="1:3" ht="15" x14ac:dyDescent="0.25">
      <c r="A1384" s="3" t="s">
        <v>1379</v>
      </c>
      <c r="B1384" s="3" t="s">
        <v>997</v>
      </c>
      <c r="C1384" s="4" t="str">
        <f ca="1">IFERROR(__xludf.DUMMYFUNCTION("GOOGLETRANSLATE(A1384, ""auto"", ""bn"")"),"(২৮ মি) আমি শারীরিকভাবে অসীম ভালো বোধ করি, আমার স্বাস্থ্যের প্রতি মনোযোগী, সঠিক খাবার খাচ্ছি এবং ব্যায়াম করছি। মানসিকভাবে খুব একটা ভালো নয়, আমি নিয়মিত থেরাপি নিচ্ছি, আমার একটা ভালো চাকরি আছে, একটা ভালো সম্পর্ক আছে, স্থিতিশীলতা আছে এবং শখ আছে কিন্তু ৯০% সম"&amp;"য়ই কিছু একটা খুব খারাপ লাগে এবং খারাপ লাগে। আমি সবসময় রেগে থাকি এবং মদ্যপানের সময় বেশি কিছু না ভেবেই কাজ করি, এখন মদ্যপান করার সময় এমনভাবে কাজ করি যেন আমি আমার খারাপ সিদ্ধান্তগুলো থেকে সরে যাচ্ছি (যা অবশ্যই কম ক্ষতিকর) কিন্তু আমি বিরক্ত এবং উদ্বিগ্ন, এবং "&amp;"যেকোনো সামাজিক পরিস্থিতিতে নিজেকে একজন বোকার মতো মনে করি কারণ আমি কাজ করতে পারি না এবং কেবল চলে যেতে চাই। আমার সামাজিক দক্ষতা মূলত অস্তিত্বহীন। এবং নিজের প্রতি ঘৃণা এবং ঘৃণা প্রতিদিনই বৃদ্ধি পাচ্ছে। কিন্তু এখানেই ধরা পড়ে যে আমার কোনও তাগিদ নেই বা পান করতে"&amp;" চাই না। আমি কেবল এই ভগবানের ভয়াবহ শান্ত শুদ্ধিকরণের মধ্যে আটকে আছি। আমার বন্ধু (সেই পানীয়) এবং আমার শান্ত বন্ধু (যাদের সাথে আমি ব্যায়াম করি এবং কফি পান করি) কিন্তু এর বাইরে আর কিছুই হয় না। তাছাড়া, আমার কোনও জীবন নেই, এবং আমি এই কাজ, বান্ধবী, ওয়ার্কআ"&amp;"উট, শখের এই ফাকিং হ্যামস্টার হুইল নিয়ে আমার সময় ব্যয় করি। আমি যখন মাতাল ছিলাম এবং শান্ত হওয়ার জন্য লড়াই করছিলাম তখন পুনরাবৃত্তি এবং স্থির বিরক্তিকর স্থিতিশীলতাই আমি চেয়েছিলাম, এবং এখন আমার কাছে এটি আছে এবং আমি এটিকে ঘৃণা করি। আমি কোনও কারণ ছাড়াই বি"&amp;"রক্ত হই, আমার মনে হয় আমি আমার উদ্দেশ্য এবং সুখের বোধ হারিয়ে ফেলেছি। আমি কৃতজ্ঞ আমি শান্ত কিন্তু বাজে লোক, এটা কি এটা? আর কেউ একই জিনিস নিয়ে লড়াই করে? আমি আর AA কাজ করি না, এবং আমার শান্ত থাকার সময় ধ্যান, জার্নালিং এবং অন্যান্য পুনরুদ্ধার প্রোগ্রাম কর"&amp;"েছি (অসঙ্গতভাবে) কিন্তু সেগুলির কোনওটিই আসলে আটকে নেই, এবং আমি কেবল একজন উদ্বিগ্ন খালি গাধার মতো অনুভব করি যে শান্ত। দয়া করে সাহায্য করুন।")</f>
        <v>(২৮ মি) আমি শারীরিকভাবে অসীম ভালো বোধ করি, আমার স্বাস্থ্যের প্রতি মনোযোগী, সঠিক খাবার খাচ্ছি এবং ব্যায়াম করছি। মানসিকভাবে খুব একটা ভালো নয়, আমি নিয়মিত থেরাপি নিচ্ছি, আমার একটা ভালো চাকরি আছে, একটা ভালো সম্পর্ক আছে, স্থিতিশীলতা আছে এবং শখ আছে কিন্তু ৯০% সময়ই কিছু একটা খুব খারাপ লাগে এবং খারাপ লাগে। আমি সবসময় রেগে থাকি এবং মদ্যপানের সময় বেশি কিছু না ভেবেই কাজ করি, এখন মদ্যপান করার সময় এমনভাবে কাজ করি যেন আমি আমার খারাপ সিদ্ধান্তগুলো থেকে সরে যাচ্ছি (যা অবশ্যই কম ক্ষতিকর) কিন্তু আমি বিরক্ত এবং উদ্বিগ্ন, এবং যেকোনো সামাজিক পরিস্থিতিতে নিজেকে একজন বোকার মতো মনে করি কারণ আমি কাজ করতে পারি না এবং কেবল চলে যেতে চাই। আমার সামাজিক দক্ষতা মূলত অস্তিত্বহীন। এবং নিজের প্রতি ঘৃণা এবং ঘৃণা প্রতিদিনই বৃদ্ধি পাচ্ছে। কিন্তু এখানেই ধরা পড়ে যে আমার কোনও তাগিদ নেই বা পান করতে চাই না। আমি কেবল এই ভগবানের ভয়াবহ শান্ত শুদ্ধিকরণের মধ্যে আটকে আছি। আমার বন্ধু (সেই পানীয়) এবং আমার শান্ত বন্ধু (যাদের সাথে আমি ব্যায়াম করি এবং কফি পান করি) কিন্তু এর বাইরে আর কিছুই হয় না। তাছাড়া, আমার কোনও জীবন নেই, এবং আমি এই কাজ, বান্ধবী, ওয়ার্কআউট, শখের এই ফাকিং হ্যামস্টার হুইল নিয়ে আমার সময় ব্যয় করি। আমি যখন মাতাল ছিলাম এবং শান্ত হওয়ার জন্য লড়াই করছিলাম তখন পুনরাবৃত্তি এবং স্থির বিরক্তিকর স্থিতিশীলতাই আমি চেয়েছিলাম, এবং এখন আমার কাছে এটি আছে এবং আমি এটিকে ঘৃণা করি। আমি কোনও কারণ ছাড়াই বিরক্ত হই, আমার মনে হয় আমি আমার উদ্দেশ্য এবং সুখের বোধ হারিয়ে ফেলেছি। আমি কৃতজ্ঞ আমি শান্ত কিন্তু বাজে লোক, এটা কি এটা? আর কেউ একই জিনিস নিয়ে লড়াই করে? আমি আর AA কাজ করি না, এবং আমার শান্ত থাকার সময় ধ্যান, জার্নালিং এবং অন্যান্য পুনরুদ্ধার প্রোগ্রাম করেছি (অসঙ্গতভাবে) কিন্তু সেগুলির কোনওটিই আসলে আটকে নেই, এবং আমি কেবল একজন উদ্বিগ্ন খালি গাধার মতো অনুভব করি যে শান্ত। দয়া করে সাহায্য করুন।</v>
      </c>
    </row>
    <row r="1385" spans="1:3" ht="15" x14ac:dyDescent="0.25">
      <c r="A1385" s="3" t="s">
        <v>1380</v>
      </c>
      <c r="B1385" s="3" t="s">
        <v>997</v>
      </c>
      <c r="C1385" s="4" t="str">
        <f ca="1">IFERROR(__xludf.DUMMYFUNCTION("GOOGLETRANSLATE(A1385, ""auto"", ""bn"")"),"তোমাদের কারো কারো হয়তো মনে আছে এক বা দুই মাস আগে আমি এখানে পোস্ট করেছিলাম। এটা আমার জন্য অনেক বড় ব্যাপার ছিল। আমার কাছে দু-একটা দারুন, সহায়ক বার্তা ছিল এবং আমি নিজের জন্য একটা লক্ষ্য স্থির করেছিলাম। লক্ষ্য ছিল কাজের চাপপূর্ণ ক্রিসমাসের সময়টা কাটিয়ে ও"&amp;"ঠা, এবং তারপর, মদ্যপান বন্ধ করার চেষ্টা করা, কারণ আমি হাসপাতালে ভর্তি হওয়ার প্রায় কাছাকাছি ছিলাম, প্রচুর রক্ত ​​বমি বমি ভাব এবং বুকে অসহ্য যন্ত্রণার কারণে। যারা আমাকে পরামর্শ এবং উৎসাহ দেওয়ার জন্য সময় নিয়ে বার্তা পাঠিয়েছিলেন তাদের আমি ধন্যবাদ জানাতে"&amp;" চাই। আজ আমি ১২ দিন ধরে সুস্থ। প্রায় ১৫ বছরের মধ্যে আমার সবচেয়ে বেশি সময় ধরে আছে। আমার মনে আছে ৮ম দিনটি ছিল আমার জন্য সবচেয়ে কঠিন, অন্য কিছু ব্যক্তিগত খারাপ খবরের সাথে একটি খুব চাপপূর্ণ দিন পরে, কিন্তু আমি তা কাটিয়ে উঠেছি, এবং আমি দুর্দান্ত অনুভব করছ"&amp;"ি। কিছু রাত আমার ঘুমাতে কষ্ট হয়, তবে সাধারণভাবে, এটি ততটা খারাপ নয় যতটা আমি ভেবেছিলাম।")</f>
        <v>তোমাদের কারো কারো হয়তো মনে আছে এক বা দুই মাস আগে আমি এখানে পোস্ট করেছিলাম। এটা আমার জন্য অনেক বড় ব্যাপার ছিল। আমার কাছে দু-একটা দারুন, সহায়ক বার্তা ছিল এবং আমি নিজের জন্য একটা লক্ষ্য স্থির করেছিলাম। লক্ষ্য ছিল কাজের চাপপূর্ণ ক্রিসমাসের সময়টা কাটিয়ে ওঠা, এবং তারপর, মদ্যপান বন্ধ করার চেষ্টা করা, কারণ আমি হাসপাতালে ভর্তি হওয়ার প্রায় কাছাকাছি ছিলাম, প্রচুর রক্ত ​​বমি বমি ভাব এবং বুকে অসহ্য যন্ত্রণার কারণে। যারা আমাকে পরামর্শ এবং উৎসাহ দেওয়ার জন্য সময় নিয়ে বার্তা পাঠিয়েছিলেন তাদের আমি ধন্যবাদ জানাতে চাই। আজ আমি ১২ দিন ধরে সুস্থ। প্রায় ১৫ বছরের মধ্যে আমার সবচেয়ে বেশি সময় ধরে আছে। আমার মনে আছে ৮ম দিনটি ছিল আমার জন্য সবচেয়ে কঠিন, অন্য কিছু ব্যক্তিগত খারাপ খবরের সাথে একটি খুব চাপপূর্ণ দিন পরে, কিন্তু আমি তা কাটিয়ে উঠেছি, এবং আমি দুর্দান্ত অনুভব করছি। কিছু রাত আমার ঘুমাতে কষ্ট হয়, তবে সাধারণভাবে, এটি ততটা খারাপ নয় যতটা আমি ভেবেছিলাম।</v>
      </c>
    </row>
    <row r="1386" spans="1:3" ht="15" x14ac:dyDescent="0.25">
      <c r="A1386" s="3" t="s">
        <v>1381</v>
      </c>
      <c r="B1386" s="3" t="s">
        <v>997</v>
      </c>
      <c r="C1386" s="4" t="str">
        <f ca="1">IFERROR(__xludf.DUMMYFUNCTION("GOOGLETRANSLATE(A1386, ""auto"", ""bn"")"),"আমার রুমমেট তার আফিমের আসক্তি কাটিয়ে উঠতে পেরেছিল, কিন্তু মদ্যপানের ক্ষেত্রে অন্য একজন প্রতিপক্ষের বিরুদ্ধে নিজেকে খুঁজে পেয়েছিল। তার পরিবারের কাছে অল্প টাকা আছে, কিন্তু উচ্চ বিজ্ঞাপনে বিক্রি হওয়া পুনরুদ্ধার কেন্দ্রের খরচ বহন করতে পারে না। কেউ কি এমন ক"&amp;"োন সাশ্রয়ী মূল্যের স্থানীয় প্রোগ্রাম বা সুযোগ-সুবিধা সম্পর্কে জানেন যা আমরা কল করতে পারি?")</f>
        <v>আমার রুমমেট তার আফিমের আসক্তি কাটিয়ে উঠতে পেরেছিল, কিন্তু মদ্যপানের ক্ষেত্রে অন্য একজন প্রতিপক্ষের বিরুদ্ধে নিজেকে খুঁজে পেয়েছিল। তার পরিবারের কাছে অল্প টাকা আছে, কিন্তু উচ্চ বিজ্ঞাপনে বিক্রি হওয়া পুনরুদ্ধার কেন্দ্রের খরচ বহন করতে পারে না। কেউ কি এমন কোন সাশ্রয়ী মূল্যের স্থানীয় প্রোগ্রাম বা সুযোগ-সুবিধা সম্পর্কে জানেন যা আমরা কল করতে পারি?</v>
      </c>
    </row>
    <row r="1387" spans="1:3" ht="15" x14ac:dyDescent="0.25">
      <c r="A1387" s="3" t="s">
        <v>1382</v>
      </c>
      <c r="B1387" s="3" t="s">
        <v>997</v>
      </c>
      <c r="C1387" s="4" t="str">
        <f ca="1">IFERROR(__xludf.DUMMYFUNCTION("GOOGLETRANSLATE(A1387, ""auto"", ""bn"")"),"মাতাল অবস্থায় আমার কখনও হেঁচকি ওঠেনি, যত গুলিই লাগুক না কেন। এখন আবার এই সমস্যায় আমি অসুস্থ হয়ে পড়ছি, তাই চেষ্টা করছি কমিয়ে শেষ পর্যন্ত ছেড়ে দিতে। যখন থেকে আমি এটা চেষ্টা শুরু করেছি, তখন থেকে আমি পাগলের মতো হেঁচকি তুলছি। মদ্যপান করার সময় কি হেঁচকি ওঠা উচ"&amp;"িত নয়, থামলে (অথবা অন্তত কমিয়ে দিলে) না? আসলে কী??")</f>
        <v>মাতাল অবস্থায় আমার কখনও হেঁচকি ওঠেনি, যত গুলিই লাগুক না কেন। এখন আবার এই সমস্যায় আমি অসুস্থ হয়ে পড়ছি, তাই চেষ্টা করছি কমিয়ে শেষ পর্যন্ত ছেড়ে দিতে। যখন থেকে আমি এটা চেষ্টা শুরু করেছি, তখন থেকে আমি পাগলের মতো হেঁচকি তুলছি। মদ্যপান করার সময় কি হেঁচকি ওঠা উচিত নয়, থামলে (অথবা অন্তত কমিয়ে দিলে) না? আসলে কী??</v>
      </c>
    </row>
    <row r="1388" spans="1:3" ht="15" x14ac:dyDescent="0.25">
      <c r="A1388" s="3" t="s">
        <v>1383</v>
      </c>
      <c r="B1388" s="3" t="s">
        <v>997</v>
      </c>
      <c r="C1388" s="4" t="str">
        <f ca="1">IFERROR(__xludf.DUMMYFUNCTION("GOOGLETRANSLATE(A1388, ""auto"", ""bn"")"),"শিরোনামে যা বলা হয়েছে, তার অনেকটাই তাই। আমি বিষণ্ণতায় ভুগছি, বড়ি খাচ্ছি আর আগস্ট মাস থেকে প্রতিদিন মদ্যপান করছি.... আমি জানি না আমি আসলেই থামাতে চাই কিনা... তাছাড়া, আমি সাহায্য চাই কিন্তু আমি আত্মহত্যাপ্রবণও এবং আমি শুধু চাই আমার মদ্যপানের অভ্যাস আমাক"&amp;"ে গ্রাস করে ফেলুক এবং তা শেষ করে দিক... আমি বেপরোয়া, আমি জানি, কিন্তু আমি জন্ম নিতে বলিনি, আসলে আমার মা আমাকে চাননি কারণ তার সোনালী সন্তানের জন্মের পরপরই আমি গর্ভধারণ করেছিলাম। তাছাড়া, আমি সত্যিই আমার সমস্যা এবং লিভার দূর করতে মদ্যপান করি।")</f>
        <v>শিরোনামে যা বলা হয়েছে, তার অনেকটাই তাই। আমি বিষণ্ণতায় ভুগছি, বড়ি খাচ্ছি আর আগস্ট মাস থেকে প্রতিদিন মদ্যপান করছি.... আমি জানি না আমি আসলেই থামাতে চাই কিনা... তাছাড়া, আমি সাহায্য চাই কিন্তু আমি আত্মহত্যাপ্রবণও এবং আমি শুধু চাই আমার মদ্যপানের অভ্যাস আমাকে গ্রাস করে ফেলুক এবং তা শেষ করে দিক... আমি বেপরোয়া, আমি জানি, কিন্তু আমি জন্ম নিতে বলিনি, আসলে আমার মা আমাকে চাননি কারণ তার সোনালী সন্তানের জন্মের পরপরই আমি গর্ভধারণ করেছিলাম। তাছাড়া, আমি সত্যিই আমার সমস্যা এবং লিভার দূর করতে মদ্যপান করি।</v>
      </c>
    </row>
    <row r="1389" spans="1:3" ht="15" x14ac:dyDescent="0.25">
      <c r="A1389" s="3" t="s">
        <v>1384</v>
      </c>
      <c r="B1389" s="3" t="s">
        <v>997</v>
      </c>
      <c r="C1389" s="4" t="str">
        <f ca="1">IFERROR(__xludf.DUMMYFUNCTION("GOOGLETRANSLATE(A1389, ""auto"", ""bn"")"),"আমি একটা পডকাস্ট শুনছিলাম যেখানে উপস্থাপক তার মদ্যপ বাবার কথা বলছিলেন। তিনি বলছিলেন যে তার বাবাকে মদ্যপানে এতটাই জড়িয়ে পড়তে দেখা কতটা বেদনাদায়ক ছিল যে তার ব্যক্তিত্ব পুনর্গঠন করা হচ্ছিল। আমার জানা মতে, তিনি সারা জীবন একজন মদ্যপ ছিলেন। এখন, তার বয়স ৩০"&amp;"-এর দশকের শেষের দিকে, তিনি ছিলেন বিপরীত ব্যক্তি। ছোটবেলায়, তিনি তাকে ভদ্রতা এবং প্রভাবশালী দয়া সম্পর্কে শিখিয়েছিলেন। পরে, যখন তিনি হাসপাতালে ভর্তি হওয়ার প্রয়োজনের পরে তাকে দেখতে যান, তখন তিনি অচেনা এবং নার্সদের সাথে আশ্চর্যজনকভাবে অভদ্র ছিলেন। ফলস্বর"&amp;"ূপ, তিনি এক বছরেরও বেশি সময় ধরে তাকে দেখতে অনিচ্ছুক বোধ করেছিলেন। এটি শুনে আমার আরও খারাপ লেগেছিল। আমি এমন একজনকে চিনি যে অ্যালকোহলের সাথে লড়াই করছে, এবং এটি তাদের পারিবারিক ইতিহাসে রয়েছে। আমি জানি তারা সহানুভূতিকে তাদের সবচেয়ে বড় সম্পদগুলির মধ্যে এক"&amp;"টি বলে মনে করে (এটি ম্লান হওয়ার জন্য এতটাই কঠিন হবে)। তারাও সুস্থ হতে চায়। তারা থেরাপির জন্যও উন্মুক্ত। সমস্যাটি থেরাপির খরচ বহন করা... আমি এমনকি অর্থ প্রদানের প্রস্তাবও দিয়েছিলাম। অন্যান্য সমস্যা: সহানুভূতি এবং সামাজিক উদ্বেগ মদ্যপান এবং ভয়কে শান্ত হ"&amp;"তে উৎসাহিত করে। আর, অ্যালকোহলের পরিবর্তে কি কিছু একটা খাওয়ার প্রয়োজন নেই? আমি শুধু জানতে চাই আমি আর কী করতে পারি। আমি যেকোনো কিছুর জন্য উন্মুক্ত। তাছাড়া, এতে আমার সময় ব্যয় করার জন্য আমি অনুশোচনা করব না। সাহায্য করার ব্যাপারে আমার কি আরও দৃঢ় হওয়া উচিত"&amp;"?")</f>
        <v>আমি একটা পডকাস্ট শুনছিলাম যেখানে উপস্থাপক তার মদ্যপ বাবার কথা বলছিলেন। তিনি বলছিলেন যে তার বাবাকে মদ্যপানে এতটাই জড়িয়ে পড়তে দেখা কতটা বেদনাদায়ক ছিল যে তার ব্যক্তিত্ব পুনর্গঠন করা হচ্ছিল। আমার জানা মতে, তিনি সারা জীবন একজন মদ্যপ ছিলেন। এখন, তার বয়স ৩০-এর দশকের শেষের দিকে, তিনি ছিলেন বিপরীত ব্যক্তি। ছোটবেলায়, তিনি তাকে ভদ্রতা এবং প্রভাবশালী দয়া সম্পর্কে শিখিয়েছিলেন। পরে, যখন তিনি হাসপাতালে ভর্তি হওয়ার প্রয়োজনের পরে তাকে দেখতে যান, তখন তিনি অচেনা এবং নার্সদের সাথে আশ্চর্যজনকভাবে অভদ্র ছিলেন। ফলস্বরূপ, তিনি এক বছরেরও বেশি সময় ধরে তাকে দেখতে অনিচ্ছুক বোধ করেছিলেন। এটি শুনে আমার আরও খারাপ লেগেছিল। আমি এমন একজনকে চিনি যে অ্যালকোহলের সাথে লড়াই করছে, এবং এটি তাদের পারিবারিক ইতিহাসে রয়েছে। আমি জানি তারা সহানুভূতিকে তাদের সবচেয়ে বড় সম্পদগুলির মধ্যে একটি বলে মনে করে (এটি ম্লান হওয়ার জন্য এতটাই কঠিন হবে)। তারাও সুস্থ হতে চায়। তারা থেরাপির জন্যও উন্মুক্ত। সমস্যাটি থেরাপির খরচ বহন করা... আমি এমনকি অর্থ প্রদানের প্রস্তাবও দিয়েছিলাম। অন্যান্য সমস্যা: সহানুভূতি এবং সামাজিক উদ্বেগ মদ্যপান এবং ভয়কে শান্ত হতে উৎসাহিত করে। আর, অ্যালকোহলের পরিবর্তে কি কিছু একটা খাওয়ার প্রয়োজন নেই? আমি শুধু জানতে চাই আমি আর কী করতে পারি। আমি যেকোনো কিছুর জন্য উন্মুক্ত। তাছাড়া, এতে আমার সময় ব্যয় করার জন্য আমি অনুশোচনা করব না। সাহায্য করার ব্যাপারে আমার কি আরও দৃঢ় হওয়া উচিত?</v>
      </c>
    </row>
    <row r="1390" spans="1:3" ht="15" x14ac:dyDescent="0.25">
      <c r="A1390" s="3" t="s">
        <v>1385</v>
      </c>
      <c r="B1390" s="3" t="s">
        <v>997</v>
      </c>
      <c r="C1390" s="4" t="str">
        <f ca="1">IFERROR(__xludf.DUMMYFUNCTION("GOOGLETRANSLATE(A1390, ""auto"", ""bn"")"),"যতই বোকামি হোক না কেন, সাউথ পার্কের একটি ঘটনা আমাকে ভাবতে বাধ্য করেছে যে অ্যালকোহল এখনও আমার জীবনের সম্পূর্ণ নিয়ন্ত্রণে। এই সংযমের জন্য শৃঙ্খলা প্রয়োজন। আদা আদা আদা, সংক্ষেপে। কোন মদ্যপায়ী কি কখনও এমন অভিজ্ঞতা পেয়েছেন যে তারা সারাদিন ২৪/৭ মদ্যপ অবস্থা"&amp;"য় ফিরে না গিয়ে মাঝে মাঝে কিছু মদ্যপান করতে পেরেছেন?")</f>
        <v>যতই বোকামি হোক না কেন, সাউথ পার্কের একটি ঘটনা আমাকে ভাবতে বাধ্য করেছে যে অ্যালকোহল এখনও আমার জীবনের সম্পূর্ণ নিয়ন্ত্রণে। এই সংযমের জন্য শৃঙ্খলা প্রয়োজন। আদা আদা আদা, সংক্ষেপে। কোন মদ্যপায়ী কি কখনও এমন অভিজ্ঞতা পেয়েছেন যে তারা সারাদিন ২৪/৭ মদ্যপ অবস্থায় ফিরে না গিয়ে মাঝে মাঝে কিছু মদ্যপান করতে পেরেছেন?</v>
      </c>
    </row>
    <row r="1391" spans="1:3" ht="15" x14ac:dyDescent="0.25">
      <c r="A1391" s="3" t="s">
        <v>1386</v>
      </c>
      <c r="B1391" s="3" t="s">
        <v>997</v>
      </c>
      <c r="C1391" s="4" t="str">
        <f ca="1">IFERROR(__xludf.DUMMYFUNCTION("GOOGLETRANSLATE(A1391, ""auto"", ""bn"")"),"এটা এখানে আমার প্রথম পোস্ট। আশা করি তোমরা সবাই তোমাদের যাত্রায় ভালো আছো। এই মুহূর্তে আমার একটা অভিজ্ঞতা হচ্ছে এবং মনে হচ্ছে যদি আমার কোন প্রশ্ন থাকে তাহলে এটাই সবচেয়ে ভালো জায়গা। তাহলে মূলত আমার বয়স ২৩ বছর, কয়েকদিনের মধ্যেই আমার বয়স ২৪। হয়তো গত আড়াই বছর "&amp;"ধরে, আমি প্রায় প্রতি রাতেই মদ্যপান করে আসছি। আমার প্রধান মদ্যপানের অভ্যাস ছিল ৩-৪টি বড় বোতল ৬.৮% সাইডার পান করে রাত শেষ করা, তারপর অবশেষে ঘুমিয়ে পড়া। আমি নিশ্চিত নই কিভাবে আমি এটাকে আমার জীবনের একটি রাতের অভ্যাসে পরিণত করতে পেরেছি, কিন্তু এখনই। আমি খুব বে"&amp;"শি বছর আগের স্কুলের একজন ছেলে থেকে উঠে এসেছি, আত্মবিশ্বাসে উজ্জ্বল, সবসময় আমার চেহারার প্রশংসা করা হত, রোগা/শক্ত, এবং পুরো পৃথিবী আমার সামনে ছিল। তাছাড়া, এখন আমি আগের মতো মানুষ ছিলাম তার খুব একটা অংশ নই। আমি অনেক ওজন বাড়িয়েছি এবং নিজেকে পুরোপুরি ছেড়ে"&amp;" দিয়েছি। আমি লজ্জিত।")</f>
        <v>এটা এখানে আমার প্রথম পোস্ট। আশা করি তোমরা সবাই তোমাদের যাত্রায় ভালো আছো। এই মুহূর্তে আমার একটা অভিজ্ঞতা হচ্ছে এবং মনে হচ্ছে যদি আমার কোন প্রশ্ন থাকে তাহলে এটাই সবচেয়ে ভালো জায়গা। তাহলে মূলত আমার বয়স ২৩ বছর, কয়েকদিনের মধ্যেই আমার বয়স ২৪। হয়তো গত আড়াই বছর ধরে, আমি প্রায় প্রতি রাতেই মদ্যপান করে আসছি। আমার প্রধান মদ্যপানের অভ্যাস ছিল ৩-৪টি বড় বোতল ৬.৮% সাইডার পান করে রাত শেষ করা, তারপর অবশেষে ঘুমিয়ে পড়া। আমি নিশ্চিত নই কিভাবে আমি এটাকে আমার জীবনের একটি রাতের অভ্যাসে পরিণত করতে পেরেছি, কিন্তু এখনই। আমি খুব বেশি বছর আগের স্কুলের একজন ছেলে থেকে উঠে এসেছি, আত্মবিশ্বাসে উজ্জ্বল, সবসময় আমার চেহারার প্রশংসা করা হত, রোগা/শক্ত, এবং পুরো পৃথিবী আমার সামনে ছিল। তাছাড়া, এখন আমি আগের মতো মানুষ ছিলাম তার খুব একটা অংশ নই। আমি অনেক ওজন বাড়িয়েছি এবং নিজেকে পুরোপুরি ছেড়ে দিয়েছি। আমি লজ্জিত।</v>
      </c>
    </row>
    <row r="1392" spans="1:3" ht="15" x14ac:dyDescent="0.25">
      <c r="A1392" s="3" t="s">
        <v>1387</v>
      </c>
      <c r="B1392" s="3" t="s">
        <v>997</v>
      </c>
      <c r="C1392" s="4" t="str">
        <f ca="1">IFERROR(__xludf.DUMMYFUNCTION("GOOGLETRANSLATE(A1392, ""auto"", ""bn"")"),"এটা AA সম্পর্কে নয় (আপনাকে স্বাগত) -- আমি AA তে বিশ্বাস করি, কিন্তু আমি আগের ধাপের কথা বলছি। আমরা এটিকে ""ধাপ ০.৫: আপনি ৫ দিনের মধ্যে ধূমপান ত্যাগ করতে পারবেন এবং AA মিটিংয়েও ধূমপান বন্ধ করতে পারবেন না"" বলতে পারি। আমি মেডিকেল ডিটক্স সম্পর্কে কথা বলছি। "&amp;"এই সাব-পদ্ধতির কিছু পশুচিকিৎসক সম্ভবত এটিকে সাধারণ জ্ঞান বলে মনে করেন, কিন্তু আপনি যদি কয়েক মাস আগে আমার মতো এই বিষয়ে নতুন হন, তাহলে এটি আপনাকে অনেক অস্বস্তি থেকে বাঁচাতে পারে। একবার আপনি এটি কীভাবে কাজ করে (অথবা কাজ করতে পারে) তা শিখে ফেললে, আপনি এটি প"&amp;"রীক্ষা করতে দ্বিধা বোধ করবেন না। কয়েকটি রিল্যাপসের মাধ্যমে এটি আমার জন্য এভাবেই কাজ করেছে:")</f>
        <v>এটা AA সম্পর্কে নয় (আপনাকে স্বাগত) -- আমি AA তে বিশ্বাস করি, কিন্তু আমি আগের ধাপের কথা বলছি। আমরা এটিকে "ধাপ ০.৫: আপনি ৫ দিনের মধ্যে ধূমপান ত্যাগ করতে পারবেন এবং AA মিটিংয়েও ধূমপান বন্ধ করতে পারবেন না" বলতে পারি। আমি মেডিকেল ডিটক্স সম্পর্কে কথা বলছি। এই সাব-পদ্ধতির কিছু পশুচিকিৎসক সম্ভবত এটিকে সাধারণ জ্ঞান বলে মনে করেন, কিন্তু আপনি যদি কয়েক মাস আগে আমার মতো এই বিষয়ে নতুন হন, তাহলে এটি আপনাকে অনেক অস্বস্তি থেকে বাঁচাতে পারে। একবার আপনি এটি কীভাবে কাজ করে (অথবা কাজ করতে পারে) তা শিখে ফেললে, আপনি এটি পরীক্ষা করতে দ্বিধা বোধ করবেন না। কয়েকটি রিল্যাপসের মাধ্যমে এটি আমার জন্য এভাবেই কাজ করেছে:</v>
      </c>
    </row>
    <row r="1393" spans="1:3" ht="15" x14ac:dyDescent="0.25">
      <c r="A1393" s="3" t="s">
        <v>1388</v>
      </c>
      <c r="B1393" s="3" t="s">
        <v>997</v>
      </c>
      <c r="C1393" s="4" t="str">
        <f ca="1">IFERROR(__xludf.DUMMYFUNCTION("GOOGLETRANSLATE(A1393, ""auto"", ""bn"")"),"নিউরোপ্লাস্টিসিটি হলো স্নায়ুতন্ত্রের পরিবর্তন বা পরিবর্তনের একটি প্রক্রিয়া। স্নায়ুতন্ত্র হলো মূল, অথবা আমরা বলতে পারি যে আমাদের অভ্যাস এবং মদ্যপানের আগ্রহের কারণ আমাদের মতো মানুষদের ক্ষেত্রে যারা মদ্যপানে আসক্ত। তাই যদি আমরা এই পথগুলিকে পরিবর্তন করতে প"&amp;"ারি যা আসলে আমাদের জন্মের দিন থেকেই শুরু হয়, তাহলে আমরা আমাদের ইচ্ছাকে নিয়ন্ত্রণ করতে পারব, কোনও হাল ছেড়ে না দিয়ে এবং প্রতিবারই হতাশাগ্রস্ত না হয়ে কারণ আমরা আমাদের ইচ্ছাকে নিয়ন্ত্রণ করতে পারিনি। আমি নিজে এটি চেষ্টা করেছি এবং ফলাফল অসাধারণ হয়েছে। এই"&amp;" পোস্টটি যদি কাউকে সাহায্য করে এবং আমি আপনার কোনও কাজে লাগতে পারি তবে আমি আনন্দিত হব।")</f>
        <v>নিউরোপ্লাস্টিসিটি হলো স্নায়ুতন্ত্রের পরিবর্তন বা পরিবর্তনের একটি প্রক্রিয়া। স্নায়ুতন্ত্র হলো মূল, অথবা আমরা বলতে পারি যে আমাদের অভ্যাস এবং মদ্যপানের আগ্রহের কারণ আমাদের মতো মানুষদের ক্ষেত্রে যারা মদ্যপানে আসক্ত। তাই যদি আমরা এই পথগুলিকে পরিবর্তন করতে পারি যা আসলে আমাদের জন্মের দিন থেকেই শুরু হয়, তাহলে আমরা আমাদের ইচ্ছাকে নিয়ন্ত্রণ করতে পারব, কোনও হাল ছেড়ে না দিয়ে এবং প্রতিবারই হতাশাগ্রস্ত না হয়ে কারণ আমরা আমাদের ইচ্ছাকে নিয়ন্ত্রণ করতে পারিনি। আমি নিজে এটি চেষ্টা করেছি এবং ফলাফল অসাধারণ হয়েছে। এই পোস্টটি যদি কাউকে সাহায্য করে এবং আমি আপনার কোনও কাজে লাগতে পারি তবে আমি আনন্দিত হব।</v>
      </c>
    </row>
    <row r="1394" spans="1:3" ht="15" x14ac:dyDescent="0.25">
      <c r="A1394" s="3" t="s">
        <v>1389</v>
      </c>
      <c r="B1394" s="3" t="s">
        <v>997</v>
      </c>
      <c r="C1394" s="4" t="str">
        <f ca="1">IFERROR(__xludf.DUMMYFUNCTION("GOOGLETRANSLATE(A1394, ""auto"", ""bn"")"),"৪ বছর সুস্থ হওয়ার পর, প্রায় এক সপ্তাহ আগে আমার আবারও নেশা শুরু হয়েছে। আমি সত্যিই আবারও নেশা শুরু করার চেষ্টা করছি, কিন্তু এখন আমি AA মিটিংয়ে খুব বিরক্ত বোধ করছি। তাছাড়া, আমি নিশ্চিত যে এটা সব অহংকার এবং ভয়, কিন্তু আমাকে শান্ত থাকার এবং অন্যান্য উপায় "&amp;"খুঁজে বের করার উপায় খুঁজে বের করতে হবে। নেশা শেষ হওয়ার পর কি আর কেউ এইরকম অনুভব করেছে? AA-তে সবাই আমাকে বিরক্ত করছে, হা হা, তাই আমি জানি এটা আমি, কিন্তু এই মুহূর্তে আমি এটা কাটিয়ে উঠতে পারছি না।")</f>
        <v>৪ বছর সুস্থ হওয়ার পর, প্রায় এক সপ্তাহ আগে আমার আবারও নেশা শুরু হয়েছে। আমি সত্যিই আবারও নেশা শুরু করার চেষ্টা করছি, কিন্তু এখন আমি AA মিটিংয়ে খুব বিরক্ত বোধ করছি। তাছাড়া, আমি নিশ্চিত যে এটা সব অহংকার এবং ভয়, কিন্তু আমাকে শান্ত থাকার এবং অন্যান্য উপায় খুঁজে বের করার উপায় খুঁজে বের করতে হবে। নেশা শেষ হওয়ার পর কি আর কেউ এইরকম অনুভব করেছে? AA-তে সবাই আমাকে বিরক্ত করছে, হা হা, তাই আমি জানি এটা আমি, কিন্তু এই মুহূর্তে আমি এটা কাটিয়ে উঠতে পারছি না।</v>
      </c>
    </row>
    <row r="1395" spans="1:3" ht="15" x14ac:dyDescent="0.25">
      <c r="A1395" s="3" t="s">
        <v>1390</v>
      </c>
      <c r="B1395" s="3" t="s">
        <v>997</v>
      </c>
      <c r="C1395" s="4" t="str">
        <f ca="1">IFERROR(__xludf.DUMMYFUNCTION("GOOGLETRANSLATE(A1395, ""auto"", ""bn"")"),"মাঝে মাঝে অ্যালকোহলই একমাত্র জিনিস যা সবকিছুকে অসাড় করে দেয়। এটা কোন গোপন কথা নয় যে আমি একজন মদ্যপ। আমার বন্ধু থেকে শুরু করে আমার ডাক্তার, ইত্যাদি। তারপর আজ রাতে আবারও এটা আমাকে আঘাত করেছে। ছোটবেলার স্মৃতিগুলো যখন থেকে আমি অনুভব করতে পেরেছি, তখন থেকেই "&amp;"আমি মানসিক চাপে ভুগছি। মানসিক আঘাত থেকে শুরু করে LGBT হওয়ার জন্য প্রত্যাখ্যাত হওয়া, গৃহহীন হওয়া, মানসিক স্বাস্থ্য এবং হাসপাতালে ভর্তি হওয়া ইত্যাদি। অ্যালকোহলের পারিবারিক ইতিহাস এবং সারাজীবনের ট্রমা সবকিছুকেই আঘাত করে। কখনও কখনও এটি পান করলে আমার কিছুট"&amp;"া হলেও ভালো লাগে এবং আমার মনে হয় যেন এর কিছুই ঘটেনি এবং আমি এখানে একবারের জন্যই এসেছি। কিন্তু তারপর পরিস্থিতি আরও খারাপ হয়। আমি এক বছর ধরে আমার রুমমেটের সাথে আছি, এবং সে আমার ইতিহাস জানে এবং মাঝে মাঝে আমারও কষ্ট হয়। কিন্তু আমি তাকে কখনও আমার এত খারাপ অ"&amp;"বস্থা দেখতে দেইনি। অন্য রাতে আমি কিছুক্ষণের জন্য আমার স্থানীয় বারে গিয়ে মদ্যপান করতে থাকি। পরে যখন আমি বাড়ি ফিরেছিলাম তখনও আমি মদ্যপান করছিলাম। আমি এমন পর্যায়ে পৌঁছেছিলাম যে আমি ভেঙে পড়েছিলাম এবং বিয়ার খাচ্ছিলাম। আমার রুমমেট আমাকে সিঙ্কের উপর পড়ে থ"&amp;"াকতে দেখে এবং আমি কিছুক্ষণের জন্য কান্নায় ভেঙে পড়েছিলাম। অ্যালকোহল আগের চেয়েও বেশি নেশা করছিল, আর আমি মাটিতে পড়ে গেলাম, নিজেকে ধরে রাখতে পারছিলাম না, আর কান্নার জলে আর মাতাল অবস্থায় ভেঙে পড়লাম। সৌভাগ্যক্রমে, সে সেখানে বসে আমার কথা শুনল এবং আমাকে সান"&amp;"্ত্বনা দিল - যা আমি সত্যিই উপলব্ধি করি যে আমি থেরাপিতে আছি। আমি মোকাবেলা করার পদ্ধতিগুলি করি, আমি ওষুধ খাচ্ছি, আমি বছরের পর বছর ধরে যা করছি তার চেয়ে ভালো করছি। কিন্তু অ্যালকোহল সবসময়ই আমার সাথে থাকে। মাতাল কান্নার জগতে মেঝেতে পড়ে যাওয়া - আমার মাথায় আ"&amp;"রেকটি স্মৃতি। আমি কৃতজ্ঞ যে সে বিচার করছিল না কিন্তু আমার মদ্যপান আমার মাথা ঘিরে রেখেছে এবং ""এটি"" মোকাবেলা করার ক্ষমতা ""ভালো লাগছে না""। আমি ছেড়ে দিতে চাই কিন্তু এটা কঠিন ছিল। উল্লেখ না করার মতো, কিন্তু আমার পূর্ণকালীন চাকরি একটি ব্রুয়ারিতে। বাড়ি, ক"&amp;"াজ, এটা সবসময় আমার সাথে থাকে।")</f>
        <v>মাঝে মাঝে অ্যালকোহলই একমাত্র জিনিস যা সবকিছুকে অসাড় করে দেয়। এটা কোন গোপন কথা নয় যে আমি একজন মদ্যপ। আমার বন্ধু থেকে শুরু করে আমার ডাক্তার, ইত্যাদি। তারপর আজ রাতে আবারও এটা আমাকে আঘাত করেছে। ছোটবেলার স্মৃতিগুলো যখন থেকে আমি অনুভব করতে পেরেছি, তখন থেকেই আমি মানসিক চাপে ভুগছি। মানসিক আঘাত থেকে শুরু করে LGBT হওয়ার জন্য প্রত্যাখ্যাত হওয়া, গৃহহীন হওয়া, মানসিক স্বাস্থ্য এবং হাসপাতালে ভর্তি হওয়া ইত্যাদি। অ্যালকোহলের পারিবারিক ইতিহাস এবং সারাজীবনের ট্রমা সবকিছুকেই আঘাত করে। কখনও কখনও এটি পান করলে আমার কিছুটা হলেও ভালো লাগে এবং আমার মনে হয় যেন এর কিছুই ঘটেনি এবং আমি এখানে একবারের জন্যই এসেছি। কিন্তু তারপর পরিস্থিতি আরও খারাপ হয়। আমি এক বছর ধরে আমার রুমমেটের সাথে আছি, এবং সে আমার ইতিহাস জানে এবং মাঝে মাঝে আমারও কষ্ট হয়। কিন্তু আমি তাকে কখনও আমার এত খারাপ অবস্থা দেখতে দেইনি। অন্য রাতে আমি কিছুক্ষণের জন্য আমার স্থানীয় বারে গিয়ে মদ্যপান করতে থাকি। পরে যখন আমি বাড়ি ফিরেছিলাম তখনও আমি মদ্যপান করছিলাম। আমি এমন পর্যায়ে পৌঁছেছিলাম যে আমি ভেঙে পড়েছিলাম এবং বিয়ার খাচ্ছিলাম। আমার রুমমেট আমাকে সিঙ্কের উপর পড়ে থাকতে দেখে এবং আমি কিছুক্ষণের জন্য কান্নায় ভেঙে পড়েছিলাম। অ্যালকোহল আগের চেয়েও বেশি নেশা করছিল, আর আমি মাটিতে পড়ে গেলাম, নিজেকে ধরে রাখতে পারছিলাম না, আর কান্নার জলে আর মাতাল অবস্থায় ভেঙে পড়লাম। সৌভাগ্যক্রমে, সে সেখানে বসে আমার কথা শুনল এবং আমাকে সান্ত্বনা দিল - যা আমি সত্যিই উপলব্ধি করি যে আমি থেরাপিতে আছি। আমি মোকাবেলা করার পদ্ধতিগুলি করি, আমি ওষুধ খাচ্ছি, আমি বছরের পর বছর ধরে যা করছি তার চেয়ে ভালো করছি। কিন্তু অ্যালকোহল সবসময়ই আমার সাথে থাকে। মাতাল কান্নার জগতে মেঝেতে পড়ে যাওয়া - আমার মাথায় আরেকটি স্মৃতি। আমি কৃতজ্ঞ যে সে বিচার করছিল না কিন্তু আমার মদ্যপান আমার মাথা ঘিরে রেখেছে এবং "এটি" মোকাবেলা করার ক্ষমতা "ভালো লাগছে না"। আমি ছেড়ে দিতে চাই কিন্তু এটা কঠিন ছিল। উল্লেখ না করার মতো, কিন্তু আমার পূর্ণকালীন চাকরি একটি ব্রুয়ারিতে। বাড়ি, কাজ, এটা সবসময় আমার সাথে থাকে।</v>
      </c>
    </row>
    <row r="1396" spans="1:3" ht="15" x14ac:dyDescent="0.25">
      <c r="A1396" s="3" t="s">
        <v>1391</v>
      </c>
      <c r="B1396" s="3" t="s">
        <v>997</v>
      </c>
      <c r="C1396" s="4" t="str">
        <f ca="1">IFERROR(__xludf.DUMMYFUNCTION("GOOGLETRANSLATE(A1396, ""auto"", ""bn"")"),"কোনও কারণে, বেশিরভাগ সময় আমি যখন তাদের কিছু দেখি, তখন খুব আরামদায়ক এবং শান্তিপূর্ণ মনে হয়। তারা কেবল তাদের নিজস্ব কাজ করছে, তাদের ভক্তদের সাথে কথা বলছে, আরাম করছে, প্রশ্নের উত্তর দিচ্ছে, কিছু একটা খাচ্ছে...এটা প্রায় বন্ধুর সাথে আড্ডা দেওয়ার মতো মনে হচ্ছ"&amp;"ে। এবং আমি সাধারণত বুঝতে শুরু করি যে, এই লোকেদের আসলেই একটা মজার জীবন আছে। ""জীবিত"" এবং সুখী বোধ করার জন্য তাদের প্রতি সপ্তাহান্তে মদ্যপান করতে হয় না... আমি জানি এটি সম্পূর্ণ এলোমেলো চিন্তা, কিন্তু আমার এটি আমার বুক থেকে বের করে দেওয়া দরকার ছিল। আমার ই"&amp;"ংরেজির জন্য দুঃখিত।")</f>
        <v>কোনও কারণে, বেশিরভাগ সময় আমি যখন তাদের কিছু দেখি, তখন খুব আরামদায়ক এবং শান্তিপূর্ণ মনে হয়। তারা কেবল তাদের নিজস্ব কাজ করছে, তাদের ভক্তদের সাথে কথা বলছে, আরাম করছে, প্রশ্নের উত্তর দিচ্ছে, কিছু একটা খাচ্ছে...এটা প্রায় বন্ধুর সাথে আড্ডা দেওয়ার মতো মনে হচ্ছে। এবং আমি সাধারণত বুঝতে শুরু করি যে, এই লোকেদের আসলেই একটা মজার জীবন আছে। "জীবিত" এবং সুখী বোধ করার জন্য তাদের প্রতি সপ্তাহান্তে মদ্যপান করতে হয় না... আমি জানি এটি সম্পূর্ণ এলোমেলো চিন্তা, কিন্তু আমার এটি আমার বুক থেকে বের করে দেওয়া দরকার ছিল। আমার ইংরেজির জন্য দুঃখিত।</v>
      </c>
    </row>
    <row r="1397" spans="1:3" ht="15" x14ac:dyDescent="0.25">
      <c r="A1397" s="3" t="s">
        <v>1392</v>
      </c>
      <c r="B1397" s="3" t="s">
        <v>997</v>
      </c>
      <c r="C1397" s="4" t="str">
        <f ca="1">IFERROR(__xludf.DUMMYFUNCTION("GOOGLETRANSLATE(A1397, ""auto"", ""bn"")"),"আমি এটা ঘৃণা করি? আমি শুধু একজন স্বাভাবিক মানুষ হতে চাই। আমি ২০১৭ সালের আগস্টে রিহ্যাবে ভর্তি হয়েছিলাম এবং ২০১৮ সালের এপ্রিলে আবার মদ্যপান শুরু করেছিলাম। আমি প্রতিদিন মদ্যপান করি না। মাঝে মাঝে আমার ১-২ মাস কিছু না থাকে, কিন্তু নিশ্চিতভাবেই আমি যখনই মদ্যপ"&amp;"ান করি, তখনই রাতে আমার গা অকেজো হয়ে যায় এবং পরের দিন সকাল ৭-৮টার মধ্যে আমি আবার মদ্যপান করি। সারাদিন মদ্যপান করে কাঁদতে কাঁদতে কাটাই। সম্পূর্ণ অশান্তি। তারপর পরের কয়েক দিন প্রত্যাহারের মধ্য দিয়ে কাটাই। আমি আইওপিতে প্রবেশের বিষয়ে আলোচনা করার জন্য একটি"&amp;" সুবিধার সাথে যোগাযোগ করেছি কারণ আমার মনে হয় না যে আমি এমন পর্যায়ে আছি যেখানে ইনপেশেন্টের প্রয়োজন, তবে আমাকে আবার এটিকে কুঁড়ে ফেলতে হবে। আমিও করেছি। জীবন এত দুঃখজনকভাবে কাটানোর জন্য খুব ছোট।")</f>
        <v>আমি এটা ঘৃণা করি? আমি শুধু একজন স্বাভাবিক মানুষ হতে চাই। আমি ২০১৭ সালের আগস্টে রিহ্যাবে ভর্তি হয়েছিলাম এবং ২০১৮ সালের এপ্রিলে আবার মদ্যপান শুরু করেছিলাম। আমি প্রতিদিন মদ্যপান করি না। মাঝে মাঝে আমার ১-২ মাস কিছু না থাকে, কিন্তু নিশ্চিতভাবেই আমি যখনই মদ্যপান করি, তখনই রাতে আমার গা অকেজো হয়ে যায় এবং পরের দিন সকাল ৭-৮টার মধ্যে আমি আবার মদ্যপান করি। সারাদিন মদ্যপান করে কাঁদতে কাঁদতে কাটাই। সম্পূর্ণ অশান্তি। তারপর পরের কয়েক দিন প্রত্যাহারের মধ্য দিয়ে কাটাই। আমি আইওপিতে প্রবেশের বিষয়ে আলোচনা করার জন্য একটি সুবিধার সাথে যোগাযোগ করেছি কারণ আমার মনে হয় না যে আমি এমন পর্যায়ে আছি যেখানে ইনপেশেন্টের প্রয়োজন, তবে আমাকে আবার এটিকে কুঁড়ে ফেলতে হবে। আমিও করেছি। জীবন এত দুঃখজনকভাবে কাটানোর জন্য খুব ছোট।</v>
      </c>
    </row>
    <row r="1398" spans="1:3" ht="15" x14ac:dyDescent="0.25">
      <c r="A1398" s="3" t="s">
        <v>1393</v>
      </c>
      <c r="B1398" s="3" t="s">
        <v>997</v>
      </c>
      <c r="C1398" s="4" t="str">
        <f ca="1">IFERROR(__xludf.DUMMYFUNCTION("GOOGLETRANSLATE(A1398, ""auto"", ""bn"")"),"কিছুক্ষণ আগে একটা পুরনো ফায়ারবলের শুটিং গেম খুঁজে পেলাম। সেটা ফেলে দেওয়ার সাহস করতে পারলাম না, তাই পান করার কথা ভাবলাম, প্রায় এক ঘন্টা ধরে এটা নিয়ে ভাবলাম। এই প্রথমবারের মতো এই সাব-এর উপর অনেক পোস্ট পড়লাম এবং নিজের একটা পোস্ট তৈরি/ডিলিট করলাম। ১ জনের"&amp;" সাথে সংক্ষেপে কথা বলে ফেলে দিলাম। আমি আর খেলব না, আমার আর মাত্র ১টি গেম আছে। যদি তুমি কথা বলতে চাও বা কিছু সুইচ গেম খেলতে চাও, তাহলে আমাকে মেরে ফেলো।")</f>
        <v>কিছুক্ষণ আগে একটা পুরনো ফায়ারবলের শুটিং গেম খুঁজে পেলাম। সেটা ফেলে দেওয়ার সাহস করতে পারলাম না, তাই পান করার কথা ভাবলাম, প্রায় এক ঘন্টা ধরে এটা নিয়ে ভাবলাম। এই প্রথমবারের মতো এই সাব-এর উপর অনেক পোস্ট পড়লাম এবং নিজের একটা পোস্ট তৈরি/ডিলিট করলাম। ১ জনের সাথে সংক্ষেপে কথা বলে ফেলে দিলাম। আমি আর খেলব না, আমার আর মাত্র ১টি গেম আছে। যদি তুমি কথা বলতে চাও বা কিছু সুইচ গেম খেলতে চাও, তাহলে আমাকে মেরে ফেলো।</v>
      </c>
    </row>
    <row r="1399" spans="1:3" ht="15" x14ac:dyDescent="0.25">
      <c r="A1399" s="3" t="s">
        <v>1394</v>
      </c>
      <c r="B1399" s="3" t="s">
        <v>997</v>
      </c>
      <c r="C1399" s="4" t="str">
        <f ca="1">IFERROR(__xludf.DUMMYFUNCTION("GOOGLETRANSLATE(A1399, ""auto"", ""bn"")"),"আমি ১১ বছর বয়স থেকেই মদ্যপ ছিলাম (এখন আমার বয়স ২৩)। সুস্থ থাকার জন্য আমি অনেক সময় ধরে মদ্যপ অবস্থায় থাকি এবং তারপর সবসময়ই তালগোল পাকিয়ে উঠি। তাছাড়া, ২০২১ সালের জানুয়ারী থেকে আমি প্রতিদিন মদ্যপান করে আসছি। তাছাড়া, গভীর রাত পর্যন্ত আমি নিজেকে একজন "&amp;"কর্মক্ষম মদ্যপ বলে মনে করতাম। সম্প্রতি আমি সবচেয়ে খারাপ বাস্তবসম্মত দুঃস্বপ্ন দেখছি এবং চুলকানিতে আমবাত দেখাচ্ছে। এই দুঃস্বপ্নগুলি এতটাই বাস্তব এবং প্রায় সবসময়ই আমার বাড়িতে আমার সন্তানের ক্ষতি হওয়ার সাথে সম্পর্কিত। আমার মনে হয় না আমি আসলে ৩ সপ্তাহ ধ"&amp;"রে ঘুমিয়েছি। আমার মনে হচ্ছে আমি সারা রাত ঘামতে ঘামতে ঘুমিয়ে পড়েছি। পুনর্বাসন বা ডিটক্স আমার জন্য কোনও বিকল্প নয় কারণ আমার সন্তানের দেখাশোনা করার কেউ নেই। এই মুহুর্তে আমার জীবন কেবল অসুস্থ বোধ করছে। আমি নিজেকে নিয়ে খুব লজ্জিত। নিজেকে ঠিক করার জন্য আমা"&amp;"র সত্যিই পরামর্শের প্রয়োজন। আমি আসলে কী পোস্ট করতে চাই তা জানি না। আমি কেবল মরিয়া বোধ করছি।")</f>
        <v>আমি ১১ বছর বয়স থেকেই মদ্যপ ছিলাম (এখন আমার বয়স ২৩)। সুস্থ থাকার জন্য আমি অনেক সময় ধরে মদ্যপ অবস্থায় থাকি এবং তারপর সবসময়ই তালগোল পাকিয়ে উঠি। তাছাড়া, ২০২১ সালের জানুয়ারী থেকে আমি প্রতিদিন মদ্যপান করে আসছি। তাছাড়া, গভীর রাত পর্যন্ত আমি নিজেকে একজন কর্মক্ষম মদ্যপ বলে মনে করতাম। সম্প্রতি আমি সবচেয়ে খারাপ বাস্তবসম্মত দুঃস্বপ্ন দেখছি এবং চুলকানিতে আমবাত দেখাচ্ছে। এই দুঃস্বপ্নগুলি এতটাই বাস্তব এবং প্রায় সবসময়ই আমার বাড়িতে আমার সন্তানের ক্ষতি হওয়ার সাথে সম্পর্কিত। আমার মনে হয় না আমি আসলে ৩ সপ্তাহ ধরে ঘুমিয়েছি। আমার মনে হচ্ছে আমি সারা রাত ঘামতে ঘামতে ঘুমিয়ে পড়েছি। পুনর্বাসন বা ডিটক্স আমার জন্য কোনও বিকল্প নয় কারণ আমার সন্তানের দেখাশোনা করার কেউ নেই। এই মুহুর্তে আমার জীবন কেবল অসুস্থ বোধ করছে। আমি নিজেকে নিয়ে খুব লজ্জিত। নিজেকে ঠিক করার জন্য আমার সত্যিই পরামর্শের প্রয়োজন। আমি আসলে কী পোস্ট করতে চাই তা জানি না। আমি কেবল মরিয়া বোধ করছি।</v>
      </c>
    </row>
    <row r="1400" spans="1:3" ht="15" x14ac:dyDescent="0.25">
      <c r="A1400" s="3" t="s">
        <v>1395</v>
      </c>
      <c r="B1400" s="3" t="s">
        <v>997</v>
      </c>
      <c r="C1400" s="4" t="str">
        <f ca="1">IFERROR(__xludf.DUMMYFUNCTION("GOOGLETRANSLATE(A1400, ""auto"", ""bn"")"),"আমি এমন একজন মানুষ যে সবসময় ""নিয়ম ভাঙতে"" বাধ্য, অথবা যেকোনো আনন্দঘন/উৎসবের পরিস্থিতিতে লুকিয়ে মদ্যপান করতে বাধ্য। সমাবেশ/আড্ডা ইত্যাদি। মেলা/কার্নেভালে যাচ্ছি? একটু ভদকা এবং জয়েন্টে চুপিসারে। হাইকিং করতে যাচ্ছি? চূড়ায় এক বোতল ওয়াইন নিয়ে আসছি। বন্ধুদ"&amp;"ের সাথে শহরে হাঁটতে বা সাইকেল চালাতে যাচ্ছি? অবশ্যই কিছু মদ প্যাক করে মজা করতে চাই। বন্ধুবান্ধব, সিনেমা, গেমিং ইত্যাদিতে আমি এমন উদাহরণ দেখি যেখানে শান্ত মানুষদের দল মজা করছে, এবং আমি তাদের শান্তভাবে সময় কাটানোর ক্ষমতা দেখে ঈর্ষান্বিত হই, এবং ""নিয়ম ভাঙ"&amp;"া"", জিনিসপত্র মশলাদার না করে এবং ভালোভাবে গুঞ্জন না করে কীভাবে সত্যিই আনন্দময় সময় কাটানো যায় তা ভাবতেই পারি না। আমার প্রধান সমস্যা হল, আমি অন্যদের সঙ্গ উপভোগ করি না যদি না আমি ব্যস্ত থাকি। মনে হয় আমি একটু বৃদ্ধ এবং ক্লান্ত, কিন্তু মানুষ/মানবতা আজকাল আম"&amp;"াকে বিরক্ত করছে। আমি বলছি না যে আমি ভালো আছি, কিন্তু যখন আমি সুস্থ থাকি তখন আমার মনে হয় যেন আমি সবকিছু দেখেছি। তারপর আমি কিছু পানীয় পান করি এবং অন্যদের দৃষ্টিভঙ্গি, অভিজ্ঞতা এবং কথোপকথন আবার আমার কাছে আকর্ষণীয় হয়ে ওঠে, আমি খুশি হই, এবং যখন আমি মদ্যপান"&amp;" করি তখন আমি অন্যদের ভালোবাসি এবং তাদের প্রশংসা করি। অন্য কারো কি একই রকম অভিজ্ঞতা আছে, এবং যদি তাই হয়, তাহলে কি আপনার কাছে এমন কোন পদ্ধতি আছে যা আপনি যখন সুস্থ থাকেন তখন সেই অধরা জীবনের দৃষ্টিভঙ্গি ধরে রাখতে এবং পুনঃনির্দেশিত করতে ব্যবহার করেছেন?")</f>
        <v>আমি এমন একজন মানুষ যে সবসময় "নিয়ম ভাঙতে" বাধ্য, অথবা যেকোনো আনন্দঘন/উৎসবের পরিস্থিতিতে লুকিয়ে মদ্যপান করতে বাধ্য। সমাবেশ/আড্ডা ইত্যাদি। মেলা/কার্নেভালে যাচ্ছি? একটু ভদকা এবং জয়েন্টে চুপিসারে। হাইকিং করতে যাচ্ছি? চূড়ায় এক বোতল ওয়াইন নিয়ে আসছি। বন্ধুদের সাথে শহরে হাঁটতে বা সাইকেল চালাতে যাচ্ছি? অবশ্যই কিছু মদ প্যাক করে মজা করতে চাই। বন্ধুবান্ধব, সিনেমা, গেমিং ইত্যাদিতে আমি এমন উদাহরণ দেখি যেখানে শান্ত মানুষদের দল মজা করছে, এবং আমি তাদের শান্তভাবে সময় কাটানোর ক্ষমতা দেখে ঈর্ষান্বিত হই, এবং "নিয়ম ভাঙা", জিনিসপত্র মশলাদার না করে এবং ভালোভাবে গুঞ্জন না করে কীভাবে সত্যিই আনন্দময় সময় কাটানো যায় তা ভাবতেই পারি না। আমার প্রধান সমস্যা হল, আমি অন্যদের সঙ্গ উপভোগ করি না যদি না আমি ব্যস্ত থাকি। মনে হয় আমি একটু বৃদ্ধ এবং ক্লান্ত, কিন্তু মানুষ/মানবতা আজকাল আমাকে বিরক্ত করছে। আমি বলছি না যে আমি ভালো আছি, কিন্তু যখন আমি সুস্থ থাকি তখন আমার মনে হয় যেন আমি সবকিছু দেখেছি। তারপর আমি কিছু পানীয় পান করি এবং অন্যদের দৃষ্টিভঙ্গি, অভিজ্ঞতা এবং কথোপকথন আবার আমার কাছে আকর্ষণীয় হয়ে ওঠে, আমি খুশি হই, এবং যখন আমি মদ্যপান করি তখন আমি অন্যদের ভালোবাসি এবং তাদের প্রশংসা করি। অন্য কারো কি একই রকম অভিজ্ঞতা আছে, এবং যদি তাই হয়, তাহলে কি আপনার কাছে এমন কোন পদ্ধতি আছে যা আপনি যখন সুস্থ থাকেন তখন সেই অধরা জীবনের দৃষ্টিভঙ্গি ধরে রাখতে এবং পুনঃনির্দেশিত করতে ব্যবহার করেছেন?</v>
      </c>
    </row>
    <row r="1401" spans="1:3" ht="15" x14ac:dyDescent="0.25">
      <c r="A1401" s="3" t="s">
        <v>1396</v>
      </c>
      <c r="B1401" s="3" t="s">
        <v>997</v>
      </c>
      <c r="C1401" s="4" t="str">
        <f ca="1">IFERROR(__xludf.DUMMYFUNCTION("GOOGLETRANSLATE(A1401, ""auto"", ""bn"")"),"তাই আমি আবারও অসুস্থ হয়ে পড়লাম কিন্তু দ্বিধাগ্রস্ত বোধ করছিলাম এবং আমার পরবর্তী পদক্ষেপ কী হবে তা নিশ্চিত ছিলাম না। আমি ৪৮ দিন ধরে পুনর্বাসনে ছিলাম যা ভয়াবহ ছিল... এটা একটা চমৎকার জায়গা ছিল কিন্তু ঈশ্বর, এতদিন সেখানে থাকাটা হতাশাজনক ছিল। খুশি যে তারা "&amp;"আমার বীমার টাকা উপভোগ করেছে। একটি হাফওয়ে বাড়িতে গিয়েছিলাম এবং ""খারাপ অনুভূতির"" জন্য বের করে দেওয়া হয়েছিল এবং হ্যাঁ... মনে হচ্ছে তারা কেবল চেয়েছিল যে লোকেরা কর্মীদের সাথে সেরা বন্ধু হোক এবং যদি আপনি অনুভব না করেন যে আপনি বাইরে আছেন। মাদক আমার সমস্য"&amp;"া নয় যদিও অনেক NA মিটিংয়ে টেনে নিয়ে যাওয়া হয়েছিল। আমি বাড়িতে একমাত্র মদ্যপ ছিলাম। তারপর বের করে দেওয়ার পর তারা আমাকে মাসে $600 এর বিনিময়ে 3 জনের সাথে একটি জায়গায় বসিয়েছিল। আমার রুমমেটও করোনাভাইরাসে আক্রান্ত হয়েছিল। আমি মিথ্যা বলব না সবকিছুই এক"&amp;"েবারে ভয়াবহ ছিল। আমি খুব খুশি যে আমার এখন একটি গাড়ি এবং চাকরি আছে! তাছাড়া, আমি আমার মেডিকেল উইড কার্ড মিস করছি, এবং আমি সপ্তাহে কয়েকবার নিজের শর্তে AA-তে ফিরে যাওয়ার কথা ভাবছি। কিন্তু হ্যাঁ... ঘুম থেকে উঠে কাজ করা এবং তারপর IOP তারপর মিটিং তারপর ঘুমে"&amp;"র পুনরাবৃত্তি আমি কীভাবে বাঁচতে চাই না...")</f>
        <v>তাই আমি আবারও অসুস্থ হয়ে পড়লাম কিন্তু দ্বিধাগ্রস্ত বোধ করছিলাম এবং আমার পরবর্তী পদক্ষেপ কী হবে তা নিশ্চিত ছিলাম না। আমি ৪৮ দিন ধরে পুনর্বাসনে ছিলাম যা ভয়াবহ ছিল... এটা একটা চমৎকার জায়গা ছিল কিন্তু ঈশ্বর, এতদিন সেখানে থাকাটা হতাশাজনক ছিল। খুশি যে তারা আমার বীমার টাকা উপভোগ করেছে। একটি হাফওয়ে বাড়িতে গিয়েছিলাম এবং "খারাপ অনুভূতির" জন্য বের করে দেওয়া হয়েছিল এবং হ্যাঁ... মনে হচ্ছে তারা কেবল চেয়েছিল যে লোকেরা কর্মীদের সাথে সেরা বন্ধু হোক এবং যদি আপনি অনুভব না করেন যে আপনি বাইরে আছেন। মাদক আমার সমস্যা নয় যদিও অনেক NA মিটিংয়ে টেনে নিয়ে যাওয়া হয়েছিল। আমি বাড়িতে একমাত্র মদ্যপ ছিলাম। তারপর বের করে দেওয়ার পর তারা আমাকে মাসে $600 এর বিনিময়ে 3 জনের সাথে একটি জায়গায় বসিয়েছিল। আমার রুমমেটও করোনাভাইরাসে আক্রান্ত হয়েছিল। আমি মিথ্যা বলব না সবকিছুই একেবারে ভয়াবহ ছিল। আমি খুব খুশি যে আমার এখন একটি গাড়ি এবং চাকরি আছে! তাছাড়া, আমি আমার মেডিকেল উইড কার্ড মিস করছি, এবং আমি সপ্তাহে কয়েকবার নিজের শর্তে AA-তে ফিরে যাওয়ার কথা ভাবছি। কিন্তু হ্যাঁ... ঘুম থেকে উঠে কাজ করা এবং তারপর IOP তারপর মিটিং তারপর ঘুমের পুনরাবৃত্তি আমি কীভাবে বাঁচতে চাই না...</v>
      </c>
    </row>
    <row r="1402" spans="1:3" ht="15" x14ac:dyDescent="0.25">
      <c r="A1402" s="3" t="s">
        <v>1397</v>
      </c>
      <c r="B1402" s="3" t="s">
        <v>997</v>
      </c>
      <c r="C1402" s="4" t="str">
        <f ca="1">IFERROR(__xludf.DUMMYFUNCTION("GOOGLETRANSLATE(A1402, ""auto"", ""bn"")"),"আমি তাকে বিয়ে করার একটা কারণ হল আমি গভীর দার্শনিক এবং মাঝে মাঝে খুব একাডেমিক কথোপকথন পছন্দ করি। এই আলোচনার সময় গড়পড়তা মহিলারা কেবল আমার দিকে চোখ বুলিয়ে হাসতেন, আমার স্ত্রী নন। তিনি বুঝতেন এবং স্পষ্ট প্রশ্ন জিজ্ঞাসা করতেন এবং বৈধ মতামত দিতেন। সময়ের স"&amp;"াথে সাথে তিনি ""মনে হচ্ছে?"" আরও বোকা হয়ে যাচ্ছেন? এটা কি সাধারণ, এটা কি সত্যিকারের পর্যবেক্ষণ? দীর্ঘমেয়াদী মদ্যপানকারীদের এর সাথে কোনও ব্যক্তিগত অভিজ্ঞতা আছে? আমি ছাড়া আর কোনও স্বামী/স্ত্রী এই অভিজ্ঞতার সম্মুখীন হয়েছেন? কোনও মদ্যপ ব্যক্তি নিজেকে এভাব"&amp;"ে পরিবর্তন অনুভব করেছেন? স্থায়ী? অস্থায়ী? হয়তো আমি কেবল ছায়াময় চশমা দিয়ে দেখছি কারণ আমি জানি যে তিনি একজন মদ্যপ? পক্ষপাত?")</f>
        <v>আমি তাকে বিয়ে করার একটা কারণ হল আমি গভীর দার্শনিক এবং মাঝে মাঝে খুব একাডেমিক কথোপকথন পছন্দ করি। এই আলোচনার সময় গড়পড়তা মহিলারা কেবল আমার দিকে চোখ বুলিয়ে হাসতেন, আমার স্ত্রী নন। তিনি বুঝতেন এবং স্পষ্ট প্রশ্ন জিজ্ঞাসা করতেন এবং বৈধ মতামত দিতেন। সময়ের সাথে সাথে তিনি "মনে হচ্ছে?" আরও বোকা হয়ে যাচ্ছেন? এটা কি সাধারণ, এটা কি সত্যিকারের পর্যবেক্ষণ? দীর্ঘমেয়াদী মদ্যপানকারীদের এর সাথে কোনও ব্যক্তিগত অভিজ্ঞতা আছে? আমি ছাড়া আর কোনও স্বামী/স্ত্রী এই অভিজ্ঞতার সম্মুখীন হয়েছেন? কোনও মদ্যপ ব্যক্তি নিজেকে এভাবে পরিবর্তন অনুভব করেছেন? স্থায়ী? অস্থায়ী? হয়তো আমি কেবল ছায়াময় চশমা দিয়ে দেখছি কারণ আমি জানি যে তিনি একজন মদ্যপ? পক্ষপাত?</v>
      </c>
    </row>
    <row r="1403" spans="1:3" ht="15" x14ac:dyDescent="0.25">
      <c r="A1403" s="3" t="s">
        <v>1398</v>
      </c>
      <c r="B1403" s="3" t="s">
        <v>997</v>
      </c>
      <c r="C1403" s="4" t="str">
        <f ca="1">IFERROR(__xludf.DUMMYFUNCTION("GOOGLETRANSLATE(A1403, ""auto"", ""bn"")"),"১৯ বছর ধরে মদ্যপানের অপব্যবহারের পর আমি মদ্যপান বন্ধ করার চেষ্টা করছি। অজুহাত তৈরি করা সহজ, তাই এটি ধরে রাখা আমার পক্ষে কঠিন হয়ে পড়েছে, এবং আমার নিজের সুস্থতার যত্ন নিতেও আমি লড়াই করি, যা আমার অজুহাতগুলিকে ন্যায্যতা দেয়। আমি এবং আমার ছয় বছর ধরে সঙ্গী"&amp;" আমার মদ্যপানের ব্যবহার এবং এটি কীভাবে তার এবং আমাদের সম্পর্কের উপর প্রভাব ফেলছে সে সম্পর্কে সম্প্রতি কথা বলেছি, ""আমি আর এটা করতে পারছি না"" শুনে খারাপ লাগছে। এই প্রথম আমি মদ্যপান ছেড়ে দেওয়ার জন্য সত্যিকার অর্থে চেষ্টা করতে চাইছি। যদিও আমি গত দেড় সপ্ত"&amp;"াহ ধরে কম পরিমাণে এবং ঘন ঘন মদ্যপান করছি, আমি জানি না আমি পুরোপুরি বন্ধ করতে পারব কিনা। আমার মনে হয় আমি সাহায্য চাইতে এবং আমার সমস্যা এবং এটি সমাধানের আকাঙ্ক্ষার কথা মনে করিয়ে দিতে এটি লিখছি।")</f>
        <v>১৯ বছর ধরে মদ্যপানের অপব্যবহারের পর আমি মদ্যপান বন্ধ করার চেষ্টা করছি। অজুহাত তৈরি করা সহজ, তাই এটি ধরে রাখা আমার পক্ষে কঠিন হয়ে পড়েছে, এবং আমার নিজের সুস্থতার যত্ন নিতেও আমি লড়াই করি, যা আমার অজুহাতগুলিকে ন্যায্যতা দেয়। আমি এবং আমার ছয় বছর ধরে সঙ্গী আমার মদ্যপানের ব্যবহার এবং এটি কীভাবে তার এবং আমাদের সম্পর্কের উপর প্রভাব ফেলছে সে সম্পর্কে সম্প্রতি কথা বলেছি, "আমি আর এটা করতে পারছি না" শুনে খারাপ লাগছে। এই প্রথম আমি মদ্যপান ছেড়ে দেওয়ার জন্য সত্যিকার অর্থে চেষ্টা করতে চাইছি। যদিও আমি গত দেড় সপ্তাহ ধরে কম পরিমাণে এবং ঘন ঘন মদ্যপান করছি, আমি জানি না আমি পুরোপুরি বন্ধ করতে পারব কিনা। আমার মনে হয় আমি সাহায্য চাইতে এবং আমার সমস্যা এবং এটি সমাধানের আকাঙ্ক্ষার কথা মনে করিয়ে দিতে এটি লিখছি।</v>
      </c>
    </row>
    <row r="1404" spans="1:3" ht="15" x14ac:dyDescent="0.25">
      <c r="A1404" s="3" t="s">
        <v>1399</v>
      </c>
      <c r="B1404" s="3" t="s">
        <v>997</v>
      </c>
      <c r="C1404" s="4" t="str">
        <f ca="1">IFERROR(__xludf.DUMMYFUNCTION("GOOGLETRANSLATE(A1404, ""auto"", ""bn"")"),"আমি বুঝতে পারছি আমার অভ্যাসটা খুব খারাপ হয়ে যাচ্ছে। গত দুই মাস ধরে প্রতি রাতে ২০০-৪৫০ মিলি + হার্ড লিকার পান করছি, মাঝে মাঝে দিনের বেলাও। আমি ৮ ঘন্টা ধরে একটাও পানীয় না খেয়ে ছিলাম কিন্তু উদ্বেগ এবং বিভ্রান্তি আরও খারাপ হচ্ছিল, তাই আমি একবার ওয়াইন খাওয"&amp;"়ার সিদ্ধান্ত নিলাম। এখন একটু ভালো লাগছে। বাড়িতে কীভাবে মেডিকেল ডিটক্স করব? আমি আমার পরিবারের সাথে থাকি এবং আমি চাই না তারাও জানুক, এবং স্কুল এবং কাজের সময় (বাড়ি থেকে উভয়ই), আমি এখানেই থাকতে চাই।")</f>
        <v>আমি বুঝতে পারছি আমার অভ্যাসটা খুব খারাপ হয়ে যাচ্ছে। গত দুই মাস ধরে প্রতি রাতে ২০০-৪৫০ মিলি + হার্ড লিকার পান করছি, মাঝে মাঝে দিনের বেলাও। আমি ৮ ঘন্টা ধরে একটাও পানীয় না খেয়ে ছিলাম কিন্তু উদ্বেগ এবং বিভ্রান্তি আরও খারাপ হচ্ছিল, তাই আমি একবার ওয়াইন খাওয়ার সিদ্ধান্ত নিলাম। এখন একটু ভালো লাগছে। বাড়িতে কীভাবে মেডিকেল ডিটক্স করব? আমি আমার পরিবারের সাথে থাকি এবং আমি চাই না তারাও জানুক, এবং স্কুল এবং কাজের সময় (বাড়ি থেকে উভয়ই), আমি এখানেই থাকতে চাই।</v>
      </c>
    </row>
    <row r="1405" spans="1:3" ht="15" x14ac:dyDescent="0.25">
      <c r="A1405" s="3" t="s">
        <v>1400</v>
      </c>
      <c r="B1405" s="3" t="s">
        <v>997</v>
      </c>
      <c r="C1405" s="4" t="str">
        <f ca="1">IFERROR(__xludf.DUMMYFUNCTION("GOOGLETRANSLATE(A1405, ""auto"", ""bn"")"),"ঘরে কখনোই অ্যালকোহল রাখবেন না। নিয়ম #২ প্রতিদিন মদ্যপান করবেন না। নিয়ম #৩ শুধুমাত্র কাজ থেকে ছুটি পেলে বারে সামাজিকভাবে মদ্যপান করুন। নিয়ম #৪ প্রতিদিন আয়নায় নিজেকে দেখুন এবং বলুন ""আমি মদ্যপ নই, মদ্যপানের সময় আমি সবসময় নিজেকে নিয়ন্ত্রণ করতে পারতাম"&amp;""" এটি স্থায়ীভাবে দাঁত ব্রাশ করার মতো করতে হবে। নিয়ম #১ নিয়ম #৪ এবং এর মধ্যে সবকিছু ছাড়া কাজ করতে পারে না। মন ধীরে ধীরে নিজেকে বোঝাতে শুরু করবে যে আপনি মদ্যপ নন, এবং আপনার অ্যালকোহলের কোনও সমস্যা নেই। বোনাস পদক্ষেপ হল প্রতিদিন খালি পেটে লেবু জল পান কর"&amp;"া। ইউটিউবে এটি দেখুন, স্বাস্থ্যগত সুবিধাগুলি অফুরন্ত, এবং এটি সময়ের সাথে সাথে অ্যালকোহলের নেতিবাচক প্রভাবগুলি মোকাবেলা করতে পারে। শুভকামনা এবং আমি আশা করি এটি অভাবী কাউকে সাহায্য করবে!")</f>
        <v>ঘরে কখনোই অ্যালকোহল রাখবেন না। নিয়ম #২ প্রতিদিন মদ্যপান করবেন না। নিয়ম #৩ শুধুমাত্র কাজ থেকে ছুটি পেলে বারে সামাজিকভাবে মদ্যপান করুন। নিয়ম #৪ প্রতিদিন আয়নায় নিজেকে দেখুন এবং বলুন "আমি মদ্যপ নই, মদ্যপানের সময় আমি সবসময় নিজেকে নিয়ন্ত্রণ করতে পারতাম" এটি স্থায়ীভাবে দাঁত ব্রাশ করার মতো করতে হবে। নিয়ম #১ নিয়ম #৪ এবং এর মধ্যে সবকিছু ছাড়া কাজ করতে পারে না। মন ধীরে ধীরে নিজেকে বোঝাতে শুরু করবে যে আপনি মদ্যপ নন, এবং আপনার অ্যালকোহলের কোনও সমস্যা নেই। বোনাস পদক্ষেপ হল প্রতিদিন খালি পেটে লেবু জল পান করা। ইউটিউবে এটি দেখুন, স্বাস্থ্যগত সুবিধাগুলি অফুরন্ত, এবং এটি সময়ের সাথে সাথে অ্যালকোহলের নেতিবাচক প্রভাবগুলি মোকাবেলা করতে পারে। শুভকামনা এবং আমি আশা করি এটি অভাবী কাউকে সাহায্য করবে!</v>
      </c>
    </row>
    <row r="1406" spans="1:3" ht="15" x14ac:dyDescent="0.25">
      <c r="A1406" s="3" t="s">
        <v>1401</v>
      </c>
      <c r="B1406" s="3" t="s">
        <v>997</v>
      </c>
      <c r="C1406" s="4" t="str">
        <f ca="1">IFERROR(__xludf.DUMMYFUNCTION("GOOGLETRANSLATE(A1406, ""auto"", ""bn"")"),"আমার বাবা একজন মদ্যপ এবং সারাদিন ধরেই মদ্যপান করে আসছিলেন, স্বাভাবিক মনে হচ্ছিল খুব বেশি মাতাল নন, তিনি স্বাভাবিকের মতোই ঘুমাতে গেলেন, কিন্তু এখন ভোর ৫:০০ টা বাজে, তিনি উঠে পড়লেন, এবং আমি তার পড়ে যাওয়ার শব্দ শুনতে পেলাম, এবং আমি তাকে দেখতে গেলাম, এবং তিন"&amp;"ি চোখ খোলা রেখেই কাঁপছিলেন, কিন্তু তিনি কোনও সাড়া দিলেন না। এটি মাত্র ৫ মিনিট স্থায়ী হয়েছিল কিন্তু সেই সময়ের মধ্যে আমি অ্যাম্বুলেন্সে ফোন করেছিলাম, কিন্তু এটি বাতিল হয়ে যায় কারণ আমার বাবা উঠে এসে অনুরোধ করেছিলেন যে এটি না আসুক। তিনি এখন পুরোপুরি সুস"&amp;"্থ আছেন, কেবল চোখের নীচে ব্যাগ রয়েছে, কেউ কি জানেন এর কারণ কী? তিনি গত কয়েক রাত ধরে অ্যামিট্রিপটাইলাইনের একটি ভারী ডোজও খাচ্ছিলেন এবং হঠাৎ করেই তা ছেড়ে দিলেন, এটি নিশ্চিত নয় এবং অবশ্যই আমি চিন্তিত কারণ তিনি অ্যাম্বুলেন্স আসতে বা সাহায্য নিতে অস্বীকার "&amp;"করেন।")</f>
        <v>আমার বাবা একজন মদ্যপ এবং সারাদিন ধরেই মদ্যপান করে আসছিলেন, স্বাভাবিক মনে হচ্ছিল খুব বেশি মাতাল নন, তিনি স্বাভাবিকের মতোই ঘুমাতে গেলেন, কিন্তু এখন ভোর ৫:০০ টা বাজে, তিনি উঠে পড়লেন, এবং আমি তার পড়ে যাওয়ার শব্দ শুনতে পেলাম, এবং আমি তাকে দেখতে গেলাম, এবং তিনি চোখ খোলা রেখেই কাঁপছিলেন, কিন্তু তিনি কোনও সাড়া দিলেন না। এটি মাত্র ৫ মিনিট স্থায়ী হয়েছিল কিন্তু সেই সময়ের মধ্যে আমি অ্যাম্বুলেন্সে ফোন করেছিলাম, কিন্তু এটি বাতিল হয়ে যায় কারণ আমার বাবা উঠে এসে অনুরোধ করেছিলেন যে এটি না আসুক। তিনি এখন পুরোপুরি সুস্থ আছেন, কেবল চোখের নীচে ব্যাগ রয়েছে, কেউ কি জানেন এর কারণ কী? তিনি গত কয়েক রাত ধরে অ্যামিট্রিপটাইলাইনের একটি ভারী ডোজও খাচ্ছিলেন এবং হঠাৎ করেই তা ছেড়ে দিলেন, এটি নিশ্চিত নয় এবং অবশ্যই আমি চিন্তিত কারণ তিনি অ্যাম্বুলেন্স আসতে বা সাহায্য নিতে অস্বীকার করেন।</v>
      </c>
    </row>
    <row r="1407" spans="1:3" ht="15" x14ac:dyDescent="0.25">
      <c r="A1407" s="3" t="s">
        <v>1402</v>
      </c>
      <c r="B1407" s="3" t="s">
        <v>997</v>
      </c>
      <c r="C1407" s="4" t="str">
        <f ca="1">IFERROR(__xludf.DUMMYFUNCTION("GOOGLETRANSLATE(A1407, ""auto"", ""bn"")"),"আমি এখনই বলছি। আমার বয়স ২৮, আমি প্রতিদিন মদ্যপান করি, এবং আমি ৮ ঘন্টা ধরে প্রায় ৭-১০টি পানীয় পান করি। তাছাড়া, আমি বিকাল ৫টায় ঘুমাতে শুরু করি এবং রাত ১টার দিকে ঘুমাতে যাই। তাছাড়া, আমার ওজন প্রায় ২৪০ পাউন্ড, এবং আমি বাড়ি থেকে ডেটা বিশ্লেষক হিসেবে কাজ করি,"&amp;" তাই পানীয়ের সাথে সম্পর্কিত ক্যালোরি পোড়ায় না। তাছাড়া, আমার ১ বছরের একটি বাচ্চা আছে, ""প্রাপ্তবয়স্ক"" কাজের জন্য সময়মতো ঘুম থেকে উঠি, সাধারণত দিনের বেলায় ঘুমাই না, এবং আমার ক্যারিয়ারও ক্রমশ এগিয়ে যাচ্ছে। আমি কি মদ্যপ? আমি ধরে নিচ্ছি হ্যাঁ, কিন্তু একই সাথ"&amp;"ে এখন পর্যন্ত একমাত্র নেতিবাচক প্রভাব পড়েছে আর্থিক (মদের খরচ) এবং আমার নিজের মাথায় কম পান করা উচিত এই ভেবে দোষী বিবেকের প্রভাব। কিন্তু আমার অভ্যাসগুলো নিয়ে ভাবার পর আমি সবসময় ভাবি কেন আমার মনে হয় আমার কম পান করা উচিত, যখন সবকিছুই ভালো। এই বিষয়ে অন্যদের ম"&amp;"তামত জানতে আগ্রহী। আমি কি শুধুই একজন অতিরিক্ত মদ্যপায়ী? নাকি আমার কি কোনও মিথ্যা বাস্তবতা থেকে বেরিয়ে আসা উচিত?")</f>
        <v>আমি এখনই বলছি। আমার বয়স ২৮, আমি প্রতিদিন মদ্যপান করি, এবং আমি ৮ ঘন্টা ধরে প্রায় ৭-১০টি পানীয় পান করি। তাছাড়া, আমি বিকাল ৫টায় ঘুমাতে শুরু করি এবং রাত ১টার দিকে ঘুমাতে যাই। তাছাড়া, আমার ওজন প্রায় ২৪০ পাউন্ড, এবং আমি বাড়ি থেকে ডেটা বিশ্লেষক হিসেবে কাজ করি, তাই পানীয়ের সাথে সম্পর্কিত ক্যালোরি পোড়ায় না। তাছাড়া, আমার ১ বছরের একটি বাচ্চা আছে, "প্রাপ্তবয়স্ক" কাজের জন্য সময়মতো ঘুম থেকে উঠি, সাধারণত দিনের বেলায় ঘুমাই না, এবং আমার ক্যারিয়ারও ক্রমশ এগিয়ে যাচ্ছে। আমি কি মদ্যপ? আমি ধরে নিচ্ছি হ্যাঁ, কিন্তু একই সাথে এখন পর্যন্ত একমাত্র নেতিবাচক প্রভাব পড়েছে আর্থিক (মদের খরচ) এবং আমার নিজের মাথায় কম পান করা উচিত এই ভেবে দোষী বিবেকের প্রভাব। কিন্তু আমার অভ্যাসগুলো নিয়ে ভাবার পর আমি সবসময় ভাবি কেন আমার মনে হয় আমার কম পান করা উচিত, যখন সবকিছুই ভালো। এই বিষয়ে অন্যদের মতামত জানতে আগ্রহী। আমি কি শুধুই একজন অতিরিক্ত মদ্যপায়ী? নাকি আমার কি কোনও মিথ্যা বাস্তবতা থেকে বেরিয়ে আসা উচিত?</v>
      </c>
    </row>
    <row r="1408" spans="1:3" ht="15" x14ac:dyDescent="0.25">
      <c r="A1408" s="3" t="s">
        <v>1403</v>
      </c>
      <c r="B1408" s="3" t="s">
        <v>997</v>
      </c>
      <c r="C1408" s="4" t="str">
        <f ca="1">IFERROR(__xludf.DUMMYFUNCTION("GOOGLETRANSLATE(A1408, ""auto"", ""bn"")"),"আমার ৩৮ বছর বয়সী স্ত্রী বছরের পর বছর ধরে প্রতি রাতে দুই বোতল ওয়াইন পান করে আসছেন, এবং সেই সময়ের মধ্যে তার ওজনও কমপক্ষে ১০০ পাউন্ড বেড়েছে। রেকর্ডের জন্য বলতে গেলে, আমি মদ্যপ নই, তবে আমি একজন বোকা মদ্যপ ছিলাম, এবং এই সাব-এর জন্য ধন্যবাদ আমি আর নেই। তাই আমরা"&amp;" তাকে মদ্যপান কমানোর জন্য অনেক চেষ্টা করেছি, AA থেকে Naltrexone এবং এর মধ্যে যেকোনো কিছু (আমার মনে হয়), কিন্তু কিছুই কাজ করেনি! WTF? মনে হচ্ছে সে Naltrexone সহ কিছু নির্দিষ্ট ওষুধের প্রতি অনাক্রম্য! এবং আমাদের অনেক প্রত্যাশা ছিল! তার একজন ডাক্তার আছেন যি"&amp;"নি তাকে Naltrexone অন্য একটি ওষুধের সাথে মিশিয়ে দিয়েছিলেন যা আমি নীল মনে করতে পারছি না, (এবং সে বলে যে সে ""মদ্যপান বন্ধ করতে চায়"", যাই হোক না কেন)। তাহলে আমার প্রশ্ন হল, তোমাদের মধ্যে কেউ কি নীলের কাজ না করার অভিজ্ঞতা পেয়েছে? যখন এমনটা হবে তখন কি কো"&amp;"ন পরিকল্পনা B আছে? সে অন্তত এক বছর ধরে নিলকে পদ্ধতিগতভাবে নিচ্ছে, এবং আমি জানি যে আমাদের আসলে যা দরকার তা হল তার পরিবর্তনের ইচ্ছা, কিন্তু তার খুব কম ইচ্ছাশক্তি আছে, এবং ইতিমধ্যে জীবন চলছে, তাই যদি আমরা অন্য কিছু চেষ্টা করতে পারি তবে আমি জানতে চাই!")</f>
        <v>আমার ৩৮ বছর বয়সী স্ত্রী বছরের পর বছর ধরে প্রতি রাতে দুই বোতল ওয়াইন পান করে আসছেন, এবং সেই সময়ের মধ্যে তার ওজনও কমপক্ষে ১০০ পাউন্ড বেড়েছে। রেকর্ডের জন্য বলতে গেলে, আমি মদ্যপ নই, তবে আমি একজন বোকা মদ্যপ ছিলাম, এবং এই সাব-এর জন্য ধন্যবাদ আমি আর নেই। তাই আমরা তাকে মদ্যপান কমানোর জন্য অনেক চেষ্টা করেছি, AA থেকে Naltrexone এবং এর মধ্যে যেকোনো কিছু (আমার মনে হয়), কিন্তু কিছুই কাজ করেনি! WTF? মনে হচ্ছে সে Naltrexone সহ কিছু নির্দিষ্ট ওষুধের প্রতি অনাক্রম্য! এবং আমাদের অনেক প্রত্যাশা ছিল! তার একজন ডাক্তার আছেন যিনি তাকে Naltrexone অন্য একটি ওষুধের সাথে মিশিয়ে দিয়েছিলেন যা আমি নীল মনে করতে পারছি না, (এবং সে বলে যে সে "মদ্যপান বন্ধ করতে চায়", যাই হোক না কেন)। তাহলে আমার প্রশ্ন হল, তোমাদের মধ্যে কেউ কি নীলের কাজ না করার অভিজ্ঞতা পেয়েছে? যখন এমনটা হবে তখন কি কোন পরিকল্পনা B আছে? সে অন্তত এক বছর ধরে নিলকে পদ্ধতিগতভাবে নিচ্ছে, এবং আমি জানি যে আমাদের আসলে যা দরকার তা হল তার পরিবর্তনের ইচ্ছা, কিন্তু তার খুব কম ইচ্ছাশক্তি আছে, এবং ইতিমধ্যে জীবন চলছে, তাই যদি আমরা অন্য কিছু চেষ্টা করতে পারি তবে আমি জানতে চাই!</v>
      </c>
    </row>
    <row r="1409" spans="1:3" ht="15" x14ac:dyDescent="0.25">
      <c r="A1409" s="3" t="s">
        <v>1404</v>
      </c>
      <c r="B1409" s="3" t="s">
        <v>997</v>
      </c>
      <c r="C1409" s="4" t="str">
        <f ca="1">IFERROR(__xludf.DUMMYFUNCTION("GOOGLETRANSLATE(A1409, ""auto"", ""bn"")"),"বিয়ার পান করার পর এবং পেট ভরে খাওয়ার পর আমার নিজেকে সত্যিকারের শূকরের মতো মনে হয়। আমার মনে হয় এটা মানসিক এবং শারীরিক উভয় দিক থেকেই আমার জন্য অস্বাস্থ্যকর। তাছাড়া, আমার অবশ্যই আরও কার্ডিও করা উচিত। তাছাড়া, আমি ভদকা, ওয়াইন বা অন্য কিছু পান করি না কা"&amp;"রণ এগুলো আমার জন্য মাতাল হওয়ার জন্য অনেক বেশি প্রশস্ত।")</f>
        <v>বিয়ার পান করার পর এবং পেট ভরে খাওয়ার পর আমার নিজেকে সত্যিকারের শূকরের মতো মনে হয়। আমার মনে হয় এটা মানসিক এবং শারীরিক উভয় দিক থেকেই আমার জন্য অস্বাস্থ্যকর। তাছাড়া, আমার অবশ্যই আরও কার্ডিও করা উচিত। তাছাড়া, আমি ভদকা, ওয়াইন বা অন্য কিছু পান করি না কারণ এগুলো আমার জন্য মাতাল হওয়ার জন্য অনেক বেশি প্রশস্ত।</v>
      </c>
    </row>
    <row r="1410" spans="1:3" ht="15" x14ac:dyDescent="0.25">
      <c r="A1410" s="3" t="s">
        <v>1405</v>
      </c>
      <c r="B1410" s="3" t="s">
        <v>997</v>
      </c>
      <c r="C1410" s="4" t="str">
        <f ca="1">IFERROR(__xludf.DUMMYFUNCTION("GOOGLETRANSLATE(A1410, ""auto"", ""bn"")"),"মাতাল হয়ে গিয়েছিলাম এবং আমার স্বাভাবিক কাজ করেছিলাম যেখানে আমার সাথে ঘটে যাওয়া সবকিছু নিয়ে কেঁদেছিলাম। এবারেরটা ভিন্ন ছিল, আমি এমন একজনকে সহিংসতার হুমকি দিয়েছিলাম যাকে আমি অনেক ভালোবাসি। এখন আমি নিজেকে আগের চেয়েও বেশি ঘৃণা করি। সহিংসতার অংশটি আসলে আমার "&amp;"পরিচয় থেকে অনেক দূরে, কাউকে আঘাত করা আমার কখনও মাথায় আসেনি।")</f>
        <v>মাতাল হয়ে গিয়েছিলাম এবং আমার স্বাভাবিক কাজ করেছিলাম যেখানে আমার সাথে ঘটে যাওয়া সবকিছু নিয়ে কেঁদেছিলাম। এবারেরটা ভিন্ন ছিল, আমি এমন একজনকে সহিংসতার হুমকি দিয়েছিলাম যাকে আমি অনেক ভালোবাসি। এখন আমি নিজেকে আগের চেয়েও বেশি ঘৃণা করি। সহিংসতার অংশটি আসলে আমার পরিচয় থেকে অনেক দূরে, কাউকে আঘাত করা আমার কখনও মাথায় আসেনি।</v>
      </c>
    </row>
    <row r="1411" spans="1:3" ht="15" x14ac:dyDescent="0.25">
      <c r="A1411" s="3" t="s">
        <v>1406</v>
      </c>
      <c r="B1411" s="3" t="s">
        <v>997</v>
      </c>
      <c r="C1411" s="4" t="str">
        <f ca="1">IFERROR(__xludf.DUMMYFUNCTION("GOOGLETRANSLATE(A1411, ""auto"", ""bn"")"),"গত রাতে আমি খুব মাতাল হয়ে পড়েছিলাম এবং একজন বয়স্ক লোকের সাথে বাড়ি ফিরেছিলাম, যিনি খুব বেশি মাতাল ছিলেন না। তিনি আমাকে তার বাড়িতে নিয়ে গিয়েছিলেন। আমি একজন পুরুষ। সেখানে আমরা একসাথে পর্নের জন্য হস্তমৈথুন করেছি, কিন্তু আমি তার সাথে কিছু করতে চাইনি। আম"&amp;"ি তার বাড়িতে কয়েকটি পানীয়ও খেয়েছিলাম, আমার মনে হয় না যে সেগুলি স্পাইকযুক্ত ছিল, তবে আমি যখন বাইরে ছিলাম তখন সে কিছু করতে পারত। তারপর আমি তার মেঝেতে ঘুমিয়ে পড়লাম এবং সে তার বিছানায় গেল এবং তারপর আমি জেগে উঠলাম। আমার মনে হয় না সে আমার সাথে কিছু করে"&amp;"ছে, তবে আমার কি চিন্তিত হওয়া উচিত যে সে আমাকে মাদকাসক্ত করেছে এবং আমাকে*পিড করেছে? আমি যৌন যৌন রোগে আক্রান্ত হওয়ার ভয় পাচ্ছি, তাই আমি জিজ্ঞাসা করছি। আমি কি প্যারানয়েড হচ্ছি?")</f>
        <v>গত রাতে আমি খুব মাতাল হয়ে পড়েছিলাম এবং একজন বয়স্ক লোকের সাথে বাড়ি ফিরেছিলাম, যিনি খুব বেশি মাতাল ছিলেন না। তিনি আমাকে তার বাড়িতে নিয়ে গিয়েছিলেন। আমি একজন পুরুষ। সেখানে আমরা একসাথে পর্নের জন্য হস্তমৈথুন করেছি, কিন্তু আমি তার সাথে কিছু করতে চাইনি। আমি তার বাড়িতে কয়েকটি পানীয়ও খেয়েছিলাম, আমার মনে হয় না যে সেগুলি স্পাইকযুক্ত ছিল, তবে আমি যখন বাইরে ছিলাম তখন সে কিছু করতে পারত। তারপর আমি তার মেঝেতে ঘুমিয়ে পড়লাম এবং সে তার বিছানায় গেল এবং তারপর আমি জেগে উঠলাম। আমার মনে হয় না সে আমার সাথে কিছু করেছে, তবে আমার কি চিন্তিত হওয়া উচিত যে সে আমাকে মাদকাসক্ত করেছে এবং আমাকে*পিড করেছে? আমি যৌন যৌন রোগে আক্রান্ত হওয়ার ভয় পাচ্ছি, তাই আমি জিজ্ঞাসা করছি। আমি কি প্যারানয়েড হচ্ছি?</v>
      </c>
    </row>
    <row r="1412" spans="1:3" ht="15" x14ac:dyDescent="0.25">
      <c r="A1412" s="3" t="s">
        <v>1407</v>
      </c>
      <c r="B1412" s="3" t="s">
        <v>997</v>
      </c>
      <c r="C1412" s="4" t="str">
        <f ca="1">IFERROR(__xludf.DUMMYFUNCTION("GOOGLETRANSLATE(A1412, ""auto"", ""bn"")"),"আমার ভাই গত রাতে আমাকে ফোন করে ভয়ানকভাবে মদ্যপানের অভ্যাসে ভুগছে এবং গত ২-৩ বছর ধরে তার মদ্যপানের সমস্যা সম্পর্কে জানতে পেরেছে। আরেক ভাইবোনও এই বিষয়টি নিশ্চিত করেছেন, যিনি তার সাথে থাকতেন, কিন্তু সাহায্য না পাওয়ায় তাকে তাড়িয়ে দিয়েছেন। এখন তিনি একা থা"&amp;"কেন। তিনি অজ্ঞান না হওয়া পর্যন্ত মদ্যপান করবেন (সস্তা ভদকা), ঘুম থেকে উঠে আরও পান করবেন এবং প্রায় ৩ দিন ধরে একটানা মদ্যপান করবেন। মদ্যপানের কারণে অসুস্থ হয়ে তিনি কাজ থেকে বেরিয়ে আসছিলেন এবং এর আগে দুটি চাকরি হারিয়েছিলেন। তাছাড়া, তিনি ভাগ্যবান যে তারা তাক"&amp;"ে এখনই রাখছে, তাদের কর্মী কম এবং সাহায্যের প্রয়োজন। যখন তিনি মদ্যপান করেন না, তখন তিনি খুব ভালোভাবে উপস্থিত থাকেন। তিনি প্রায়শই চাকরির পদোন্নতি, ভ্রমণ বা নতুন গাড়ি নিয়ে কথা বলেন, তবে অর্থের সমস্যাও রয়েছে। গত রাতে তার মদ্যপানের কথা বলতে বলতে, তিনি উদ্"&amp;"বিগ্ন যে তিনি দ্বিমেরু হতে পারেন এবং ৩ দিন ঘুমোবেন না যা তিনি বলেছেন মদ্যপানের জন্য তার সবচেয়ে বড় প্রেরণা, তিনি একজন অভিজ্ঞ সৈনিকও। (ঘুম আসে না, তাই শেষ পর্যন্ত সে মদ্যপান করতে পারে। পারিবারিকভাবে মদ্যপদের মতো লোক আছে যারা এই অভ্যাসকে উৎসাহিত করেছিল।) ত"&amp;"ার ছেলের দেখাশোনা না করার জন্য তাকে প্রায় পুলিশ ডাকতে হয়েছিল। মাতাল থাকার কারণে যে দিনগুলিতে তার প্রাক্তন বান্ধবীরা তাকে পাহারা দিত, সেদিন তার উপর নজর রাখতে হত। এখানে এড়িয়ে যান: তাকে সাহায্য না করে আমি কী করতে পারি? আমি কি তাকে প্রত্যাহারের সময় সাহায্য"&amp;" করতে পারি এবং তাকে AA-তে আনতে পারি? (যখন সে খারাপ বোধ করছে) আমার মনে হয় আমি তাকে একটি খারাপ সময়ে একটি মিটিংয়ে নিয়ে যেতে পারি, কিন্তু তাকে একজন থেরাপিস্টের সাথে দেখা করতে রাজি করতে পারিনি।")</f>
        <v>আমার ভাই গত রাতে আমাকে ফোন করে ভয়ানকভাবে মদ্যপানের অভ্যাসে ভুগছে এবং গত ২-৩ বছর ধরে তার মদ্যপানের সমস্যা সম্পর্কে জানতে পেরেছে। আরেক ভাইবোনও এই বিষয়টি নিশ্চিত করেছেন, যিনি তার সাথে থাকতেন, কিন্তু সাহায্য না পাওয়ায় তাকে তাড়িয়ে দিয়েছেন। এখন তিনি একা থাকেন। তিনি অজ্ঞান না হওয়া পর্যন্ত মদ্যপান করবেন (সস্তা ভদকা), ঘুম থেকে উঠে আরও পান করবেন এবং প্রায় ৩ দিন ধরে একটানা মদ্যপান করবেন। মদ্যপানের কারণে অসুস্থ হয়ে তিনি কাজ থেকে বেরিয়ে আসছিলেন এবং এর আগে দুটি চাকরি হারিয়েছিলেন। তাছাড়া, তিনি ভাগ্যবান যে তারা তাকে এখনই রাখছে, তাদের কর্মী কম এবং সাহায্যের প্রয়োজন। যখন তিনি মদ্যপান করেন না, তখন তিনি খুব ভালোভাবে উপস্থিত থাকেন। তিনি প্রায়শই চাকরির পদোন্নতি, ভ্রমণ বা নতুন গাড়ি নিয়ে কথা বলেন, তবে অর্থের সমস্যাও রয়েছে। গত রাতে তার মদ্যপানের কথা বলতে বলতে, তিনি উদ্বিগ্ন যে তিনি দ্বিমেরু হতে পারেন এবং ৩ দিন ঘুমোবেন না যা তিনি বলেছেন মদ্যপানের জন্য তার সবচেয়ে বড় প্রেরণা, তিনি একজন অভিজ্ঞ সৈনিকও। (ঘুম আসে না, তাই শেষ পর্যন্ত সে মদ্যপান করতে পারে। পারিবারিকভাবে মদ্যপদের মতো লোক আছে যারা এই অভ্যাসকে উৎসাহিত করেছিল।) তার ছেলের দেখাশোনা না করার জন্য তাকে প্রায় পুলিশ ডাকতে হয়েছিল। মাতাল থাকার কারণে যে দিনগুলিতে তার প্রাক্তন বান্ধবীরা তাকে পাহারা দিত, সেদিন তার উপর নজর রাখতে হত। এখানে এড়িয়ে যান: তাকে সাহায্য না করে আমি কী করতে পারি? আমি কি তাকে প্রত্যাহারের সময় সাহায্য করতে পারি এবং তাকে AA-তে আনতে পারি? (যখন সে খারাপ বোধ করছে) আমার মনে হয় আমি তাকে একটি খারাপ সময়ে একটি মিটিংয়ে নিয়ে যেতে পারি, কিন্তু তাকে একজন থেরাপিস্টের সাথে দেখা করতে রাজি করতে পারিনি।</v>
      </c>
    </row>
    <row r="1413" spans="1:3" ht="15" x14ac:dyDescent="0.25">
      <c r="A1413" s="3" t="s">
        <v>1408</v>
      </c>
      <c r="B1413" s="3" t="s">
        <v>997</v>
      </c>
      <c r="C1413" s="4" t="str">
        <f ca="1">IFERROR(__xludf.DUMMYFUNCTION("GOOGLETRANSLATE(A1413, ""auto"", ""bn"")"),"আমি এমন একজন মানুষ ছিলাম যে একবার মদ্যপান শুরু করলে থামতে পারত না, আমি অনেক টাকা নষ্ট করতাম এবং ওজন বেড়ে যেত। মাতাল অবস্থায় টেক্সট মেসেজ করে বন্ধুত্ব বা সম্ভাব্য সঙ্গী নষ্ট করে দিতাম। যতবারই থামানোর চেষ্টা করতাম, এক বা দুই মাস পর আবার মদ্যপান শুরু করতাম"&amp;", আশা করি এখন থেকে এক বছর পর আবার মদ্যপান শুরু করব। আমি ইতিমধ্যেই ভালো ঘুমাই, ভালো ব্যায়াম করি, কম টাকা খরচ করি এবং প্রতিদিন আরও বেশি কিছু করি।")</f>
        <v>আমি এমন একজন মানুষ ছিলাম যে একবার মদ্যপান শুরু করলে থামতে পারত না, আমি অনেক টাকা নষ্ট করতাম এবং ওজন বেড়ে যেত। মাতাল অবস্থায় টেক্সট মেসেজ করে বন্ধুত্ব বা সম্ভাব্য সঙ্গী নষ্ট করে দিতাম। যতবারই থামানোর চেষ্টা করতাম, এক বা দুই মাস পর আবার মদ্যপান শুরু করতাম, আশা করি এখন থেকে এক বছর পর আবার মদ্যপান শুরু করব। আমি ইতিমধ্যেই ভালো ঘুমাই, ভালো ব্যায়াম করি, কম টাকা খরচ করি এবং প্রতিদিন আরও বেশি কিছু করি।</v>
      </c>
    </row>
    <row r="1414" spans="1:3" ht="15" x14ac:dyDescent="0.25">
      <c r="A1414" s="3" t="s">
        <v>1409</v>
      </c>
      <c r="B1414" s="3" t="s">
        <v>997</v>
      </c>
      <c r="C1414" s="4" t="str">
        <f ca="1">IFERROR(__xludf.DUMMYFUNCTION("GOOGLETRANSLATE(A1414, ""auto"", ""bn"")"),"আমি পানও করতে পারিনি, আর আমার শরীর মনে করছে এটা প্রত্যাহারের সময়। অথবা হয়তো এটা শুধু একটা খারাপ আকাঙ্ক্ষা। যাই হোক, আমি অসুস্থ বোধ করছি। আর চার মাসেরও বেশি সময় ধরে। মনে হচ্ছে নালট্রেক্সোন সত্যিকারের প্রত্যাহার আটকে রেখেছিল এবং এখন আমি তা বুঝতে পারছি। আ"&amp;"মি খুব বেশি ভয় পাচ্ছি না যে আমি আবারও প্রত্যাহার করতে যাচ্ছি। এটা কেবল শারীরিকভাবে অপ্রীতিকর।")</f>
        <v>আমি পানও করতে পারিনি, আর আমার শরীর মনে করছে এটা প্রত্যাহারের সময়। অথবা হয়তো এটা শুধু একটা খারাপ আকাঙ্ক্ষা। যাই হোক, আমি অসুস্থ বোধ করছি। আর চার মাসেরও বেশি সময় ধরে। মনে হচ্ছে নালট্রেক্সোন সত্যিকারের প্রত্যাহার আটকে রেখেছিল এবং এখন আমি তা বুঝতে পারছি। আমি খুব বেশি ভয় পাচ্ছি না যে আমি আবারও প্রত্যাহার করতে যাচ্ছি। এটা কেবল শারীরিকভাবে অপ্রীতিকর।</v>
      </c>
    </row>
    <row r="1415" spans="1:3" ht="15" x14ac:dyDescent="0.25">
      <c r="A1415" s="3" t="s">
        <v>1410</v>
      </c>
      <c r="B1415" s="3" t="s">
        <v>997</v>
      </c>
      <c r="C1415" s="4" t="str">
        <f ca="1">IFERROR(__xludf.DUMMYFUNCTION("GOOGLETRANSLATE(A1415, ""auto"", ""bn"")"),"গত এক বছর ধরে আমি মদ্যপানের নেশায় ভুগছি। অ্যালকোহলের সাথে আমার সম্পর্ক কখনোই সুস্থ ছিল না। আমি কখনোই কেবল একবার পান করতে পারিনি। কিন্তু মহামারীর সময় (অন্য অনেকের মতো) আমিও প্রতিদিন অতিরিক্ত মদ্যপান করতে শুরু করেছিলাম। পরিবার, মেয়ে এবং স্বামীর কাছ থেকে "&amp;"লুকিয়ে রেখেছিলাম (অন্তত আমি ভেবেছিলাম আমি তাই করেছি)। গত দুই মাস দুঃস্বপ্নে পরিণত হয়েছিল। আমি কেবল আমার পরবর্তী পানীয় কেনা, পরিকল্পনা করা এবং লুকিয়ে রাখার কথা ভাবছিলাম। শারীরিক এবং মানসিকভাবে আমার কেমন যেন খারাপ লাগছিল। বমি বমি ভাব, পেটে ব্যথা, মাথা ক"&amp;"ুয়াশাচ্ছন্ন, ক্লান্ত, আমার ত্বক নষ্ট হয়ে গেছে এবং আমার চুল পড়তে শুরু করেছে। আমি নিজেকে ভাবতে শুরু করেছিলাম যে আমি মারা যাওয়াই ভালো। হৃদস্পন্দনের জন্য থ্যাঙ্কসগিভিংয়ের আগে আমাকে হাসপাতালে ভর্তি করা হয়েছিল। দেখা গেল আমার পটাশিয়ামের মাত্রা অত্যন্ত কমে"&amp;" গেছে (কেন অনুমান?) ডাক্তারদের সাথে সৎ না হয়েই আমাকে ছেড়ে দেওয়া হয়েছিল। আমি নিশ্চিত তারা জানত এর কারণ কী। তদুপরি, আমি আমার বিপাকীয় প্যানেল ফিরে পেয়েছি এবং ঠিক যেমনটি কেউ অনুমান করতে পারে? তদুপরি, আমার মদ্যপানের সমস্ত স্পষ্ট লক্ষণ ছিল। কিন্তু আমি এখন"&amp;"ও ""বড়দিনের পরে আমি এটি মোকাবেলা করব?"" এই অজুহাতে বোতলটি মারলাম। আমি সাহসী মুখ দেখালাম, কিন্তু পুরো ছুটির দিনটা আমার খুব খারাপ কেটেছে। কিন্তু আমার মধ্যে একটা ছোট্ট ঝলক সবসময়ই থেকে যেত, তা হলো ""এটা তাই না, তোমার জন্য অন্য কিছু আছে?""। বৃহস্পতিবার আমি গ"&amp;"াড়ি চালাচ্ছিলাম এবং রাস্তার ধার থেকে গাড়ি চালানোর কথা ভাবছিলাম। আমি আমার স্বামীকে একটি চিঠি লিখেছিলাম, আমার আসক্তির জন্য আমি এখনও এত লজ্জা পাচ্ছিলাম যে জোরে বা তার মুখের কাছে এটা বলতে পারছিলাম না। এবং মূলত বলেছিলাম যে আমি অন্ধকার জায়গায় ডুবে যাচ্ছি এব"&amp;"ং আমি হারিয়ে গেছি। তাকে গাড়ির ঘটনার কথা বলেছিলাম এবং এটি আমাকে ভয় পেয়েছিল। তাকে বলেছিলাম যে সাহায্য না পাওয়া পর্যন্ত আমি একজন ভালো স্ত্রী বা মা হতে পারব না। আমার সমস্ত মদ ফেলে দিয়ে ER-তে গেলাম। 30 মিনিট গাড়িতে বসে নিজেকে জিজ্ঞাসা করলাম যে আমি সত্যি"&amp;"ই এটা করতে পারি কিনা, এবং আমি করেছি। আমি সম্পূর্ণ সৎ ছিলাম এবং মেডিকেল ডিটক্স শুরু করেছি। কর্মীরা, যাদের আমি ভয় পেয়েছিলাম তারা বিচার করবে, তারা সুন্দর এবং সহায়ক ছিল। এবং আমার পরিবারও তাই। বর্তমানে, তরল এবং প্রচুর ভিটামিন সহ Librium এবং Divan-এ আছি। ডিট"&amp;"ক্সের পর, আমি একটি নিবিড় বহির্বিভাগীয় পুনর্বাসন প্রোগ্রামে প্রবেশ করব। আমি জানি এটি আমার সবচেয়ে কঠিন কাজগুলির মধ্যে একটি হতে চলেছে, তবে আমি বোঝামুক্ত হতে প্রস্তুত। অ্যালকোহল আমার ঘাড়ে ভারী বোঝার মতো মনে হচ্ছে। এর ফলে সৃষ্ট সমস্যাগুলি সমাধান করার জন্য "&amp;"অ্যালকোহল ব্যবহার করলে আমি মারা যেতাম। কিন্তু আমি এটাই করছিলাম। কেবল স্বস্তি, ভাগ্যবান এবং সুবিধাপ্রাপ্ত বোধ করছি। আমি আশা করি অন্য কেউ গুলিটি কামড়াবে, সাহসী হবে এবং সাহায্যের জন্য যাবে।")</f>
        <v>গত এক বছর ধরে আমি মদ্যপানের নেশায় ভুগছি। অ্যালকোহলের সাথে আমার সম্পর্ক কখনোই সুস্থ ছিল না। আমি কখনোই কেবল একবার পান করতে পারিনি। কিন্তু মহামারীর সময় (অন্য অনেকের মতো) আমিও প্রতিদিন অতিরিক্ত মদ্যপান করতে শুরু করেছিলাম। পরিবার, মেয়ে এবং স্বামীর কাছ থেকে লুকিয়ে রেখেছিলাম (অন্তত আমি ভেবেছিলাম আমি তাই করেছি)। গত দুই মাস দুঃস্বপ্নে পরিণত হয়েছিল। আমি কেবল আমার পরবর্তী পানীয় কেনা, পরিকল্পনা করা এবং লুকিয়ে রাখার কথা ভাবছিলাম। শারীরিক এবং মানসিকভাবে আমার কেমন যেন খারাপ লাগছিল। বমি বমি ভাব, পেটে ব্যথা, মাথা কুয়াশাচ্ছন্ন, ক্লান্ত, আমার ত্বক নষ্ট হয়ে গেছে এবং আমার চুল পড়তে শুরু করেছে। আমি নিজেকে ভাবতে শুরু করেছিলাম যে আমি মারা যাওয়াই ভালো। হৃদস্পন্দনের জন্য থ্যাঙ্কসগিভিংয়ের আগে আমাকে হাসপাতালে ভর্তি করা হয়েছিল। দেখা গেল আমার পটাশিয়ামের মাত্রা অত্যন্ত কমে গেছে (কেন অনুমান?) ডাক্তারদের সাথে সৎ না হয়েই আমাকে ছেড়ে দেওয়া হয়েছিল। আমি নিশ্চিত তারা জানত এর কারণ কী। তদুপরি, আমি আমার বিপাকীয় প্যানেল ফিরে পেয়েছি এবং ঠিক যেমনটি কেউ অনুমান করতে পারে? তদুপরি, আমার মদ্যপানের সমস্ত স্পষ্ট লক্ষণ ছিল। কিন্তু আমি এখনও "বড়দিনের পরে আমি এটি মোকাবেলা করব?" এই অজুহাতে বোতলটি মারলাম। আমি সাহসী মুখ দেখালাম, কিন্তু পুরো ছুটির দিনটা আমার খুব খারাপ কেটেছে। কিন্তু আমার মধ্যে একটা ছোট্ট ঝলক সবসময়ই থেকে যেত, তা হলো "এটা তাই না, তোমার জন্য অন্য কিছু আছে?"। বৃহস্পতিবার আমি গাড়ি চালাচ্ছিলাম এবং রাস্তার ধার থেকে গাড়ি চালানোর কথা ভাবছিলাম। আমি আমার স্বামীকে একটি চিঠি লিখেছিলাম, আমার আসক্তির জন্য আমি এখনও এত লজ্জা পাচ্ছিলাম যে জোরে বা তার মুখের কাছে এটা বলতে পারছিলাম না। এবং মূলত বলেছিলাম যে আমি অন্ধকার জায়গায় ডুবে যাচ্ছি এবং আমি হারিয়ে গেছি। তাকে গাড়ির ঘটনার কথা বলেছিলাম এবং এটি আমাকে ভয় পেয়েছিল। তাকে বলেছিলাম যে সাহায্য না পাওয়া পর্যন্ত আমি একজন ভালো স্ত্রী বা মা হতে পারব না। আমার সমস্ত মদ ফেলে দিয়ে ER-তে গেলাম। 30 মিনিট গাড়িতে বসে নিজেকে জিজ্ঞাসা করলাম যে আমি সত্যিই এটা করতে পারি কিনা, এবং আমি করেছি। আমি সম্পূর্ণ সৎ ছিলাম এবং মেডিকেল ডিটক্স শুরু করেছি। কর্মীরা, যাদের আমি ভয় পেয়েছিলাম তারা বিচার করবে, তারা সুন্দর এবং সহায়ক ছিল। এবং আমার পরিবারও তাই। বর্তমানে, তরল এবং প্রচুর ভিটামিন সহ Librium এবং Divan-এ আছি। ডিটক্সের পর, আমি একটি নিবিড় বহির্বিভাগীয় পুনর্বাসন প্রোগ্রামে প্রবেশ করব। আমি জানি এটি আমার সবচেয়ে কঠিন কাজগুলির মধ্যে একটি হতে চলেছে, তবে আমি বোঝামুক্ত হতে প্রস্তুত। অ্যালকোহল আমার ঘাড়ে ভারী বোঝার মতো মনে হচ্ছে। এর ফলে সৃষ্ট সমস্যাগুলি সমাধান করার জন্য অ্যালকোহল ব্যবহার করলে আমি মারা যেতাম। কিন্তু আমি এটাই করছিলাম। কেবল স্বস্তি, ভাগ্যবান এবং সুবিধাপ্রাপ্ত বোধ করছি। আমি আশা করি অন্য কেউ গুলিটি কামড়াবে, সাহসী হবে এবং সাহায্যের জন্য যাবে।</v>
      </c>
    </row>
    <row r="1416" spans="1:3" ht="15" x14ac:dyDescent="0.25">
      <c r="A1416" s="3" t="s">
        <v>1411</v>
      </c>
      <c r="B1416" s="3" t="s">
        <v>997</v>
      </c>
      <c r="C1416" s="4" t="str">
        <f ca="1">IFERROR(__xludf.DUMMYFUNCTION("GOOGLETRANSLATE(A1416, ""auto"", ""bn"")"),"২৭/F আমি ১২ বছর ধরে মদ্যপান করছি, এবং বেশিরভাগ সময়ই এটি ব্ল্যাকআউটের পর্যায়ে পৌঁছেছে। আমার জীবনের বেশিরভাগ সময়ই আমি মনে করতে পারছি না কারণ আমি পুরো সময় ব্ল্যাকআউট ছিলাম। ব্ল্যাকআউট হওয়ার কারণে আমার উপর ৪ বার আলাদাভাবে আক্রমণ করা হয়েছিল এবং আমি ভেবেছ"&amp;"িলাম যে অন্য সবাইও এইভাবে মদ্যপান করেছিল এবং খারাপ ঘটনাগুলি উভয় ক্ষেত্রেই ঘটেছে, এবং আমি এখন বুঝতে পারছি যে তারা তা করে না এবং আমার একটি সমস্যা আছে। তাছাড়া, আমি ভেবেছিলাম এটি স্বাভাবিক ছিল, এবং আমি এটি নিয়ন্ত্রণে রেখেছিলাম যতক্ষণ না আমি নিজে থেকে ত্যাগ "&amp;"করার চেষ্টা করেছিলাম এবং বেশ কয়েকবার ব্যর্থ হয়েছিলাম? তাই আমি পুনর্বাসনের জন্য যাচ্ছি বন্ধুরা!")</f>
        <v>২৭/F আমি ১২ বছর ধরে মদ্যপান করছি, এবং বেশিরভাগ সময়ই এটি ব্ল্যাকআউটের পর্যায়ে পৌঁছেছে। আমার জীবনের বেশিরভাগ সময়ই আমি মনে করতে পারছি না কারণ আমি পুরো সময় ব্ল্যাকআউট ছিলাম। ব্ল্যাকআউট হওয়ার কারণে আমার উপর ৪ বার আলাদাভাবে আক্রমণ করা হয়েছিল এবং আমি ভেবেছিলাম যে অন্য সবাইও এইভাবে মদ্যপান করেছিল এবং খারাপ ঘটনাগুলি উভয় ক্ষেত্রেই ঘটেছে, এবং আমি এখন বুঝতে পারছি যে তারা তা করে না এবং আমার একটি সমস্যা আছে। তাছাড়া, আমি ভেবেছিলাম এটি স্বাভাবিক ছিল, এবং আমি এটি নিয়ন্ত্রণে রেখেছিলাম যতক্ষণ না আমি নিজে থেকে ত্যাগ করার চেষ্টা করেছিলাম এবং বেশ কয়েকবার ব্যর্থ হয়েছিলাম? তাই আমি পুনর্বাসনের জন্য যাচ্ছি বন্ধুরা!</v>
      </c>
    </row>
    <row r="1417" spans="1:3" ht="15" x14ac:dyDescent="0.25">
      <c r="A1417" s="3" t="s">
        <v>1412</v>
      </c>
      <c r="B1417" s="3" t="s">
        <v>997</v>
      </c>
      <c r="C1417" s="4" t="str">
        <f ca="1">IFERROR(__xludf.DUMMYFUNCTION("GOOGLETRANSLATE(A1417, ""auto"", ""bn"")"),"আমার বয়স ২৮ বছর। আমার একজন সুন্দরী স্ত্রী এবং ৩ জন অসাধারণ সন্তান আছে। ২১ বছর বয়স থেকেই আমার মদ্যপানের সমস্যা ছিল। দিনে ১২-১৮ বার বিয়ার। আমি প্রতিদিন নিজেকে বলি ""আজই সেই দিন"" কিন্তু তা কখনোই হয় না। আমি নিজেকে শুধু মদ্যপান না করার জন্য অনুরোধ করি, কি"&amp;"ন্তু সবসময় নিজেকে হতাশ করি। তাছাড়া, আমি এমন এক আবর্জনার টুকরো যে নিজেকে নিয়ন্ত্রণ করতে পারে না। কান্না করা ছাড়া আর কী করার আছে আমার মনে হয় না এবং আশা করি একদিন আমি ছেড়ে দেব।")</f>
        <v>আমার বয়স ২৮ বছর। আমার একজন সুন্দরী স্ত্রী এবং ৩ জন অসাধারণ সন্তান আছে। ২১ বছর বয়স থেকেই আমার মদ্যপানের সমস্যা ছিল। দিনে ১২-১৮ বার বিয়ার। আমি প্রতিদিন নিজেকে বলি "আজই সেই দিন" কিন্তু তা কখনোই হয় না। আমি নিজেকে শুধু মদ্যপান না করার জন্য অনুরোধ করি, কিন্তু সবসময় নিজেকে হতাশ করি। তাছাড়া, আমি এমন এক আবর্জনার টুকরো যে নিজেকে নিয়ন্ত্রণ করতে পারে না। কান্না করা ছাড়া আর কী করার আছে আমার মনে হয় না এবং আশা করি একদিন আমি ছেড়ে দেব।</v>
      </c>
    </row>
    <row r="1418" spans="1:3" ht="15" x14ac:dyDescent="0.25">
      <c r="A1418" s="3" t="s">
        <v>1413</v>
      </c>
      <c r="B1418" s="3" t="s">
        <v>997</v>
      </c>
      <c r="C1418" s="4" t="str">
        <f ca="1">IFERROR(__xludf.DUMMYFUNCTION("GOOGLETRANSLATE(A1418, ""auto"", ""bn"")"),"শুধু বসে বসে ধূমপান করছি আর গান শুনছি, আর আমার তো কথা বলার জন্য কারোর প্রয়োজন, তাই যদি তোমার শোনা বা সম্পর্কিত বোধ করার প্রয়োজন হয়, অথবা শুধু বকবক করতে চাও, তাহলে তোমার একটা নিরাপদ জায়গা আছে, আর তুমি আমাকে মারতে পারো, আর তুমি চাইলে আমরা বাজে কথা বলতে পারি"&amp;"। আমি জানি এটা কেমন হয়।")</f>
        <v>শুধু বসে বসে ধূমপান করছি আর গান শুনছি, আর আমার তো কথা বলার জন্য কারোর প্রয়োজন, তাই যদি তোমার শোনা বা সম্পর্কিত বোধ করার প্রয়োজন হয়, অথবা শুধু বকবক করতে চাও, তাহলে তোমার একটা নিরাপদ জায়গা আছে, আর তুমি আমাকে মারতে পারো, আর তুমি চাইলে আমরা বাজে কথা বলতে পারি। আমি জানি এটা কেমন হয়।</v>
      </c>
    </row>
    <row r="1419" spans="1:3" ht="15" x14ac:dyDescent="0.25">
      <c r="A1419" s="3" t="s">
        <v>1414</v>
      </c>
      <c r="B1419" s="3" t="s">
        <v>997</v>
      </c>
      <c r="C1419" s="4" t="str">
        <f ca="1">IFERROR(__xludf.DUMMYFUNCTION("GOOGLETRANSLATE(A1419, ""auto"", ""bn"")"),"এটা স্পষ্টতই অ্যাপের দোষ নয়। কিন্তু যেহেতু এটি আপনাকে বেশিরভাগ ভিডিওগুলি দেখায় যা আপনি আগে পছন্দ করেছেন তার উপর ভিত্তি করে, তাই অনেক সময় আমি মদ্যপান, পার্টি ইত্যাদি সম্পর্কে কিছু সম্পর্কিত মিম দেখতে পাই। কিছু আসলে সান্ত্বনাদায়ক এবং সহায়ক, কিন্তু অন্য"&amp;"রা... ঠিক আছে। ততটা নয়। এটি আরও খারাপ, যখন এটি আমাকে আমার সমস্যার কথা মনে করিয়ে দেয়। আমি স্বয়ংক্রিয়ভাবে অন্যদের সাথে নিজেকে তুলনা করতে শুরু করি, হঠাৎ চিন্তাভাবনা, সম্ভাব্য সমাধান এবং পরিবর্তনের ঘূর্ণায়মান হয়ে যাই... এবং তারপরে আমি অন্য কোনও কিছুতে "&amp;"মনোনিবেশ করতে পারি না। আমি আমার ফোন থেকে অ্যাপটি সম্পূর্ণরূপে মুছে ফেলব না, আমাকে ট্রিগার করা সবকিছু ব্লক করব না, কারণ এটি আসলে অসম্ভব। এছাড়াও, বেশিরভাগ সময় আমি এই ভিডিওগুলি উপভোগ করি। পুরো ""আপনার জন্য"" পৃষ্ঠাটি এই ধরণের জিনিস দিয়ে ভরা। এখানে কেউ কি "&amp;"সম্পর্কিত হতে পারেন? আমার ইংরেজির জন্য দুঃখিত।")</f>
        <v>এটা স্পষ্টতই অ্যাপের দোষ নয়। কিন্তু যেহেতু এটি আপনাকে বেশিরভাগ ভিডিওগুলি দেখায় যা আপনি আগে পছন্দ করেছেন তার উপর ভিত্তি করে, তাই অনেক সময় আমি মদ্যপান, পার্টি ইত্যাদি সম্পর্কে কিছু সম্পর্কিত মিম দেখতে পাই। কিছু আসলে সান্ত্বনাদায়ক এবং সহায়ক, কিন্তু অন্যরা... ঠিক আছে। ততটা নয়। এটি আরও খারাপ, যখন এটি আমাকে আমার সমস্যার কথা মনে করিয়ে দেয়। আমি স্বয়ংক্রিয়ভাবে অন্যদের সাথে নিজেকে তুলনা করতে শুরু করি, হঠাৎ চিন্তাভাবনা, সম্ভাব্য সমাধান এবং পরিবর্তনের ঘূর্ণায়মান হয়ে যাই... এবং তারপরে আমি অন্য কোনও কিছুতে মনোনিবেশ করতে পারি না। আমি আমার ফোন থেকে অ্যাপটি সম্পূর্ণরূপে মুছে ফেলব না, আমাকে ট্রিগার করা সবকিছু ব্লক করব না, কারণ এটি আসলে অসম্ভব। এছাড়াও, বেশিরভাগ সময় আমি এই ভিডিওগুলি উপভোগ করি। পুরো "আপনার জন্য" পৃষ্ঠাটি এই ধরণের জিনিস দিয়ে ভরা। এখানে কেউ কি সম্পর্কিত হতে পারেন? আমার ইংরেজির জন্য দুঃখিত।</v>
      </c>
    </row>
    <row r="1420" spans="1:3" ht="15" x14ac:dyDescent="0.25">
      <c r="A1420" s="3" t="s">
        <v>1415</v>
      </c>
      <c r="B1420" s="3" t="s">
        <v>997</v>
      </c>
      <c r="C1420" s="4" t="str">
        <f ca="1">IFERROR(__xludf.DUMMYFUNCTION("GOOGLETRANSLATE(A1420, ""auto"", ""bn"")"),"আমি মাদকাসক্ত এবং মদ্যপদের পরিবারে বড় হয়েছি। আমার বাবা ছিলেন একজন বিরাট মাতাল কোক নেশাগ্রস্ত এবং আমার মা ছিলেন একজন মেথ নেশাগ্রস্ত। আমি যখন মেথের জন্য মাঝখানে ছিলাম তখন তিনি জেলে গিয়েছিলেন এবং আমার বয়স ২০ বছর না হওয়া পর্যন্ত তিনি বের হননি। আমার বাবা "&amp;"১৫ বছর বয়সে আমাদের ছেড়ে চলে গিয়েছিলেন, এবং আমার বয়স ২০ এর মাঝামাঝি না হওয়া পর্যন্ত আমি অসংখ্য প্রেমিক-প্রেমিকার সাথে থাকতাম। অবশেষে আমি নিজের জন্য ছাত্র ঋণের জন্য স্বাক্ষর করতে সক্ষম হয়েছিলাম এবং একজন পেশাদার হিসেবে কর্পোরেট জগতে আমার পথ তৈরি করার স"&amp;"িদ্ধান্ত নিয়েছিলাম। এই সময়ে আমি একজন বিরাট মদ্যপ কোক নেশাগ্রস্ত এবং হেরোইনের আসক্ত ছিলাম। ২৩ বছর বয়সে আমি হেরোইনের জন্য পুনর্বাসনে গিয়েছিলাম, কিন্তু ২৪ বছর বয়সে আবার তা শুরু করে দিয়েছিলাম। আমি কালো হয়ে গেছি, ধর্ষণের শিকার হয়েছি, মজা করার জন্য পতিত"&amp;"াবৃত্তি করেছি... তাছাড়া, আমি যা কিছু করেছি তার সবই বলতে চাইছি। ৩০ বছর বয়সে, আমি আমার অতি-রক্ষণশীল স্বামীর সাথে দেখা করি এবং তার দুটি সন্তান হয়। সে মদ্যপান করতে পছন্দ করে, কিন্তু আমার মতো মাতাল নয়। যেহেতু আমি একজন কর্মক্ষম মদ্যপ এবং উদ্যোক্তা, তাই আমি "&amp;"যা করি তাতে তার কিছু যায় আসে না। আমার দুটি ছোট বাচ্চা আছে যারা আমার মদ্যপানের জন্য খুবই উদ্দীপক। আমি প্রতিদিন সারাদিন মদ্যপান করি, শুধু এই সত্যের সাথে মানিয়ে নিতে যে আমাকে কোনও কিছুর যত্ন নিতে হবে। তাছাড়া, আমি কমপক্ষে ১০ বছর ধরে মাদক গ্রহণ করিনি। তাছাড"&amp;"়া, আমি ড্রাই জানুয়ারী করার চেষ্টা করেছি, কিন্তু আমার তাতে কিছু যায় আসে না। তাছাড়া, আমি মনে করি আমি নিজেকে মৃত্যুর দিকে ঠেলে দেওয়ার চেষ্টা করছি। তাছাড়া, আমি জীবনের প্রতিটি লক্ষ্য অর্জন করেছি, এবং এটি কোনও গুরুত্বপূর্ণ বিষয় বলে মনে হয় না। তাছাড়া, আ"&amp;"মি কেবল পরোয়া করি না। তাছাড়া, আমি ধনী নই, তাই আমি ৯০ দিনের বিশ্রাম নিতে পারি না একটি জাদুকরী অ্যালকোহল মুক্ত রিসোর্টে। যদি আমি মদ্যপান বন্ধ করে দিই তবে আমার মনে হয় আমি কেবল একজন ড্রাই ড্রাঙ্ক হব। আমি সত্যিই সংযত থাকতে ঘৃণা করি। যখন আমি গর্ভবতী ছিলাম এব"&amp;"ং বুকের দুধ খাওয়াচ্ছিলাম তখন আমি মদ্যপান করতাম না, এবং আমি প্রতি মিনিট গুনতাম যতক্ষণ না আমি আবার পান করতে পারতাম। আমি বছরের পর বছর থেরাপি করেছি, উদ্বেগ/বিষণ্ণতা বিরোধী বড়ি খেয়েছি, AA চেষ্টা করেছি - এমনকি কিছুই আমার আচরণে কোনও পরিবর্তন আনে না। আমি জানি "&amp;"না কীভাবে পরিবর্তন করব, কারণ আমার মনে হয় আমার স্বাস্থ্য ছাড়া অন্য কোনও কারণ নেই। তাছাড়া, আমি জানি আমি ধীরে ধীরে আত্মহত্যা করছি, কিন্তু কেউ কি পাত্তা দেবে? তাছাড়া, আমি জানি যারা পোস্ট করে তারা সবাই আমার উপর খারাপ ব্যবহার করবে, কিন্তু আমি একজন সত্যিকারের "&amp;"মানুষ এবং আমার মতো অনেক মদ্যপ এইরকম অনুভব করে। কেউ কি কখনও এর থেকে মুক্তির উপায় খুঁজে পেয়েছে? আমি ১২ বছর বয়স থেকেই মদ্যপ। কয়েক মাসের মধ্যে আমার বয়স ৪০ হবে।")</f>
        <v>আমি মাদকাসক্ত এবং মদ্যপদের পরিবারে বড় হয়েছি। আমার বাবা ছিলেন একজন বিরাট মাতাল কোক নেশাগ্রস্ত এবং আমার মা ছিলেন একজন মেথ নেশাগ্রস্ত। আমি যখন মেথের জন্য মাঝখানে ছিলাম তখন তিনি জেলে গিয়েছিলেন এবং আমার বয়স ২০ বছর না হওয়া পর্যন্ত তিনি বের হননি। আমার বাবা ১৫ বছর বয়সে আমাদের ছেড়ে চলে গিয়েছিলেন, এবং আমার বয়স ২০ এর মাঝামাঝি না হওয়া পর্যন্ত আমি অসংখ্য প্রেমিক-প্রেমিকার সাথে থাকতাম। অবশেষে আমি নিজের জন্য ছাত্র ঋণের জন্য স্বাক্ষর করতে সক্ষম হয়েছিলাম এবং একজন পেশাদার হিসেবে কর্পোরেট জগতে আমার পথ তৈরি করার সিদ্ধান্ত নিয়েছিলাম। এই সময়ে আমি একজন বিরাট মদ্যপ কোক নেশাগ্রস্ত এবং হেরোইনের আসক্ত ছিলাম। ২৩ বছর বয়সে আমি হেরোইনের জন্য পুনর্বাসনে গিয়েছিলাম, কিন্তু ২৪ বছর বয়সে আবার তা শুরু করে দিয়েছিলাম। আমি কালো হয়ে গেছি, ধর্ষণের শিকার হয়েছি, মজা করার জন্য পতিতাবৃত্তি করেছি... তাছাড়া, আমি যা কিছু করেছি তার সবই বলতে চাইছি। ৩০ বছর বয়সে, আমি আমার অতি-রক্ষণশীল স্বামীর সাথে দেখা করি এবং তার দুটি সন্তান হয়। সে মদ্যপান করতে পছন্দ করে, কিন্তু আমার মতো মাতাল নয়। যেহেতু আমি একজন কর্মক্ষম মদ্যপ এবং উদ্যোক্তা, তাই আমি যা করি তাতে তার কিছু যায় আসে না। আমার দুটি ছোট বাচ্চা আছে যারা আমার মদ্যপানের জন্য খুবই উদ্দীপক। আমি প্রতিদিন সারাদিন মদ্যপান করি, শুধু এই সত্যের সাথে মানিয়ে নিতে যে আমাকে কোনও কিছুর যত্ন নিতে হবে। তাছাড়া, আমি কমপক্ষে ১০ বছর ধরে মাদক গ্রহণ করিনি। তাছাড়া, আমি ড্রাই জানুয়ারী করার চেষ্টা করেছি, কিন্তু আমার তাতে কিছু যায় আসে না। তাছাড়া, আমি মনে করি আমি নিজেকে মৃত্যুর দিকে ঠেলে দেওয়ার চেষ্টা করছি। তাছাড়া, আমি জীবনের প্রতিটি লক্ষ্য অর্জন করেছি, এবং এটি কোনও গুরুত্বপূর্ণ বিষয় বলে মনে হয় না। তাছাড়া, আমি কেবল পরোয়া করি না। তাছাড়া, আমি ধনী নই, তাই আমি ৯০ দিনের বিশ্রাম নিতে পারি না একটি জাদুকরী অ্যালকোহল মুক্ত রিসোর্টে। যদি আমি মদ্যপান বন্ধ করে দিই তবে আমার মনে হয় আমি কেবল একজন ড্রাই ড্রাঙ্ক হব। আমি সত্যিই সংযত থাকতে ঘৃণা করি। যখন আমি গর্ভবতী ছিলাম এবং বুকের দুধ খাওয়াচ্ছিলাম তখন আমি মদ্যপান করতাম না, এবং আমি প্রতি মিনিট গুনতাম যতক্ষণ না আমি আবার পান করতে পারতাম। আমি বছরের পর বছর থেরাপি করেছি, উদ্বেগ/বিষণ্ণতা বিরোধী বড়ি খেয়েছি, AA চেষ্টা করেছি - এমনকি কিছুই আমার আচরণে কোনও পরিবর্তন আনে না। আমি জানি না কীভাবে পরিবর্তন করব, কারণ আমার মনে হয় আমার স্বাস্থ্য ছাড়া অন্য কোনও কারণ নেই। তাছাড়া, আমি জানি আমি ধীরে ধীরে আত্মহত্যা করছি, কিন্তু কেউ কি পাত্তা দেবে? তাছাড়া, আমি জানি যারা পোস্ট করে তারা সবাই আমার উপর খারাপ ব্যবহার করবে, কিন্তু আমি একজন সত্যিকারের মানুষ এবং আমার মতো অনেক মদ্যপ এইরকম অনুভব করে। কেউ কি কখনও এর থেকে মুক্তির উপায় খুঁজে পেয়েছে? আমি ১২ বছর বয়স থেকেই মদ্যপ। কয়েক মাসের মধ্যে আমার বয়স ৪০ হবে।</v>
      </c>
    </row>
    <row r="1421" spans="1:3" ht="15" x14ac:dyDescent="0.25">
      <c r="A1421" s="3" t="s">
        <v>1416</v>
      </c>
      <c r="B1421" s="3" t="s">
        <v>997</v>
      </c>
      <c r="C1421" s="4" t="str">
        <f ca="1">IFERROR(__xludf.DUMMYFUNCTION("GOOGLETRANSLATE(A1421, ""auto"", ""bn"")"),"যখন আমি জানি, অন্তত আরও একটি মুক্ত দিন আছে যখন আমি কোনও পরিণতি ছাড়াই সম্পূর্ণরূপে আঘাত পেতে পারি.... কিন্তু যাই হোক না কেন, আমি তার আগের দিনও মাতাল হওয়া বেছে নিচ্ছি। এটা অনেকটা ""এই মুহূর্তটির জন্য কেন অপেক্ষা করব, যখন তুমি এখনই এটি করতে পারো""... এবং এ"&amp;"টি কখনও কখনও জটিল হতে পারে।")</f>
        <v>যখন আমি জানি, অন্তত আরও একটি মুক্ত দিন আছে যখন আমি কোনও পরিণতি ছাড়াই সম্পূর্ণরূপে আঘাত পেতে পারি.... কিন্তু যাই হোক না কেন, আমি তার আগের দিনও মাতাল হওয়া বেছে নিচ্ছি। এটা অনেকটা "এই মুহূর্তটির জন্য কেন অপেক্ষা করব, যখন তুমি এখনই এটি করতে পারো"... এবং এটি কখনও কখনও জটিল হতে পারে।</v>
      </c>
    </row>
    <row r="1422" spans="1:3" ht="15" x14ac:dyDescent="0.25">
      <c r="A1422" s="3" t="s">
        <v>1417</v>
      </c>
      <c r="B1422" s="3" t="s">
        <v>997</v>
      </c>
      <c r="C1422" s="4" t="str">
        <f ca="1">IFERROR(__xludf.DUMMYFUNCTION("GOOGLETRANSLATE(A1422, ""auto"", ""bn"")"),"ধূমপান ছেড়ে দেওয়ার ৩ দিন হয়ে গেছে, আর আমি উদ্বিগ্ন বোধ করছিলাম, তাই আমি একবারই পান করার সিদ্ধান্ত নিলাম। আমি ভাবছিলাম অন্যরা কীভাবে মদ্যপান ছেড়ে দিল, কারণ আমি শুনেছি যে ধূমপান ছেড়ে দেওয়া খারাপ। আমার কি ৪ দিন ধরে মদ্যপান বন্ধ করে দেওয়া উচিত? নাকি এক"&amp;"সাথে সব ছেড়ে দেওয়া উচিত?")</f>
        <v>ধূমপান ছেড়ে দেওয়ার ৩ দিন হয়ে গেছে, আর আমি উদ্বিগ্ন বোধ করছিলাম, তাই আমি একবারই পান করার সিদ্ধান্ত নিলাম। আমি ভাবছিলাম অন্যরা কীভাবে মদ্যপান ছেড়ে দিল, কারণ আমি শুনেছি যে ধূমপান ছেড়ে দেওয়া খারাপ। আমার কি ৪ দিন ধরে মদ্যপান বন্ধ করে দেওয়া উচিত? নাকি একসাথে সব ছেড়ে দেওয়া উচিত?</v>
      </c>
    </row>
    <row r="1423" spans="1:3" ht="15" x14ac:dyDescent="0.25">
      <c r="A1423" s="3" t="s">
        <v>1418</v>
      </c>
      <c r="B1423" s="3" t="s">
        <v>997</v>
      </c>
      <c r="C1423" s="4" t="str">
        <f ca="1">IFERROR(__xludf.DUMMYFUNCTION("GOOGLETRANSLATE(A1423, ""auto"", ""bn"")"),"আমার বোন সবসময় পারিবারিক অনুষ্ঠানে মদ্যপান করে। আমি তাকে আগেও বলেছি যে তার নিজের প্রতি যত্নশীল হওয়া উচিত। তাই অতীতে আমাদের মধ্যে কথাবার্তা হয়েছে। যখন সে মদ্যপান করে তখন সে খারাপ আচরণ করে এবং অভদ্র হতে পারে। তাই সম্প্রতি আমি তার এবং তার স্বামীর থেকে দূরে স"&amp;"রে গেছি কারণ তারা হয় মদ্যপান করে অথবা মাতাল। এটা আমার হৃদয় ভেঙে দেয় যে আমরা দূরে আছি। কিন্তু বিনা কারণে তার আমার প্রতি খারাপ আচরণ আমি মেনে নিতে পারি না, তাই আমি কেবল দূরে থাকাই ভালো। কেউ কি এই পরিস্থিতির মধ্য দিয়ে গেছে? আমি জানি না কী করব... আমি আমার "&amp;"বোনকে ভালোবাসি এবং তার জন্য গভীরভাবে যত্নবান। কিন্তু মনে হচ্ছে না যে সে আমার জন্য করে।")</f>
        <v>আমার বোন সবসময় পারিবারিক অনুষ্ঠানে মদ্যপান করে। আমি তাকে আগেও বলেছি যে তার নিজের প্রতি যত্নশীল হওয়া উচিত। তাই অতীতে আমাদের মধ্যে কথাবার্তা হয়েছে। যখন সে মদ্যপান করে তখন সে খারাপ আচরণ করে এবং অভদ্র হতে পারে। তাই সম্প্রতি আমি তার এবং তার স্বামীর থেকে দূরে সরে গেছি কারণ তারা হয় মদ্যপান করে অথবা মাতাল। এটা আমার হৃদয় ভেঙে দেয় যে আমরা দূরে আছি। কিন্তু বিনা কারণে তার আমার প্রতি খারাপ আচরণ আমি মেনে নিতে পারি না, তাই আমি কেবল দূরে থাকাই ভালো। কেউ কি এই পরিস্থিতির মধ্য দিয়ে গেছে? আমি জানি না কী করব... আমি আমার বোনকে ভালোবাসি এবং তার জন্য গভীরভাবে যত্নবান। কিন্তু মনে হচ্ছে না যে সে আমার জন্য করে।</v>
      </c>
    </row>
    <row r="1424" spans="1:3" ht="15" x14ac:dyDescent="0.25">
      <c r="A1424" s="3" t="s">
        <v>1419</v>
      </c>
      <c r="B1424" s="3" t="s">
        <v>997</v>
      </c>
      <c r="C1424" s="4" t="str">
        <f ca="1">IFERROR(__xludf.DUMMYFUNCTION("GOOGLETRANSLATE(A1424, ""auto"", ""bn"")"),"প্রথমবার এখানে পোস্ট করছি (আমার মনে হয়। আমি যখন এলোমেলো জায়গায় মাতাল হই তখন আমি এলোমেলো বাজে পোস্ট করি তাই আমি কোথায় পোস্ট করি তা আমার জানা নেই lol) এত লম্বা গল্প, আমি প্রায় দুই মাস আগে একটি বিষাক্ত সম্পর্ক থেকে বেরিয়ে এসেছি, এবং আমার অন্য একটি আসক্"&amp;"তির পরিবর্তে অ্যালকোহল ব্যবহার করেছি, আসলে আমি কী করছি তা বুঝতে না পেরে। প্রত্যাহার শুরু হওয়ার সাথে সাথেই আমি আমার বোতলের দিকে হাত বাড়াই। এখন আমি ঘুমাতে পারি না, কারণ প্রতিবার ঘুমানোর চেষ্টা করলেই আমার ঠান্ডা ঘাম হয়। যখন আমি ঘুমিয়ে পড়ি, তখন এটি কেবল "&amp;"এক বা দুই ঘন্টার জন্য, এর মধ্যে এক ঘন্টা বা তারও বেশি সময় ঘুমানোর চেষ্টা করা হয় (যদি না আমি পান করি)। প্রতিবার ঘুমানোর সময় আমার খুব তীব্র এবং স্পষ্ট দুঃস্বপ্ন দেখা যায় তা সাহায্য করে না। আমি সত্যি বলতে কোথাও ডিটক্স করতে যাওয়া এড়াতে চাই। এবং যদি আমি "&amp;"সেই পথটি গ্রহণ করি তবে আমাকে প্রলোভন এড়াতে স্থানান্তরিত হতে হবে, এবং আমি এই মুহূর্তে সেই অবস্থানে নেই। নিজেকে এই নোংরা জায়গায় রাখার জন্য আমি নিজেকে ঘৃণা করি। মনে হচ্ছে এটি আমার জীবনের বাকি সময় হতে চলেছে। (দীর্ঘ পোস্টের জন্য দুঃখিত)")</f>
        <v>প্রথমবার এখানে পোস্ট করছি (আমার মনে হয়। আমি যখন এলোমেলো জায়গায় মাতাল হই তখন আমি এলোমেলো বাজে পোস্ট করি তাই আমি কোথায় পোস্ট করি তা আমার জানা নেই lol) এত লম্বা গল্প, আমি প্রায় দুই মাস আগে একটি বিষাক্ত সম্পর্ক থেকে বেরিয়ে এসেছি, এবং আমার অন্য একটি আসক্তির পরিবর্তে অ্যালকোহল ব্যবহার করেছি, আসলে আমি কী করছি তা বুঝতে না পেরে। প্রত্যাহার শুরু হওয়ার সাথে সাথেই আমি আমার বোতলের দিকে হাত বাড়াই। এখন আমি ঘুমাতে পারি না, কারণ প্রতিবার ঘুমানোর চেষ্টা করলেই আমার ঠান্ডা ঘাম হয়। যখন আমি ঘুমিয়ে পড়ি, তখন এটি কেবল এক বা দুই ঘন্টার জন্য, এর মধ্যে এক ঘন্টা বা তারও বেশি সময় ঘুমানোর চেষ্টা করা হয় (যদি না আমি পান করি)। প্রতিবার ঘুমানোর সময় আমার খুব তীব্র এবং স্পষ্ট দুঃস্বপ্ন দেখা যায় তা সাহায্য করে না। আমি সত্যি বলতে কোথাও ডিটক্স করতে যাওয়া এড়াতে চাই। এবং যদি আমি সেই পথটি গ্রহণ করি তবে আমাকে প্রলোভন এড়াতে স্থানান্তরিত হতে হবে, এবং আমি এই মুহূর্তে সেই অবস্থানে নেই। নিজেকে এই নোংরা জায়গায় রাখার জন্য আমি নিজেকে ঘৃণা করি। মনে হচ্ছে এটি আমার জীবনের বাকি সময় হতে চলেছে। (দীর্ঘ পোস্টের জন্য দুঃখিত)</v>
      </c>
    </row>
    <row r="1425" spans="1:3" ht="15" x14ac:dyDescent="0.25">
      <c r="A1425" s="3" t="s">
        <v>1420</v>
      </c>
      <c r="B1425" s="3" t="s">
        <v>997</v>
      </c>
      <c r="C1425" s="4" t="str">
        <f ca="1">IFERROR(__xludf.DUMMYFUNCTION("GOOGLETRANSLATE(A1425, ""auto"", ""bn"")"),"মদ্যপানের তীব্র আকাঙ্ক্ষা ছাড়াই কি মদ্যপান ত্যাগ করা সম্ভব? কয়েক বছর ধরে প্রতিদিন মদ্যপান করার পর আমি চতুর্থ দিনে অ্যালকোহল ত্যাগ করেছি এবং আজ আমার মনে হচ্ছে যেন আমি এক ব্যাগ মদ্যপান করেছি। বাকি তিন দিন আমার ভালো লাগছে, আমি অনেক ব্যায়াম করেছি, বই পড়েছি, "&amp;"আমার ঘর পরিষ্কার করেছি, এবং প্রচুর শক্তি পেয়েছি। আজ আমি খুব বিরক্ত এবং ক্লান্ত। আমি আবার ঘুমাতে চাই, কিন্তু পারছি না। আমি সিদ্ধান্ত নিয়েছি অন্তত ভবিষ্যতের জন্য সম্পূর্ণরূপে ত্যাগ করার কারণ মদ্যপান আমার জীবনে অনেক বেশি জায়গা দখল করে নিচ্ছে, তাই আমি এর থেকে"&amp;" কিছুটা দূরে থাকতে চাই। তাছাড়া আমি মোটা হয়ে গেছি, এবং এটা আমার পছন্দ নয়। গত কয়েক মাস ধরে প্রতিদিন মদ্যপানের পরিমাণ কমিয়ে আনার পর, মদ্যপান আমাকে বমি বমি ভাবিয়ে তোলে এবং মাথাব্যথাও করে। আমি ভাবছি এটা কি প্রত্যাহার নাকি ঘুমের অভাব নাকি দুটোরই একটি সফল মিশ্র"&amp;"ণ। আমি মোটেও মদ্যপানের প্রতি আকাঙ্ক্ষা করি না, যা আমার কাছে অদ্ভুত মনে হয় যদি আমি প্রত্যাহারের মধ্য দিয়ে যাচ্ছি।")</f>
        <v>মদ্যপানের তীব্র আকাঙ্ক্ষা ছাড়াই কি মদ্যপান ত্যাগ করা সম্ভব? কয়েক বছর ধরে প্রতিদিন মদ্যপান করার পর আমি চতুর্থ দিনে অ্যালকোহল ত্যাগ করেছি এবং আজ আমার মনে হচ্ছে যেন আমি এক ব্যাগ মদ্যপান করেছি। বাকি তিন দিন আমার ভালো লাগছে, আমি অনেক ব্যায়াম করেছি, বই পড়েছি, আমার ঘর পরিষ্কার করেছি, এবং প্রচুর শক্তি পেয়েছি। আজ আমি খুব বিরক্ত এবং ক্লান্ত। আমি আবার ঘুমাতে চাই, কিন্তু পারছি না। আমি সিদ্ধান্ত নিয়েছি অন্তত ভবিষ্যতের জন্য সম্পূর্ণরূপে ত্যাগ করার কারণ মদ্যপান আমার জীবনে অনেক বেশি জায়গা দখল করে নিচ্ছে, তাই আমি এর থেকে কিছুটা দূরে থাকতে চাই। তাছাড়া আমি মোটা হয়ে গেছি, এবং এটা আমার পছন্দ নয়। গত কয়েক মাস ধরে প্রতিদিন মদ্যপানের পরিমাণ কমিয়ে আনার পর, মদ্যপান আমাকে বমি বমি ভাবিয়ে তোলে এবং মাথাব্যথাও করে। আমি ভাবছি এটা কি প্রত্যাহার নাকি ঘুমের অভাব নাকি দুটোরই একটি সফল মিশ্রণ। আমি মোটেও মদ্যপানের প্রতি আকাঙ্ক্ষা করি না, যা আমার কাছে অদ্ভুত মনে হয় যদি আমি প্রত্যাহারের মধ্য দিয়ে যাচ্ছি।</v>
      </c>
    </row>
    <row r="1426" spans="1:3" ht="15" x14ac:dyDescent="0.25">
      <c r="A1426" s="3" t="s">
        <v>1421</v>
      </c>
      <c r="B1426" s="3" t="s">
        <v>997</v>
      </c>
      <c r="C1426" s="4" t="str">
        <f ca="1">IFERROR(__xludf.DUMMYFUNCTION("GOOGLETRANSLATE(A1426, ""auto"", ""bn"")"),"আমি সবসময় নিজেকে ঘৃণা করতাম কারণ আমি একজন ব্যর্থ ছেলে, সামাজিক দক্ষতার অভাব বোধ করি। আমি বার এবং পার্টিতে যেতে শুরু করেছিলাম, কিন্তু মূলত মাতাল না হলে আমার কোনও আত্মবিশ্বাস থাকে না। তাছাড়া, আমি একা যাই, মাতাল হই এবং মানুষের সাথে দেখা করি। গত রাতের মতো, "&amp;"অনেক লোক ভেবেছিল আমি দারুন, অন্যথায় কেউ তা ভাববে না, এবং আমি মাতাল না হলে মহিলাদের সাথে কথা বলতে ভুলে যাই। প্রথমবারের মতো আমি নিজেকে বিচ্ছিন্ন করে দিলাম।")</f>
        <v>আমি সবসময় নিজেকে ঘৃণা করতাম কারণ আমি একজন ব্যর্থ ছেলে, সামাজিক দক্ষতার অভাব বোধ করি। আমি বার এবং পার্টিতে যেতে শুরু করেছিলাম, কিন্তু মূলত মাতাল না হলে আমার কোনও আত্মবিশ্বাস থাকে না। তাছাড়া, আমি একা যাই, মাতাল হই এবং মানুষের সাথে দেখা করি। গত রাতের মতো, অনেক লোক ভেবেছিল আমি দারুন, অন্যথায় কেউ তা ভাববে না, এবং আমি মাতাল না হলে মহিলাদের সাথে কথা বলতে ভুলে যাই। প্রথমবারের মতো আমি নিজেকে বিচ্ছিন্ন করে দিলাম।</v>
      </c>
    </row>
    <row r="1427" spans="1:3" ht="15" x14ac:dyDescent="0.25">
      <c r="A1427" s="3" t="s">
        <v>1422</v>
      </c>
      <c r="B1427" s="3" t="s">
        <v>997</v>
      </c>
      <c r="C1427" s="4" t="str">
        <f ca="1">IFERROR(__xludf.DUMMYFUNCTION("GOOGLETRANSLATE(A1427, ""auto"", ""bn"")"),"আমার এইসব অদ্ভুত অভিজ্ঞতা হয়ে আসছে। হঠাৎ করেই মনে হচ্ছে আমার মস্তিষ্ক কাজ করা বন্ধ করে দিয়েছে এবং কয়েক সেকেন্ডের জন্য খালি হয়ে গেছে। আমি এখনও স্পষ্ট কিন্তু আমার সমস্ত সমন্বয় হারিয়ে ফেলে। সাধারণত যখন আমি এখানে বসে ভিডিও গেম খেলি তখন আমি সমস্ত ধরণের সমন্ব"&amp;"য় হারিয়ে ফেলি এবং কোনও চরিত্রকেও সঠিকভাবে হাঁটতে পারি না। গাড়ি চালানোর সময় এটি একবার ঘটেছিল, কিন্তু ভাগ্যক্রমে আমি সোজা, ফাঁকা রাস্তায় ছিলাম এবং আমি দুর্ঘটনায় পড়িনি। যাইহোক, গত রাতে আমি আমার ভবনের সিঁড়ি বেয়ে নামছিলাম এবং এটি ঘটেছিল। আমি হিমশীতল হয়ে"&amp;" পড়েছিলাম এবং তারপর বোকার মতো একটি পদক্ষেপ নেওয়ার চেষ্টা করেছিলাম। আমার পা পরের ধাপে সবেমাত্র আটকে গিয়েছিল এবং আমি জোরে নিচে পড়ে গিয়েছিলাম। এখন আমার পিঠে খুব ব্যথা হচ্ছে। এটি সম্ভবত খুব বিপজ্জনক। আমি সত্যিই দরিদ্র, তবে যদি আপনারা সকলেই একমত হন যে এটি"&amp;" যথেষ্ট গুরুতর, তবে আমি এই বিষয়ে একজন ডাক্তারের সাথে দেখা করতে ইচ্ছুক। আমি আজকে ঘুম কমাচ্ছি এবং যতক্ষণ না এটি বন্ধ হয় অথবা আমি বুঝতে পারি এটি কী তা না হওয়া পর্যন্ত শান্ত থাকছি।")</f>
        <v>আমার এইসব অদ্ভুত অভিজ্ঞতা হয়ে আসছে। হঠাৎ করেই মনে হচ্ছে আমার মস্তিষ্ক কাজ করা বন্ধ করে দিয়েছে এবং কয়েক সেকেন্ডের জন্য খালি হয়ে গেছে। আমি এখনও স্পষ্ট কিন্তু আমার সমস্ত সমন্বয় হারিয়ে ফেলে। সাধারণত যখন আমি এখানে বসে ভিডিও গেম খেলি তখন আমি সমস্ত ধরণের সমন্বয় হারিয়ে ফেলি এবং কোনও চরিত্রকেও সঠিকভাবে হাঁটতে পারি না। গাড়ি চালানোর সময় এটি একবার ঘটেছিল, কিন্তু ভাগ্যক্রমে আমি সোজা, ফাঁকা রাস্তায় ছিলাম এবং আমি দুর্ঘটনায় পড়িনি। যাইহোক, গত রাতে আমি আমার ভবনের সিঁড়ি বেয়ে নামছিলাম এবং এটি ঘটেছিল। আমি হিমশীতল হয়ে পড়েছিলাম এবং তারপর বোকার মতো একটি পদক্ষেপ নেওয়ার চেষ্টা করেছিলাম। আমার পা পরের ধাপে সবেমাত্র আটকে গিয়েছিল এবং আমি জোরে নিচে পড়ে গিয়েছিলাম। এখন আমার পিঠে খুব ব্যথা হচ্ছে। এটি সম্ভবত খুব বিপজ্জনক। আমি সত্যিই দরিদ্র, তবে যদি আপনারা সকলেই একমত হন যে এটি যথেষ্ট গুরুতর, তবে আমি এই বিষয়ে একজন ডাক্তারের সাথে দেখা করতে ইচ্ছুক। আমি আজকে ঘুম কমাচ্ছি এবং যতক্ষণ না এটি বন্ধ হয় অথবা আমি বুঝতে পারি এটি কী তা না হওয়া পর্যন্ত শান্ত থাকছি।</v>
      </c>
    </row>
    <row r="1428" spans="1:3" ht="15" x14ac:dyDescent="0.25">
      <c r="A1428" s="3" t="s">
        <v>1423</v>
      </c>
      <c r="B1428" s="3" t="s">
        <v>997</v>
      </c>
      <c r="C1428" s="4" t="str">
        <f ca="1">IFERROR(__xludf.DUMMYFUNCTION("GOOGLETRANSLATE(A1428, ""auto"", ""bn"")"),"অবশেষে বুঝতে পারলাম যে আমি গাড়ি থেকে পড়ে গেছি এবং আবার কিছু খারাপ অভ্যাসে ফিরে গেছি। আমি নিশ্চিত নই যে আমি আগের জায়গায় ফিরে যেতে পারব কিনা। আসলে গত মাত্র দুই মাস হয়েছে, কিন্তু আমি অন্তত ছয় মাস ধরে পিছলে পড়েছি এবং সংশোধন করছি। আমার আগের অনুভূতিটা সত"&amp;"্যিই ভালো লেগেছে, কিন্তু আমি সত্যিই মনে করতে পারছি না যে আমি কীভাবে সেই শান্তির জায়গায় পৌঁছেছিলাম, এবং আমি নিশ্চিত নই যে আমি কীভাবে এটি পুনরাবৃত্তি করব। আমার মনে হয় আমি হয়তো নিজেকে বিভ্রান্ত করছি কারণ লকডাউন সত্যিই সাহায্য করেছিল। এটি আমার পরিবেশ এবং "&amp;"যাদের সাথে আমাকে মোকাবিলা করতে হয়েছিল তাদের সাথে আমার মিথস্ক্রিয়াকে সত্যিই সংকুচিত করে দিয়েছে। সেটা চলে গেছে, এবং এখন পুরানো জিনিস ফিরে এসেছে, এবং এটি সত্যিই আমাকে টেনে নিয়ে যাচ্ছে। আমি এটা দেখতে পাচ্ছি, কিন্তু আমি জানি না কিভাবে এটি ঠিক করব। আমি সত্য"&amp;"িই সেই বৃষ্টিপাতের ঘটনাটি পুনরায় অনুভব করতে চাই না যা আমার মনোভাব পরিবর্তন করেছে, এবং আমি আমার পরিবেশ বা এখন যাদের সাথে আমি যোগাযোগ করি তাদের পরিবর্তন করতে পারছি না। আমি কি আরও ভালো সময়ের আশা করছি নাকি আমি আমার সময় নষ্ট করছি?")</f>
        <v>অবশেষে বুঝতে পারলাম যে আমি গাড়ি থেকে পড়ে গেছি এবং আবার কিছু খারাপ অভ্যাসে ফিরে গেছি। আমি নিশ্চিত নই যে আমি আগের জায়গায় ফিরে যেতে পারব কিনা। আসলে গত মাত্র দুই মাস হয়েছে, কিন্তু আমি অন্তত ছয় মাস ধরে পিছলে পড়েছি এবং সংশোধন করছি। আমার আগের অনুভূতিটা সত্যিই ভালো লেগেছে, কিন্তু আমি সত্যিই মনে করতে পারছি না যে আমি কীভাবে সেই শান্তির জায়গায় পৌঁছেছিলাম, এবং আমি নিশ্চিত নই যে আমি কীভাবে এটি পুনরাবৃত্তি করব। আমার মনে হয় আমি হয়তো নিজেকে বিভ্রান্ত করছি কারণ লকডাউন সত্যিই সাহায্য করেছিল। এটি আমার পরিবেশ এবং যাদের সাথে আমাকে মোকাবিলা করতে হয়েছিল তাদের সাথে আমার মিথস্ক্রিয়াকে সত্যিই সংকুচিত করে দিয়েছে। সেটা চলে গেছে, এবং এখন পুরানো জিনিস ফিরে এসেছে, এবং এটি সত্যিই আমাকে টেনে নিয়ে যাচ্ছে। আমি এটা দেখতে পাচ্ছি, কিন্তু আমি জানি না কিভাবে এটি ঠিক করব। আমি সত্যিই সেই বৃষ্টিপাতের ঘটনাটি পুনরায় অনুভব করতে চাই না যা আমার মনোভাব পরিবর্তন করেছে, এবং আমি আমার পরিবেশ বা এখন যাদের সাথে আমি যোগাযোগ করি তাদের পরিবর্তন করতে পারছি না। আমি কি আরও ভালো সময়ের আশা করছি নাকি আমি আমার সময় নষ্ট করছি?</v>
      </c>
    </row>
    <row r="1429" spans="1:3" ht="15" x14ac:dyDescent="0.25">
      <c r="A1429" s="3" t="s">
        <v>1424</v>
      </c>
      <c r="B1429" s="3" t="s">
        <v>997</v>
      </c>
      <c r="C1429" s="4" t="str">
        <f ca="1">IFERROR(__xludf.DUMMYFUNCTION("GOOGLETRANSLATE(A1429, ""auto"", ""bn"")"),"কিছুদিন আগে আমার ADHD ধরা পড়েছিল, যা আমার বছরের পর বছর ধরে চলা আচরণের অনেক কারণ। অবশেষে আমার সমস্যাটা বুঝতে পেরে আমি খুশি। ব্যাপারটা হল, যখন তারা আমার লিভারের মান দেখে আমাকে ওষুধ দিতে অস্বীকার করা হয়েছিল কারণ সেগুলো অনেক বেশি ছিল। আমার মনে হয় না আমার ক"&amp;"োনও শারীরিক আসক্তি আছে কারণ নভেম্বর মাস থেকে আমি কোনও শারীরিক প্রত্যাহারের লক্ষণ ছাড়াই সুস্থ ছিলাম। আমার সমস্যা সবসময়ই ছিল যে যখন আমি একা মদ্যপান করি, তখন আমি থামি না। এক সন্ধ্যায় এবং তার পরের দিন আরও একবার মদ্যপান করা অস্বাভাবিক নয়। এবং অতীতে এটি কাজ"&amp;" এবং সম্পর্কের উপর প্রভাব ফেলেছে। তাছাড়া আমি একজন বোকার মতো আচরণ করি।")</f>
        <v>কিছুদিন আগে আমার ADHD ধরা পড়েছিল, যা আমার বছরের পর বছর ধরে চলা আচরণের অনেক কারণ। অবশেষে আমার সমস্যাটা বুঝতে পেরে আমি খুশি। ব্যাপারটা হল, যখন তারা আমার লিভারের মান দেখে আমাকে ওষুধ দিতে অস্বীকার করা হয়েছিল কারণ সেগুলো অনেক বেশি ছিল। আমার মনে হয় না আমার কোনও শারীরিক আসক্তি আছে কারণ নভেম্বর মাস থেকে আমি কোনও শারীরিক প্রত্যাহারের লক্ষণ ছাড়াই সুস্থ ছিলাম। আমার সমস্যা সবসময়ই ছিল যে যখন আমি একা মদ্যপান করি, তখন আমি থামি না। এক সন্ধ্যায় এবং তার পরের দিন আরও একবার মদ্যপান করা অস্বাভাবিক নয়। এবং অতীতে এটি কাজ এবং সম্পর্কের উপর প্রভাব ফেলেছে। তাছাড়া আমি একজন বোকার মতো আচরণ করি।</v>
      </c>
    </row>
    <row r="1430" spans="1:3" ht="15" x14ac:dyDescent="0.25">
      <c r="A1430" s="3" t="s">
        <v>1425</v>
      </c>
      <c r="B1430" s="3" t="s">
        <v>997</v>
      </c>
      <c r="C1430" s="4" t="str">
        <f ca="1">IFERROR(__xludf.DUMMYFUNCTION("GOOGLETRANSLATE(A1430, ""auto"", ""bn"")"),"তাই আমি কখনোই স্বাভাবিকভাবেই ""বর্ষসেরা ছাত্র"" ছিলাম না। এই কথা বলার পর আমি সম্প্রতি লক্ষ্য করেছি যে শব্দগুলো না মিশিয়ে সম্পূর্ণ মৌখিক চিন্তাভাবনা তৈরি করতে আমার আরও বেশি অসুবিধা হচ্ছে, এমনকি যখন আমি সেদিন মদ্যপান করতে পারিনি তখন একটু ঝাপসাও বোধ করছি। আ"&amp;"মি একজন নিয়মিত মদ্যপানকারী: উদাহরণস্বরূপ, বড়দিনের ছুটিতে আমার প্রায় ২ সপ্তাহ ছুটি ছিল এবং গড়ে প্রতি রাতে প্রায় ৫টি পানীয় ছিল (কখনও কখনও ৯টি, কখনও কখনও ৩টি)। আমি সম্প্রতি কম মদ্যপান করছি কারণ আমি কয়েক দশক ধরে সপ্তাহান্তে খুব বেশি মদ্যপান করতাম এবং জ"&amp;"ুলাই মাসে স্থানান্তরিত হওয়ার আগে কয়েক বছর ধরে সপ্তাহে ২-৩ রাত খুব বেশি মদ্যপান করতাম। এটি তাদের জন্য যারা সংযত হয়েছেন: যদি আপনি সংযত থাকা সত্ত্বেও এই ধরণের জ্ঞানীয় দুর্বলতা অনুভব করে থাকেন, তাহলে সংযত থাকা কি এটিকে উন্নত করেছে? এই সাব-এর যে কারো জন্য:"&amp;" আপনি কি নেশাগ্রস্ত না হয়েও একই জিনিস অনুভব করছেন?")</f>
        <v>তাই আমি কখনোই স্বাভাবিকভাবেই "বর্ষসেরা ছাত্র" ছিলাম না। এই কথা বলার পর আমি সম্প্রতি লক্ষ্য করেছি যে শব্দগুলো না মিশিয়ে সম্পূর্ণ মৌখিক চিন্তাভাবনা তৈরি করতে আমার আরও বেশি অসুবিধা হচ্ছে, এমনকি যখন আমি সেদিন মদ্যপান করতে পারিনি তখন একটু ঝাপসাও বোধ করছি। আমি একজন নিয়মিত মদ্যপানকারী: উদাহরণস্বরূপ, বড়দিনের ছুটিতে আমার প্রায় ২ সপ্তাহ ছুটি ছিল এবং গড়ে প্রতি রাতে প্রায় ৫টি পানীয় ছিল (কখনও কখনও ৯টি, কখনও কখনও ৩টি)। আমি সম্প্রতি কম মদ্যপান করছি কারণ আমি কয়েক দশক ধরে সপ্তাহান্তে খুব বেশি মদ্যপান করতাম এবং জুলাই মাসে স্থানান্তরিত হওয়ার আগে কয়েক বছর ধরে সপ্তাহে ২-৩ রাত খুব বেশি মদ্যপান করতাম। এটি তাদের জন্য যারা সংযত হয়েছেন: যদি আপনি সংযত থাকা সত্ত্বেও এই ধরণের জ্ঞানীয় দুর্বলতা অনুভব করে থাকেন, তাহলে সংযত থাকা কি এটিকে উন্নত করেছে? এই সাব-এর যে কারো জন্য: আপনি কি নেশাগ্রস্ত না হয়েও একই জিনিস অনুভব করছেন?</v>
      </c>
    </row>
    <row r="1431" spans="1:3" ht="15" x14ac:dyDescent="0.25">
      <c r="A1431" s="3" t="s">
        <v>1426</v>
      </c>
      <c r="B1431" s="3" t="s">
        <v>997</v>
      </c>
      <c r="C1431" s="4" t="str">
        <f ca="1">IFERROR(__xludf.DUMMYFUNCTION("GOOGLETRANSLATE(A1431, ""auto"", ""bn"")"),"আমি এই ধরণের জিনিস স্বীকার করার ক্ষেত্রে নিখুঁত নই, কিন্তু আমার মনে হয় এটি এমন একটি সমস্যা যা আমার সমাধান করা উচিত এবং আমার বুক থেকে বেরিয়ে আসা উচিত। আমার বয়স ২৪ বছর, শীঘ্রই ২৫ বছর হবে, এবং আমার মনে হয় আমি অনেক বেশি মদ্যপান করছি। তাছাড়া, আমি সম্ভবত ১"&amp;"৯ বছর বয়সে হারপিস আক্রান্ত হওয়ার পর থেকে সত্যিই মদ্যপান শুরু করেছিলাম, এবং আমি সম্পূর্ণরূপে হতাশ হয়ে পড়েছিলাম এবং জীবন থেকে হাল ছেড়ে দিতে চেয়েছিলাম। তাছাড়া, কোনও অদ্ভুত কারণে আমি মদ্যপানকে ছিদ্র অনুভব করার উপায় হিসেবে বেছে নিতে শুরু করেছিলাম। তাছা"&amp;"ড়া, আমি ৮% সহ ছয় প্যাক বা দুটি লম্বা ছেলের মতো হালকা শুরু করতাম, কিন্তু আমি তাতে সন্তুষ্ট হতে শুরু করিনি। তাছাড়া, আমি আরও বেশি প্যাক বা আরও লম্বা ছেলে বা এক বোতল মদ পান করতাম। আজকাল আমি দিনে ৩ বা ৪টি লম্বা ছেলের মতো অনেক বেশি মদ্যপান করছি, এবং এটি কোথা"&amp;"য় যাচ্ছে তা নিয়ে আমি সত্যিই চিন্তিত হয়ে পড়ছি। আমার ঘৃণা হয় যে আমার মনে হচ্ছে আমি আমার জীবনের উপর নিয়ন্ত্রণ হারিয়ে ফেলছি। আমি জানি জীবনের কঠিন সময়টা কাটাতে আমি এটাকে একটা হাতিয়ার মতো ব্যবহার করেছি, কিন্তু আমি এতে আটকা পড়ে আছি। তাছাড়া, এটা টাইপ করার"&amp;" সময় আমার কান্না পাচ্ছে। তাছাড়া, আমার মনে হয় কথায় লেখা এবং পর্দায় দেখা চোখ খুলে দেওয়ার মতো। যদি আপনার মদ্যপান কমানোর ভালো কিছু উপায় জানা থাকে, তাহলে আমি জানতে চাই যে আপনি কীভাবে মদ্যপান বন্ধ করতে বা ধীরগতিতে করতে পেরেছেন। সময় দেওয়ার জন্য এবং এমন কাউকে"&amp;" সাহায্য করার জন্য আমি আপনাকে ধন্যবাদ জানাই যিনি এত ভেঙে পড়ছেন।")</f>
        <v>আমি এই ধরণের জিনিস স্বীকার করার ক্ষেত্রে নিখুঁত নই, কিন্তু আমার মনে হয় এটি এমন একটি সমস্যা যা আমার সমাধান করা উচিত এবং আমার বুক থেকে বেরিয়ে আসা উচিত। আমার বয়স ২৪ বছর, শীঘ্রই ২৫ বছর হবে, এবং আমার মনে হয় আমি অনেক বেশি মদ্যপান করছি। তাছাড়া, আমি সম্ভবত ১৯ বছর বয়সে হারপিস আক্রান্ত হওয়ার পর থেকে সত্যিই মদ্যপান শুরু করেছিলাম, এবং আমি সম্পূর্ণরূপে হতাশ হয়ে পড়েছিলাম এবং জীবন থেকে হাল ছেড়ে দিতে চেয়েছিলাম। তাছাড়া, কোনও অদ্ভুত কারণে আমি মদ্যপানকে ছিদ্র অনুভব করার উপায় হিসেবে বেছে নিতে শুরু করেছিলাম। তাছাড়া, আমি ৮% সহ ছয় প্যাক বা দুটি লম্বা ছেলের মতো হালকা শুরু করতাম, কিন্তু আমি তাতে সন্তুষ্ট হতে শুরু করিনি। তাছাড়া, আমি আরও বেশি প্যাক বা আরও লম্বা ছেলে বা এক বোতল মদ পান করতাম। আজকাল আমি দিনে ৩ বা ৪টি লম্বা ছেলের মতো অনেক বেশি মদ্যপান করছি, এবং এটি কোথায় যাচ্ছে তা নিয়ে আমি সত্যিই চিন্তিত হয়ে পড়ছি। আমার ঘৃণা হয় যে আমার মনে হচ্ছে আমি আমার জীবনের উপর নিয়ন্ত্রণ হারিয়ে ফেলছি। আমি জানি জীবনের কঠিন সময়টা কাটাতে আমি এটাকে একটা হাতিয়ার মতো ব্যবহার করেছি, কিন্তু আমি এতে আটকা পড়ে আছি। তাছাড়া, এটা টাইপ করার সময় আমার কান্না পাচ্ছে। তাছাড়া, আমার মনে হয় কথায় লেখা এবং পর্দায় দেখা চোখ খুলে দেওয়ার মতো। যদি আপনার মদ্যপান কমানোর ভালো কিছু উপায় জানা থাকে, তাহলে আমি জানতে চাই যে আপনি কীভাবে মদ্যপান বন্ধ করতে বা ধীরগতিতে করতে পেরেছেন। সময় দেওয়ার জন্য এবং এমন কাউকে সাহায্য করার জন্য আমি আপনাকে ধন্যবাদ জানাই যিনি এত ভেঙে পড়ছেন।</v>
      </c>
    </row>
    <row r="1432" spans="1:3" ht="15" x14ac:dyDescent="0.25">
      <c r="A1432" s="3" t="s">
        <v>1427</v>
      </c>
      <c r="B1432" s="3" t="s">
        <v>997</v>
      </c>
      <c r="C1432" s="4" t="str">
        <f ca="1">IFERROR(__xludf.DUMMYFUNCTION("GOOGLETRANSLATE(A1432, ""auto"", ""bn"")"),"আমি আমার বান্ধবীর সাথে @home সন্ধ্যায় একান্তে ডেট করছিলাম। আমরা রাতের খাবার তৈরি করেছিলাম/কয়েকটি পানীয় (আমার জন্য কেবল একটি বিয়ার, তার অনেক), তারপর সেক্স করেছিলাম, তারপর একসাথে সিনেমা দেখার সিদ্ধান্ত নিয়েছিলাম। ভাবলাম শারীরিকভাবে ঘনিষ্ঠ হই। অনেক দিন "&amp;"পর আমাদের মধ্যে প্রথমবার। সে কয়েক সপ্তাহ ধরে অসুস্থ (সর্বদা অসুস্থ! উফ)। সিনেমার শেষের দিকে সে দ্বিতীয় স্তরের এক বন্ধুর কাছ থেকে একটি টেক্সট পায় যে ফেসটাইম ছবি তুলতে চায় (এই মদ্যপ বন্ধুর কাছ থেকে সবসময়ই ঘটে)। সে মদ্যপান করতে এবং অতিরিক্ত পানীয় পান ক"&amp;"রতে এবং কিছুক্ষণ কথা বলতে চলে যায়। WTF? আমি ভেবেছিলাম ডেট নাইট শেষ হয়ে গেছে, এবং আমি বিরক্ত হয়ে বিছানায় যাই। 15 মিনিট পরে সে ফিরে আসে ""তুমি রাগ করছো কেন, এতে মাত্র এক মিনিট সময় লাগে?"" আমি অবশ্যই আমার ""ঘুমাতে যাও"" প্রতিক্রিয়ায় প্যাসিভ-আগ্রাসী ছি"&amp;"লাম, কিন্তু আমি ব্যাখ্যা করেছিলাম যে ""আমি কখনই ব্যক্তিগত কিছু বিশ্বাস করব না?"" থেকে অ্যালকোহল সম্পর্কে ফোন নেওয়া আমার কাছে অভদ্রতা বলে মনে হয়েছিল বন্ধুকে টাইপ করুন এবং সপ্তাহের পর সপ্তাহ অন্তরঙ্গতা না থাকার পরে আমাকে সম্পূর্ণ উপেক্ষা করুন। আমি বোঝানোর"&amp;" চেষ্টা করলাম যে আমি নিরবচ্ছিন্ন মানসম্মত সময়কে মূল্য দেই এবং চাই (কিন্তু অবশ্যই তার বাচ্চাদের বা জরুরি অবস্থার জন্য ব্যতিক্রম হবে! কিন্তু এটা নয়!) সে ভেবেছিল আমি হাস্যকর এবং নিয়ন্ত্রণ করছি কারণ এটি একটি বোকা বোকা মজার দৃশ্য ছিল কিন্তু বড় কথা নয়। সে "&amp;"রেগে গিয়েছিল যে আমি রেগে গিয়েছিলাম। আমি একটি ছোটখাটো বিষয়ে তুচ্ছ করছিলাম। এটা যেন (তার মদ্যপ বন্ধুদের সাথে) এবং আশেপাশের অন্যান্য শান্ত মানুষদের সম্পর্কে যেকোনো চিন্তা অদৃশ্য হয়ে যাবে। আমরা মজা বা স্বাচ্ছন্দ্য বোধ করি না। অথবা সহজে চলাফেরা করি না। কেব"&amp;"ল বিচারপ্রবণ। সে নিজেকে রক্ষা করছে। সে ভেবেছিল আমার সহজে চলাফেরা করা উচিত ছিল। আমি একটি তিল পাহাড় থেকে পাহাড় তৈরি করে রাত নষ্ট করেছি। আমিই সেই অসঙ্গত ব্যক্তি যা সন্ধ্যা নষ্ট করে, সে নয়। সে প্রজেক্ট করছে। আমি সবসময় অ্যালকোহলের কাছে গৌণ থাকব, তাই না? তা"&amp;"র কাছ থেকে আমাদের প্রতি সত্যিকারের নিবেদনের কোন সুযোগ নেই, তাই না? কোন দুর্বলতা নেই, তাই না? কোন প্রকৃত ঘনিষ্ঠতা নেই, তাই না? শান্ত মানুষ কোন ব্যাপার না, তাই না? যতক্ষণ অ্যালকোহল তাকে নিয়ন্ত্রণ করে ততক্ষণ সবকিছু কখনই ঘটবে না, তাই না?")</f>
        <v>আমি আমার বান্ধবীর সাথে @home সন্ধ্যায় একান্তে ডেট করছিলাম। আমরা রাতের খাবার তৈরি করেছিলাম/কয়েকটি পানীয় (আমার জন্য কেবল একটি বিয়ার, তার অনেক), তারপর সেক্স করেছিলাম, তারপর একসাথে সিনেমা দেখার সিদ্ধান্ত নিয়েছিলাম। ভাবলাম শারীরিকভাবে ঘনিষ্ঠ হই। অনেক দিন পর আমাদের মধ্যে প্রথমবার। সে কয়েক সপ্তাহ ধরে অসুস্থ (সর্বদা অসুস্থ! উফ)। সিনেমার শেষের দিকে সে দ্বিতীয় স্তরের এক বন্ধুর কাছ থেকে একটি টেক্সট পায় যে ফেসটাইম ছবি তুলতে চায় (এই মদ্যপ বন্ধুর কাছ থেকে সবসময়ই ঘটে)। সে মদ্যপান করতে এবং অতিরিক্ত পানীয় পান করতে এবং কিছুক্ষণ কথা বলতে চলে যায়। WTF? আমি ভেবেছিলাম ডেট নাইট শেষ হয়ে গেছে, এবং আমি বিরক্ত হয়ে বিছানায় যাই। 15 মিনিট পরে সে ফিরে আসে "তুমি রাগ করছো কেন, এতে মাত্র এক মিনিট সময় লাগে?" আমি অবশ্যই আমার "ঘুমাতে যাও" প্রতিক্রিয়ায় প্যাসিভ-আগ্রাসী ছিলাম, কিন্তু আমি ব্যাখ্যা করেছিলাম যে "আমি কখনই ব্যক্তিগত কিছু বিশ্বাস করব না?" থেকে অ্যালকোহল সম্পর্কে ফোন নেওয়া আমার কাছে অভদ্রতা বলে মনে হয়েছিল বন্ধুকে টাইপ করুন এবং সপ্তাহের পর সপ্তাহ অন্তরঙ্গতা না থাকার পরে আমাকে সম্পূর্ণ উপেক্ষা করুন। আমি বোঝানোর চেষ্টা করলাম যে আমি নিরবচ্ছিন্ন মানসম্মত সময়কে মূল্য দেই এবং চাই (কিন্তু অবশ্যই তার বাচ্চাদের বা জরুরি অবস্থার জন্য ব্যতিক্রম হবে! কিন্তু এটা নয়!) সে ভেবেছিল আমি হাস্যকর এবং নিয়ন্ত্রণ করছি কারণ এটি একটি বোকা বোকা মজার দৃশ্য ছিল কিন্তু বড় কথা নয়। সে রেগে গিয়েছিল যে আমি রেগে গিয়েছিলাম। আমি একটি ছোটখাটো বিষয়ে তুচ্ছ করছিলাম। এটা যেন (তার মদ্যপ বন্ধুদের সাথে) এবং আশেপাশের অন্যান্য শান্ত মানুষদের সম্পর্কে যেকোনো চিন্তা অদৃশ্য হয়ে যাবে। আমরা মজা বা স্বাচ্ছন্দ্য বোধ করি না। অথবা সহজে চলাফেরা করি না। কেবল বিচারপ্রবণ। সে নিজেকে রক্ষা করছে। সে ভেবেছিল আমার সহজে চলাফেরা করা উচিত ছিল। আমি একটি তিল পাহাড় থেকে পাহাড় তৈরি করে রাত নষ্ট করেছি। আমিই সেই অসঙ্গত ব্যক্তি যা সন্ধ্যা নষ্ট করে, সে নয়। সে প্রজেক্ট করছে। আমি সবসময় অ্যালকোহলের কাছে গৌণ থাকব, তাই না? তার কাছ থেকে আমাদের প্রতি সত্যিকারের নিবেদনের কোন সুযোগ নেই, তাই না? কোন দুর্বলতা নেই, তাই না? কোন প্রকৃত ঘনিষ্ঠতা নেই, তাই না? শান্ত মানুষ কোন ব্যাপার না, তাই না? যতক্ষণ অ্যালকোহল তাকে নিয়ন্ত্রণ করে ততক্ষণ সবকিছু কখনই ঘটবে না, তাই না?</v>
      </c>
    </row>
    <row r="1433" spans="1:3" ht="15" x14ac:dyDescent="0.25">
      <c r="A1433" s="3" t="s">
        <v>1428</v>
      </c>
      <c r="B1433" s="3" t="s">
        <v>997</v>
      </c>
      <c r="C1433" s="4" t="str">
        <f ca="1">IFERROR(__xludf.DUMMYFUNCTION("GOOGLETRANSLATE(A1433, ""auto"", ""bn"")"),"22F। হাই। আমি জানতে চাইছিলাম তোমাদের মধ্যে কেউ কি কখনও ডেলিরিয়াম ট্রিন বা অন্তত শক্তিশালী অ্যালকোহলিক হ্যালুসিনেটের অভিজ্ঞতা লাভ করেছে কিনা। তোমাদের অভিজ্ঞতা কেমন ছিল এবং তোমরা কি হাসপাতালে গিয়েছিলে? আমি আমার গল্পটি শেয়ার করতে এবং এ বিষয়ে তোমাদের মতাম"&amp;"ত জানাতে চাই। যদি একটু দীর্ঘ হয় তবে দুঃখিত। আমি খুবই মানসিকভাবে আঘাতপ্রাপ্ত। আমি কমপক্ষে 2 বছর ধরে প্রতি সপ্তাহে 4/5 বোতল অ্যালকোহল পান করছি। দুই সপ্তাহ আগে আমি একেবারে পাগল হয়ে গিয়েছিলাম (আমি উদ্বেগে ভুগছি এবং অ্যালকোহলই আমাকে সাহায্য করেছিল) এবং 5 দি"&amp;"নের মধ্যে আমি 7 লিটার ভদকা পান করেছিলাম। আমি সেই 5 দিনের মধ্যে কিছু ঘুমাইনি বা খাইনি। আমি সবকিছু শেষ করতেও চেয়েছিলাম, তাই আমি কিছু বোকামি করেছিলাম এবং 5 টি ব্যথানাশক খেয়েছিলাম। তারপর হঠাৎ থামলাম। আমার মা আমাকে হাসপাতালে পাঠালেন, কিন্তু আমি পালিয়ে যেতে "&amp;"সক্ষম হয়েছি। বাড়ি ফিরে এসেছি। আমার হাত পাগল হয়ে যাচ্ছিল। আমি আমার আশেপাশে কাউকে চিনতে পারিনি। আমি আমার মাকে বারবার তার নাম জিজ্ঞাসা করেছি। আমরা কোন শহরে থাকতাম। এরকমই কিছু। তারপর আমাকে আবার হাসপাতালে নিয়ে যাওয়া হয়েছিল। তারা ভেবেছিল আমি শুধু মাতাল এব"&amp;"ং বিরক্তিকর, তাই তারা আমাকে কয়েক ঘন্টার জন্য একটি ঘরে আটকে রেখেছিল যতক্ষণ না আমার মা আমাকে নিতে আসেন। আমি বাড়িতে ফিরে আসি, প্রায় ১৫ মিনিটের জন্য ঘুমিয়ে পড়ি, এবং যখন আমি জেগে উঠি তখন আমি প্রলাপের লক্ষণ অনুভব করি। আমার সবচেয়ে ভয়ঙ্কর শ্রবণ এবং চাক্ষুষ"&amp;" হ্যালুসিনেশন ছিল। তাছাড়া, আমি আমার সমালোচনা করতে শুনতে পাই, বলছিল আমার জীবন শেষ। তাছাড়া, আমি ঘরের সবকিছু নড়াচড়া করতে দেখছিলাম। তাছাড়া, আমার মনে হচ্ছিল কেউ আমার পা স্পর্শ করছে। এটা সত্যিই সবচেয়ে ভয়াবহ জিনিস যা কেউ কখনও অনুভব করতে পারে। তুমি সত্যিই ভাবছো "&amp;"তুমি পাগল হয়ে যাচ্ছ। আমি একই গান বারবার আমার মাথায় বাজতে শুনতে পেলাম। যখন আমি একটি ইউটিউব ভিডিওতে ক্লিক করলাম, তখন ভিডিওর শব্দের পরিবর্তে, এটি আমার মায়ের চিৎকারের ফ্ল্যাশব্যাক ছিল, এবং যখন আমি ভিডিওটি থামালাম তখন এটি থেমে গেল, যখন আমি আবার ক্লিক করলাম "&amp;"তখন এটি চলতেই থাকল। এটি এত স্পষ্ট ছিল। আমি বাইরে বেরিয়ে গেলাম এবং গাড়ি চালানোর শব্দ আমার মায়ের চিৎকারের শব্দ ছিল। যাই হোক, আমি আক্ষরিক অর্থেই মারা যাচ্ছিলাম, তাই আমি অ্যাম্বুলেন্সে ফোন করলাম। আমাকে দ্রুত হাসপাতালে নিয়ে যাওয়া হল এবং আমি আমার সমস্ত লক্"&amp;"ষণ ব্যাখ্যা করলাম। আমি ভেবেছিলাম তারা আমাকে সাহায্য করবে। পরিবর্তে, তারা আমাকে একটি বিছানা এবং একটি স্ট্রেইটজ্যাকেট ছাড়া আর কিছুই ছিল না এমন একটি ঘরে আটকে রেখেছিল, যা সৌভাগ্যক্রমে তারা আমাকে পরেনি। তারা আমাকে একটি ছোট গ্লাস জল ছাড়া আর কিছুই দেয়নি। কোনও"&amp;" ওষুধ নেই। কিছুই না। এখন কল্পনা করুন যে আপনি ইতিমধ্যেই পাগল হয়ে যাচ্ছেন, ৫ দিন ধরে ঘুম থেকে বঞ্চিত, হঠাৎ মদ্যপান বন্ধ করে দিয়েছেন, আপনি শব্দ শুনতে পাচ্ছেন, এবং আপনাকে জোর করে এমন একটি ঘরে আটকে রাখা হচ্ছে যেখানে কেবল আপনার চিন্তাভাবনা রয়েছে। এটি ছিল সবচ"&amp;"েয়ে ভয়ঙ্কর জিনিস। হ্যালুসিনেশন আরও তীব্র হয়ে ওঠে। আমি সর্বত্র ঘামছিলাম, কিন্তু আমি জানতাম যে আমি যদি বেরিয়ে আসতে চাই তবে আমাকে স্বাভাবিক আচরণ করতে হবে। তাই আমি কেবল বিছানার চারপাশে হেঁটে বেড়ালাম। এই ঘরে ৩ ঘন্টা আটকে থাকার পর, আমাকে একটি মানসিক হাসপাত"&amp;"ালে পাঠানো হয়েছিল যা আমি যা চেয়েছিলাম কারণ আমি ভেবেছিলাম আমি পাগল হয়ে যাচ্ছি। তারা আমাকে একটি ভ্যালিয়াম দিয়েছিল যা আমাকে অনুভব করেছিল যে আমার হৃদয় বন্ধ হয়ে যাচ্ছে। তারা আমাকে ভিটামিনও দিয়েছে। আপনি সত্যিই ভাবেন যে একটি মানসিক হাসপাতাল এমন একটি জায়"&amp;"গা যেখানে কেবল হতাশাগ্রস্ত মানুষ থাকে, কিন্তু এটি সম্পূর্ণ ভিন্ন এবং ভয়ঙ্কর। তাছাড়া, আমার হ্যালুসিনেশন বন্ধ হয়নি। আমি জানতাম তারা আমার জন্য কিছুই করবে না, তাই আমি তাদের বোঝালাম যে আমি খুব বেশি মাতাল ছিলাম এবং এখন সবকিছু স্বাভাবিক অবস্থায় ফিরে এসেছে। মাত"&amp;"্র একদিন পরেই আমাকে বাড়ি ফেরত পাঠানো হয়েছিল। তাছাড়া, আমি তৎক্ষণাৎ আমার পারিবারিক ডাক্তারের কাছে যাই, এবং তিনিই আমাকে হ্যালুসিনেশন এবং অন্যান্য ওষুধ যেমন অ্যান্টিডিপ্রেসেন্টস এবং জ্যানাক্স বন্ধ করার জন্য হল লিখেছিলেন। কল্পনা করুন হাসপাতালটি আপনাকে 3 দিন"&amp;" ধরে সাহায্য করছে না, কিন্তু আপনার পারিবারিক ডাক্তার 10 মিনিটের মধ্যে সাহায্য করে। আমি সম্ভবত 5 দিন ধরে হল খেয়েছি। এখন আমি স্বাভাবিক অবস্থায় ফিরে এসেছি। আমি 2 সপ্তাহ ধরে সুস্থ। আমি অ্যালকোহল মিস করি কিন্তু আমি খুব আঘাত পেয়েছিলাম। তাছাড়া, আমি খুশি যে আম"&amp;"ি অ্যান্টিডিপ্রেসেন্ট গ্রহণ করছি এবং আমার মনে হচ্ছে আমি আবার নিজেকে আরও বেশি করে নিচ্ছি। আপনি কী মনে করেন, এবং আপনি কি ডেলিরিয়াম ট্রিন/অ্যালকোহলিক হ্যালুসিনেটের সাথে আপনার অভিজ্ঞতা শেয়ার করতে পারেন, এবং যদি আপনি হাসপাতালে যান, তারা আপনার সাথে কেমন আচরণ "&amp;"করেছে এবং আরও অনেক কিছু? তারা আপনাকে কী দিয়েছে?")</f>
        <v>22F। হাই। আমি জানতে চাইছিলাম তোমাদের মধ্যে কেউ কি কখনও ডেলিরিয়াম ট্রিন বা অন্তত শক্তিশালী অ্যালকোহলিক হ্যালুসিনেটের অভিজ্ঞতা লাভ করেছে কিনা। তোমাদের অভিজ্ঞতা কেমন ছিল এবং তোমরা কি হাসপাতালে গিয়েছিলে? আমি আমার গল্পটি শেয়ার করতে এবং এ বিষয়ে তোমাদের মতামত জানাতে চাই। যদি একটু দীর্ঘ হয় তবে দুঃখিত। আমি খুবই মানসিকভাবে আঘাতপ্রাপ্ত। আমি কমপক্ষে 2 বছর ধরে প্রতি সপ্তাহে 4/5 বোতল অ্যালকোহল পান করছি। দুই সপ্তাহ আগে আমি একেবারে পাগল হয়ে গিয়েছিলাম (আমি উদ্বেগে ভুগছি এবং অ্যালকোহলই আমাকে সাহায্য করেছিল) এবং 5 দিনের মধ্যে আমি 7 লিটার ভদকা পান করেছিলাম। আমি সেই 5 দিনের মধ্যে কিছু ঘুমাইনি বা খাইনি। আমি সবকিছু শেষ করতেও চেয়েছিলাম, তাই আমি কিছু বোকামি করেছিলাম এবং 5 টি ব্যথানাশক খেয়েছিলাম। তারপর হঠাৎ থামলাম। আমার মা আমাকে হাসপাতালে পাঠালেন, কিন্তু আমি পালিয়ে যেতে সক্ষম হয়েছি। বাড়ি ফিরে এসেছি। আমার হাত পাগল হয়ে যাচ্ছিল। আমি আমার আশেপাশে কাউকে চিনতে পারিনি। আমি আমার মাকে বারবার তার নাম জিজ্ঞাসা করেছি। আমরা কোন শহরে থাকতাম। এরকমই কিছু। তারপর আমাকে আবার হাসপাতালে নিয়ে যাওয়া হয়েছিল। তারা ভেবেছিল আমি শুধু মাতাল এবং বিরক্তিকর, তাই তারা আমাকে কয়েক ঘন্টার জন্য একটি ঘরে আটকে রেখেছিল যতক্ষণ না আমার মা আমাকে নিতে আসেন। আমি বাড়িতে ফিরে আসি, প্রায় ১৫ মিনিটের জন্য ঘুমিয়ে পড়ি, এবং যখন আমি জেগে উঠি তখন আমি প্রলাপের লক্ষণ অনুভব করি। আমার সবচেয়ে ভয়ঙ্কর শ্রবণ এবং চাক্ষুষ হ্যালুসিনেশন ছিল। তাছাড়া, আমি আমার সমালোচনা করতে শুনতে পাই, বলছিল আমার জীবন শেষ। তাছাড়া, আমি ঘরের সবকিছু নড়াচড়া করতে দেখছিলাম। তাছাড়া, আমার মনে হচ্ছিল কেউ আমার পা স্পর্শ করছে। এটা সত্যিই সবচেয়ে ভয়াবহ জিনিস যা কেউ কখনও অনুভব করতে পারে। তুমি সত্যিই ভাবছো তুমি পাগল হয়ে যাচ্ছ। আমি একই গান বারবার আমার মাথায় বাজতে শুনতে পেলাম। যখন আমি একটি ইউটিউব ভিডিওতে ক্লিক করলাম, তখন ভিডিওর শব্দের পরিবর্তে, এটি আমার মায়ের চিৎকারের ফ্ল্যাশব্যাক ছিল, এবং যখন আমি ভিডিওটি থামালাম তখন এটি থেমে গেল, যখন আমি আবার ক্লিক করলাম তখন এটি চলতেই থাকল। এটি এত স্পষ্ট ছিল। আমি বাইরে বেরিয়ে গেলাম এবং গাড়ি চালানোর শব্দ আমার মায়ের চিৎকারের শব্দ ছিল। যাই হোক, আমি আক্ষরিক অর্থেই মারা যাচ্ছিলাম, তাই আমি অ্যাম্বুলেন্সে ফোন করলাম। আমাকে দ্রুত হাসপাতালে নিয়ে যাওয়া হল এবং আমি আমার সমস্ত লক্ষণ ব্যাখ্যা করলাম। আমি ভেবেছিলাম তারা আমাকে সাহায্য করবে। পরিবর্তে, তারা আমাকে একটি বিছানা এবং একটি স্ট্রেইটজ্যাকেট ছাড়া আর কিছুই ছিল না এমন একটি ঘরে আটকে রেখেছিল, যা সৌভাগ্যক্রমে তারা আমাকে পরেনি। তারা আমাকে একটি ছোট গ্লাস জল ছাড়া আর কিছুই দেয়নি। কোনও ওষুধ নেই। কিছুই না। এখন কল্পনা করুন যে আপনি ইতিমধ্যেই পাগল হয়ে যাচ্ছেন, ৫ দিন ধরে ঘুম থেকে বঞ্চিত, হঠাৎ মদ্যপান বন্ধ করে দিয়েছেন, আপনি শব্দ শুনতে পাচ্ছেন, এবং আপনাকে জোর করে এমন একটি ঘরে আটকে রাখা হচ্ছে যেখানে কেবল আপনার চিন্তাভাবনা রয়েছে। এটি ছিল সবচেয়ে ভয়ঙ্কর জিনিস। হ্যালুসিনেশন আরও তীব্র হয়ে ওঠে। আমি সর্বত্র ঘামছিলাম, কিন্তু আমি জানতাম যে আমি যদি বেরিয়ে আসতে চাই তবে আমাকে স্বাভাবিক আচরণ করতে হবে। তাই আমি কেবল বিছানার চারপাশে হেঁটে বেড়ালাম। এই ঘরে ৩ ঘন্টা আটকে থাকার পর, আমাকে একটি মানসিক হাসপাতালে পাঠানো হয়েছিল যা আমি যা চেয়েছিলাম কারণ আমি ভেবেছিলাম আমি পাগল হয়ে যাচ্ছি। তারা আমাকে একটি ভ্যালিয়াম দিয়েছিল যা আমাকে অনুভব করেছিল যে আমার হৃদয় বন্ধ হয়ে যাচ্ছে। তারা আমাকে ভিটামিনও দিয়েছে। আপনি সত্যিই ভাবেন যে একটি মানসিক হাসপাতাল এমন একটি জায়গা যেখানে কেবল হতাশাগ্রস্ত মানুষ থাকে, কিন্তু এটি সম্পূর্ণ ভিন্ন এবং ভয়ঙ্কর। তাছাড়া, আমার হ্যালুসিনেশন বন্ধ হয়নি। আমি জানতাম তারা আমার জন্য কিছুই করবে না, তাই আমি তাদের বোঝালাম যে আমি খুব বেশি মাতাল ছিলাম এবং এখন সবকিছু স্বাভাবিক অবস্থায় ফিরে এসেছে। মাত্র একদিন পরেই আমাকে বাড়ি ফেরত পাঠানো হয়েছিল। তাছাড়া, আমি তৎক্ষণাৎ আমার পারিবারিক ডাক্তারের কাছে যাই, এবং তিনিই আমাকে হ্যালুসিনেশন এবং অন্যান্য ওষুধ যেমন অ্যান্টিডিপ্রেসেন্টস এবং জ্যানাক্স বন্ধ করার জন্য হল লিখেছিলেন। কল্পনা করুন হাসপাতালটি আপনাকে 3 দিন ধরে সাহায্য করছে না, কিন্তু আপনার পারিবারিক ডাক্তার 10 মিনিটের মধ্যে সাহায্য করে। আমি সম্ভবত 5 দিন ধরে হল খেয়েছি। এখন আমি স্বাভাবিক অবস্থায় ফিরে এসেছি। আমি 2 সপ্তাহ ধরে সুস্থ। আমি অ্যালকোহল মিস করি কিন্তু আমি খুব আঘাত পেয়েছিলাম। তাছাড়া, আমি খুশি যে আমি অ্যান্টিডিপ্রেসেন্ট গ্রহণ করছি এবং আমার মনে হচ্ছে আমি আবার নিজেকে আরও বেশি করে নিচ্ছি। আপনি কী মনে করেন, এবং আপনি কি ডেলিরিয়াম ট্রিন/অ্যালকোহলিক হ্যালুসিনেটের সাথে আপনার অভিজ্ঞতা শেয়ার করতে পারেন, এবং যদি আপনি হাসপাতালে যান, তারা আপনার সাথে কেমন আচরণ করেছে এবং আরও অনেক কিছু? তারা আপনাকে কী দিয়েছে?</v>
      </c>
    </row>
    <row r="1434" spans="1:3" ht="15" x14ac:dyDescent="0.25">
      <c r="A1434" s="3" t="s">
        <v>1429</v>
      </c>
      <c r="B1434" s="3" t="s">
        <v>997</v>
      </c>
      <c r="C1434" s="4" t="str">
        <f ca="1">IFERROR(__xludf.DUMMYFUNCTION("GOOGLETRANSLATE(A1434, ""auto"", ""bn"")"),"আমি বর্তমানে আমার মায়ের মদ্যপান নিয়ন্ত্রণ করছি, এবং আমরা প্রতিদিন দুটি করে বিয়ার খাওয়ার ব্যাপারে একমত হয়েছি, একটি সকালে এবং একটি রাতে। তবে, আজ তার দুটি ক্যান খাওয়ার পরেও, তার মেজাজ খারাপ, এবং আরও একটি আনার জন্য আমার সাথে তর্ক করছে। আমি বিতর্ক করছি য"&amp;"ে এটি করা উচিত কিনা? আমার ৮০% চায় না, কিন্তু বাকি ২০% এটি নিয়ে আলোচনা করছে। কেবল একটি অতিরিক্ত দিয়ে কি ঠিক আছে নাকি এটি নিয়ন্ত্রণ করা উচিত? আপনার জানার জন্য, প্রায় এক সপ্তাহ আগে সে প্রচুর পরিমাণে মদ্যপান করছিল।")</f>
        <v>আমি বর্তমানে আমার মায়ের মদ্যপান নিয়ন্ত্রণ করছি, এবং আমরা প্রতিদিন দুটি করে বিয়ার খাওয়ার ব্যাপারে একমত হয়েছি, একটি সকালে এবং একটি রাতে। তবে, আজ তার দুটি ক্যান খাওয়ার পরেও, তার মেজাজ খারাপ, এবং আরও একটি আনার জন্য আমার সাথে তর্ক করছে। আমি বিতর্ক করছি যে এটি করা উচিত কিনা? আমার ৮০% চায় না, কিন্তু বাকি ২০% এটি নিয়ে আলোচনা করছে। কেবল একটি অতিরিক্ত দিয়ে কি ঠিক আছে নাকি এটি নিয়ন্ত্রণ করা উচিত? আপনার জানার জন্য, প্রায় এক সপ্তাহ আগে সে প্রচুর পরিমাণে মদ্যপান করছিল।</v>
      </c>
    </row>
    <row r="1435" spans="1:3" ht="15" x14ac:dyDescent="0.25">
      <c r="A1435" s="3" t="s">
        <v>1430</v>
      </c>
      <c r="B1435" s="3" t="s">
        <v>997</v>
      </c>
      <c r="C1435" s="4" t="str">
        <f ca="1">IFERROR(__xludf.DUMMYFUNCTION("GOOGLETRANSLATE(A1435, ""auto"", ""bn"")"),"আমরা হৈচৈ করার জন্য আছি। আমি জানি না কেন আমি মদ্যপান করি, তবে আমি এটা জানি যে আমি থামতে চাই। আমার বয়স ২১ ডিগ্রি ফারেনহাইট এবং আমি জানি আমি আমার মা এবং আমার বড় ভাইকেও ভয় পাই। তাছাড়া, আমি জানি যে এটি হাসপাতালে চিকিৎসার সময় এবং বর্তমানে বিকল্পগুলি অনুসন"&amp;"্ধান করছি। তাছাড়া, আমি কেবল একটি বিশাল হতাশা অনুভব করছি। তাছাড়া, আমি এর ফলে মরতে চাই না। তাছাড়া, আমার বেঁচে থাকার জন্য অনেক কিছু আছে এবং আমি যদি সাহায্য না পাই তবে অনেক মানুষ যারা আমাকে ভালোবাসে/ধ্বংস হয়ে যাবে। এই ভয়াবহ রোগের সাথে লড়াই করা সকলের প্র"&amp;"তি আমার আলিঙ্গন।")</f>
        <v>আমরা হৈচৈ করার জন্য আছি। আমি জানি না কেন আমি মদ্যপান করি, তবে আমি এটা জানি যে আমি থামতে চাই। আমার বয়স ২১ ডিগ্রি ফারেনহাইট এবং আমি জানি আমি আমার মা এবং আমার বড় ভাইকেও ভয় পাই। তাছাড়া, আমি জানি যে এটি হাসপাতালে চিকিৎসার সময় এবং বর্তমানে বিকল্পগুলি অনুসন্ধান করছি। তাছাড়া, আমি কেবল একটি বিশাল হতাশা অনুভব করছি। তাছাড়া, আমি এর ফলে মরতে চাই না। তাছাড়া, আমার বেঁচে থাকার জন্য অনেক কিছু আছে এবং আমি যদি সাহায্য না পাই তবে অনেক মানুষ যারা আমাকে ভালোবাসে/ধ্বংস হয়ে যাবে। এই ভয়াবহ রোগের সাথে লড়াই করা সকলের প্রতি আমার আলিঙ্গন।</v>
      </c>
    </row>
    <row r="1436" spans="1:3" ht="15" x14ac:dyDescent="0.25">
      <c r="A1436" s="3" t="s">
        <v>1431</v>
      </c>
      <c r="B1436" s="3" t="s">
        <v>997</v>
      </c>
      <c r="C1436" s="4" t="str">
        <f ca="1">IFERROR(__xludf.DUMMYFUNCTION("GOOGLETRANSLATE(A1436, ""auto"", ""bn"")"),"আমি কি পেরেছি? আবারও। আমি এতবার আবার এই রোগে আক্রান্ত হয়েছি যে আমি গুনতে পারছি না। এবারেরটা ভিন্ন হবে, কিন্তু আমি আশা ছাড়ি না। আমি সবসময় নিজেকে হতাশ করি। এবার আমি ব্যায়াম শুরু করেছি, ভিটামিন খাচ্ছি, জুসার কিনেছি এবং কিছু সুস্বাদু, স্বাস্থ্যকর জুস তৈরি"&amp;" করছি। আমি স্বাস্থ্যকর খাচ্ছি। আমি অ্যালকোহল মিস করি না এবং আমার চুলকানিও হয়নি। আমি এমনকি মাঝে মাঝে উপবাস করছি এবং কিছুটা ওজনও কমিয়েছি। কিন্তু আমি ভয় পাচ্ছি যে আমি আবার এতে পড়ে যাব। অ্যালকোহল আমার জীবন, আমার আর্থিক অবস্থা, আমার সম্পর্ক ইত্যাদি ধ্বংস ক"&amp;"রে দিয়েছে। আমার লিভার এবং ডান কিডনি বিকল হয়ে গেছে। এটা আমাকে ভয় দেখায় যে আমার এখনও এই রোগে আক্রান্ত হওয়ার সন্দেহ আছে?!!! কিভাবে??? আমার সেরে ওঠা উচিত! আমার জন্য প্রার্থনা করুন।")</f>
        <v>আমি কি পেরেছি? আবারও। আমি এতবার আবার এই রোগে আক্রান্ত হয়েছি যে আমি গুনতে পারছি না। এবারেরটা ভিন্ন হবে, কিন্তু আমি আশা ছাড়ি না। আমি সবসময় নিজেকে হতাশ করি। এবার আমি ব্যায়াম শুরু করেছি, ভিটামিন খাচ্ছি, জুসার কিনেছি এবং কিছু সুস্বাদু, স্বাস্থ্যকর জুস তৈরি করছি। আমি স্বাস্থ্যকর খাচ্ছি। আমি অ্যালকোহল মিস করি না এবং আমার চুলকানিও হয়নি। আমি এমনকি মাঝে মাঝে উপবাস করছি এবং কিছুটা ওজনও কমিয়েছি। কিন্তু আমি ভয় পাচ্ছি যে আমি আবার এতে পড়ে যাব। অ্যালকোহল আমার জীবন, আমার আর্থিক অবস্থা, আমার সম্পর্ক ইত্যাদি ধ্বংস করে দিয়েছে। আমার লিভার এবং ডান কিডনি বিকল হয়ে গেছে। এটা আমাকে ভয় দেখায় যে আমার এখনও এই রোগে আক্রান্ত হওয়ার সন্দেহ আছে?!!! কিভাবে??? আমার সেরে ওঠা উচিত! আমার জন্য প্রার্থনা করুন।</v>
      </c>
    </row>
    <row r="1437" spans="1:3" ht="15" x14ac:dyDescent="0.25">
      <c r="A1437" s="3" t="s">
        <v>1432</v>
      </c>
      <c r="B1437" s="3" t="s">
        <v>997</v>
      </c>
      <c r="C1437" s="4" t="str">
        <f ca="1">IFERROR(__xludf.DUMMYFUNCTION("GOOGLETRANSLATE(A1437, ""auto"", ""bn"")"),"আমার একটা সমস্যা আছে, বিশেষ করে অ্যালকোহল নয় বরং মাদকের অপব্যবহার। আমি PTSD এবং আরও কিছু মানসিক অস্থিরতায় ভুগছি। আমার সঙ্গী বললো আমি খুব বেশি মদ্যপান করছি: প্রতি রাতে ৪-৬টি করে ডাবল ইনজেকশন নিচ্ছি। আমি এই নববর্ষের আগের দিন বন্ধ করার সিদ্ধান্ত নিয়েছি। ক"&amp;"িন্তু মদ্যপ হয়েও কি আমি আদৌ মদ্যপান করতে পারি? আমি নিজেকে এবং আমার সঙ্গীর সাথে আমার সময় উপভোগ করতে পছন্দ করি। বাড়িতে থাকা মা হিসেবে আমি খুব বেশি সময় কাটাতে পারি না তাই মাতাল হয়ে আমার দিনটি ঘুরিয়ে দেয়। আমি যদি সপ্তাহে একবার মদ্যপান করি তাহলে কি ঠিক "&amp;"হবে? আমি কীভাবে এটি সম্পর্কে যাব?")</f>
        <v>আমার একটা সমস্যা আছে, বিশেষ করে অ্যালকোহল নয় বরং মাদকের অপব্যবহার। আমি PTSD এবং আরও কিছু মানসিক অস্থিরতায় ভুগছি। আমার সঙ্গী বললো আমি খুব বেশি মদ্যপান করছি: প্রতি রাতে ৪-৬টি করে ডাবল ইনজেকশন নিচ্ছি। আমি এই নববর্ষের আগের দিন বন্ধ করার সিদ্ধান্ত নিয়েছি। কিন্তু মদ্যপ হয়েও কি আমি আদৌ মদ্যপান করতে পারি? আমি নিজেকে এবং আমার সঙ্গীর সাথে আমার সময় উপভোগ করতে পছন্দ করি। বাড়িতে থাকা মা হিসেবে আমি খুব বেশি সময় কাটাতে পারি না তাই মাতাল হয়ে আমার দিনটি ঘুরিয়ে দেয়। আমি যদি সপ্তাহে একবার মদ্যপান করি তাহলে কি ঠিক হবে? আমি কীভাবে এটি সম্পর্কে যাব?</v>
      </c>
    </row>
    <row r="1438" spans="1:3" ht="15" x14ac:dyDescent="0.25">
      <c r="A1438" s="3" t="s">
        <v>1433</v>
      </c>
      <c r="B1438" s="3" t="s">
        <v>997</v>
      </c>
      <c r="C1438" s="4" t="str">
        <f ca="1">IFERROR(__xludf.DUMMYFUNCTION("GOOGLETRANSLATE(A1438, ""auto"", ""bn"")"),"গত ৪-৬ সপ্তাহ ধরে আমি প্রায় প্রতি রাতে ৮-১০টি পানীয় পান করছি। গত দেড় মাসে আমি মাত্র ১-৩ দিন এটি ছাড়াই থাকতে পেরেছি, কিন্তু যখন আমি এটি ছেড়ে ফেলি, তখন আমার পুরোপুরি ভালো লাগছে। যদি আমি আরও বেশি সময় ধরে এটি চালিয়ে যাই, তাহলে কি আমার বিপজ্জনক প্রত্যাহারের "&amp;"আশঙ্কা করা উচিত?")</f>
        <v>গত ৪-৬ সপ্তাহ ধরে আমি প্রায় প্রতি রাতে ৮-১০টি পানীয় পান করছি। গত দেড় মাসে আমি মাত্র ১-৩ দিন এটি ছাড়াই থাকতে পেরেছি, কিন্তু যখন আমি এটি ছেড়ে ফেলি, তখন আমার পুরোপুরি ভালো লাগছে। যদি আমি আরও বেশি সময় ধরে এটি চালিয়ে যাই, তাহলে কি আমার বিপজ্জনক প্রত্যাহারের আশঙ্কা করা উচিত?</v>
      </c>
    </row>
    <row r="1439" spans="1:3" ht="15" x14ac:dyDescent="0.25">
      <c r="A1439" s="3" t="s">
        <v>1434</v>
      </c>
      <c r="B1439" s="3" t="s">
        <v>997</v>
      </c>
      <c r="C1439" s="4" t="str">
        <f ca="1">IFERROR(__xludf.DUMMYFUNCTION("GOOGLETRANSLATE(A1439, ""auto"", ""bn"")"),"আমার মদ্যপানের অভ্যাস নিয়ে ক্রমশ উদ্বিগ্ন হয়ে ওঠার পর আমি এই গ্রুপটি খুঁজে পেয়েছি। আমার বয়স ২১ ডিগ্রি ফারেনহাইট এবং গাঁজা, অন্যান্য মাদক এবং সম্প্রতি অ্যালকোহলের ক্ষেত্রে আমার সবসময় আবেগপ্রবণ সমস্যা হয়েছে। তাছাড়া, আমি দেখতে পাই যে যতক্ষণ এটি আমার আ"&amp;"শেপাশে না থাকে, ততক্ষণ আমি এটির জন্য আকাঙ্ক্ষা করি না, কিন্তু যখন এটি আমার নাগালের মধ্যে থাকে তখন আমি অতিরিক্ত সেবন করি যতক্ষণ না এটি শেষ হয়ে যায়। তাছাড়া, আমি সম্প্রতি গাঁজা ধূমপান বন্ধ করে দিয়েছি, এটি একটি সচেতন সিদ্ধান্ত নয় কারণ আমি আসক্ত বোধ করিনি"&amp;" কিন্তু এটি আমাকে আর আগ্রহী করে না। তাছাড়া, আমি উদ্বেগ এবং অনিদ্রার সাথে লড়াই করছি এবং প্রতি রাতে ধূমপানের পরিবর্তে ঘুমানোর আগে দুটি শক্ত পানীয় তৈরি করছি। তাছাড়া, আমি যতক্ষণ না স্পিন না পাই এবং সত্যিই এটি অনুভব করি ততক্ষণ পর্যন্ত আমার ঘুম আসে না। তাছা"&amp;"ড়া, আমি দিনের বেলায় পান করি না এবং পরবর্তী সময়ে এটি আমার বাইরের জীবনে প্রভাব ফেলে বলে মনে করি না, তবে আমি চিন্তিত যে এই সমস্যাটি আরও বাড়তে পারে।")</f>
        <v>আমার মদ্যপানের অভ্যাস নিয়ে ক্রমশ উদ্বিগ্ন হয়ে ওঠার পর আমি এই গ্রুপটি খুঁজে পেয়েছি। আমার বয়স ২১ ডিগ্রি ফারেনহাইট এবং গাঁজা, অন্যান্য মাদক এবং সম্প্রতি অ্যালকোহলের ক্ষেত্রে আমার সবসময় আবেগপ্রবণ সমস্যা হয়েছে। তাছাড়া, আমি দেখতে পাই যে যতক্ষণ এটি আমার আশেপাশে না থাকে, ততক্ষণ আমি এটির জন্য আকাঙ্ক্ষা করি না, কিন্তু যখন এটি আমার নাগালের মধ্যে থাকে তখন আমি অতিরিক্ত সেবন করি যতক্ষণ না এটি শেষ হয়ে যায়। তাছাড়া, আমি সম্প্রতি গাঁজা ধূমপান বন্ধ করে দিয়েছি, এটি একটি সচেতন সিদ্ধান্ত নয় কারণ আমি আসক্ত বোধ করিনি কিন্তু এটি আমাকে আর আগ্রহী করে না। তাছাড়া, আমি উদ্বেগ এবং অনিদ্রার সাথে লড়াই করছি এবং প্রতি রাতে ধূমপানের পরিবর্তে ঘুমানোর আগে দুটি শক্ত পানীয় তৈরি করছি। তাছাড়া, আমি যতক্ষণ না স্পিন না পাই এবং সত্যিই এটি অনুভব করি ততক্ষণ পর্যন্ত আমার ঘুম আসে না। তাছাড়া, আমি দিনের বেলায় পান করি না এবং পরবর্তী সময়ে এটি আমার বাইরের জীবনে প্রভাব ফেলে বলে মনে করি না, তবে আমি চিন্তিত যে এই সমস্যাটি আরও বাড়তে পারে।</v>
      </c>
    </row>
    <row r="1440" spans="1:3" ht="15" x14ac:dyDescent="0.25">
      <c r="A1440" s="3" t="s">
        <v>1435</v>
      </c>
      <c r="B1440" s="3" t="s">
        <v>997</v>
      </c>
      <c r="C1440" s="4" t="str">
        <f ca="1">IFERROR(__xludf.DUMMYFUNCTION("GOOGLETRANSLATE(A1440, ""auto"", ""bn"")"),"প্রথমে আমি ২১ বছর বয়সী আর আমার ৪৩ বছর বয়সী বাবা একা থাকি। আমি আমার সব বেতন তাকে দিয়ে দিয়েছিলাম ভাড়া আর মুদিখানার জিনিসপত্র কেনার জন্য। যখনই সে মদ্যপান করে, সে তার বন্ধুকে সারা রাত ধরে পার্টিতে আমন্ত্রণ জানায়, যখন আমি তাকে গান বন্ধ করতে বলি, তখন প্রতিবারই "&amp;"একই উত্তর পাওয়া যায় যে আমি তাকে মজা করতে দিতে পারছি না, আর সে শুধু চিৎকার করে আমাকে অপমান করতে থাকে যে তাকে ছাড়া আমি কুকুরের মতো মরে যাব ইত্যাদি। তাহলে আমি কীভাবে তার সমস্যা সম্পর্কে তার সাথে কথা বলব কারণ যখন সে সুস্থ থাকে তখনই আমি তার কাছে দ্রুত যেতে পা"&amp;"রি। যখন সে সুস্থ থাকে তখন আমাদের মধ্যে খুব বেশি কথা হয় না। কেউ আমাকে সাহায্য করুন।")</f>
        <v>প্রথমে আমি ২১ বছর বয়সী আর আমার ৪৩ বছর বয়সী বাবা একা থাকি। আমি আমার সব বেতন তাকে দিয়ে দিয়েছিলাম ভাড়া আর মুদিখানার জিনিসপত্র কেনার জন্য। যখনই সে মদ্যপান করে, সে তার বন্ধুকে সারা রাত ধরে পার্টিতে আমন্ত্রণ জানায়, যখন আমি তাকে গান বন্ধ করতে বলি, তখন প্রতিবারই একই উত্তর পাওয়া যায় যে আমি তাকে মজা করতে দিতে পারছি না, আর সে শুধু চিৎকার করে আমাকে অপমান করতে থাকে যে তাকে ছাড়া আমি কুকুরের মতো মরে যাব ইত্যাদি। তাহলে আমি কীভাবে তার সমস্যা সম্পর্কে তার সাথে কথা বলব কারণ যখন সে সুস্থ থাকে তখনই আমি তার কাছে দ্রুত যেতে পারি। যখন সে সুস্থ থাকে তখন আমাদের মধ্যে খুব বেশি কথা হয় না। কেউ আমাকে সাহায্য করুন।</v>
      </c>
    </row>
    <row r="1441" spans="1:3" ht="15" x14ac:dyDescent="0.25">
      <c r="A1441" s="3" t="s">
        <v>1436</v>
      </c>
      <c r="B1441" s="3" t="s">
        <v>997</v>
      </c>
      <c r="C1441" s="4" t="str">
        <f ca="1">IFERROR(__xludf.DUMMYFUNCTION("GOOGLETRANSLATE(A1441, ""auto"", ""bn"")"),"ভাবিনি এখনই পাবো। গত রাতে (কয়েক ঘন্টা আগে) আমার খুব একটা বিয়ারের প্রবল আকাঙ্ক্ষা হচ্ছিল, কিন্তু সপ্তাহের দিনগুলিতে যেমন রাত ১০:৩০ টায় লিকারের দোকান বন্ধ হয়, তেমনই রাত ১০:৩০ টায় পর্যন্ত অপেক্ষা করতে বাধ্য হয়েছিলাম। বুধবার থেকে আমার শরীর শান্ত। এখন শুক্রবা"&amp;"র, আর যদি আজ রাত ১১:৩০ টায় দোকান বন্ধ হয়, তাহলে আবার খুশিতে ফিরে আসবো। ভেবেছিলাম, আমার খারাপ লাগবে, কিন্তু সত্যি বলতে? আমার অসাধারণ লাগছে! তাছাড়া, আমি সিগারেট না খেয়ে পুরো ২ দিন কাজ করেছি। তাছাড়া, আমি ১৬ বছর বয়স থেকে একজন ভারী ধূমপায়ী এবং আমার ২০ বছর "&amp;"বয়স ধরে মাঝে মাঝে (শুধুমাত্র বিয়ার) পান করি।")</f>
        <v>ভাবিনি এখনই পাবো। গত রাতে (কয়েক ঘন্টা আগে) আমার খুব একটা বিয়ারের প্রবল আকাঙ্ক্ষা হচ্ছিল, কিন্তু সপ্তাহের দিনগুলিতে যেমন রাত ১০:৩০ টায় লিকারের দোকান বন্ধ হয়, তেমনই রাত ১০:৩০ টায় পর্যন্ত অপেক্ষা করতে বাধ্য হয়েছিলাম। বুধবার থেকে আমার শরীর শান্ত। এখন শুক্রবার, আর যদি আজ রাত ১১:৩০ টায় দোকান বন্ধ হয়, তাহলে আবার খুশিতে ফিরে আসবো। ভেবেছিলাম, আমার খারাপ লাগবে, কিন্তু সত্যি বলতে? আমার অসাধারণ লাগছে! তাছাড়া, আমি সিগারেট না খেয়ে পুরো ২ দিন কাজ করেছি। তাছাড়া, আমি ১৬ বছর বয়স থেকে একজন ভারী ধূমপায়ী এবং আমার ২০ বছর বয়স ধরে মাঝে মাঝে (শুধুমাত্র বিয়ার) পান করি।</v>
      </c>
    </row>
    <row r="1442" spans="1:3" ht="15" x14ac:dyDescent="0.25">
      <c r="A1442" s="3" t="s">
        <v>1437</v>
      </c>
      <c r="B1442" s="3" t="s">
        <v>997</v>
      </c>
      <c r="C1442" s="4" t="str">
        <f ca="1">IFERROR(__xludf.DUMMYFUNCTION("GOOGLETRANSLATE(A1442, ""auto"", ""bn"")"),"আমার বয়স ২২ এবং আমার বাবা-মা দুজনেই প্রচুর মদ্যপান করেন। এমন একটা পরিবারে থাকার পর যেখানে সবকিছু এতটাই স্বাভাবিক ছিল যে, কলেজ জীবন থেকে শুরু করে হপিং বারে যাওয়া, কিশোর বয়সে আমি ভেবেছিলাম যে আমি আমার ব্যক্তিত্বের বেশিরভাগ অংশ হুইস্কি পছন্দ করার চারপাশে ঘু"&amp;"রপাক খাবো। দেখা যাচ্ছে, আমি এটা একটু বেশিই পছন্দ করি। আমি কোভিড আক্রান্ত হয়েছিলাম এবং পুরো কোয়ারেন্টাইনটি আমার প্রেমিকের (যিনি আসলে পান করেন না) সাথে ঝামেলায় কাটিয়েছি, আমি বন্ধুদের কাছ থেকে লুকিয়ে একা পান করেছি, এবং আমি এটাকে আমার দৈনন্দিন রুটিনের অংশ"&amp;" বলে মনে করেছি, সকালে অর্ধেক পঞ্চমাংশ হুইস্কি এবং এক কফি খেলেই আমি ঠিক হয়ে যাব। আর না, আমি এটাকে আমার উদ্বেগ, বিষণ্ণতা, আমার সম্পর্ক এবং আমার আর্থিক অবস্থার উপর প্রভাব ফেলতে দেইনি। আমি কিছুদিন আগে নিকোটিন ছেড়ে দিয়েছি, আমি এটাও ছেড়ে দিতে পারি।")</f>
        <v>আমার বয়স ২২ এবং আমার বাবা-মা দুজনেই প্রচুর মদ্যপান করেন। এমন একটা পরিবারে থাকার পর যেখানে সবকিছু এতটাই স্বাভাবিক ছিল যে, কলেজ জীবন থেকে শুরু করে হপিং বারে যাওয়া, কিশোর বয়সে আমি ভেবেছিলাম যে আমি আমার ব্যক্তিত্বের বেশিরভাগ অংশ হুইস্কি পছন্দ করার চারপাশে ঘুরপাক খাবো। দেখা যাচ্ছে, আমি এটা একটু বেশিই পছন্দ করি। আমি কোভিড আক্রান্ত হয়েছিলাম এবং পুরো কোয়ারেন্টাইনটি আমার প্রেমিকের (যিনি আসলে পান করেন না) সাথে ঝামেলায় কাটিয়েছি, আমি বন্ধুদের কাছ থেকে লুকিয়ে একা পান করেছি, এবং আমি এটাকে আমার দৈনন্দিন রুটিনের অংশ বলে মনে করেছি, সকালে অর্ধেক পঞ্চমাংশ হুইস্কি এবং এক কফি খেলেই আমি ঠিক হয়ে যাব। আর না, আমি এটাকে আমার উদ্বেগ, বিষণ্ণতা, আমার সম্পর্ক এবং আমার আর্থিক অবস্থার উপর প্রভাব ফেলতে দেইনি। আমি কিছুদিন আগে নিকোটিন ছেড়ে দিয়েছি, আমি এটাও ছেড়ে দিতে পারি।</v>
      </c>
    </row>
    <row r="1443" spans="1:3" ht="15" x14ac:dyDescent="0.25">
      <c r="A1443" s="3" t="s">
        <v>1438</v>
      </c>
      <c r="B1443" s="3" t="s">
        <v>997</v>
      </c>
      <c r="C1443" s="4" t="str">
        <f ca="1">IFERROR(__xludf.DUMMYFUNCTION("GOOGLETRANSLATE(A1443, ""auto"", ""bn"")"),"আমি বেশ কিছুদিন ধরেই এই চিন্তার সাথে লড়াই করছি। আমার কোন সমস্যা আছে কিনা তা নির্ধারণ করার জন্য আমি অনলাইন পরীক্ষা করেছি এবং আমি সেই পরীক্ষার একেবারে দ্বারপ্রান্তে। মাঝে মাঝে আমি আমার সঙ্গীর কাছ থেকে ওয়াইন লুকিয়ে রাখি। আর যখন আমি বাথরুমে যাই তখন আমি কিছ"&amp;"ুটা পান করি। আমার মানসিক স্বাস্থ্য এবং আমাদের সম্পর্কের সাথে আমার অনেক সমস্যা হচ্ছে এবং যখন আমি দুঃখিত বা হতাশ বোধ করি তখন আমি এটি চাই, এবং এটি আমাকে আরও ভালো বোধ করে। কিন্তু অন্যদিকে, আমি কখন থামি, আমার কতটা আছে, অথবা আমার তা আছে কিনা তা আমার নিয়ন্ত্রণে"&amp;" আছে। আমার কী করা উচিত? এর মানে কি আমি মদ্যপানে ভুগছি?")</f>
        <v>আমি বেশ কিছুদিন ধরেই এই চিন্তার সাথে লড়াই করছি। আমার কোন সমস্যা আছে কিনা তা নির্ধারণ করার জন্য আমি অনলাইন পরীক্ষা করেছি এবং আমি সেই পরীক্ষার একেবারে দ্বারপ্রান্তে। মাঝে মাঝে আমি আমার সঙ্গীর কাছ থেকে ওয়াইন লুকিয়ে রাখি। আর যখন আমি বাথরুমে যাই তখন আমি কিছুটা পান করি। আমার মানসিক স্বাস্থ্য এবং আমাদের সম্পর্কের সাথে আমার অনেক সমস্যা হচ্ছে এবং যখন আমি দুঃখিত বা হতাশ বোধ করি তখন আমি এটি চাই, এবং এটি আমাকে আরও ভালো বোধ করে। কিন্তু অন্যদিকে, আমি কখন থামি, আমার কতটা আছে, অথবা আমার তা আছে কিনা তা আমার নিয়ন্ত্রণে আছে। আমার কী করা উচিত? এর মানে কি আমি মদ্যপানে ভুগছি?</v>
      </c>
    </row>
    <row r="1444" spans="1:3" ht="15" x14ac:dyDescent="0.25">
      <c r="A1444" s="3" t="s">
        <v>1439</v>
      </c>
      <c r="B1444" s="3" t="s">
        <v>997</v>
      </c>
      <c r="C1444" s="4" t="str">
        <f ca="1">IFERROR(__xludf.DUMMYFUNCTION("GOOGLETRANSLATE(A1444, ""auto"", ""bn"")"),"মদ্যপানের প্রবণতা কমিয়ে/বন্ধ করার সাথে সাথে মেজাজ নিয়ন্ত্রণ করার জন্য কোন টিপস আছে? আমি অনেক ভালো করছি, এবং আমি এটা ধরে রাখতে চাই। আমি জানি যে কয়েক বছর ধরে আমি আমার ইন্দ্রিয় পূরণের জন্য অ্যালকোহল ব্যবহার করছি কারণ আমি খুব আবেগপ্রবণ ব্যক্তি। তাছাড়া, আ"&amp;"মার শান্ত দিনগুলিতে আমি খুশি থাকি। তাছাড়া, আমি লক্ষ্য করি যে আমি সহজেই উত্তেজিত এবং রেগে যাই এবং তারপর অবশ্যই আমি মদ্যপানের দিকে ঝুঁকতে চাই কারণ আমি কীভাবে নিজেকে শান্ত করতে এবং আরও শান্ত হতে হয় তা ভুলে যাইনি। পরিবর্তনের জন্য কোন টিপস? রাগ এবং উত্তেজনা ন"&amp;"িয়ন্ত্রণ করার জন্য টিপস?")</f>
        <v>মদ্যপানের প্রবণতা কমিয়ে/বন্ধ করার সাথে সাথে মেজাজ নিয়ন্ত্রণ করার জন্য কোন টিপস আছে? আমি অনেক ভালো করছি, এবং আমি এটা ধরে রাখতে চাই। আমি জানি যে কয়েক বছর ধরে আমি আমার ইন্দ্রিয় পূরণের জন্য অ্যালকোহল ব্যবহার করছি কারণ আমি খুব আবেগপ্রবণ ব্যক্তি। তাছাড়া, আমার শান্ত দিনগুলিতে আমি খুশি থাকি। তাছাড়া, আমি লক্ষ্য করি যে আমি সহজেই উত্তেজিত এবং রেগে যাই এবং তারপর অবশ্যই আমি মদ্যপানের দিকে ঝুঁকতে চাই কারণ আমি কীভাবে নিজেকে শান্ত করতে এবং আরও শান্ত হতে হয় তা ভুলে যাইনি। পরিবর্তনের জন্য কোন টিপস? রাগ এবং উত্তেজনা নিয়ন্ত্রণ করার জন্য টিপস?</v>
      </c>
    </row>
    <row r="1445" spans="1:3" ht="15" x14ac:dyDescent="0.25">
      <c r="A1445" s="3" t="s">
        <v>1440</v>
      </c>
      <c r="B1445" s="3" t="s">
        <v>997</v>
      </c>
      <c r="C1445" s="4" t="str">
        <f ca="1">IFERROR(__xludf.DUMMYFUNCTION("GOOGLETRANSLATE(A1445, ""auto"", ""bn"")"),"হাই, এই সাব-এ আমি প্রথমবার, কিন্তু আমার মা একজন মদ্যপ এবং গত এক বছর ধরে তার অবস্থা আরও খারাপ হচ্ছে। এখন সে তার চাকরি হারিয়েছে এবং শুধু মদ্যপান করে ঘুম পাড়াচ্ছে। আমার এবং আমার ভাইকে এখন আমাদের কুকুরের যত্ন নিতে হচ্ছে, এবং যখন আমরা তার অনুরোধে কিছু করতে প"&amp;"ারছি না তখন সে আমাদের উপর অত্যন্ত রেগে যায়। সে বারবার বলেছে যে সে পুনর্বাসনে যেতে চায় না, এবং সে নিজেই শান্ত হতে পারে, কিন্তু এটা এক মাস আগের কথা, এবং এখন আমি তার সাথে এই বিষয়ে কথা বলতেও পারি না, সে আমার উপর রেগে যায় না, এবং সে সবকিছুকে আমার দোষ বলে ম"&amp;"নে করে অথবা আমার বাবা বা ভাইয়ের উপর দোষ চাপায়। এটা এমন পর্যায়ে এসে গেছে যে আমাকে আমার বাবার সাথে কথা বলতে হবে যে তাকে তার ইচ্ছার বিরুদ্ধে পুনর্বাসন কেন্দ্রে নিয়ে যেতে হবে, কিন্তু আমি জানি না কিভাবে বিষয়টি উত্থাপন করব। এবং তারপর আমার বান্ধবী বলে যে পর"&amp;"ের বার যখন সে ঝগড়া করবে তখন আমার উচিত পুলিশকে ফোন করে তাকে পুনর্বাসনে নিয়ে যাওয়া। আমি আশা করি এটি যুক্তিসঙ্গত হবে এবং আমি মনে করি আমি জিজ্ঞাসা করছি যে কারও কোন পরামর্শ আছে কিনা বা একই রকম পরিস্থিতি থেকে অভিজ্ঞতা আছে কিনা। প্রতিদিনের এই পরিস্থিতি আর আবা"&amp;"সন বাজারের সাথে মানিয়ে নিতে করতে আমি ক্লান্ত। সাশ্রয়ী মূল্যের জায়গা খুঁজে পাওয়া খুবই কঠিন। এতদূর এগিয়ে এলে পড়ার জন্য ধন্যবাদ।")</f>
        <v>হাই, এই সাব-এ আমি প্রথমবার, কিন্তু আমার মা একজন মদ্যপ এবং গত এক বছর ধরে তার অবস্থা আরও খারাপ হচ্ছে। এখন সে তার চাকরি হারিয়েছে এবং শুধু মদ্যপান করে ঘুম পাড়াচ্ছে। আমার এবং আমার ভাইকে এখন আমাদের কুকুরের যত্ন নিতে হচ্ছে, এবং যখন আমরা তার অনুরোধে কিছু করতে পারছি না তখন সে আমাদের উপর অত্যন্ত রেগে যায়। সে বারবার বলেছে যে সে পুনর্বাসনে যেতে চায় না, এবং সে নিজেই শান্ত হতে পারে, কিন্তু এটা এক মাস আগের কথা, এবং এখন আমি তার সাথে এই বিষয়ে কথা বলতেও পারি না, সে আমার উপর রেগে যায় না, এবং সে সবকিছুকে আমার দোষ বলে মনে করে অথবা আমার বাবা বা ভাইয়ের উপর দোষ চাপায়। এটা এমন পর্যায়ে এসে গেছে যে আমাকে আমার বাবার সাথে কথা বলতে হবে যে তাকে তার ইচ্ছার বিরুদ্ধে পুনর্বাসন কেন্দ্রে নিয়ে যেতে হবে, কিন্তু আমি জানি না কিভাবে বিষয়টি উত্থাপন করব। এবং তারপর আমার বান্ধবী বলে যে পরের বার যখন সে ঝগড়া করবে তখন আমার উচিত পুলিশকে ফোন করে তাকে পুনর্বাসনে নিয়ে যাওয়া। আমি আশা করি এটি যুক্তিসঙ্গত হবে এবং আমি মনে করি আমি জিজ্ঞাসা করছি যে কারও কোন পরামর্শ আছে কিনা বা একই রকম পরিস্থিতি থেকে অভিজ্ঞতা আছে কিনা। প্রতিদিনের এই পরিস্থিতি আর আবাসন বাজারের সাথে মানিয়ে নিতে করতে আমি ক্লান্ত। সাশ্রয়ী মূল্যের জায়গা খুঁজে পাওয়া খুবই কঠিন। এতদূর এগিয়ে এলে পড়ার জন্য ধন্যবাদ।</v>
      </c>
    </row>
    <row r="1446" spans="1:3" ht="15" x14ac:dyDescent="0.25">
      <c r="A1446" s="3" t="s">
        <v>1441</v>
      </c>
      <c r="B1446" s="3" t="s">
        <v>997</v>
      </c>
      <c r="C1446" s="4" t="str">
        <f ca="1">IFERROR(__xludf.DUMMYFUNCTION("GOOGLETRANSLATE(A1446, ""auto"", ""bn"")"),"৫ দিন আগে যখন আমি মদ্যপান করেছিলাম, তখন ২০ দিনের মধ্যে আমার ফলিকল টেস্টের জন্য সবচেয়ে ভালো ডিটক্স কী হতে পারে। আমি AA-তে আছি এবং চিকিৎসা নিচ্ছি, কিন্তু ছুটির দিনগুলি আমার জন্য বড় ট্রিগার। আমি এই পরীক্ষাটি সম্পর্কে জানতে পেরেছি এবং এটি আশা করিনি। তাছাড়া,"&amp;" আমি আমার বাচ্চাদের প্রাথমিক অভিভাবক ছিলাম এবং এই বছরটি ছিল ১৩ বছরের মধ্যে আমার প্রথমবারের মতো তাদের ছাড়া। তারা তাদের নার্সিসিস্ট বাবার সাথে আছে। এখন, সপ্তাহান্তে আমাকে এই পরীক্ষাটি পাস করতে হবে। আমি সাহায্যের জন্য কৃতজ্ঞ। আমি সোবার লিঙ্ক শুরু করতেও গিয়"&amp;"েছি যা একটি ব্যক্তিগত ব্রেথলাইজার।")</f>
        <v>৫ দিন আগে যখন আমি মদ্যপান করেছিলাম, তখন ২০ দিনের মধ্যে আমার ফলিকল টেস্টের জন্য সবচেয়ে ভালো ডিটক্স কী হতে পারে। আমি AA-তে আছি এবং চিকিৎসা নিচ্ছি, কিন্তু ছুটির দিনগুলি আমার জন্য বড় ট্রিগার। আমি এই পরীক্ষাটি সম্পর্কে জানতে পেরেছি এবং এটি আশা করিনি। তাছাড়া, আমি আমার বাচ্চাদের প্রাথমিক অভিভাবক ছিলাম এবং এই বছরটি ছিল ১৩ বছরের মধ্যে আমার প্রথমবারের মতো তাদের ছাড়া। তারা তাদের নার্সিসিস্ট বাবার সাথে আছে। এখন, সপ্তাহান্তে আমাকে এই পরীক্ষাটি পাস করতে হবে। আমি সাহায্যের জন্য কৃতজ্ঞ। আমি সোবার লিঙ্ক শুরু করতেও গিয়েছি যা একটি ব্যক্তিগত ব্রেথলাইজার।</v>
      </c>
    </row>
    <row r="1447" spans="1:3" ht="15" x14ac:dyDescent="0.25">
      <c r="A1447" s="3" t="s">
        <v>1442</v>
      </c>
      <c r="B1447" s="3" t="s">
        <v>997</v>
      </c>
      <c r="C1447" s="4" t="str">
        <f ca="1">IFERROR(__xludf.DUMMYFUNCTION("GOOGLETRANSLATE(A1447, ""auto"", ""bn"")"),"অ্যালকোহল ত্যাগ করার সময়, আমি ক্যাফিন এড়িয়ে চলার ব্যাপারে সতর্ক ছিলাম কারণ আমি লক্ষ্য করেছি যে এটি আমার অস্থিরতা আরও বাড়িয়ে দেবে। তবুও আমি চিন্তিত এবং বেনজোডিয়াজেপাইনের জন্য ডাক্তারের কাছে যেতে অনিচ্ছুক, আমি আশা করি আমার অস্থিরতা শান্ত করার জন্য কিছ"&amp;"ু ধরণের ডাউন-এয়ার থাকুক। আমি বেকনের বোতলটি মনে রেখেছিলাম যা আমি উদ্বেগের জন্য কিনেছিলাম। এটি একটি ভেষজ সম্পূরক এবং আমি মনে করি এটি আমাকে কতটা ক্লান্ত করে তুলেছিল। আমি দুটি ক্যাপসুল খেয়েছিলাম এবং আমার প্রত্যাহারের লক্ষণগুলিতে নাটকীয় উন্নতি লক্ষ্য করেছি।"&amp;" আমি আর অস্বস্তি বোধ করিনি এবং যদি আমি সঠিকভাবে মনে করি, আমার অনিদ্রা আসলে কমে গেছে। পরে, আমি বেকন এবং অ্যালকোহল প্রত্যাহার সম্পর্কিত কোনও তথ্য আছে কিনা তা দেখার জন্য অনলাইনে দেখার সিদ্ধান্ত নিয়েছিলাম। আমি কমপক্ষে একটি বৈজ্ঞানিক গবেষণা এবং বেশ কয়েকটি নি"&amp;"বন্ধ খুঁজে পেয়েছি যেখানে উল্লেখ করা হয়েছে যে বেকন প্রত্যাহারে সহায়তা করে এবং সেই উদ্দেশ্যে ভেষজ ঔষধে ব্যবহৃত হয়।")</f>
        <v>অ্যালকোহল ত্যাগ করার সময়, আমি ক্যাফিন এড়িয়ে চলার ব্যাপারে সতর্ক ছিলাম কারণ আমি লক্ষ্য করেছি যে এটি আমার অস্থিরতা আরও বাড়িয়ে দেবে। তবুও আমি চিন্তিত এবং বেনজোডিয়াজেপাইনের জন্য ডাক্তারের কাছে যেতে অনিচ্ছুক, আমি আশা করি আমার অস্থিরতা শান্ত করার জন্য কিছু ধরণের ডাউন-এয়ার থাকুক। আমি বেকনের বোতলটি মনে রেখেছিলাম যা আমি উদ্বেগের জন্য কিনেছিলাম। এটি একটি ভেষজ সম্পূরক এবং আমি মনে করি এটি আমাকে কতটা ক্লান্ত করে তুলেছিল। আমি দুটি ক্যাপসুল খেয়েছিলাম এবং আমার প্রত্যাহারের লক্ষণগুলিতে নাটকীয় উন্নতি লক্ষ্য করেছি। আমি আর অস্বস্তি বোধ করিনি এবং যদি আমি সঠিকভাবে মনে করি, আমার অনিদ্রা আসলে কমে গেছে। পরে, আমি বেকন এবং অ্যালকোহল প্রত্যাহার সম্পর্কিত কোনও তথ্য আছে কিনা তা দেখার জন্য অনলাইনে দেখার সিদ্ধান্ত নিয়েছিলাম। আমি কমপক্ষে একটি বৈজ্ঞানিক গবেষণা এবং বেশ কয়েকটি নিবন্ধ খুঁজে পেয়েছি যেখানে উল্লেখ করা হয়েছে যে বেকন প্রত্যাহারে সহায়তা করে এবং সেই উদ্দেশ্যে ভেষজ ঔষধে ব্যবহৃত হয়।</v>
      </c>
    </row>
    <row r="1448" spans="1:3" ht="15" x14ac:dyDescent="0.25">
      <c r="A1448" s="3" t="s">
        <v>1443</v>
      </c>
      <c r="B1448" s="3" t="s">
        <v>997</v>
      </c>
      <c r="C1448" s="4" t="str">
        <f ca="1">IFERROR(__xludf.DUMMYFUNCTION("GOOGLETRANSLATE(A1448, ""auto"", ""bn"")"),"শিরোনামে যেমন বলা আছে, আমি দেখেছি যে আমি প্রত্যাহার ছাড়াই প্রতিদিন পান করতে পারি, কিন্তু আমি জানি এটি একটি পিচ্ছিল ঢাল। কিন্তু যদি আমি সোমবার এবং মঙ্গলবার নয় বরং বুধবার পান করি, তাহলে কি প্রত্যাহারের কারণ হতে পারে? আমি আমার শরীরকে 24 ঘন্টার জন্য বিষমুক্"&amp;"ত করতে দিচ্ছি, কিন্তু আমি খুব চিন্তিত যে প্রতিদিন পান করলে সমস্যা হতে পারে।")</f>
        <v>শিরোনামে যেমন বলা আছে, আমি দেখেছি যে আমি প্রত্যাহার ছাড়াই প্রতিদিন পান করতে পারি, কিন্তু আমি জানি এটি একটি পিচ্ছিল ঢাল। কিন্তু যদি আমি সোমবার এবং মঙ্গলবার নয় বরং বুধবার পান করি, তাহলে কি প্রত্যাহারের কারণ হতে পারে? আমি আমার শরীরকে 24 ঘন্টার জন্য বিষমুক্ত করতে দিচ্ছি, কিন্তু আমি খুব চিন্তিত যে প্রতিদিন পান করলে সমস্যা হতে পারে।</v>
      </c>
    </row>
    <row r="1449" spans="1:3" ht="15" x14ac:dyDescent="0.25">
      <c r="A1449" s="3" t="s">
        <v>1444</v>
      </c>
      <c r="B1449" s="3" t="s">
        <v>997</v>
      </c>
      <c r="C1449" s="4" t="str">
        <f ca="1">IFERROR(__xludf.DUMMYFUNCTION("GOOGLETRANSLATE(A1449, ""auto"", ""bn"")"),"আমি এখানে এসেছি কারণ আমি আসলে জানি না কার সাথে এই বিষয়ে কথা বলব, কিন্তু আমি প্রায় ৫ মাস ধরে সুস্থ আছি (আদালতের পরামর্শে দিনে ৩ বার ব্রেথ অ্যালাইজার) এবং এটি ক্লান্তিকর এবং সতেজতার এক অদ্ভুত মিশ্রণ। সাধারণত যখন আমার খারাপ দিন কাটত তখন আমি বারে যেতাম এবং "&amp;"কমপক্ষে ভালো একটা গুঞ্জন পেতাম, এমনকি মাঝে মাঝে হুড ডে করার সময়ও। আমি প্রায় ১৬ বছর বয়স থেকে নিয়মিতভাবে মদ্যপান করে আসছি। এখন আমার বয়স ২৫ এবং অবশেষে বুঝতে পারছি যে আমার সমস্যাগুলি মোকাবেলা করার জন্য এটি আমার জন্য একটি স্বাস্থ্যকর উপায় ছিল না এবং অন্য"&amp;" কেউ এটি দেখতে না পেলেও আমি নিজেকে নিয়ে একরকম গর্বিত বোধ করি। আমি অনেক কিছু করেছি যাতে কর্মক্ষেত্রে খারাপ দিন কাটলে, খারাপ মানসিক স্বাস্থ্য দিবস কাটলে বা যখন আমি একঘেয়েমি অনুভব করি তখন বোতলের দিকে ফিরে না যাই, এবং আমি জানি না এই পোস্টটি এখানে প্রযোজ্য ক"&amp;"িনা, তবে আমার মনে হয়েছিল যে আমার এমন কারো কথা শোনা দরকার, হয়তো কেউ আমার সাথে কিছুটা সম্পর্ক স্থাপন করতে পারে। দুঃখিত, এটা নিছক একটা শব্দের বমি ছিল, কিন্তু আমার আসলেই এটা নিয়ে কথা বলা দরকার ছিল, মনে হয়।")</f>
        <v>আমি এখানে এসেছি কারণ আমি আসলে জানি না কার সাথে এই বিষয়ে কথা বলব, কিন্তু আমি প্রায় ৫ মাস ধরে সুস্থ আছি (আদালতের পরামর্শে দিনে ৩ বার ব্রেথ অ্যালাইজার) এবং এটি ক্লান্তিকর এবং সতেজতার এক অদ্ভুত মিশ্রণ। সাধারণত যখন আমার খারাপ দিন কাটত তখন আমি বারে যেতাম এবং কমপক্ষে ভালো একটা গুঞ্জন পেতাম, এমনকি মাঝে মাঝে হুড ডে করার সময়ও। আমি প্রায় ১৬ বছর বয়স থেকে নিয়মিতভাবে মদ্যপান করে আসছি। এখন আমার বয়স ২৫ এবং অবশেষে বুঝতে পারছি যে আমার সমস্যাগুলি মোকাবেলা করার জন্য এটি আমার জন্য একটি স্বাস্থ্যকর উপায় ছিল না এবং অন্য কেউ এটি দেখতে না পেলেও আমি নিজেকে নিয়ে একরকম গর্বিত বোধ করি। আমি অনেক কিছু করেছি যাতে কর্মক্ষেত্রে খারাপ দিন কাটলে, খারাপ মানসিক স্বাস্থ্য দিবস কাটলে বা যখন আমি একঘেয়েমি অনুভব করি তখন বোতলের দিকে ফিরে না যাই, এবং আমি জানি না এই পোস্টটি এখানে প্রযোজ্য কিনা, তবে আমার মনে হয়েছিল যে আমার এমন কারো কথা শোনা দরকার, হয়তো কেউ আমার সাথে কিছুটা সম্পর্ক স্থাপন করতে পারে। দুঃখিত, এটা নিছক একটা শব্দের বমি ছিল, কিন্তু আমার আসলেই এটা নিয়ে কথা বলা দরকার ছিল, মনে হয়।</v>
      </c>
    </row>
    <row r="1450" spans="1:3" ht="15" x14ac:dyDescent="0.25">
      <c r="A1450" s="3" t="s">
        <v>1445</v>
      </c>
      <c r="B1450" s="3" t="s">
        <v>997</v>
      </c>
      <c r="C1450" s="4" t="str">
        <f ca="1">IFERROR(__xludf.DUMMYFUNCTION("GOOGLETRANSLATE(A1450, ""auto"", ""bn"")"),"আমি কয়েক বছর ধরে ঘন ঘন মদ্যপান করছি, এবং এটি আরও খারাপ হচ্ছে। আমি মনে করতে পারছি না যে শেষ কবে আমি এক সপ্তাহ অন্তত এক রাত মাতাল না হয়েছিলাম। তাছাড়া, আমি অস্বীকার করছি যে এটি আমাকে কতটা প্রভাবিত করছে, এবং আমি কতটা এটি মোকাবেলা করার জন্য ব্যবহার করছি। গত"&amp;" সপ্তাহে আমি তিন রাত মাতাল ছিলাম, এবং তারপর আমি আমার ভাই এবং কিছু চাচাতো ভাইদের সাথে সকাল ১১ টার দিকে শুরু হওয়া নববর্ষের দিনটিতে গিয়েছিলাম। আমি আগের রাত ৪টা পর্যন্ত মদ্যপানের নেশায় মত্ত ছিলাম। সেখানে সবাই মদ্যপান করে, এবং আমরা সরাসরি মদ্যপান শুরু করেছি"&amp;"লাম। খুব বেশি সময় লাগেনি যে আমি মনে রাখা ছেড়ে দিয়েছি এবং অন্ধকার হয়ে গেছি। আমি অন্তত মধ্যরাত পর্যন্ত মদ্যপান করেছি। এটি ছিল নিজেকে মদ্যপান করতে দেওয়া আমার শেষ প্রচেষ্টা, এবং তারপর থেকে আমি মদ্যপান করিনি এবং পুরোপুরি মদ্যপান ছেড়ে দেওয়ার চেষ্টা করছি।"&amp;" যারা ছেড়ে দিয়েছেন, তাদের জন্য, উদ্বেগ এবং ভয় কমতে কতক্ষণ সময় লেগেছে? এটি 3 য় দিন এবং আমি এখনও অত্যন্ত উদ্বিগ্ন এবং সেখানে উপস্থিত কারও সাথে কথা বলতে আমার ভয় হয়। যেহেতু আমি অজ্ঞান হয়ে পড়েছিলাম, আমি জানি না আমি কীভাবে আচরণ করেছি বা কী করেছি। আমি জ"&amp;"ানি না আমি নিজেকে কতটা বোকা বানিয়ে ফেলেছি। কারও সাথে মদ্যপান ছেড়ে দেওয়ার বিষয়ে কথা বলতেও আমি খুব ভয় পাই। কোনও অন্তর্দৃষ্টি বা টিপস পেলে খুব প্রশংসা করা হবে।")</f>
        <v>আমি কয়েক বছর ধরে ঘন ঘন মদ্যপান করছি, এবং এটি আরও খারাপ হচ্ছে। আমি মনে করতে পারছি না যে শেষ কবে আমি এক সপ্তাহ অন্তত এক রাত মাতাল না হয়েছিলাম। তাছাড়া, আমি অস্বীকার করছি যে এটি আমাকে কতটা প্রভাবিত করছে, এবং আমি কতটা এটি মোকাবেলা করার জন্য ব্যবহার করছি। গত সপ্তাহে আমি তিন রাত মাতাল ছিলাম, এবং তারপর আমি আমার ভাই এবং কিছু চাচাতো ভাইদের সাথে সকাল ১১ টার দিকে শুরু হওয়া নববর্ষের দিনটিতে গিয়েছিলাম। আমি আগের রাত ৪টা পর্যন্ত মদ্যপানের নেশায় মত্ত ছিলাম। সেখানে সবাই মদ্যপান করে, এবং আমরা সরাসরি মদ্যপান শুরু করেছিলাম। খুব বেশি সময় লাগেনি যে আমি মনে রাখা ছেড়ে দিয়েছি এবং অন্ধকার হয়ে গেছি। আমি অন্তত মধ্যরাত পর্যন্ত মদ্যপান করেছি। এটি ছিল নিজেকে মদ্যপান করতে দেওয়া আমার শেষ প্রচেষ্টা, এবং তারপর থেকে আমি মদ্যপান করিনি এবং পুরোপুরি মদ্যপান ছেড়ে দেওয়ার চেষ্টা করছি। যারা ছেড়ে দিয়েছেন, তাদের জন্য, উদ্বেগ এবং ভয় কমতে কতক্ষণ সময় লেগেছে? এটি 3 য় দিন এবং আমি এখনও অত্যন্ত উদ্বিগ্ন এবং সেখানে উপস্থিত কারও সাথে কথা বলতে আমার ভয় হয়। যেহেতু আমি অজ্ঞান হয়ে পড়েছিলাম, আমি জানি না আমি কীভাবে আচরণ করেছি বা কী করেছি। আমি জানি না আমি নিজেকে কতটা বোকা বানিয়ে ফেলেছি। কারও সাথে মদ্যপান ছেড়ে দেওয়ার বিষয়ে কথা বলতেও আমি খুব ভয় পাই। কোনও অন্তর্দৃষ্টি বা টিপস পেলে খুব প্রশংসা করা হবে।</v>
      </c>
    </row>
    <row r="1451" spans="1:3" ht="15" x14ac:dyDescent="0.25">
      <c r="A1451" s="3" t="s">
        <v>1446</v>
      </c>
      <c r="B1451" s="3" t="s">
        <v>997</v>
      </c>
      <c r="C1451" s="4" t="str">
        <f ca="1">IFERROR(__xludf.DUMMYFUNCTION("GOOGLETRANSLATE(A1451, ""auto"", ""bn"")"),"আমি খুবই উত্তেজিত কারণ আমি দুই সপ্তাহের মধ্যে প্রথমবারের মতো আমার প্রেমিকের সাথে থাকতে যাচ্ছি। তবে, আমি খুব নার্ভাস। আমার প্রেমিক যখন আমি মদ্যপান করি তখন সে ঘৃণা করে এবং একসাথে থাকতে তার দ্বিধাগ্রস্ততার একটি বড় কারণ। আমি বুঝতে পারি যে আমার এই অভ্যাসটি চি"&amp;"রতরে ত্যাগ করা দরকার, তাই আমি আমার সম্পর্ক নষ্ট করি না। এই লক্ষ্য বজায় রাখার জন্য কিছু পরামর্শ কী? আমি জানি সময়ের সাথে সাথে এটি সহজ হয়ে যায় তবে আমি কোনও পরামর্শ চাইছি, তাই আমার জীবনের নিয়ন্ত্রণ ফিরে পেতে আমার কাছে যতটা সম্ভব সরঞ্জাম রয়েছে।")</f>
        <v>আমি খুবই উত্তেজিত কারণ আমি দুই সপ্তাহের মধ্যে প্রথমবারের মতো আমার প্রেমিকের সাথে থাকতে যাচ্ছি। তবে, আমি খুব নার্ভাস। আমার প্রেমিক যখন আমি মদ্যপান করি তখন সে ঘৃণা করে এবং একসাথে থাকতে তার দ্বিধাগ্রস্ততার একটি বড় কারণ। আমি বুঝতে পারি যে আমার এই অভ্যাসটি চিরতরে ত্যাগ করা দরকার, তাই আমি আমার সম্পর্ক নষ্ট করি না। এই লক্ষ্য বজায় রাখার জন্য কিছু পরামর্শ কী? আমি জানি সময়ের সাথে সাথে এটি সহজ হয়ে যায় তবে আমি কোনও পরামর্শ চাইছি, তাই আমার জীবনের নিয়ন্ত্রণ ফিরে পেতে আমার কাছে যতটা সম্ভব সরঞ্জাম রয়েছে।</v>
      </c>
    </row>
    <row r="1452" spans="1:3" ht="15" x14ac:dyDescent="0.25">
      <c r="A1452" s="3" t="s">
        <v>1447</v>
      </c>
      <c r="B1452" s="3" t="s">
        <v>997</v>
      </c>
      <c r="C1452" s="4" t="str">
        <f ca="1">IFERROR(__xludf.DUMMYFUNCTION("GOOGLETRANSLATE(A1452, ""auto"", ""bn"")"),"২৯এফ এক বছরেরও বেশি সময় ধরে প্রতিদিন এক বোতল ওয়াইন পান করছি এবং এখন বেশিরভাগ দিনই ২ বোতল করে ফেলছি। আমার ওজন ২৫ পাউন্ড বেড়েছে, আমার ত্বক খারাপ হয়ে গেছে, আমার আইবিএস উল্লেখযোগ্যভাবে খারাপ, আমি বাড়িতে মদ্যপানের জন্য সবকিছু পরিকল্পনা করি এবং এখন বিষণ্ণত"&amp;"ার সাথে মোকাবিলা করি। আমার আগে আরও শক্তি ছিল এবং আমি যে জিনিসগুলি পছন্দ করি সেগুলি করার জন্য সময় ব্যয় করতাম। এখন আমি কিছুই করি না। আমি এতে ক্লান্ত। নিজেকে এবং আমার সম্পর্কগুলিকে সম্পূর্ণরূপে নষ্ট করার আগে আমি থামতে চাই। আমার পরিবার, বন্ধুবান্ধব এবং শ্বশ"&amp;"ুরবাড়ির লোকেরা প্রচুর পরিমাণে মদ্যপান করে। আমি না বলার এবং মাতাল না হয়ে তাদের সাথে আমার সময় উপভোগ করার শক্তি আশা করছি। শুধু আমার চিন্তাভাবনাগুলি প্রকাশ করতে চাই?")</f>
        <v>২৯এফ এক বছরেরও বেশি সময় ধরে প্রতিদিন এক বোতল ওয়াইন পান করছি এবং এখন বেশিরভাগ দিনই ২ বোতল করে ফেলছি। আমার ওজন ২৫ পাউন্ড বেড়েছে, আমার ত্বক খারাপ হয়ে গেছে, আমার আইবিএস উল্লেখযোগ্যভাবে খারাপ, আমি বাড়িতে মদ্যপানের জন্য সবকিছু পরিকল্পনা করি এবং এখন বিষণ্ণতার সাথে মোকাবিলা করি। আমার আগে আরও শক্তি ছিল এবং আমি যে জিনিসগুলি পছন্দ করি সেগুলি করার জন্য সময় ব্যয় করতাম। এখন আমি কিছুই করি না। আমি এতে ক্লান্ত। নিজেকে এবং আমার সম্পর্কগুলিকে সম্পূর্ণরূপে নষ্ট করার আগে আমি থামতে চাই। আমার পরিবার, বন্ধুবান্ধব এবং শ্বশুরবাড়ির লোকেরা প্রচুর পরিমাণে মদ্যপান করে। আমি না বলার এবং মাতাল না হয়ে তাদের সাথে আমার সময় উপভোগ করার শক্তি আশা করছি। শুধু আমার চিন্তাভাবনাগুলি প্রকাশ করতে চাই?</v>
      </c>
    </row>
    <row r="1453" spans="1:3" ht="15" x14ac:dyDescent="0.25">
      <c r="A1453" s="3" t="s">
        <v>1448</v>
      </c>
      <c r="B1453" s="3" t="s">
        <v>997</v>
      </c>
      <c r="C1453" s="4" t="str">
        <f ca="1">IFERROR(__xludf.DUMMYFUNCTION("GOOGLETRANSLATE(A1453, ""auto"", ""bn"")"),"যারা মদ্যপান করে এবং তোমার বিবাহ/সম্পর্কের বাইরে কাউকে অনুপযুক্ত বার্তা পাঠিয়েছে, তাদের জন্য, তুমি কি এটা করার কথা মনে রাখো? এটা কি এমন কিছু যা তুমি ভুলে যাও? আমার SO মেসেজ চেক করে (৬ বছরেরও বেশি সময় ধরে একসাথে প্রথম এবং একমাত্রবার) এবং সে কাউকে অনুপযুক"&amp;"্ত বার্তা পাঠাচ্ছে এবং এমনকি অনুপযুক্ত ছবিও পাঠিয়েছে। সে তা সম্পূর্ণরূপে অস্বীকার করেছে এবং আমাকে তার ফোন ধরতে দিতে অস্বীকৃতি জানিয়েছে তারপর টেক্সট থ্রেডটি মুছে ফেলেছে (যার মাধ্যমে বিজ্ঞপ্তি বন্ধ করে দেওয়া হয়েছিল) এবং বলেছে যে সে লজ্জিত, যখন সে আমাকে "&amp;"ফোনটি দেখতে দিয়েছে শুধুমাত্র সেই টেক্সট থ্রেডটি অনুপস্থিত। সে প্রথমে এমন আচরণ করেছে যেন সে জানে না আমি কী বলছি এবং আমাকে হতবাক করেছে। মনে নেই বা সত্যিই লজ্জিত, যে সে ধরা পড়েছে? সে দাবি করে যে সে তাকে কিছু অনুপযুক্ত বার্তা পাঠিয়েছে, এবং সে তাকে কিছু মজা"&amp;" দিয়েছে কিন্তু খারাপ কিছু নয়। আসলে সেগুলো ছিল হার্ডকোর সেক্সটিং। এটা কি দূর থেকেও সম্ভব যে সে এই বার্তাগুলির কোনওটি পাঠানোর কথা মনে রাখবে না? সে দাবি করে যে যদি সে জেনেশুনে এই বার্তাগুলি পাঠাত, তাহলে সে বার্তাগুলি আমার খুঁজে বের করার জন্য সংরক্ষণ করত না"&amp;"। যা আমাকে বলে যে সে সম্ভবত কয়েক মাস আগে তার ফোনে একটি পাসকোড যোগ করার আগে সেগুলি মুছে ফেলছিল কিন্তু আমি কোনওভাবেই জানতাম না। আমি যখন চিকিৎসার জন্য শহরের বাইরে ছিলাম, তখন মাঝরাতে তাকে তার সাথে ফেসটাইমিং করতে দেখেছিলাম। সে বলেছিল যে এরপর থেকে সে আর তার সা"&amp;"থে যোগাযোগ করবে না কারণ সে তার সাথে কথা বলার বিষয়ে আমাকে মিথ্যা বলেছে এবং যথারীতি আমাকে বিরক্ত করেছে। আমি এটা বলতে ঘৃণা করি, কিন্তু আমি তাকে মোটেও বিশ্বাস করি না। মদ্যপান কীভাবে এই ধরণের জিনিসগুলির স্মৃতিকে প্রভাবিত করে সে সম্পর্কে যেকোনো মতামত জানালে কৃ"&amp;"তজ্ঞ থাকব।")</f>
        <v>যারা মদ্যপান করে এবং তোমার বিবাহ/সম্পর্কের বাইরে কাউকে অনুপযুক্ত বার্তা পাঠিয়েছে, তাদের জন্য, তুমি কি এটা করার কথা মনে রাখো? এটা কি এমন কিছু যা তুমি ভুলে যাও? আমার SO মেসেজ চেক করে (৬ বছরেরও বেশি সময় ধরে একসাথে প্রথম এবং একমাত্রবার) এবং সে কাউকে অনুপযুক্ত বার্তা পাঠাচ্ছে এবং এমনকি অনুপযুক্ত ছবিও পাঠিয়েছে। সে তা সম্পূর্ণরূপে অস্বীকার করেছে এবং আমাকে তার ফোন ধরতে দিতে অস্বীকৃতি জানিয়েছে তারপর টেক্সট থ্রেডটি মুছে ফেলেছে (যার মাধ্যমে বিজ্ঞপ্তি বন্ধ করে দেওয়া হয়েছিল) এবং বলেছে যে সে লজ্জিত, যখন সে আমাকে ফোনটি দেখতে দিয়েছে শুধুমাত্র সেই টেক্সট থ্রেডটি অনুপস্থিত। সে প্রথমে এমন আচরণ করেছে যেন সে জানে না আমি কী বলছি এবং আমাকে হতবাক করেছে। মনে নেই বা সত্যিই লজ্জিত, যে সে ধরা পড়েছে? সে দাবি করে যে সে তাকে কিছু অনুপযুক্ত বার্তা পাঠিয়েছে, এবং সে তাকে কিছু মজা দিয়েছে কিন্তু খারাপ কিছু নয়। আসলে সেগুলো ছিল হার্ডকোর সেক্সটিং। এটা কি দূর থেকেও সম্ভব যে সে এই বার্তাগুলির কোনওটি পাঠানোর কথা মনে রাখবে না? সে দাবি করে যে যদি সে জেনেশুনে এই বার্তাগুলি পাঠাত, তাহলে সে বার্তাগুলি আমার খুঁজে বের করার জন্য সংরক্ষণ করত না। যা আমাকে বলে যে সে সম্ভবত কয়েক মাস আগে তার ফোনে একটি পাসকোড যোগ করার আগে সেগুলি মুছে ফেলছিল কিন্তু আমি কোনওভাবেই জানতাম না। আমি যখন চিকিৎসার জন্য শহরের বাইরে ছিলাম, তখন মাঝরাতে তাকে তার সাথে ফেসটাইমিং করতে দেখেছিলাম। সে বলেছিল যে এরপর থেকে সে আর তার সাথে যোগাযোগ করবে না কারণ সে তার সাথে কথা বলার বিষয়ে আমাকে মিথ্যা বলেছে এবং যথারীতি আমাকে বিরক্ত করেছে। আমি এটা বলতে ঘৃণা করি, কিন্তু আমি তাকে মোটেও বিশ্বাস করি না। মদ্যপান কীভাবে এই ধরণের জিনিসগুলির স্মৃতিকে প্রভাবিত করে সে সম্পর্কে যেকোনো মতামত জানালে কৃতজ্ঞ থাকব।</v>
      </c>
    </row>
    <row r="1454" spans="1:3" ht="15" x14ac:dyDescent="0.25">
      <c r="A1454" s="3" t="s">
        <v>1449</v>
      </c>
      <c r="B1454" s="3" t="s">
        <v>997</v>
      </c>
      <c r="C1454" s="4" t="str">
        <f ca="1">IFERROR(__xludf.DUMMYFUNCTION("GOOGLETRANSLATE(A1454, ""auto"", ""bn"")"),"আমি আশা করছি কারো এমন অভিজ্ঞতা আছে যা আমাদের সাহায্য করতে পারে। আমার ভাগ্নে বাড়িতে ডিটক্সিফিকেশন করছিল (কারণ পিসিআর ফলাফল সময়মতো আসেনি) এবং তার খিঁচুনি হয়েছিল। এটি আমার দেখা সবচেয়ে ভয়ঙ্কর জিনিস ছিল, সে তার জিভ কামড়ে ধরেছিল এবং সর্বত্র রক্ত ​​ছিল। খি"&amp;"ঁচুনিটি কয়েক মিনিট স্থায়ী হয়েছিল এবং যখন সে বেরিয়ে আসে তখন সে বিভ্রান্ত এবং কাঁপতে থাকে। অ্যাম্বুলেন্স তাকে হাসপাতালে নিয়ে যায়, এবং সে এখনও সেখানেই আছে। রবিবার রাতে সে চলে যায় এবং এখনও বিভ্রান্ত, হ্যালুসিনেশনে ভুগছে এবং তাকে সংযত করতে হবে। আমি আশা "&amp;"করেছিলাম যে সে এতক্ষণে এর থেকে সেরে উঠবে। ডিটক্সিফিকেশনের ফলে খিঁচুনির ফলাফল কি এত দিন স্থায়ী হতে পারে?")</f>
        <v>আমি আশা করছি কারো এমন অভিজ্ঞতা আছে যা আমাদের সাহায্য করতে পারে। আমার ভাগ্নে বাড়িতে ডিটক্সিফিকেশন করছিল (কারণ পিসিআর ফলাফল সময়মতো আসেনি) এবং তার খিঁচুনি হয়েছিল। এটি আমার দেখা সবচেয়ে ভয়ঙ্কর জিনিস ছিল, সে তার জিভ কামড়ে ধরেছিল এবং সর্বত্র রক্ত ​​ছিল। খিঁচুনিটি কয়েক মিনিট স্থায়ী হয়েছিল এবং যখন সে বেরিয়ে আসে তখন সে বিভ্রান্ত এবং কাঁপতে থাকে। অ্যাম্বুলেন্স তাকে হাসপাতালে নিয়ে যায়, এবং সে এখনও সেখানেই আছে। রবিবার রাতে সে চলে যায় এবং এখনও বিভ্রান্ত, হ্যালুসিনেশনে ভুগছে এবং তাকে সংযত করতে হবে। আমি আশা করেছিলাম যে সে এতক্ষণে এর থেকে সেরে উঠবে। ডিটক্সিফিকেশনের ফলে খিঁচুনির ফলাফল কি এত দিন স্থায়ী হতে পারে?</v>
      </c>
    </row>
    <row r="1455" spans="1:3" ht="15" x14ac:dyDescent="0.25">
      <c r="A1455" s="3" t="s">
        <v>1450</v>
      </c>
      <c r="B1455" s="3" t="s">
        <v>997</v>
      </c>
      <c r="C1455" s="4" t="str">
        <f ca="1">IFERROR(__xludf.DUMMYFUNCTION("GOOGLETRANSLATE(A1455, ""auto"", ""bn"")"),"এই সাবরেডিটের বন্ধুরা, আমি শেষবার মদ্যপান করার পর এক বছর হয়ে গেল। আমি যা দেখছি তা বিশ্বাস করতে পারছি না। বিশেষ করে শুরুতে, এই সাবের সাহায্য ছাড়া আমি এটা করতে পারতাম না। আমি সবসময় থিঙ্ক বিগ এবং রিচ ড্যাড পুওর ড্যাডের মতো দরকারী বই পড়ে আমার সময় ব্যয় ক"&amp;"রেছি। আমি দ্য লাইফস্টাইল ল্যাব, ক্যামব্রিজ 99 এবং লার্ন আ স্কিল এর মতো ওয়েবসাইট থেকে অনলাইনে দরকারী দক্ষতা অর্জন করি। তাছাড়া, আমি মনে করি আমার অবস্থা ভালো। যারা আমাকে এই পর্যায়ে আসতে সাহায্য করেছেন তাদের সকলকে ধন্যবাদ। আমাদের বাকিদের জানাতে দিন যে আপনি "&amp;"চমৎকার কাজ চালিয়ে যাচ্ছেন!")</f>
        <v>এই সাবরেডিটের বন্ধুরা, আমি শেষবার মদ্যপান করার পর এক বছর হয়ে গেল। আমি যা দেখছি তা বিশ্বাস করতে পারছি না। বিশেষ করে শুরুতে, এই সাবের সাহায্য ছাড়া আমি এটা করতে পারতাম না। আমি সবসময় থিঙ্ক বিগ এবং রিচ ড্যাড পুওর ড্যাডের মতো দরকারী বই পড়ে আমার সময় ব্যয় করেছি। আমি দ্য লাইফস্টাইল ল্যাব, ক্যামব্রিজ 99 এবং লার্ন আ স্কিল এর মতো ওয়েবসাইট থেকে অনলাইনে দরকারী দক্ষতা অর্জন করি। তাছাড়া, আমি মনে করি আমার অবস্থা ভালো। যারা আমাকে এই পর্যায়ে আসতে সাহায্য করেছেন তাদের সকলকে ধন্যবাদ। আমাদের বাকিদের জানাতে দিন যে আপনি চমৎকার কাজ চালিয়ে যাচ্ছেন!</v>
      </c>
    </row>
    <row r="1456" spans="1:3" ht="15" x14ac:dyDescent="0.25">
      <c r="A1456" s="3" t="s">
        <v>1451</v>
      </c>
      <c r="B1456" s="3" t="s">
        <v>997</v>
      </c>
      <c r="C1456" s="4" t="str">
        <f ca="1">IFERROR(__xludf.DUMMYFUNCTION("GOOGLETRANSLATE(A1456, ""auto"", ""bn"")"),"আমি আমার প্যানক্রিয়াটাইটিস সম্পর্কে আগে একটা থ্রেড করেছিলাম। এটা খুবই কঠিন কারণ আমি এখন নিউ ইয়র্ক সিটিতে প্রত্যাহারের মধ্য দিয়ে যাচ্ছি এবং প্রায় ভালো হয়ে গেছি এবং আমি শুধু বাইরে বের হয়ে মদ্যপান করার কথা ভাবতে পারি। আমি আগের মতো আর বেশি মদ্যপান না কর"&amp;"ার জন্য দৃঢ়প্রতিজ্ঞ, কিন্তু আমার বাগদত্তাও একজন মদ্যপ, এবং সে আমার সাথে ডিটক্স করতে পারেনি, তাই আমি ভীত যে আমি আগের মতো তার সাথে বেশি মদ্যপান করব। আমি কীভাবে তাকে বলব যে আমার এই বিষয়ে তার সাহায্যের প্রয়োজন, তাকে প্রত্যাহারের জন্য জোর/জিজ্ঞাসা না করে?")</f>
        <v>আমি আমার প্যানক্রিয়াটাইটিস সম্পর্কে আগে একটা থ্রেড করেছিলাম। এটা খুবই কঠিন কারণ আমি এখন নিউ ইয়র্ক সিটিতে প্রত্যাহারের মধ্য দিয়ে যাচ্ছি এবং প্রায় ভালো হয়ে গেছি এবং আমি শুধু বাইরে বের হয়ে মদ্যপান করার কথা ভাবতে পারি। আমি আগের মতো আর বেশি মদ্যপান না করার জন্য দৃঢ়প্রতিজ্ঞ, কিন্তু আমার বাগদত্তাও একজন মদ্যপ, এবং সে আমার সাথে ডিটক্স করতে পারেনি, তাই আমি ভীত যে আমি আগের মতো তার সাথে বেশি মদ্যপান করব। আমি কীভাবে তাকে বলব যে আমার এই বিষয়ে তার সাহায্যের প্রয়োজন, তাকে প্রত্যাহারের জন্য জোর/জিজ্ঞাসা না করে?</v>
      </c>
    </row>
    <row r="1457" spans="1:3" ht="15" x14ac:dyDescent="0.25">
      <c r="A1457" s="3" t="s">
        <v>1452</v>
      </c>
      <c r="B1457" s="3" t="s">
        <v>997</v>
      </c>
      <c r="C1457" s="4" t="str">
        <f ca="1">IFERROR(__xludf.DUMMYFUNCTION("GOOGLETRANSLATE(A1457, ""auto"", ""bn"")"),"এই থ্রেডটি কি এই থ্রেডের জন্য উপযুক্ত কিনা তা নিশ্চিত নই, কিন্তু তোমাদের মধ্যে কেউ কি আমাকে ভালো সাবসাইডের কথা বলতে পারবে? আমি অন্য একটি গ্রুপ চেষ্টা করেছিলাম, এবং তারা এটি সরিয়ে দিয়েছে কারণ সেই গ্রুপটি শুধুমাত্র মদ্যপদের জন্য। আমার স্বামীর বয়স ৩৫ এবং "&amp;"জন্ডিসের লক্ষণ দেখা যাচ্ছে। সে বলেছে যে সে সাহায্য চায় এবং ডাক্তারের কাছে যেতে ইচ্ছুক। আমাদের দুজনেরই ১লা ফেব্রুয়ারীতে শারীরিক পরীক্ষা করার পরিকল্পনা আছে কারণ সেই সময় আমাদের নতুন বীমা শুরু হবে। সে বলেছে যে সে ডাক্তারকে সবকিছু বলবে এবং সাহায্য পাবে এবং "&amp;"বিভিন্ন ওষুধ চেষ্টা করবে। তাছাড়া, সে তার মদ্যপানের পরিমাণ প্রায় ৫০ শতাংশ কমিয়ে ফেলেছে কিন্তু বাকিটাও ত্যাগ করতে পারছে না। তাছাড়া, সে আমাকে বলেছিল যে সে মদ্যপানও পছন্দ করে না কিন্তু কীভাবে অভ্যাস ভাঙবে তা বুঝতে পারছে না। কয়েক বছর আগে সে সপ্তাহান্তে কেবল "&amp;"মদ্যপান করত অথবা মাঝে মাঝে বিয়ার খেত। তারপর তা প্রতি রাতে বিয়ারে পরিণত হয়। তারপর এটি Evernote-এ ভদকা হয়ে এখন সারাদিন ধরে মদ্যপান করে। আমি বলতে লজ্জা পাচ্ছি যে আমি জানতাম না যে সে কর্মক্ষেত্রে মদ্যপান করছে যতক্ষণ না সে তার চাকরি হারায়। মনোযোগের অভাবে "&amp;"এটি হারিয়েছে, কারণ তারা এমনকি বুঝতে পেরেছিল যে সে মদ্যপান করছে। তারপর কোভিড দেখা দিল এবং সবকিছু আরও খারাপ করে দিল। যখন তার একজন ডাক্তারের প্রয়োজন ছিল। আমরা সবচেয়ে বেশি ভর্তি হতে পারিনি এবং তারপর আমাদের বীমা এবং চাকরি হারিয়ে ফেললাম। আমি তাকে ভালোবাসি এবং "&amp;"সাহায্য করতে চাই, কিন্তু সত্যি বলতে কী, কীভাবে করব তা আমার জানা নেই। আমার পরবর্তী পদক্ষেপ হল আমার নিজের বাড়ি থেকে সমস্ত অ্যালকোহল সরিয়ে ফেলা এবং নিজের জন্য মদ্যপান বন্ধ করা। আমার নিজের স্বাস্থ্যের জন্য আমাকে এটা করতে হবে, যদিও আমি সপ্তাহে মাত্র কয়েকবার"&amp;" মদ্যপান করি, এটি আমার স্বাস্থ্য এবং কোমরের জন্য ভালো নয়। আমি কীভাবে একজন ভালো সহায়তা হতে পারি এবং সঙ্গীদের জন্য কী কী সম্পদ থাকতে পারে। এটা আমাকে ভয় পায় যে আমি আমার ভালোবাসার মানুষটিকে হারাতে পারি, এবং আমি জানি না কিভাবে সাহায্য করব।")</f>
        <v>এই থ্রেডটি কি এই থ্রেডের জন্য উপযুক্ত কিনা তা নিশ্চিত নই, কিন্তু তোমাদের মধ্যে কেউ কি আমাকে ভালো সাবসাইডের কথা বলতে পারবে? আমি অন্য একটি গ্রুপ চেষ্টা করেছিলাম, এবং তারা এটি সরিয়ে দিয়েছে কারণ সেই গ্রুপটি শুধুমাত্র মদ্যপদের জন্য। আমার স্বামীর বয়স ৩৫ এবং জন্ডিসের লক্ষণ দেখা যাচ্ছে। সে বলেছে যে সে সাহায্য চায় এবং ডাক্তারের কাছে যেতে ইচ্ছুক। আমাদের দুজনেরই ১লা ফেব্রুয়ারীতে শারীরিক পরীক্ষা করার পরিকল্পনা আছে কারণ সেই সময় আমাদের নতুন বীমা শুরু হবে। সে বলেছে যে সে ডাক্তারকে সবকিছু বলবে এবং সাহায্য পাবে এবং বিভিন্ন ওষুধ চেষ্টা করবে। তাছাড়া, সে তার মদ্যপানের পরিমাণ প্রায় ৫০ শতাংশ কমিয়ে ফেলেছে কিন্তু বাকিটাও ত্যাগ করতে পারছে না। তাছাড়া, সে আমাকে বলেছিল যে সে মদ্যপানও পছন্দ করে না কিন্তু কীভাবে অভ্যাস ভাঙবে তা বুঝতে পারছে না। কয়েক বছর আগে সে সপ্তাহান্তে কেবল মদ্যপান করত অথবা মাঝে মাঝে বিয়ার খেত। তারপর তা প্রতি রাতে বিয়ারে পরিণত হয়। তারপর এটি Evernote-এ ভদকা হয়ে এখন সারাদিন ধরে মদ্যপান করে। আমি বলতে লজ্জা পাচ্ছি যে আমি জানতাম না যে সে কর্মক্ষেত্রে মদ্যপান করছে যতক্ষণ না সে তার চাকরি হারায়। মনোযোগের অভাবে এটি হারিয়েছে, কারণ তারা এমনকি বুঝতে পেরেছিল যে সে মদ্যপান করছে। তারপর কোভিড দেখা দিল এবং সবকিছু আরও খারাপ করে দিল। যখন তার একজন ডাক্তারের প্রয়োজন ছিল। আমরা সবচেয়ে বেশি ভর্তি হতে পারিনি এবং তারপর আমাদের বীমা এবং চাকরি হারিয়ে ফেললাম। আমি তাকে ভালোবাসি এবং সাহায্য করতে চাই, কিন্তু সত্যি বলতে কী, কীভাবে করব তা আমার জানা নেই। আমার পরবর্তী পদক্ষেপ হল আমার নিজের বাড়ি থেকে সমস্ত অ্যালকোহল সরিয়ে ফেলা এবং নিজের জন্য মদ্যপান বন্ধ করা। আমার নিজের স্বাস্থ্যের জন্য আমাকে এটা করতে হবে, যদিও আমি সপ্তাহে মাত্র কয়েকবার মদ্যপান করি, এটি আমার স্বাস্থ্য এবং কোমরের জন্য ভালো নয়। আমি কীভাবে একজন ভালো সহায়তা হতে পারি এবং সঙ্গীদের জন্য কী কী সম্পদ থাকতে পারে। এটা আমাকে ভয় পায় যে আমি আমার ভালোবাসার মানুষটিকে হারাতে পারি, এবং আমি জানি না কিভাবে সাহায্য করব।</v>
      </c>
    </row>
    <row r="1458" spans="1:3" ht="15" x14ac:dyDescent="0.25">
      <c r="A1458" s="3" t="s">
        <v>1453</v>
      </c>
      <c r="B1458" s="3" t="s">
        <v>997</v>
      </c>
      <c r="C1458" s="4" t="str">
        <f ca="1">IFERROR(__xludf.DUMMYFUNCTION("GOOGLETRANSLATE(A1458, ""auto"", ""bn"")"),"আমি এর থেকে বেরিয়ে আসার একটা উপায় খুঁজে পেয়েছি, আর সেটা হলো অ্যালকোহল, আমি হুক আপ করার আগে কয়েকটা পানীয় খাই, আর এটা আমাকে পুরোপুরি শিথিল করে, আর আমি আর রোবোটিক বোধ করি না, নিজেকে উপভোগ করা এবং মেলামেশা করা সহজ। আমি চাই যদি আমি কিছুটা মাতাল না হয়ে মা"&amp;"নুষের সাথে দেখা করতে পারতাম, এটা যথেষ্ট খারাপ কারণ আমার স্বাস্থ্যেরও ক্ষতি করে না। তাছাড়া, আমি কোনও অ্যালকোহলের স্বাদ পছন্দ করি না, কখনও করিনি, তবে আমার উপর এর প্রভাব আমি উপভোগ করি। আমার মা মদ্যপানের কারণে প্রায় মারা গিয়েছিলেন তাই? আমি সত্যিই এটা বের করা"&amp;"র চেষ্টা করছি। সপ্তাহে মাত্র একবার বা দুবার যখন আমি কয়েকটি জিন পান করতে পারি, কিন্তু আমার মনে হয় এটি আরও বেড়ে যায়? হয়তো আমি অতিরিক্ত প্রতিক্রিয়া দেখাচ্ছি এবং এটি কোনও বড় বিষয় নয়, যেকোনো পরামর্শের জন্য কৃতজ্ঞ থাকব।")</f>
        <v>আমি এর থেকে বেরিয়ে আসার একটা উপায় খুঁজে পেয়েছি, আর সেটা হলো অ্যালকোহল, আমি হুক আপ করার আগে কয়েকটা পানীয় খাই, আর এটা আমাকে পুরোপুরি শিথিল করে, আর আমি আর রোবোটিক বোধ করি না, নিজেকে উপভোগ করা এবং মেলামেশা করা সহজ। আমি চাই যদি আমি কিছুটা মাতাল না হয়ে মানুষের সাথে দেখা করতে পারতাম, এটা যথেষ্ট খারাপ কারণ আমার স্বাস্থ্যেরও ক্ষতি করে না। তাছাড়া, আমি কোনও অ্যালকোহলের স্বাদ পছন্দ করি না, কখনও করিনি, তবে আমার উপর এর প্রভাব আমি উপভোগ করি। আমার মা মদ্যপানের কারণে প্রায় মারা গিয়েছিলেন তাই? আমি সত্যিই এটা বের করার চেষ্টা করছি। সপ্তাহে মাত্র একবার বা দুবার যখন আমি কয়েকটি জিন পান করতে পারি, কিন্তু আমার মনে হয় এটি আরও বেড়ে যায়? হয়তো আমি অতিরিক্ত প্রতিক্রিয়া দেখাচ্ছি এবং এটি কোনও বড় বিষয় নয়, যেকোনো পরামর্শের জন্য কৃতজ্ঞ থাকব।</v>
      </c>
    </row>
    <row r="1459" spans="1:3" ht="15" x14ac:dyDescent="0.25">
      <c r="A1459" s="3" t="s">
        <v>1454</v>
      </c>
      <c r="B1459" s="3" t="s">
        <v>997</v>
      </c>
      <c r="C1459" s="4" t="str">
        <f ca="1">IFERROR(__xludf.DUMMYFUNCTION("GOOGLETRANSLATE(A1459, ""auto"", ""bn"")"),"মানসিকভাবে এটা খুবই অদ্ভুত একটা জায়গা। আসলে কিছুই ভালো লাগছে না। আমি এখনও আত্মহত্যার চিন্তায় ভরা। আমার এখনও প্রচুর আত্ম-বিদ্বেষ আছে। তাছাড়া, আমি এখনও যা কিছু সহ্য করেছি তা আমি এখনও মেনে নিতে পারছি না। তাছাড়া, মদ্যপান নিয়ে আমার এত লজ্জা যে এর সাথে সম্পর্"&amp;"কিত কোনও কিছু উদযাপন করা প্রায় নিষিদ্ধ বলে মনে হয়। কিন্তু, আমি চারপাশে তাকাতে পারি। আমি আর ঝগড়ায় জড়িয়ে পড়ি না। আমি প্রতিদিন ক্ষুধার্ত, ভয়ে, অথবা আগের রাতে যা করেছি তা নিয়ে হাস্যকরভাবে লজ্জিত হয়ে ঘুম থেকে উঠি না। আমার সবচেয়ে ভালো বন্ধু এবং আমি পুনরায় সং"&amp;"যোগ স্থাপন করতে পেরেছিলাম। আমি সিগারেট খাওয়া বন্ধ করতে পেরেছিলাম। পরিস্থিতি এখন আরও ভালো। যাই হোক, আমার সাথে এমন কেউ নেই যে এটা শেয়ার করবে। তো, আমি এখানে!")</f>
        <v>মানসিকভাবে এটা খুবই অদ্ভুত একটা জায়গা। আসলে কিছুই ভালো লাগছে না। আমি এখনও আত্মহত্যার চিন্তায় ভরা। আমার এখনও প্রচুর আত্ম-বিদ্বেষ আছে। তাছাড়া, আমি এখনও যা কিছু সহ্য করেছি তা আমি এখনও মেনে নিতে পারছি না। তাছাড়া, মদ্যপান নিয়ে আমার এত লজ্জা যে এর সাথে সম্পর্কিত কোনও কিছু উদযাপন করা প্রায় নিষিদ্ধ বলে মনে হয়। কিন্তু, আমি চারপাশে তাকাতে পারি। আমি আর ঝগড়ায় জড়িয়ে পড়ি না। আমি প্রতিদিন ক্ষুধার্ত, ভয়ে, অথবা আগের রাতে যা করেছি তা নিয়ে হাস্যকরভাবে লজ্জিত হয়ে ঘুম থেকে উঠি না। আমার সবচেয়ে ভালো বন্ধু এবং আমি পুনরায় সংযোগ স্থাপন করতে পেরেছিলাম। আমি সিগারেট খাওয়া বন্ধ করতে পেরেছিলাম। পরিস্থিতি এখন আরও ভালো। যাই হোক, আমার সাথে এমন কেউ নেই যে এটা শেয়ার করবে। তো, আমি এখানে!</v>
      </c>
    </row>
    <row r="1460" spans="1:3" ht="15" x14ac:dyDescent="0.25">
      <c r="A1460" s="3" t="s">
        <v>1455</v>
      </c>
      <c r="B1460" s="3" t="s">
        <v>997</v>
      </c>
      <c r="C1460" s="4" t="str">
        <f ca="1">IFERROR(__xludf.DUMMYFUNCTION("GOOGLETRANSLATE(A1460, ""auto"", ""bn"")"),"মদ্যপানের সাথে আমার খুব বেশি অভিজ্ঞতা নেই। আমি জানতাম বিয়ে করার সময় সে নিজে নিজে ওষুধ খায়, আমার মেয়ে যখন বলেছিল ""হ্যাঁ,"" তখন আমি ভ্রু কুঁচকে গিয়েছিলাম। ""হ্যাঁ,"" কিন্তু অন্তত মাতাল অবস্থায় সে খুশি এবং মজার?""। টেবিলে আলোচনা কেন হচ্ছিল তার বিপরীত।"&amp;" তার সৎ মায়ের সম্পর্কে মেয়েদের পর্যবেক্ষণ আংশিক সঠিক ছিল। সময়ের সাথে সাথে, যা আমার উপর প্রভাব ফেলেনি তা এখন। সেবনের হার বেড়েছে। গত বছর স্ব-নির্ধারিত ওষুধটি তাকে আর মিষ্টি, সুখী এবং প্রেমময় করে তোলে না। এটি সুখী মদ্যপ নয় এমন হতাশাগ্রস্ত উদ্বেগকে আরও "&amp;"প্রকাশ করছে। আমার প্রশ্ন, কী হচ্ছে? এটা কি স্বাভাবিক? এটা কি পরিস্থিতিগত? পরিবেশগত? সময়ের সাথে সাথে ঔষধের প্রভাব কেন মনোভাব এবং আচরণ পরিবর্তন করছে?")</f>
        <v>মদ্যপানের সাথে আমার খুব বেশি অভিজ্ঞতা নেই। আমি জানতাম বিয়ে করার সময় সে নিজে নিজে ওষুধ খায়, আমার মেয়ে যখন বলেছিল "হ্যাঁ," তখন আমি ভ্রু কুঁচকে গিয়েছিলাম। "হ্যাঁ," কিন্তু অন্তত মাতাল অবস্থায় সে খুশি এবং মজার?"। টেবিলে আলোচনা কেন হচ্ছিল তার বিপরীত। তার সৎ মায়ের সম্পর্কে মেয়েদের পর্যবেক্ষণ আংশিক সঠিক ছিল। সময়ের সাথে সাথে, যা আমার উপর প্রভাব ফেলেনি তা এখন। সেবনের হার বেড়েছে। গত বছর স্ব-নির্ধারিত ওষুধটি তাকে আর মিষ্টি, সুখী এবং প্রেমময় করে তোলে না। এটি সুখী মদ্যপ নয় এমন হতাশাগ্রস্ত উদ্বেগকে আরও প্রকাশ করছে। আমার প্রশ্ন, কী হচ্ছে? এটা কি স্বাভাবিক? এটা কি পরিস্থিতিগত? পরিবেশগত? সময়ের সাথে সাথে ঔষধের প্রভাব কেন মনোভাব এবং আচরণ পরিবর্তন করছে?</v>
      </c>
    </row>
    <row r="1461" spans="1:3" ht="15" x14ac:dyDescent="0.25">
      <c r="A1461" s="3" t="s">
        <v>1456</v>
      </c>
      <c r="B1461" s="3" t="s">
        <v>997</v>
      </c>
      <c r="C1461" s="4" t="str">
        <f ca="1">IFERROR(__xludf.DUMMYFUNCTION("GOOGLETRANSLATE(A1461, ""auto"", ""bn"")"),"আমি প্রায় ৩ বছর ধরে, প্রতি রাতে ১ বছর ধরে রাম খাচ্ছি। প্রায় ১ পিন্ট। আমি বিয়ার খাওয়ার মাধ্যমে ঘুম কমানোর চেষ্টা করছি। শুধু একটা প্রশ্ন, কখন আমি শেষ পর্যন্ত ঘুমাতে পারব। আমি আগেও এটা করেছি, কিন্তু কখনও করিনি। আমার ডাক্তার এটা নিয়ে একটু বোকা, সে শুধু বলে, থ"&amp;"ামো ব্লা ব্লা? এখনই চিকিৎসা করানোর কোনও সম্ভাবনা নেই। তাই যদি কারোর কাছে টেপারিং সম্পর্কে কোন পরামর্শ থাকে, তাহলে আমি কৃতজ্ঞ থাকব।")</f>
        <v>আমি প্রায় ৩ বছর ধরে, প্রতি রাতে ১ বছর ধরে রাম খাচ্ছি। প্রায় ১ পিন্ট। আমি বিয়ার খাওয়ার মাধ্যমে ঘুম কমানোর চেষ্টা করছি। শুধু একটা প্রশ্ন, কখন আমি শেষ পর্যন্ত ঘুমাতে পারব। আমি আগেও এটা করেছি, কিন্তু কখনও করিনি। আমার ডাক্তার এটা নিয়ে একটু বোকা, সে শুধু বলে, থামো ব্লা ব্লা? এখনই চিকিৎসা করানোর কোনও সম্ভাবনা নেই। তাই যদি কারোর কাছে টেপারিং সম্পর্কে কোন পরামর্শ থাকে, তাহলে আমি কৃতজ্ঞ থাকব।</v>
      </c>
    </row>
    <row r="1462" spans="1:3" ht="15" x14ac:dyDescent="0.25">
      <c r="A1462" s="3" t="s">
        <v>1457</v>
      </c>
      <c r="B1462" s="3" t="s">
        <v>997</v>
      </c>
      <c r="C1462" s="4" t="str">
        <f ca="1">IFERROR(__xludf.DUMMYFUNCTION("GOOGLETRANSLATE(A1462, ""auto"", ""bn"")"),"৯ অক্টোবর থেকে আমি আর মদ্যপান করিনি। এটি একটি কঠিন প্রক্রিয়া ছিল কিন্তু ক্ষমতায়নকারীও ছিল। এই মুহূর্তে অ্যালকোহলের সাথে আমার সম্পর্ক আরামে শেষ হয়ে গেছে। সম্প্রতি, গত কয়েক সপ্তাহের মতো, যখনই আমি নিজেকে শান্ত রাখার জন্য গর্বিত করি, তখন মাতাল অবস্থায় আম"&amp;"ি যে বোকামি করেছি তার একটি এলোমেলো স্মৃতি আমার বর্তমান চিন্তাভাবনা প্রক্রিয়ায় ছুটে আসে এবং যে সিঁড়িতে আমি আমার আত্মবিশ্বাস তৈরি করেছিলাম তা আমার নিচ থেকে টেনে তোলা হয়। আমি তর্ক করা, শারীরিকভাবে অসুস্থ হওয়া, অভদ্র/অপমানজনক আচরণ করা, অভিযোগ প্রকাশ করা,"&amp;" আমার বাগদত্তার সাথে প্রতারণা করা, আমার বাচ্চাদের বাড়িতে যেতে না পারা, দুটি ডিইউআই করা, গ্রেপ্তার হওয়া এবং পিছনের দৃশ্যে আনন্দের সাথে থাকা সমস্ত মজাদার জিনিস বের করে দেওয়ার মতো বোকামিপূর্ণ কাজ করেছি। আমার প্রশ্ন হবে, অপরাধবোধ, বিব্রততা এবং লজ্জার এই অন"&amp;"ুভূতি কতক্ষণ স্থায়ী হয়? সেই সময়ের কিছু কথা মনে করে আমি আক্ষরিক অর্থেই ঘামতে শুরু করি। আমি জানি আমি অতীত পরিবর্তন করতে পারি না, আমি জানি যা করা হয়েছে তা হয়ে গেছে, তবুও আমি আমার অতীতকে অতিক্রম করতে পারি না। যেকোনো পরামর্শ বা অন্তর্দৃষ্টির জন্য অনেক কৃত"&amp;"জ্ঞ থাকব।")</f>
        <v>৯ অক্টোবর থেকে আমি আর মদ্যপান করিনি। এটি একটি কঠিন প্রক্রিয়া ছিল কিন্তু ক্ষমতায়নকারীও ছিল। এই মুহূর্তে অ্যালকোহলের সাথে আমার সম্পর্ক আরামে শেষ হয়ে গেছে। সম্প্রতি, গত কয়েক সপ্তাহের মতো, যখনই আমি নিজেকে শান্ত রাখার জন্য গর্বিত করি, তখন মাতাল অবস্থায় আমি যে বোকামি করেছি তার একটি এলোমেলো স্মৃতি আমার বর্তমান চিন্তাভাবনা প্রক্রিয়ায় ছুটে আসে এবং যে সিঁড়িতে আমি আমার আত্মবিশ্বাস তৈরি করেছিলাম তা আমার নিচ থেকে টেনে তোলা হয়। আমি তর্ক করা, শারীরিকভাবে অসুস্থ হওয়া, অভদ্র/অপমানজনক আচরণ করা, অভিযোগ প্রকাশ করা, আমার বাগদত্তার সাথে প্রতারণা করা, আমার বাচ্চাদের বাড়িতে যেতে না পারা, দুটি ডিইউআই করা, গ্রেপ্তার হওয়া এবং পিছনের দৃশ্যে আনন্দের সাথে থাকা সমস্ত মজাদার জিনিস বের করে দেওয়ার মতো বোকামিপূর্ণ কাজ করেছি। আমার প্রশ্ন হবে, অপরাধবোধ, বিব্রততা এবং লজ্জার এই অনুভূতি কতক্ষণ স্থায়ী হয়? সেই সময়ের কিছু কথা মনে করে আমি আক্ষরিক অর্থেই ঘামতে শুরু করি। আমি জানি আমি অতীত পরিবর্তন করতে পারি না, আমি জানি যা করা হয়েছে তা হয়ে গেছে, তবুও আমি আমার অতীতকে অতিক্রম করতে পারি না। যেকোনো পরামর্শ বা অন্তর্দৃষ্টির জন্য অনেক কৃতজ্ঞ থাকব।</v>
      </c>
    </row>
    <row r="1463" spans="1:3" ht="15" x14ac:dyDescent="0.25">
      <c r="A1463" s="3" t="s">
        <v>1458</v>
      </c>
      <c r="B1463" s="3" t="s">
        <v>997</v>
      </c>
      <c r="C1463" s="4" t="str">
        <f ca="1">IFERROR(__xludf.DUMMYFUNCTION("GOOGLETRANSLATE(A1463, ""auto"", ""bn"")"),"আমি নিশ্চিত নই যে আমার অগ্ন্যাশয় খারাপ, নাকি ওম আমার চারপাশের অন্যান্য অ্যালকোহলের চেয়ে অনেক বেশি মদ্যপান করে। একজন গৃহহীন ব্যক্তি হিসেবে; আমার চারপাশে বয়স্ক পুরুষ এবং মহিলারা আছেন যারা ক্রমাগত মদ্যপান করেন (ঠিক আমার মতো)। AMD নিজেদের সাথে অন্যান্য খার"&amp;"াপ কাজ করে যেমন পানির পরিবর্তে সোডা পান করা, কঠোর ওষুধ খাওয়া, কেবল জাঙ্ক ফুড খাওয়া। আমি ঘুম থেকে ওঠা থেকে ঘুমানো পর্যন্ত মদ্যপান ছাড়া নিজের নিখুঁত যত্ন নেওয়ার চেষ্টা করি। এখানে কী হচ্ছে? আমার শরীর এতটাই অন্যায্য মনে হচ্ছে যে যাদের অবস্থা খারাপ হওয়া উ"&amp;"চিত তাদের তুলনায় আমার শরীর দ্রুত ক্ষয়প্রাপ্ত হচ্ছে (এমন নয় যে আমি তাদের খারাপ অবস্থায় দেখতে চাই। :(কারো কোন পরামর্শ আছে বা হয়তো শুধু সদয় কথা আছে?")</f>
        <v>আমি নিশ্চিত নই যে আমার অগ্ন্যাশয় খারাপ, নাকি ওম আমার চারপাশের অন্যান্য অ্যালকোহলের চেয়ে অনেক বেশি মদ্যপান করে। একজন গৃহহীন ব্যক্তি হিসেবে; আমার চারপাশে বয়স্ক পুরুষ এবং মহিলারা আছেন যারা ক্রমাগত মদ্যপান করেন (ঠিক আমার মতো)। AMD নিজেদের সাথে অন্যান্য খারাপ কাজ করে যেমন পানির পরিবর্তে সোডা পান করা, কঠোর ওষুধ খাওয়া, কেবল জাঙ্ক ফুড খাওয়া। আমি ঘুম থেকে ওঠা থেকে ঘুমানো পর্যন্ত মদ্যপান ছাড়া নিজের নিখুঁত যত্ন নেওয়ার চেষ্টা করি। এখানে কী হচ্ছে? আমার শরীর এতটাই অন্যায্য মনে হচ্ছে যে যাদের অবস্থা খারাপ হওয়া উচিত তাদের তুলনায় আমার শরীর দ্রুত ক্ষয়প্রাপ্ত হচ্ছে (এমন নয় যে আমি তাদের খারাপ অবস্থায় দেখতে চাই। :(কারো কোন পরামর্শ আছে বা হয়তো শুধু সদয় কথা আছে?</v>
      </c>
    </row>
    <row r="1464" spans="1:3" ht="15" x14ac:dyDescent="0.25">
      <c r="A1464" s="3" t="s">
        <v>1459</v>
      </c>
      <c r="B1464" s="3" t="s">
        <v>997</v>
      </c>
      <c r="C1464" s="4" t="str">
        <f ca="1">IFERROR(__xludf.DUMMYFUNCTION("GOOGLETRANSLATE(A1464, ""auto"", ""bn"")"),"আমি সারা সপ্তাহ পান করতে পারিনি কিন্তু সপ্তাহান্তে এসে আমি সহজেই ৭৫০ মিলিলিটার ভদকার দুটি বোতল খেয়ে ফেলি। এইমাত্র বুঝতে পারলাম শুক্রবার থেকে একই পোশাক পরে আছি, কিন্তু নড়তে ইচ্ছে করছে না। অতিরিক্ত মদ্যপান কি স্বাভাবিক? সোমবার তোমার কী হবে? আমার মনে হচ্ছে"&amp;" আমাকে ড্রায়ারে রাখা হয়েছে। কোমায় থাকার মতো ঘুম থেকে ওঠা লজ্জাজনক। আমার মনে হচ্ছে ধূমপান ছেড়ে দেওয়া আরও কঠিন কারণ আমি নিজেকে বলি? আমি সপ্তাহ জুড়ে এটি করি না এবং আমি ঠিকঠাক কাজ করি? এটি এড়াতে তুমি কী করো? আমি আক্ষরিক অর্থেই আমার স্বামীকে আমার টাকা দ"&amp;"েব যাতে আমি মদ কিনতে না পারি!! কিন্তু আমি সবসময় একটি উপায় খুঁজে পাই। এটি বেঁচে থাকার কোনও উপায় নয়। আমি ১৫ বছর ধরে অতিরিক্ত মদ্যপান করছি।")</f>
        <v>আমি সারা সপ্তাহ পান করতে পারিনি কিন্তু সপ্তাহান্তে এসে আমি সহজেই ৭৫০ মিলিলিটার ভদকার দুটি বোতল খেয়ে ফেলি। এইমাত্র বুঝতে পারলাম শুক্রবার থেকে একই পোশাক পরে আছি, কিন্তু নড়তে ইচ্ছে করছে না। অতিরিক্ত মদ্যপান কি স্বাভাবিক? সোমবার তোমার কী হবে? আমার মনে হচ্ছে আমাকে ড্রায়ারে রাখা হয়েছে। কোমায় থাকার মতো ঘুম থেকে ওঠা লজ্জাজনক। আমার মনে হচ্ছে ধূমপান ছেড়ে দেওয়া আরও কঠিন কারণ আমি নিজেকে বলি? আমি সপ্তাহ জুড়ে এটি করি না এবং আমি ঠিকঠাক কাজ করি? এটি এড়াতে তুমি কী করো? আমি আক্ষরিক অর্থেই আমার স্বামীকে আমার টাকা দেব যাতে আমি মদ কিনতে না পারি!! কিন্তু আমি সবসময় একটি উপায় খুঁজে পাই। এটি বেঁচে থাকার কোনও উপায় নয়। আমি ১৫ বছর ধরে অতিরিক্ত মদ্যপান করছি।</v>
      </c>
    </row>
    <row r="1465" spans="1:3" ht="15" x14ac:dyDescent="0.25">
      <c r="A1465" s="3" t="s">
        <v>1460</v>
      </c>
      <c r="B1465" s="3" t="s">
        <v>997</v>
      </c>
      <c r="C1465" s="4" t="str">
        <f ca="1">IFERROR(__xludf.DUMMYFUNCTION("GOOGLETRANSLATE(A1465, ""auto"", ""bn"")"),"আমি কী বলব বুঝতে পারছি না। আমি সবকিছু খুলে বলতে চাই, কিন্তু সবকিছু ভেতরেই আটকে রাখি। তাছাড়া, আমি সাহায্য চাই, কিন্তু আমি এমন কিছু ছেড়ে যেতে চাই না যা আমাকে নির্ভরযোগ্য সান্ত্বনা দেয়। আমার একটা উদ্বেগ এবং বিষণ্ণতাজনিত ব্যাধি আছে। আমার অতীত: আফিম এবং কোক"&amp;"েনের আসক্তি। এগুলোর সাথে আমি জড়িয়ে পড়েছি। এক দশকেরও বেশি সময় ধরে এগুলো স্পর্শ করিনি। এখন আমি: একজন মা। একজন স্বামী। দুর্দান্ত ক্যারিয়ার। আমি সবসময় মদ্যপান করি না। কিন্তু যখন করি, তখন আমি থামতে চাই না যতক্ষণ না আমাকে থামতে হয়। যখন আমার প্রয়োজন হয় "&amp;"তখন আমি সবসময় কাজে থাকি। আমি সবসময় যথেষ্ট কার্যকর থাকি। কিন্তু আমি উপস্থিত থাকি না। আমি জানি আমার ছেলে এটা দেখে। আমার স্বামীও তাই। আমি সেই নড়বড়ে, প্রত্যাহারের ধরণের অ্যালকোহল নই যাকে লোকেরা সাধারণ ধরণের অ্যালকোহল বলে মনে করে। না, আমি মানসিকভাবে অসুস্থ"&amp;", সাহায্যের জন্য চিৎকার করি, তবুও সেই ক্রাচ ধরণের অ্যালকোহল ছেড়ে দিতে ভয় পাই...")</f>
        <v>আমি কী বলব বুঝতে পারছি না। আমি সবকিছু খুলে বলতে চাই, কিন্তু সবকিছু ভেতরেই আটকে রাখি। তাছাড়া, আমি সাহায্য চাই, কিন্তু আমি এমন কিছু ছেড়ে যেতে চাই না যা আমাকে নির্ভরযোগ্য সান্ত্বনা দেয়। আমার একটা উদ্বেগ এবং বিষণ্ণতাজনিত ব্যাধি আছে। আমার অতীত: আফিম এবং কোকেনের আসক্তি। এগুলোর সাথে আমি জড়িয়ে পড়েছি। এক দশকেরও বেশি সময় ধরে এগুলো স্পর্শ করিনি। এখন আমি: একজন মা। একজন স্বামী। দুর্দান্ত ক্যারিয়ার। আমি সবসময় মদ্যপান করি না। কিন্তু যখন করি, তখন আমি থামতে চাই না যতক্ষণ না আমাকে থামতে হয়। যখন আমার প্রয়োজন হয় তখন আমি সবসময় কাজে থাকি। আমি সবসময় যথেষ্ট কার্যকর থাকি। কিন্তু আমি উপস্থিত থাকি না। আমি জানি আমার ছেলে এটা দেখে। আমার স্বামীও তাই। আমি সেই নড়বড়ে, প্রত্যাহারের ধরণের অ্যালকোহল নই যাকে লোকেরা সাধারণ ধরণের অ্যালকোহল বলে মনে করে। না, আমি মানসিকভাবে অসুস্থ, সাহায্যের জন্য চিৎকার করি, তবুও সেই ক্রাচ ধরণের অ্যালকোহল ছেড়ে দিতে ভয় পাই...</v>
      </c>
    </row>
    <row r="1466" spans="1:3" ht="15" x14ac:dyDescent="0.25">
      <c r="A1466" s="3" t="s">
        <v>1461</v>
      </c>
      <c r="B1466" s="3" t="s">
        <v>997</v>
      </c>
      <c r="C1466" s="4" t="str">
        <f ca="1">IFERROR(__xludf.DUMMYFUNCTION("GOOGLETRANSLATE(A1466, ""auto"", ""bn"")"),"আমি কয়েক মাস ধরে একজনের সাথে অ্যাপার্টমেন্টে আছি - শুরুটা ভালোই হয়েছিল, কিন্তু সে নিজেকে তার ঘরে আটকে রেখে মদ্যপান করে, শারীরিক ব্যথার কারণে অ্যাম্বুলেন্স না ডাকা পর্যন্ত মদ্যপান করে, হাসপাতালে নিয়ে যাওয়ার পর কয়েকদিন পরে ছেড়ে দেওয়া হয়, তারপর আবার "&amp;"মদ্যপান শুরু করে এবং উপরের ঘটনাগুলির পুনরাবৃত্তি করে। আমি জানতে পেরেছি যে গত বছর বাড়ি ফিরে আসার আগে তার পুনর্বাসনের জন্য অনেক চেষ্টা করা হয়েছিল। সে জোর দিয়ে বলছে যে 'তার জীবন বাঁচাতে' এবং খিঁচুনি প্রতিরোধ করার জন্য তার এই পানীয়টি প্রয়োজন, কিন্তু গত দ"&amp;"ুই মাসে আমি কোনও উন্নতি দেখতে পাইনি। আমি তার দাবির বৈধতা নিয়ে প্রশ্ন তুলতে শুরু করেছি - আমি লক্ষ্য করেছি যে সে কেবল তখনই কথা বলে যখন সে অ্যালকোহল চায় (উৎসবের মরসুমের কারণে আমাকে অনেক উপহার দেওয়া হয়েছে), কারণ সে এখনও একটি বাক্য একসাথে করতে পারে। আমি সত"&amp;"্যিই ভাবিনি যে সে হয়তো আমাকে প্রশংসার বোতল দিয়ে তাকে দেওয়ার জন্য কৌশল করছে এবং যা ছোটখাটো আড্ডা হিসাবে দেখা যেতে পারে। দুর্ভাগ্যবশত আমাদের বাড়ির পাশেই একটি ২৪ ঘন্টা খোলা সুপারমার্কেট আছে, তাই আমি যদি তাকে অস্বীকৃতি জানাই, তবুও সে সেখানে যাবে - আমি কেব"&amp;"ল এই নিয়ে দ্বিধাগ্রস্ত যে আমি কি তার অভ্যাস 'খাওয়াচ্ছি' নাকি অ্যালকোহল ত্যাগের কারণে তার খিঁচুনির ভয়ের কোনও সত্যতা আছে।")</f>
        <v>আমি কয়েক মাস ধরে একজনের সাথে অ্যাপার্টমেন্টে আছি - শুরুটা ভালোই হয়েছিল, কিন্তু সে নিজেকে তার ঘরে আটকে রেখে মদ্যপান করে, শারীরিক ব্যথার কারণে অ্যাম্বুলেন্স না ডাকা পর্যন্ত মদ্যপান করে, হাসপাতালে নিয়ে যাওয়ার পর কয়েকদিন পরে ছেড়ে দেওয়া হয়, তারপর আবার মদ্যপান শুরু করে এবং উপরের ঘটনাগুলির পুনরাবৃত্তি করে। আমি জানতে পেরেছি যে গত বছর বাড়ি ফিরে আসার আগে তার পুনর্বাসনের জন্য অনেক চেষ্টা করা হয়েছিল। সে জোর দিয়ে বলছে যে 'তার জীবন বাঁচাতে' এবং খিঁচুনি প্রতিরোধ করার জন্য তার এই পানীয়টি প্রয়োজন, কিন্তু গত দুই মাসে আমি কোনও উন্নতি দেখতে পাইনি। আমি তার দাবির বৈধতা নিয়ে প্রশ্ন তুলতে শুরু করেছি - আমি লক্ষ্য করেছি যে সে কেবল তখনই কথা বলে যখন সে অ্যালকোহল চায় (উৎসবের মরসুমের কারণে আমাকে অনেক উপহার দেওয়া হয়েছে), কারণ সে এখনও একটি বাক্য একসাথে করতে পারে। আমি সত্যিই ভাবিনি যে সে হয়তো আমাকে প্রশংসার বোতল দিয়ে তাকে দেওয়ার জন্য কৌশল করছে এবং যা ছোটখাটো আড্ডা হিসাবে দেখা যেতে পারে। দুর্ভাগ্যবশত আমাদের বাড়ির পাশেই একটি ২৪ ঘন্টা খোলা সুপারমার্কেট আছে, তাই আমি যদি তাকে অস্বীকৃতি জানাই, তবুও সে সেখানে যাবে - আমি কেবল এই নিয়ে দ্বিধাগ্রস্ত যে আমি কি তার অভ্যাস 'খাওয়াচ্ছি' নাকি অ্যালকোহল ত্যাগের কারণে তার খিঁচুনির ভয়ের কোনও সত্যতা আছে।</v>
      </c>
    </row>
    <row r="1467" spans="1:3" ht="15" x14ac:dyDescent="0.25">
      <c r="A1467" s="3" t="s">
        <v>1462</v>
      </c>
      <c r="B1467" s="3" t="s">
        <v>997</v>
      </c>
      <c r="C1467" s="4" t="str">
        <f ca="1">IFERROR(__xludf.DUMMYFUNCTION("GOOGLETRANSLATE(A1467, ""auto"", ""bn"")"),"আমি AA চেষ্টা করছি (কে না করার সিদ্ধান্ত নেয় সে সম্পর্কে কোনও রায় নেই)। অনেক দুর্দান্ত জিনিস হয়েছে, কিন্তু AA সম্পর্কে কিছু জিনিস আমাকে বিরক্ত করে। আমি AA সাব-তেও পোস্ট করেছি, কিন্তু আমি এমন লোকদের মতামত শুনতে চাই যারা স্বয়ংক্রিয়ভাবে প্রোগ্রামটি রক্ষ"&amp;"া করতে যাচ্ছেন না। এখানে একটি জিনিস যা আমাকে বিরক্ত করছে? আমাদের বলা হয়েছে যে আমরা যদি সক্রিয়ভাবে প্রোগ্রামটি চালিয়ে না যাই, তাহলে আমরা বিপজ্জনকভাবে একটি পুনরুত্থানের কাছাকাছি চলে যাচ্ছি। আমাদের ত্রিভুজের তিনটি দিকেই কাজ চালিয়ে যেতে হবে, কেন্দ্রে থাকত"&amp;"ে হবে, ধাপ 10 লাইভ করতে হবে। এটি এমন অনেকের দ্বারা নিশ্চিত করা হয়েছে যারা পুনরুত্থান করেছে। তারা তাদের জীবন প্রোগ্রাম থেকে দূরে সরিয়ে দিয়েছে, পুনরুত্থান করেছে এবং এখন কাজ চালিয়ে যাওয়ার জন্য ফিরে এসেছে, এবং অন্যদের সতর্ক করার জন্য যে আপনি যদি কখনও থাম"&amp;"েন তাহলে কী হতে পারে। যারা কাজ করা বন্ধ করে দিয়েছে তাদের সম্পর্কে কী? কিন্তু পুনরুত্থান হয়নি? আমরা তাদের কাছ থেকে কখনও শুনতে পাব না কারণ, পুনরুত্থান ছাড়া, গল্পটি বলার জন্য তাদের AA-তে ফিরিয়ে আনার কিছুই নেই। এটা একটা বৃত্তাকার যুক্তি যে আমাদের বলা হয় য"&amp;"ে আমরা চলে গেলে আবারও নেশায় আক্রান্ত হব, কারণ যারা আমাদের চলে যাওয়ার কথা বলে তারাই কেবল ফিরে আসে। যারা ধীরে ধীরে সময়ের সাথে সাথে দূরে সরে যায় এবং যার ফলে তাদের জীবন ধ্বংসের মুখে পড়ে না, তাদের কথা কী? AA-র লোকেদের কাছ থেকে আমি এই কথা শুনেছি, তা হল, আচ্ছা,"&amp;" সেই লোকেরা নিশ্চয়ই ""প্রকৃত মদ্যপ"" ছিল না? আমার মনে হয় এটা মোটেও সত্য নয়। আমার মনে হয় আসক্তির বৈধতাকে আড়ালে রাখা একটু বিপজ্জনক? যদি তুমি ""প্রকৃত"" আসক্ত হও, তাহলে তোমার একমাত্র আশা হল AA। আর যদি তুমি ""প্রকৃত"" আসক্ত না হও, তাহলে তুমি ""প্রকৃত"" আসক্"&amp;"ত নও। এই সব বলা সত্ত্বেও, আমি ""কাজ করা"" সম্পর্কে পরামর্শকে হালকাভাবে নিচ্ছি না। আমি সত্যিই ভয় পাচ্ছি যে আমি যদি কাজ করা বন্ধ করে দেই, যদি আমি প্রোগ্রাম থেকে পিছলে যাই, তাহলে আমি আবারও নেশায় আক্রান্ত হতে পারি। আর এটা আমাকে বিরক্ত করে যে AA-কে মানুষের মধ্"&amp;"যে এই ভয় জাগিয়ে দিতে হবে। ""যা দরকার তা নাও, বাকিটা রেখে দাও?"" এর কী হয়েছে? কেউ কি বুঝতে পারছেন আমি কী বলতে চাইছি? এই ব্যাপারে তোমার কী মনে হয়?")</f>
        <v>আমি AA চেষ্টা করছি (কে না করার সিদ্ধান্ত নেয় সে সম্পর্কে কোনও রায় নেই)। অনেক দুর্দান্ত জিনিস হয়েছে, কিন্তু AA সম্পর্কে কিছু জিনিস আমাকে বিরক্ত করে। আমি AA সাব-তেও পোস্ট করেছি, কিন্তু আমি এমন লোকদের মতামত শুনতে চাই যারা স্বয়ংক্রিয়ভাবে প্রোগ্রামটি রক্ষা করতে যাচ্ছেন না। এখানে একটি জিনিস যা আমাকে বিরক্ত করছে? আমাদের বলা হয়েছে যে আমরা যদি সক্রিয়ভাবে প্রোগ্রামটি চালিয়ে না যাই, তাহলে আমরা বিপজ্জনকভাবে একটি পুনরুত্থানের কাছাকাছি চলে যাচ্ছি। আমাদের ত্রিভুজের তিনটি দিকেই কাজ চালিয়ে যেতে হবে, কেন্দ্রে থাকতে হবে, ধাপ 10 লাইভ করতে হবে। এটি এমন অনেকের দ্বারা নিশ্চিত করা হয়েছে যারা পুনরুত্থান করেছে। তারা তাদের জীবন প্রোগ্রাম থেকে দূরে সরিয়ে দিয়েছে, পুনরুত্থান করেছে এবং এখন কাজ চালিয়ে যাওয়ার জন্য ফিরে এসেছে, এবং অন্যদের সতর্ক করার জন্য যে আপনি যদি কখনও থামেন তাহলে কী হতে পারে। যারা কাজ করা বন্ধ করে দিয়েছে তাদের সম্পর্কে কী? কিন্তু পুনরুত্থান হয়নি? আমরা তাদের কাছ থেকে কখনও শুনতে পাব না কারণ, পুনরুত্থান ছাড়া, গল্পটি বলার জন্য তাদের AA-তে ফিরিয়ে আনার কিছুই নেই। এটা একটা বৃত্তাকার যুক্তি যে আমাদের বলা হয় যে আমরা চলে গেলে আবারও নেশায় আক্রান্ত হব, কারণ যারা আমাদের চলে যাওয়ার কথা বলে তারাই কেবল ফিরে আসে। যারা ধীরে ধীরে সময়ের সাথে সাথে দূরে সরে যায় এবং যার ফলে তাদের জীবন ধ্বংসের মুখে পড়ে না, তাদের কথা কী? AA-র লোকেদের কাছ থেকে আমি এই কথা শুনেছি, তা হল, আচ্ছা, সেই লোকেরা নিশ্চয়ই "প্রকৃত মদ্যপ" ছিল না? আমার মনে হয় এটা মোটেও সত্য নয়। আমার মনে হয় আসক্তির বৈধতাকে আড়ালে রাখা একটু বিপজ্জনক? যদি তুমি "প্রকৃত" আসক্ত হও, তাহলে তোমার একমাত্র আশা হল AA। আর যদি তুমি "প্রকৃত" আসক্ত না হও, তাহলে তুমি "প্রকৃত" আসক্ত নও। এই সব বলা সত্ত্বেও, আমি "কাজ করা" সম্পর্কে পরামর্শকে হালকাভাবে নিচ্ছি না। আমি সত্যিই ভয় পাচ্ছি যে আমি যদি কাজ করা বন্ধ করে দেই, যদি আমি প্রোগ্রাম থেকে পিছলে যাই, তাহলে আমি আবারও নেশায় আক্রান্ত হতে পারি। আর এটা আমাকে বিরক্ত করে যে AA-কে মানুষের মধ্যে এই ভয় জাগিয়ে দিতে হবে। "যা দরকার তা নাও, বাকিটা রেখে দাও?" এর কী হয়েছে? কেউ কি বুঝতে পারছেন আমি কী বলতে চাইছি? এই ব্যাপারে তোমার কী মনে হয়?</v>
      </c>
    </row>
    <row r="1468" spans="1:3" ht="15" x14ac:dyDescent="0.25">
      <c r="A1468" s="3" t="s">
        <v>1463</v>
      </c>
      <c r="B1468" s="3" t="s">
        <v>997</v>
      </c>
      <c r="C1468" s="4" t="str">
        <f ca="1">IFERROR(__xludf.DUMMYFUNCTION("GOOGLETRANSLATE(A1468, ""auto"", ""bn"")"),"বাবার মৃত্যুর পর আমি লক্ষ্য করেছি যে আমি স্বাভাবিকের চেয়ে বেশি মদ্যপান করছি এবং খাচ্ছি। লোকেরা আমাকে বলে যে এটা নিয়ে চিন্তা করো না, কিন্তু আমি করি। আমার পরিবারে মদ্যপান আছে। আর ডায়াবেটিসও আছে। আমি কম্বুচা পছন্দ করি। আমি এইমাত্র কিছু আইস ওয়াইন চা অর্ডা"&amp;"র করেছি। তাছাড়া, আমি বুঝতে পারছি কম্বুচায় অল্প পরিমাণে অ্যালকোহল আছে, কিন্তু এতে ক্যালোরি কম এবং এটি আমার জন্য সতেজতা বয়ে আনে। তাছাড়া, আমি কখনও আইস ওয়াইন চা খাইনি এবং আমি এটি চেষ্টা করে দেখতে চেয়েছিলাম।")</f>
        <v>বাবার মৃত্যুর পর আমি লক্ষ্য করেছি যে আমি স্বাভাবিকের চেয়ে বেশি মদ্যপান করছি এবং খাচ্ছি। লোকেরা আমাকে বলে যে এটা নিয়ে চিন্তা করো না, কিন্তু আমি করি। আমার পরিবারে মদ্যপান আছে। আর ডায়াবেটিসও আছে। আমি কম্বুচা পছন্দ করি। আমি এইমাত্র কিছু আইস ওয়াইন চা অর্ডার করেছি। তাছাড়া, আমি বুঝতে পারছি কম্বুচায় অল্প পরিমাণে অ্যালকোহল আছে, কিন্তু এতে ক্যালোরি কম এবং এটি আমার জন্য সতেজতা বয়ে আনে। তাছাড়া, আমি কখনও আইস ওয়াইন চা খাইনি এবং আমি এটি চেষ্টা করে দেখতে চেয়েছিলাম।</v>
      </c>
    </row>
    <row r="1469" spans="1:3" ht="15" x14ac:dyDescent="0.25">
      <c r="A1469" s="3" t="s">
        <v>1464</v>
      </c>
      <c r="B1469" s="3" t="s">
        <v>997</v>
      </c>
      <c r="C1469" s="4" t="str">
        <f ca="1">IFERROR(__xludf.DUMMYFUNCTION("GOOGLETRANSLATE(A1469, ""auto"", ""bn"")"),"তাই আমার আগে কখনও প্রত্যাহার হয়নি কিন্তু ক্রিসমাসের পর থেকে আমি ক্রিসমাসের পর থেকে প্রচুর পরিমাণে পান করছি, টানা ৬ দিন ধরে প্রতি রাতে প্রায় ১৫টি বিয়ার এখন এবং আগামীকাল আমি থামাতে চাই, ঠান্ডা টার্কি বন্ধ করা উচিত নাকি আমার ৪ প্যাকেট করে টেপার খাওয়া উচি"&amp;"ত, যদি তাই হয় তবে আমার কি আগামীকাল বা দু'দিন এটি করা উচিত? আজ মদ্যপান শুরু করার আগে আমি নিশ্চিত যে আমার কোনও ধরণের প্রত্যাহার ছিল, আমি কাঁপছিলাম না বা অন্য কিছু করছিলাম না, তবে আমি খুব অসুস্থ বোধ করছিলাম, তীব্র অ্যাসিড রিফ্লাক্স এবং আমার সবচেয়ে খারাপ উদ"&amp;"্বেগ ছিল, এবং আমার মনে হচ্ছিল আমি অজ্ঞান হয়ে যাব কিনা তা নিশ্চিত নই যে এটি আমার উদ্বেগ ছিল কিনা কিন্তু কেউ কি জানেন যে এটি প্রত্যাহার ছিল কিনা?")</f>
        <v>তাই আমার আগে কখনও প্রত্যাহার হয়নি কিন্তু ক্রিসমাসের পর থেকে আমি ক্রিসমাসের পর থেকে প্রচুর পরিমাণে পান করছি, টানা ৬ দিন ধরে প্রতি রাতে প্রায় ১৫টি বিয়ার এখন এবং আগামীকাল আমি থামাতে চাই, ঠান্ডা টার্কি বন্ধ করা উচিত নাকি আমার ৪ প্যাকেট করে টেপার খাওয়া উচিত, যদি তাই হয় তবে আমার কি আগামীকাল বা দু'দিন এটি করা উচিত? আজ মদ্যপান শুরু করার আগে আমি নিশ্চিত যে আমার কোনও ধরণের প্রত্যাহার ছিল, আমি কাঁপছিলাম না বা অন্য কিছু করছিলাম না, তবে আমি খুব অসুস্থ বোধ করছিলাম, তীব্র অ্যাসিড রিফ্লাক্স এবং আমার সবচেয়ে খারাপ উদ্বেগ ছিল, এবং আমার মনে হচ্ছিল আমি অজ্ঞান হয়ে যাব কিনা তা নিশ্চিত নই যে এটি আমার উদ্বেগ ছিল কিনা কিন্তু কেউ কি জানেন যে এটি প্রত্যাহার ছিল কিনা?</v>
      </c>
    </row>
    <row r="1470" spans="1:3" ht="15" x14ac:dyDescent="0.25">
      <c r="A1470" s="3" t="s">
        <v>1465</v>
      </c>
      <c r="B1470" s="3" t="s">
        <v>997</v>
      </c>
      <c r="C1470" s="4" t="str">
        <f ca="1">IFERROR(__xludf.DUMMYFUNCTION("GOOGLETRANSLATE(A1470, ""auto"", ""bn"")"),"আমার অনেক দিন ধরেই অ্যালকোহলের সমস্যা ছিল এবং আমি এটা সম্পর্কে সচেতন ছিলাম কিন্তু সবসময় নিজেকে বলতাম যে আমি নিজেই নিজেকে সামলাতে পারব এবং কখনও নিজেকে সাহায্য করার জন্য কোনও পদক্ষেপ নিইনি। গত সপ্তাহান্তে আমি খুব একটা সমস্যায় পড়েছিলাম এবং আজ অবিশ্বাস্যভা"&amp;"বে অসুস্থ এবং লজ্জিত বোধ করছি। তোমাদের কাছে আমার প্রশ্ন হল কোন অ্যাপ/গ্রুপ কাউকে সুস্থ হতে সাহায্য করতে পারে? আমি অবশ্যই AA সম্পর্কে জানি, কিন্তু অন্য কোনও বিকল্প আছে কিনা তা জানতাম না?")</f>
        <v>আমার অনেক দিন ধরেই অ্যালকোহলের সমস্যা ছিল এবং আমি এটা সম্পর্কে সচেতন ছিলাম কিন্তু সবসময় নিজেকে বলতাম যে আমি নিজেই নিজেকে সামলাতে পারব এবং কখনও নিজেকে সাহায্য করার জন্য কোনও পদক্ষেপ নিইনি। গত সপ্তাহান্তে আমি খুব একটা সমস্যায় পড়েছিলাম এবং আজ অবিশ্বাস্যভাবে অসুস্থ এবং লজ্জিত বোধ করছি। তোমাদের কাছে আমার প্রশ্ন হল কোন অ্যাপ/গ্রুপ কাউকে সুস্থ হতে সাহায্য করতে পারে? আমি অবশ্যই AA সম্পর্কে জানি, কিন্তু অন্য কোনও বিকল্প আছে কিনা তা জানতাম না?</v>
      </c>
    </row>
    <row r="1471" spans="1:3" ht="15" x14ac:dyDescent="0.25">
      <c r="A1471" s="3" t="s">
        <v>1466</v>
      </c>
      <c r="B1471" s="3" t="s">
        <v>997</v>
      </c>
      <c r="C1471" s="4" t="str">
        <f ca="1">IFERROR(__xludf.DUMMYFUNCTION("GOOGLETRANSLATE(A1471, ""auto"", ""bn"")"),"প্রতি রাতে আমার কাকা ঘুমের মধ্যে অন্তত একবার জিভ কামড়ান। কেউ কি জানেন যে এটি তার মদ্যপানের সাথে সম্পর্কিত? সে দিনে কমপক্ষে ৩টি নোংরা বাবা পান করে। তাকে নিয়ে চিন্তিত। সে ১৩ বছর বয়স থেকেই মদ্যপান করছে, এখন তার বয়স ৬০, একজন কর্মক্ষম মদ্যপ।")</f>
        <v>প্রতি রাতে আমার কাকা ঘুমের মধ্যে অন্তত একবার জিভ কামড়ান। কেউ কি জানেন যে এটি তার মদ্যপানের সাথে সম্পর্কিত? সে দিনে কমপক্ষে ৩টি নোংরা বাবা পান করে। তাকে নিয়ে চিন্তিত। সে ১৩ বছর বয়স থেকেই মদ্যপান করছে, এখন তার বয়স ৬০, একজন কর্মক্ষম মদ্যপ।</v>
      </c>
    </row>
    <row r="1472" spans="1:3" ht="15" x14ac:dyDescent="0.25">
      <c r="A1472" s="3" t="s">
        <v>1467</v>
      </c>
      <c r="B1472" s="3" t="s">
        <v>997</v>
      </c>
      <c r="C1472" s="4" t="str">
        <f ca="1">IFERROR(__xludf.DUMMYFUNCTION("GOOGLETRANSLATE(A1472, ""auto"", ""bn"")"),"আচ্ছা, আমি আবার এটা করেছি। নতুন বছরগুলোতে আমি অনেক বেশি মদ্যপান করেছি এবং জানি না কীভাবে আমি বিছানায় শুয়ে পড়েছি। যদিও আমার কোনও লক্ষণ নেই যে আমি খুব ভুল কিছু করেছি, এবং এটি এখনও আমার সবচেয়ে খারাপ ব্ল্যাকআউট নয়, আমি নিজেকে আমার ফোনটি চালু করতে পারছি ন"&amp;"া যে আমার কাছে কোনও বার্তা আছে কিনা কারণ গত 2 বছর ধরে আমি ব্ল্যাকআউট থাকাকালীন কিছু খুব খারাপ কাজ করেছি (অনুপযুক্ত আচরণ, মাতাল সোশ্যাল মিডিয়া, কিছু বন্ধু যারা আমাকে আরেকটি পানীয় পান করতে বাধা দেওয়ার চেষ্টা করেছিল তাদের তিরস্কার ইত্যাদি)। এটা ঠিক যেন যখ"&amp;"ন আমি মদ্যপান করি তখন থামার কোনও উপায় নেই এবং আমি অবশেষে এক বিশাল দুশ্চরিত্রায় পরিণত হই। এটা কীভাবে হয় যে কিছু লোক অ্যালকোহলে একটু বেশিই আচ্ছন্ন হয়ে পড়ে এবং যখন আমাকে কিছু দুঃখজনক পরিণতির সাথে নিজেকে সম্পূর্ণরূপে যৌনসঙ্গম করতে হয় তখন থামতে পারে। আমি"&amp;" অন্তত শুষ্ক জানুয়ারি কাটানোর সিদ্ধান্ত নিয়েছি কিন্তু আমার সন্দেহ আছে যে এটি যথেষ্ট হবে। গত বছরও এটি করেছি এবং 2 সপ্তাহ পরেই আবার মুখ খারাপ হয়ে গেছে এবং আবার কালো হয়ে গেছে।")</f>
        <v>আচ্ছা, আমি আবার এটা করেছি। নতুন বছরগুলোতে আমি অনেক বেশি মদ্যপান করেছি এবং জানি না কীভাবে আমি বিছানায় শুয়ে পড়েছি। যদিও আমার কোনও লক্ষণ নেই যে আমি খুব ভুল কিছু করেছি, এবং এটি এখনও আমার সবচেয়ে খারাপ ব্ল্যাকআউট নয়, আমি নিজেকে আমার ফোনটি চালু করতে পারছি না যে আমার কাছে কোনও বার্তা আছে কিনা কারণ গত 2 বছর ধরে আমি ব্ল্যাকআউট থাকাকালীন কিছু খুব খারাপ কাজ করেছি (অনুপযুক্ত আচরণ, মাতাল সোশ্যাল মিডিয়া, কিছু বন্ধু যারা আমাকে আরেকটি পানীয় পান করতে বাধা দেওয়ার চেষ্টা করেছিল তাদের তিরস্কার ইত্যাদি)। এটা ঠিক যেন যখন আমি মদ্যপান করি তখন থামার কোনও উপায় নেই এবং আমি অবশেষে এক বিশাল দুশ্চরিত্রায় পরিণত হই। এটা কীভাবে হয় যে কিছু লোক অ্যালকোহলে একটু বেশিই আচ্ছন্ন হয়ে পড়ে এবং যখন আমাকে কিছু দুঃখজনক পরিণতির সাথে নিজেকে সম্পূর্ণরূপে যৌনসঙ্গম করতে হয় তখন থামতে পারে। আমি অন্তত শুষ্ক জানুয়ারি কাটানোর সিদ্ধান্ত নিয়েছি কিন্তু আমার সন্দেহ আছে যে এটি যথেষ্ট হবে। গত বছরও এটি করেছি এবং 2 সপ্তাহ পরেই আবার মুখ খারাপ হয়ে গেছে এবং আবার কালো হয়ে গেছে।</v>
      </c>
    </row>
    <row r="1473" spans="1:3" ht="15" x14ac:dyDescent="0.25">
      <c r="A1473" s="3" t="s">
        <v>1468</v>
      </c>
      <c r="B1473" s="3" t="s">
        <v>997</v>
      </c>
      <c r="C1473" s="4" t="str">
        <f ca="1">IFERROR(__xludf.DUMMYFUNCTION("GOOGLETRANSLATE(A1473, ""auto"", ""bn"")"),"গত কয়েক মাস ধরে আমি প্রতিদিন মদ্যপান করছি। কখনও কখনও এটি কেবল একটি বিয়ার। কখনও কখনও এটি আরও অনেক বেশি। নববর্ষের প্রাক্কালে এটি এমন এক পর্যায়ে এসেছিল যেখানে আমার অ্যালকোহলের কারণে ভাঙন দেখা দেয়। এটি আমার সম্পর্কের ক্ষেত্রে বিরাট সমস্যা তৈরি করেছিল। আমি"&amp;" এখন মদ্যপান করতে চাই না এবং এটি আমার কাছে আকর্ষণীয় বলে মনে হয় না কারণ আমি দেখেছি যে এটি কতটা ক্ষতি করতে পারে। তবে, আমি খুব চাপের কাজ করি - জরুরি পরিষেবা, মাদকের ব্যবহার, মৃত্যু ইত্যাদি মোকাবেলা করি - এবং জানি যে শীঘ্রই আমার মধ্যে একটা তাড়না তৈরি হবে। "&amp;"মদ্যপান না করার জন্য কারও কাছে কোন ভাল টিপস আছে? অথবা বাইরে থাকাকালীন মাত্র একটি বা দুটি পান করার জন্য? যুক্তরাজ্যে অ্যালকোহল একটি বিশাল সামাজিক বিষয় যা আমার প্রধান উদ্বেগের বিষয়। আদর্শভাবে আমার জানা দরকার যে আমি বাইরে থাকাকালীন এবং সম্ভাব্য চাপের সময়ও"&amp;" শক্তিশালী থাকতে পারি।")</f>
        <v>গত কয়েক মাস ধরে আমি প্রতিদিন মদ্যপান করছি। কখনও কখনও এটি কেবল একটি বিয়ার। কখনও কখনও এটি আরও অনেক বেশি। নববর্ষের প্রাক্কালে এটি এমন এক পর্যায়ে এসেছিল যেখানে আমার অ্যালকোহলের কারণে ভাঙন দেখা দেয়। এটি আমার সম্পর্কের ক্ষেত্রে বিরাট সমস্যা তৈরি করেছিল। আমি এখন মদ্যপান করতে চাই না এবং এটি আমার কাছে আকর্ষণীয় বলে মনে হয় না কারণ আমি দেখেছি যে এটি কতটা ক্ষতি করতে পারে। তবে, আমি খুব চাপের কাজ করি - জরুরি পরিষেবা, মাদকের ব্যবহার, মৃত্যু ইত্যাদি মোকাবেলা করি - এবং জানি যে শীঘ্রই আমার মধ্যে একটা তাড়না তৈরি হবে। মদ্যপান না করার জন্য কারও কাছে কোন ভাল টিপস আছে? অথবা বাইরে থাকাকালীন মাত্র একটি বা দুটি পান করার জন্য? যুক্তরাজ্যে অ্যালকোহল একটি বিশাল সামাজিক বিষয় যা আমার প্রধান উদ্বেগের বিষয়। আদর্শভাবে আমার জানা দরকার যে আমি বাইরে থাকাকালীন এবং সম্ভাব্য চাপের সময়ও শক্তিশালী থাকতে পারি।</v>
      </c>
    </row>
    <row r="1474" spans="1:3" ht="15" x14ac:dyDescent="0.25">
      <c r="A1474" s="3" t="s">
        <v>1469</v>
      </c>
      <c r="B1474" s="3" t="s">
        <v>997</v>
      </c>
      <c r="C1474" s="4" t="str">
        <f ca="1">IFERROR(__xludf.DUMMYFUNCTION("GOOGLETRANSLATE(A1474, ""auto"", ""bn"")"),"আমি একধরনের মদ্যপানে ভুগছি। আমি সহজেই দিনগুলো নিশ্চিন্তে কাটাতে পারি। আমার সমস্যা হল যখন আমি একটা মদ্যপান করি, তখন আমি অতিরিক্ত মদ্যপান করি। হঠাৎ করেই মনে হয় যে আমাকে মদ্যপান করতে হবে এবং প্রচুর পরিমাণে মদ্যপান করতে হবে। এটি সাধারণত বিয়ার, খুব কমই স্পির"&amp;"িট বা ওয়াইন। কিন্তু আমার কেবল এটি করার জন্যই এই তাগিদ থাকে। এটি মদ্যপানের সময় এবং পরের দিন দুঃখজনক সিদ্ধান্তের দিকে পরিচালিত করে। কখনও কখনও এর মধ্যে রয়েছে ""হ্যাংওভার"" কমাতে পরের দিন কিছুক্ষণের জন্য গোপনে মদ্যপান করা (আমি কারও সাথে থাকি)। ব্যাপারটি হল"&amp;" আমি আরও খারাপ হচ্ছে কিনা তাও বলতে পারি না। কয়েক বছর আগে এই আচরণ সপ্তাহে একাধিকবার ছিল, এখন হয়তো একবার কিন্তু মদ্যপানের দিনগুলি আগের চেয়ে অনেক বেশি তীব্র। কয়েক সপ্তাহ আগে, মাতাল অবস্থায়, আমি ঘাড় নেওয়ার উদ্দেশ্যে 75cl ভদকার বোতল কিনেছিলাম। আমি নিজেকে"&amp;" ধরে ফেলতে পেরেছিলাম এবং জল ঢেলে দিয়েছিলাম, কিন্তু এটি আমাকে চিন্তিত করেছিল যে আমি এই পর্যায়ে পৌঁছে গেছি।")</f>
        <v>আমি একধরনের মদ্যপানে ভুগছি। আমি সহজেই দিনগুলো নিশ্চিন্তে কাটাতে পারি। আমার সমস্যা হল যখন আমি একটা মদ্যপান করি, তখন আমি অতিরিক্ত মদ্যপান করি। হঠাৎ করেই মনে হয় যে আমাকে মদ্যপান করতে হবে এবং প্রচুর পরিমাণে মদ্যপান করতে হবে। এটি সাধারণত বিয়ার, খুব কমই স্পিরিট বা ওয়াইন। কিন্তু আমার কেবল এটি করার জন্যই এই তাগিদ থাকে। এটি মদ্যপানের সময় এবং পরের দিন দুঃখজনক সিদ্ধান্তের দিকে পরিচালিত করে। কখনও কখনও এর মধ্যে রয়েছে "হ্যাংওভার" কমাতে পরের দিন কিছুক্ষণের জন্য গোপনে মদ্যপান করা (আমি কারও সাথে থাকি)। ব্যাপারটি হল আমি আরও খারাপ হচ্ছে কিনা তাও বলতে পারি না। কয়েক বছর আগে এই আচরণ সপ্তাহে একাধিকবার ছিল, এখন হয়তো একবার কিন্তু মদ্যপানের দিনগুলি আগের চেয়ে অনেক বেশি তীব্র। কয়েক সপ্তাহ আগে, মাতাল অবস্থায়, আমি ঘাড় নেওয়ার উদ্দেশ্যে 75cl ভদকার বোতল কিনেছিলাম। আমি নিজেকে ধরে ফেলতে পেরেছিলাম এবং জল ঢেলে দিয়েছিলাম, কিন্তু এটি আমাকে চিন্তিত করেছিল যে আমি এই পর্যায়ে পৌঁছে গেছি।</v>
      </c>
    </row>
    <row r="1475" spans="1:3" ht="15" x14ac:dyDescent="0.25">
      <c r="A1475" s="3" t="s">
        <v>1470</v>
      </c>
      <c r="B1475" s="3" t="s">
        <v>997</v>
      </c>
      <c r="C1475" s="4" t="str">
        <f ca="1">IFERROR(__xludf.DUMMYFUNCTION("GOOGLETRANSLATE(A1475, ""auto"", ""bn"")"),"একটু দুর্বলতার কারণে, আমি আগে এক বোতল ভদকা কিনেছিলাম। আমার মদ্যপান করা উচিত নয়। আমার দ্বিতীয়বার ডিইউআই-এর সমস্যা হচ্ছে এবং আমার অ্যালকোহল পরীক্ষা করা হচ্ছে। যাই হোক, বোতলটি কেনার পর আমি প্রায় হাল ছেড়ে দিয়েছিলাম। আমি শুধু বলতে চেয়েছিলাম স্ক্রু ইট, আম"&amp;"ি একটা পানীয় খেতে চাই, দীর্ঘ দুই মাস হয়ে গেছে। যাইহোক, আমি এটি পান করিনি। আমি এটি খুলিনি, এবং এখন এটি কিনেও আমার বোকা লাগছে। যাই হোক, এটি কেবল আমার পার্সে পড়ে আছে এবং আমি কাপড় ধোয়ার কাজ করছি। আমি জানি না এটি আমার বন্ধুকে দেওয়া উচিত নাকি কেবল ফেলে দে"&amp;"ওয়া উচিত। যাই হোক, এটি ২০২২ সালের আমার প্রথম দ্বিধা। একটি বোতল কিনেছিলাম কিন্তু আমার মন পরিবর্তন করে পান করিনি।")</f>
        <v>একটু দুর্বলতার কারণে, আমি আগে এক বোতল ভদকা কিনেছিলাম। আমার মদ্যপান করা উচিত নয়। আমার দ্বিতীয়বার ডিইউআই-এর সমস্যা হচ্ছে এবং আমার অ্যালকোহল পরীক্ষা করা হচ্ছে। যাই হোক, বোতলটি কেনার পর আমি প্রায় হাল ছেড়ে দিয়েছিলাম। আমি শুধু বলতে চেয়েছিলাম স্ক্রু ইট, আমি একটা পানীয় খেতে চাই, দীর্ঘ দুই মাস হয়ে গেছে। যাইহোক, আমি এটি পান করিনি। আমি এটি খুলিনি, এবং এখন এটি কিনেও আমার বোকা লাগছে। যাই হোক, এটি কেবল আমার পার্সে পড়ে আছে এবং আমি কাপড় ধোয়ার কাজ করছি। আমি জানি না এটি আমার বন্ধুকে দেওয়া উচিত নাকি কেবল ফেলে দেওয়া উচিত। যাই হোক, এটি ২০২২ সালের আমার প্রথম দ্বিধা। একটি বোতল কিনেছিলাম কিন্তু আমার মন পরিবর্তন করে পান করিনি।</v>
      </c>
    </row>
    <row r="1476" spans="1:3" ht="15" x14ac:dyDescent="0.25">
      <c r="A1476" s="3" t="s">
        <v>1471</v>
      </c>
      <c r="B1476" s="3" t="s">
        <v>997</v>
      </c>
      <c r="C1476" s="4" t="str">
        <f ca="1">IFERROR(__xludf.DUMMYFUNCTION("GOOGLETRANSLATE(A1476, ""auto"", ""bn"")"),"আমি হয়তো সাধারণ মদ্যপদের মতো নই কারণ আমার বয়স মাত্র ১৮ এবং মাত্র ১-১.৫ বছর ধরে মদ্যপান করছি, কিন্তু মদের কারণে আমি বন্ধুবান্ধব, পরিবার এবং আমার মানসিক ভারসাম্য হারিয়ে ফেলেছি। আমি প্রতিদিন মদ্যপান করি, বেশিরভাগ সময় একা ঘরে আটকে থাকি, কিন্তু যখন বাইরে বের "&amp;"হই তখন খুব বেশি মদ্যপান করি। আর আমি এটা ছেড়ে দিতে চাই। আমি শিখতে চাই কিভাবে মদ্যপান ছাড়া বাঁচবো এবং কিভাবে নিজেকে সংযত করবো কারণ আমি হাই স্কুলের শেষ বর্ষে আছি, আশা করি সেপ্টেম্বরে কলেজ শুরু করবো, আর মদ্যপান এড়িয়ে চলা অসম্ভব, তাই আমার কাছে যখন সময় থাকবে তখ"&amp;"ন আমাকে নিজেকে নিয়ন্ত্রণ করতে শিখতে হবে। তাই যদি কারো কাছে কোন টিপস বা ধারণা থাকে যে আমি কীভাবে ছেড়ে আত্মনিয়ন্ত্রণ শিখতে পারি, তাহলে আমি সত্যিই কৃতজ্ঞ থাকবো কারণ আমি আমার জীবনকে আরও বেশি নষ্ট করতে চাই না এবং আমার জীবনে এখনও যা আছে তা হারাতে চাই না, আমাকে "&amp;"বলা হয়েছে যে তারা আর জানে না আমি কে এবং তারা প্রতিদিন আমাকে ছেড়ে যাওয়ার কথা ভাবছে। এবং তারা একটি বোকা নেশার চেয়ে অনেক বেশি মূল্যবান। সময় করে এটি পড়ে থাকলে আপনাকে ধন্যবাদ এবং আমাকে কিছু টিপস দিলে আপনাকেও ধন্যবাদ।")</f>
        <v>আমি হয়তো সাধারণ মদ্যপদের মতো নই কারণ আমার বয়স মাত্র ১৮ এবং মাত্র ১-১.৫ বছর ধরে মদ্যপান করছি, কিন্তু মদের কারণে আমি বন্ধুবান্ধব, পরিবার এবং আমার মানসিক ভারসাম্য হারিয়ে ফেলেছি। আমি প্রতিদিন মদ্যপান করি, বেশিরভাগ সময় একা ঘরে আটকে থাকি, কিন্তু যখন বাইরে বের হই তখন খুব বেশি মদ্যপান করি। আর আমি এটা ছেড়ে দিতে চাই। আমি শিখতে চাই কিভাবে মদ্যপান ছাড়া বাঁচবো এবং কিভাবে নিজেকে সংযত করবো কারণ আমি হাই স্কুলের শেষ বর্ষে আছি, আশা করি সেপ্টেম্বরে কলেজ শুরু করবো, আর মদ্যপান এড়িয়ে চলা অসম্ভব, তাই আমার কাছে যখন সময় থাকবে তখন আমাকে নিজেকে নিয়ন্ত্রণ করতে শিখতে হবে। তাই যদি কারো কাছে কোন টিপস বা ধারণা থাকে যে আমি কীভাবে ছেড়ে আত্মনিয়ন্ত্রণ শিখতে পারি, তাহলে আমি সত্যিই কৃতজ্ঞ থাকবো কারণ আমি আমার জীবনকে আরও বেশি নষ্ট করতে চাই না এবং আমার জীবনে এখনও যা আছে তা হারাতে চাই না, আমাকে বলা হয়েছে যে তারা আর জানে না আমি কে এবং তারা প্রতিদিন আমাকে ছেড়ে যাওয়ার কথা ভাবছে। এবং তারা একটি বোকা নেশার চেয়ে অনেক বেশি মূল্যবান। সময় করে এটি পড়ে থাকলে আপনাকে ধন্যবাদ এবং আমাকে কিছু টিপস দিলে আপনাকেও ধন্যবাদ।</v>
      </c>
    </row>
    <row r="1477" spans="1:3" ht="15" x14ac:dyDescent="0.25">
      <c r="A1477" s="3" t="s">
        <v>1472</v>
      </c>
      <c r="B1477" s="3" t="s">
        <v>997</v>
      </c>
      <c r="C1477" s="4" t="str">
        <f ca="1">IFERROR(__xludf.DUMMYFUNCTION("GOOGLETRANSLATE(A1477, ""auto"", ""bn"")"),"আমার নববর্ষের সংকল্প হলো পুরো জানুয়ারী মাসটা ধূমপান বা মদ্যপান ছাড়াই কাটাবো। আমি ইতিমধ্যেই খুব বিরক্ত। আমি পরিষ্কার-পরিচ্ছন্নতা, টিভি, ভিডিও গেমের দিকে মনোযোগ দিতে পারছি না, আমার কোনও প্রকল্প বা শখের কাজ করার জন্য এটি কাজ বলে মনে হচ্ছে। তাছাড়া, আমি এখন "&amp;"নিজেকে কাপড় ভাঁজ করতে বাধ্য করছি। থালা-বাসন জমে যাচ্ছে, আমাকেও এগুলো করতে হচ্ছে। এই জিনিসগুলি করার আগে আমি সাধারণত মাতাল হয়ে যাই। আমি এখন এন্ডোরফিনের জন্য মাছ ধরছি। আমি নিজেকে কোনও কিছুতেই খুশি বা সন্তুষ্ট করতে পারছি না। আমি কীভাবে এই বাধা অতিক্রম করব? "&amp;"কখন পরিস্থিতি ভালো হবে?")</f>
        <v>আমার নববর্ষের সংকল্প হলো পুরো জানুয়ারী মাসটা ধূমপান বা মদ্যপান ছাড়াই কাটাবো। আমি ইতিমধ্যেই খুব বিরক্ত। আমি পরিষ্কার-পরিচ্ছন্নতা, টিভি, ভিডিও গেমের দিকে মনোযোগ দিতে পারছি না, আমার কোনও প্রকল্প বা শখের কাজ করার জন্য এটি কাজ বলে মনে হচ্ছে। তাছাড়া, আমি এখন নিজেকে কাপড় ভাঁজ করতে বাধ্য করছি। থালা-বাসন জমে যাচ্ছে, আমাকেও এগুলো করতে হচ্ছে। এই জিনিসগুলি করার আগে আমি সাধারণত মাতাল হয়ে যাই। আমি এখন এন্ডোরফিনের জন্য মাছ ধরছি। আমি নিজেকে কোনও কিছুতেই খুশি বা সন্তুষ্ট করতে পারছি না। আমি কীভাবে এই বাধা অতিক্রম করব? কখন পরিস্থিতি ভালো হবে?</v>
      </c>
    </row>
    <row r="1478" spans="1:3" ht="15" x14ac:dyDescent="0.25">
      <c r="A1478" s="3" t="s">
        <v>1473</v>
      </c>
      <c r="B1478" s="3" t="s">
        <v>997</v>
      </c>
      <c r="C1478" s="4" t="str">
        <f ca="1">IFERROR(__xludf.DUMMYFUNCTION("GOOGLETRANSLATE(A1478, ""auto"", ""bn"")"),"১৫ দিন হয়ে গেছে, আর এই উপলব্ধি আমাকে হতাশ করে দিচ্ছে যে আমার জীবন মদ্যপানের সময় যা ভেবেছিলাম তার চেয়েও অনেক খারাপ, এটা কি কারো কাছে পরিচিত মনে হচ্ছে? আমার যেসব সমস্যা ছিল (এখনও আছে) হঠাৎ করে আরও খারাপ মনে হচ্ছে, যেহেতু আমি মদ্যপান করছি না? স্পষ্টতই এই "&amp;"সমস্যাগুলি (আর্থিক, সম্পর্ক, কর্মসংস্থান, সাধারণ স্বাস্থ্য) মদ্যপানের সময় ঠিক করা যায় না, তবে আমার প্রায়শই ভয়াবহ উপলব্ধি হয় যে আমি অনেক উপায়ে গভীর সমস্যায় আছি, অ্যালকোহল বা মাদক ছাড়াই যতটা সম্ভব এর সাথে মোকাবিলা করা শুরু করতে হবে। এটা এমন যে আমি জ"&amp;"ীবনের মধ্য দিয়ে ঘুমের মধ্যে হাঁটছি, অ্যালকোহল কেবল বিষণ্ণতা না করে সমস্যাগুলিকে আরও বাড়তে দেওয়া সম্ভব করে তোলে, আমি জানি না। আমি আশা করছি তোমাদের মধ্যে অনেকেই যারা সংযত ছিল তারা প্রথম দিকে এইরকম অনুভব করেছিল এবং এটি কেবল আমার ক্ষেত্রেই নয়।")</f>
        <v>১৫ দিন হয়ে গেছে, আর এই উপলব্ধি আমাকে হতাশ করে দিচ্ছে যে আমার জীবন মদ্যপানের সময় যা ভেবেছিলাম তার চেয়েও অনেক খারাপ, এটা কি কারো কাছে পরিচিত মনে হচ্ছে? আমার যেসব সমস্যা ছিল (এখনও আছে) হঠাৎ করে আরও খারাপ মনে হচ্ছে, যেহেতু আমি মদ্যপান করছি না? স্পষ্টতই এই সমস্যাগুলি (আর্থিক, সম্পর্ক, কর্মসংস্থান, সাধারণ স্বাস্থ্য) মদ্যপানের সময় ঠিক করা যায় না, তবে আমার প্রায়শই ভয়াবহ উপলব্ধি হয় যে আমি অনেক উপায়ে গভীর সমস্যায় আছি, অ্যালকোহল বা মাদক ছাড়াই যতটা সম্ভব এর সাথে মোকাবিলা করা শুরু করতে হবে। এটা এমন যে আমি জীবনের মধ্য দিয়ে ঘুমের মধ্যে হাঁটছি, অ্যালকোহল কেবল বিষণ্ণতা না করে সমস্যাগুলিকে আরও বাড়তে দেওয়া সম্ভব করে তোলে, আমি জানি না। আমি আশা করছি তোমাদের মধ্যে অনেকেই যারা সংযত ছিল তারা প্রথম দিকে এইরকম অনুভব করেছিল এবং এটি কেবল আমার ক্ষেত্রেই নয়।</v>
      </c>
    </row>
    <row r="1479" spans="1:3" ht="15" x14ac:dyDescent="0.25">
      <c r="A1479" s="3" t="s">
        <v>1473</v>
      </c>
      <c r="B1479" s="3" t="s">
        <v>997</v>
      </c>
      <c r="C1479" s="4" t="str">
        <f ca="1">IFERROR(__xludf.DUMMYFUNCTION("GOOGLETRANSLATE(A1479, ""auto"", ""bn"")"),"১৫ দিন হয়ে গেছে, আর এই উপলব্ধি আমাকে হতাশ করে দিচ্ছে যে আমার জীবন মদ্যপানের সময় যা ভেবেছিলাম তার চেয়েও অনেক খারাপ, এটা কি কারো কাছে পরিচিত মনে হচ্ছে? আমার যেসব সমস্যা ছিল (এখনও আছে) হঠাৎ করে আরও খারাপ মনে হচ্ছে, যেহেতু আমি মদ্যপান করছি না? স্পষ্টতই এই "&amp;"সমস্যাগুলি (আর্থিক, সম্পর্ক, কর্মসংস্থান, সাধারণ স্বাস্থ্য) মদ্যপানের সময় ঠিক করা যায় না, তবে আমার প্রায়শই ভয়াবহ উপলব্ধি হয় যে আমি অনেক উপায়ে গভীর সমস্যায় আছি, অ্যালকোহল বা মাদক ছাড়াই যতটা সম্ভব এর সাথে মোকাবিলা করা শুরু করতে হবে। এটা এমন যে আমি জ"&amp;"ীবনের মধ্য দিয়ে ঘুমের মধ্যে হাঁটছি, অ্যালকোহল কেবল বিষণ্ণতা না করে সমস্যাগুলিকে আরও বাড়তে দেওয়া সম্ভব করে তোলে, আমি জানি না। আমি আশা করছি তোমাদের মধ্যে অনেকেই যারা সংযত ছিল তারা প্রথম দিকে এইরকম অনুভব করেছিল এবং এটি কেবল আমার ক্ষেত্রেই নয়।")</f>
        <v>১৫ দিন হয়ে গেছে, আর এই উপলব্ধি আমাকে হতাশ করে দিচ্ছে যে আমার জীবন মদ্যপানের সময় যা ভেবেছিলাম তার চেয়েও অনেক খারাপ, এটা কি কারো কাছে পরিচিত মনে হচ্ছে? আমার যেসব সমস্যা ছিল (এখনও আছে) হঠাৎ করে আরও খারাপ মনে হচ্ছে, যেহেতু আমি মদ্যপান করছি না? স্পষ্টতই এই সমস্যাগুলি (আর্থিক, সম্পর্ক, কর্মসংস্থান, সাধারণ স্বাস্থ্য) মদ্যপানের সময় ঠিক করা যায় না, তবে আমার প্রায়শই ভয়াবহ উপলব্ধি হয় যে আমি অনেক উপায়ে গভীর সমস্যায় আছি, অ্যালকোহল বা মাদক ছাড়াই যতটা সম্ভব এর সাথে মোকাবিলা করা শুরু করতে হবে। এটা এমন যে আমি জীবনের মধ্য দিয়ে ঘুমের মধ্যে হাঁটছি, অ্যালকোহল কেবল বিষণ্ণতা না করে সমস্যাগুলিকে আরও বাড়তে দেওয়া সম্ভব করে তোলে, আমি জানি না। আমি আশা করছি তোমাদের মধ্যে অনেকেই যারা সংযত ছিল তারা প্রথম দিকে এইরকম অনুভব করেছিল এবং এটি কেবল আমার ক্ষেত্রেই নয়।</v>
      </c>
    </row>
    <row r="1480" spans="1:3" ht="15" x14ac:dyDescent="0.25">
      <c r="A1480" s="3" t="s">
        <v>1474</v>
      </c>
      <c r="B1480" s="3" t="s">
        <v>997</v>
      </c>
      <c r="C1480" s="4" t="str">
        <f ca="1">IFERROR(__xludf.DUMMYFUNCTION("GOOGLETRANSLATE(A1480, ""auto"", ""bn"")"),"আমি আমার বেশিরভাগ ক্যালোরি অ্যালকোহল থেকে পেতাম। সম্প্রতি আমি যা যুক্তিসঙ্গত বলে মনে করি তা কমিয়ে এনেছি (২-৩ ডোজ এবং একটি বিয়ার, ৬ ডোজ এবং এক লিটার ওয়াইন অথবা এক ছয় ডোজ বিয়ার থেকে)। তবে, আমি খাবারের জন্য আমার ক্ষুধা ফিরে আসার বিষয়টি লক্ষ্য করছি না। "&amp;"আমি ভিটামিন এবং পানীয় গ্রহণ করি নিশ্চিত করি, তাই আমি জানি যে আমি কিছু ক্যালোরি পাচ্ছি। 'ওএল' ক্ষুধা নিবারণের জন্য কোন টিপস আছে? এক মাস ধরে কম হারে চলছে।")</f>
        <v>আমি আমার বেশিরভাগ ক্যালোরি অ্যালকোহল থেকে পেতাম। সম্প্রতি আমি যা যুক্তিসঙ্গত বলে মনে করি তা কমিয়ে এনেছি (২-৩ ডোজ এবং একটি বিয়ার, ৬ ডোজ এবং এক লিটার ওয়াইন অথবা এক ছয় ডোজ বিয়ার থেকে)। তবে, আমি খাবারের জন্য আমার ক্ষুধা ফিরে আসার বিষয়টি লক্ষ্য করছি না। আমি ভিটামিন এবং পানীয় গ্রহণ করি নিশ্চিত করি, তাই আমি জানি যে আমি কিছু ক্যালোরি পাচ্ছি। 'ওএল' ক্ষুধা নিবারণের জন্য কোন টিপস আছে? এক মাস ধরে কম হারে চলছে।</v>
      </c>
    </row>
    <row r="1481" spans="1:3" ht="15" x14ac:dyDescent="0.25">
      <c r="A1481" s="3" t="s">
        <v>1475</v>
      </c>
      <c r="B1481" s="3" t="s">
        <v>997</v>
      </c>
      <c r="C1481" s="4" t="str">
        <f ca="1">IFERROR(__xludf.DUMMYFUNCTION("GOOGLETRANSLATE(A1481, ""auto"", ""bn"")"),"আমি কি মদ্যপ/যদি ঘন ঘন মদ্যপান করতে না পাই তাহলে এই প্রবণতাগুলো মোকাবেলা করব? যখনই আশেপাশে মদ্যপান থাকে, আমি তা পান করি (যখন আমি কাউকে না জানিয়ে তা ছেড়ে দিতে পারি), কিন্তু এটি প্রায়শই পাওয়া যায় না কারণ আমার বাবা খুব বেশি মদ্যপায়ী নন। আমিও এখন পান কর"&amp;"তে পারি, কিন্তু তার কাছে এক বোতল বিয়ার বাকি আছে, এবং আমি পান করলে তিনি লক্ষ্য করবেন। তবে আমার প্রশ্ন হল, তাহলে কি নিজেকে এতে কোনও সমস্যা আছে বলে ভাবা ভুল? অতীতে, আমি দুবার ব্ল্যাকআউট মাতাল হয়েছি, এবং অন্যবার প্রায়, কারণ আমি যতটা সম্ভব পান করেছি। যখন এট"&amp;"ি পাওয়া যায় তখন আমি নিজের উপর নিয়ন্ত্রণ হারিয়ে ফেলি। সবচেয়ে খারাপ ছিল যখন আমি অন্য একজন আত্মীয়ের সাথে ছিলাম, যিনি প্রচুর মদ্যপান করেন এবং মূলত 5 দিন ধরে মাতাল ছিলেন। আমি প্রায় সব সময় মদ্যপানের কথাও ভাবি। কিন্তু আমি মনে করি, যেহেতু আমি এখন নিজেকে ন"&amp;"িয়ন্ত্রণ করতে পারি কারণ আমি ধরা পড়তে চাই না, তাই এতে আমার কোনও বাস্তব সমস্যা নেই।")</f>
        <v>আমি কি মদ্যপ/যদি ঘন ঘন মদ্যপান করতে না পাই তাহলে এই প্রবণতাগুলো মোকাবেলা করব? যখনই আশেপাশে মদ্যপান থাকে, আমি তা পান করি (যখন আমি কাউকে না জানিয়ে তা ছেড়ে দিতে পারি), কিন্তু এটি প্রায়শই পাওয়া যায় না কারণ আমার বাবা খুব বেশি মদ্যপায়ী নন। আমিও এখন পান করতে পারি, কিন্তু তার কাছে এক বোতল বিয়ার বাকি আছে, এবং আমি পান করলে তিনি লক্ষ্য করবেন। তবে আমার প্রশ্ন হল, তাহলে কি নিজেকে এতে কোনও সমস্যা আছে বলে ভাবা ভুল? অতীতে, আমি দুবার ব্ল্যাকআউট মাতাল হয়েছি, এবং অন্যবার প্রায়, কারণ আমি যতটা সম্ভব পান করেছি। যখন এটি পাওয়া যায় তখন আমি নিজের উপর নিয়ন্ত্রণ হারিয়ে ফেলি। সবচেয়ে খারাপ ছিল যখন আমি অন্য একজন আত্মীয়ের সাথে ছিলাম, যিনি প্রচুর মদ্যপান করেন এবং মূলত 5 দিন ধরে মাতাল ছিলেন। আমি প্রায় সব সময় মদ্যপানের কথাও ভাবি। কিন্তু আমি মনে করি, যেহেতু আমি এখন নিজেকে নিয়ন্ত্রণ করতে পারি কারণ আমি ধরা পড়তে চাই না, তাই এতে আমার কোনও বাস্তব সমস্যা নেই।</v>
      </c>
    </row>
    <row r="1482" spans="1:3" ht="15" x14ac:dyDescent="0.25">
      <c r="A1482" s="3" t="s">
        <v>1476</v>
      </c>
      <c r="B1482" s="3" t="s">
        <v>997</v>
      </c>
      <c r="C1482" s="4" t="str">
        <f ca="1">IFERROR(__xludf.DUMMYFUNCTION("GOOGLETRANSLATE(A1482, ""auto"", ""bn"")"),"আমি একজন সক্রিয় বন্ধু মেরিন। আমি মদ্যপান শুরু করিনি, কিন্তু নিশ্চিতভাবেই আমি শিখেছি কোথায় পান করতে হবে। আমার বাবা-মা AA মিটিংয়ে দেখা করেছিলেন। আমার দুই দাদা-দাদিও মদ্যপ ছিলেন (কাকতালীয়ভাবে, তারা দুজনেই মেরিন ছিলেন)। আমি মদ্যপান করতে ভালোবাসি। যতক্ষণ প"&amp;"র্যন্ত মদ্যপান জড়িত থাকে ততক্ষণ আমি প্রায় যেকোনো কিছু উপভোগ করতে পারি। মেরিনসে আমার চাকরিকে উচ্চ ঝুঁকিপূর্ণ মনে হতে পারে, কিন্তু আমি কোনওভাবেই বিপদের সন্ধানকারী নই। আমি কখনও টিকিট করিনি, আমি উচ্চতা ঘৃণা করি। কিন্তু আমি সবসময় মদ্যপান করি এবং গাড়ি চালাই"&amp;"। কখনও নিজেকে ""মাতাল"" মনে করি না, কিন্তু আমি 4টি মদ্যপান বন্ধ করে মুদির দোকানে যাই। আমার বাবা কখনও সেখানে ছিলেন না। আমার সৎ বাবাও একজন সুস্থ মদ্যপ। তার অনেক অনুশোচনা আছে। মাও তাই। এবং আমি ধরে নিই আমার আসল বাবাও তাই। আমি আমার মদ্যপানের জন্য কখনও সমস্যায়"&amp;" পড়িনি, এবং আমার বয়স 28। কিন্তু চেষ্টার অভাবে নয়। যখন আমি মদ্যপান করি না তখন আমার কোনও বিচ্যুতি হয় না। আর একটা ডিপ্লয়মেন্ট আর কয়েকটা ট্রিপ ছাড়া আমি প্রতিদিন মদ্যপান করেছি। আমার স্ত্রী এটা পছন্দ করে না। সে এখন প্রায় মদ্যপান ছেড়ে দিয়েছে কারণ সে খুব মাতা"&amp;"ল।")</f>
        <v>আমি একজন সক্রিয় বন্ধু মেরিন। আমি মদ্যপান শুরু করিনি, কিন্তু নিশ্চিতভাবেই আমি শিখেছি কোথায় পান করতে হবে। আমার বাবা-মা AA মিটিংয়ে দেখা করেছিলেন। আমার দুই দাদা-দাদিও মদ্যপ ছিলেন (কাকতালীয়ভাবে, তারা দুজনেই মেরিন ছিলেন)। আমি মদ্যপান করতে ভালোবাসি। যতক্ষণ পর্যন্ত মদ্যপান জড়িত থাকে ততক্ষণ আমি প্রায় যেকোনো কিছু উপভোগ করতে পারি। মেরিনসে আমার চাকরিকে উচ্চ ঝুঁকিপূর্ণ মনে হতে পারে, কিন্তু আমি কোনওভাবেই বিপদের সন্ধানকারী নই। আমি কখনও টিকিট করিনি, আমি উচ্চতা ঘৃণা করি। কিন্তু আমি সবসময় মদ্যপান করি এবং গাড়ি চালাই। কখনও নিজেকে "মাতাল" মনে করি না, কিন্তু আমি 4টি মদ্যপান বন্ধ করে মুদির দোকানে যাই। আমার বাবা কখনও সেখানে ছিলেন না। আমার সৎ বাবাও একজন সুস্থ মদ্যপ। তার অনেক অনুশোচনা আছে। মাও তাই। এবং আমি ধরে নিই আমার আসল বাবাও তাই। আমি আমার মদ্যপানের জন্য কখনও সমস্যায় পড়িনি, এবং আমার বয়স 28। কিন্তু চেষ্টার অভাবে নয়। যখন আমি মদ্যপান করি না তখন আমার কোনও বিচ্যুতি হয় না। আর একটা ডিপ্লয়মেন্ট আর কয়েকটা ট্রিপ ছাড়া আমি প্রতিদিন মদ্যপান করেছি। আমার স্ত্রী এটা পছন্দ করে না। সে এখন প্রায় মদ্যপান ছেড়ে দিয়েছে কারণ সে খুব মাতাল।</v>
      </c>
    </row>
    <row r="1483" spans="1:3" ht="15" x14ac:dyDescent="0.25">
      <c r="A1483" s="3" t="s">
        <v>1477</v>
      </c>
      <c r="B1483" s="3" t="s">
        <v>997</v>
      </c>
      <c r="C1483" s="4" t="str">
        <f ca="1">IFERROR(__xludf.DUMMYFUNCTION("GOOGLETRANSLATE(A1483, ""auto"", ""bn"")"),"আমি আমার মদ্যপানের ব্যাপারে অস্বীকার করে আসছি এবং বলে আসছি যে এটি আমার নিয়ন্ত্রণে আছে। দীর্ঘ লকডাউনের সময় আমি প্রতি রাতে একা মদ্যপান করতাম কিন্তু ক্ষতি স্বীকার করতাম না কারণ আমি ভেবেছিলাম আমি কারও ক্ষতি করছি না। এখন জীবন আবার খুলে গেছে, ইতিমধ্যেই এমন অন"&amp;"েক ঘটনা ঘটেছে যেখানে আমি অতিরিক্ত মাতাল হয়ে পড়েছি এবং নিজের এবং অন্যদের ক্ষতি করেছি। শেষ পরিণতি হয়েছিল যখন আমি অতিরিক্ত মাতাল হয়ে আমার বোনের সঙ্গীর উপর আঘাত করেছিলাম। আমার সেই ঘটনাটি মনে ছিল না এবং সে যখন আমাকে বলল তখন আমি হতাশ হয়ে পড়েছিলাম। সৌভাগ্য"&amp;"ক্রমে সে ক্ষমাশীল ছিল এবং আমার সম্পর্কে আরও উদ্বিগ্ন ছিল, কিন্তু আমি মানুষের ক্ষমার প্রয়োজনে ক্লান্ত হয়ে পড়েছি। অবশেষে আমি স্বীকার করেছি যে আমি মদ্যপান নিয়ন্ত্রণ করতে পারি না এবং আমার জীবনে এটি অবিশ্বাস্যভাবে অস্বাস্থ্যকর সম্পর্ক রয়েছে এবং এটি আমার জ"&amp;"ীবনে থাকতে পারে না। হ্যাঁ, আমি স্বস্তি বোধ করছি, আমার মনের পিছনে (আমি খুব এড়িয়ে চলা ব্যক্তি) আমি আমার মদ্যপান সম্পর্কে খুব ভয় পেয়েছিলাম কিন্তু এখন আমি সত্যই সমস্যাটি স্বীকার করে নিলে আমি আশাবাদী বোধ করছি।")</f>
        <v>আমি আমার মদ্যপানের ব্যাপারে অস্বীকার করে আসছি এবং বলে আসছি যে এটি আমার নিয়ন্ত্রণে আছে। দীর্ঘ লকডাউনের সময় আমি প্রতি রাতে একা মদ্যপান করতাম কিন্তু ক্ষতি স্বীকার করতাম না কারণ আমি ভেবেছিলাম আমি কারও ক্ষতি করছি না। এখন জীবন আবার খুলে গেছে, ইতিমধ্যেই এমন অনেক ঘটনা ঘটেছে যেখানে আমি অতিরিক্ত মাতাল হয়ে পড়েছি এবং নিজের এবং অন্যদের ক্ষতি করেছি। শেষ পরিণতি হয়েছিল যখন আমি অতিরিক্ত মাতাল হয়ে আমার বোনের সঙ্গীর উপর আঘাত করেছিলাম। আমার সেই ঘটনাটি মনে ছিল না এবং সে যখন আমাকে বলল তখন আমি হতাশ হয়ে পড়েছিলাম। সৌভাগ্যক্রমে সে ক্ষমাশীল ছিল এবং আমার সম্পর্কে আরও উদ্বিগ্ন ছিল, কিন্তু আমি মানুষের ক্ষমার প্রয়োজনে ক্লান্ত হয়ে পড়েছি। অবশেষে আমি স্বীকার করেছি যে আমি মদ্যপান নিয়ন্ত্রণ করতে পারি না এবং আমার জীবনে এটি অবিশ্বাস্যভাবে অস্বাস্থ্যকর সম্পর্ক রয়েছে এবং এটি আমার জীবনে থাকতে পারে না। হ্যাঁ, আমি স্বস্তি বোধ করছি, আমার মনের পিছনে (আমি খুব এড়িয়ে চলা ব্যক্তি) আমি আমার মদ্যপান সম্পর্কে খুব ভয় পেয়েছিলাম কিন্তু এখন আমি সত্যই সমস্যাটি স্বীকার করে নিলে আমি আশাবাদী বোধ করছি।</v>
      </c>
    </row>
    <row r="1484" spans="1:3" ht="15" x14ac:dyDescent="0.25">
      <c r="A1484" s="3" t="s">
        <v>1478</v>
      </c>
      <c r="B1484" s="3" t="s">
        <v>997</v>
      </c>
      <c r="C1484" s="4" t="str">
        <f ca="1">IFERROR(__xludf.DUMMYFUNCTION("GOOGLETRANSLATE(A1484, ""auto"", ""bn"")"),"আমার বাবা একজন প্রচণ্ড মদ্যপ। বহু বছর ধরে। তার স্নায়ু, মস্তিষ্ক, লিভারের ব্যাপক ক্ষতি হয়েছে। সে সোফায় বসে আছে এবং স্বাভাবিক জীবনযাপন করতে সম্পূর্ণ অক্ষম। সম্প্রতি, সে জাঁকজমকের ভয়ানক ভ্রান্ত ধারণায় ভুগছে। সে নিজেকে পরিবারের সবচেয়ে গুরুত্বপূর্ণ ব্যক্"&amp;"তি বলে মনে করে। তাকে ছাড়া কেউ বাঁচতে পারে না। ট্রাকচালক হিসেবে তার কাজ থেকে সবাই তার কাছে ঋণী। সবাই তাকে ভালোবাসে। তার সাহায্যের প্রয়োজন নেই এবং তার মদ্যপানের সাথে তার অসংখ্য চিকিৎসা সমস্যার কোন সম্পর্ক নেই। মদ্যপায়ীদের মধ্যে কি এটি একটি সাধারণ বিষয়? "&amp;"আমি বিভ্রান্তিকর ব্যাধি এবং মাদকাসক্তির মধ্যে কিছু সম্পর্ক দেখেছি, কিন্তু সে সবসময়ই কিছুটা অহংকারী। তোমরা কীভাবে এই পরিস্থিতি কাটিয়ে উঠো? আসক্তি সম্পর্কে তোমার নিজের ভ্রান্ত ধারণা দূর করার জন্য তুমি কী করেছ?")</f>
        <v>আমার বাবা একজন প্রচণ্ড মদ্যপ। বহু বছর ধরে। তার স্নায়ু, মস্তিষ্ক, লিভারের ব্যাপক ক্ষতি হয়েছে। সে সোফায় বসে আছে এবং স্বাভাবিক জীবনযাপন করতে সম্পূর্ণ অক্ষম। সম্প্রতি, সে জাঁকজমকের ভয়ানক ভ্রান্ত ধারণায় ভুগছে। সে নিজেকে পরিবারের সবচেয়ে গুরুত্বপূর্ণ ব্যক্তি বলে মনে করে। তাকে ছাড়া কেউ বাঁচতে পারে না। ট্রাকচালক হিসেবে তার কাজ থেকে সবাই তার কাছে ঋণী। সবাই তাকে ভালোবাসে। তার সাহায্যের প্রয়োজন নেই এবং তার মদ্যপানের সাথে তার অসংখ্য চিকিৎসা সমস্যার কোন সম্পর্ক নেই। মদ্যপায়ীদের মধ্যে কি এটি একটি সাধারণ বিষয়? আমি বিভ্রান্তিকর ব্যাধি এবং মাদকাসক্তির মধ্যে কিছু সম্পর্ক দেখেছি, কিন্তু সে সবসময়ই কিছুটা অহংকারী। তোমরা কীভাবে এই পরিস্থিতি কাটিয়ে উঠো? আসক্তি সম্পর্কে তোমার নিজের ভ্রান্ত ধারণা দূর করার জন্য তুমি কী করেছ?</v>
      </c>
    </row>
    <row r="1485" spans="1:3" ht="15" x14ac:dyDescent="0.25">
      <c r="A1485" s="3" t="s">
        <v>1479</v>
      </c>
      <c r="B1485" s="3" t="s">
        <v>997</v>
      </c>
      <c r="C1485" s="4" t="str">
        <f ca="1">IFERROR(__xludf.DUMMYFUNCTION("GOOGLETRANSLATE(A1485, ""auto"", ""bn"")"),"মদ্যপানের পরিবর্তে ঘুমাতে যাওয়ার জন্য যে বিলম্বিত তৃপ্তি পাওয়ার ক্ষমতা লাগে, তা আমি খুঁজে পাচ্ছি না। আসলে আমি এখন মাতাল। মাতাল হওয়ার সময় আমার নিজের উপর বেশ রাগ লাগে এবং প্রতি মিনিটে সন্ধ্যা ৬টা নাগাদ আমার মনে হয় যেন আমি ""রাত শুরু করছি?""। এটা খুবই রীতিনী"&amp;"তি। ৮টি ভুডু রেঞ্জার এবং ২টি সিনেমা দেখার সময়। একটা ভালো রাত হবে! তবে আমি এর প্রভাব জানি এবং আমি জানি যে এটি দেখা শুরু হতে আমার ৫ বছর বাকি আছে (আমার বয়স ২৪ বছর), কিন্তু আমি ছেড়ে দেওয়ার দীর্ঘমেয়াদী সুবিধার দিকে মনোযোগ দিতে পারছি না। এটাও সাহায্য করে না "&amp;"যে আমি অস্বীকার করা থেকে সবচেয়ে দূরে। আমি জানি যে আমার একটি সমস্যা আছে। আমি (সম্ভবত ভান করে) নিজেকে একজন অত্যন্ত বুদ্ধিমান ব্যক্তি বলে মনে করি, তাই আমি জানি ছেড়ে দেওয়ার জন্য কী করা উচিত, কিন্তু আমি কয়েক দিনের বেশি তা চেপে রাখতে পারি না। আমি পুনর্বাসনক"&amp;"েও ভয় পাই কারণ আমি পেশাদারদের সাথে কথা বলার চেষ্টা করেছি এবং এমনকি একজন বিনামূল্যে ফোন থেরাপিস্টের সাথেও কথা বলেছি, কিন্তু যেহেতু আমি তথ্যগুলি সম্পর্কে এতটাই সচেতন যে আমার মনে হয় তারা আমাকে এমন কিছু বলবে না যা আমি ইতিমধ্যে জানি না।")</f>
        <v>মদ্যপানের পরিবর্তে ঘুমাতে যাওয়ার জন্য যে বিলম্বিত তৃপ্তি পাওয়ার ক্ষমতা লাগে, তা আমি খুঁজে পাচ্ছি না। আসলে আমি এখন মাতাল। মাতাল হওয়ার সময় আমার নিজের উপর বেশ রাগ লাগে এবং প্রতি মিনিটে সন্ধ্যা ৬টা নাগাদ আমার মনে হয় যেন আমি "রাত শুরু করছি?"। এটা খুবই রীতিনীতি। ৮টি ভুডু রেঞ্জার এবং ২টি সিনেমা দেখার সময়। একটা ভালো রাত হবে! তবে আমি এর প্রভাব জানি এবং আমি জানি যে এটি দেখা শুরু হতে আমার ৫ বছর বাকি আছে (আমার বয়স ২৪ বছর), কিন্তু আমি ছেড়ে দেওয়ার দীর্ঘমেয়াদী সুবিধার দিকে মনোযোগ দিতে পারছি না। এটাও সাহায্য করে না যে আমি অস্বীকার করা থেকে সবচেয়ে দূরে। আমি জানি যে আমার একটি সমস্যা আছে। আমি (সম্ভবত ভান করে) নিজেকে একজন অত্যন্ত বুদ্ধিমান ব্যক্তি বলে মনে করি, তাই আমি জানি ছেড়ে দেওয়ার জন্য কী করা উচিত, কিন্তু আমি কয়েক দিনের বেশি তা চেপে রাখতে পারি না। আমি পুনর্বাসনকেও ভয় পাই কারণ আমি পেশাদারদের সাথে কথা বলার চেষ্টা করেছি এবং এমনকি একজন বিনামূল্যে ফোন থেরাপিস্টের সাথেও কথা বলেছি, কিন্তু যেহেতু আমি তথ্যগুলি সম্পর্কে এতটাই সচেতন যে আমার মনে হয় তারা আমাকে এমন কিছু বলবে না যা আমি ইতিমধ্যে জানি না।</v>
      </c>
    </row>
    <row r="1486" spans="1:3" ht="15" x14ac:dyDescent="0.25">
      <c r="A1486" s="3" t="s">
        <v>1480</v>
      </c>
      <c r="B1486" s="3" t="s">
        <v>997</v>
      </c>
      <c r="C1486" s="4" t="str">
        <f ca="1">IFERROR(__xludf.DUMMYFUNCTION("GOOGLETRANSLATE(A1486, ""auto"", ""bn"")"),"এখানে খুব কার্যকরী। আমার মনে হয় না যে আমি মদ্যপান করে আমার জীবন নষ্ট করছি। আমি শুধু আমার মানসিক/শারীরিক স্বাস্থ্যের জন্য একটা লম্বা বিরতি নিতে চাই। রাতে ঘুমানোর আগে আমি ৪টি বিয়ার থেকে শুরু করে ৭টি ভদকা ক্লাব পর্যন্ত খাই (পরবর্তীটিও বেশি নয়)। (৩১/মাস)। "&amp;"বছরের পর বছর ধরে এটা করছি। আমি প্রায় ৪ দিনের মতো ছুটি নিয়েছি। এবং আমার সবচেয়ে বেশি যে অভিজ্ঞতা হয়েছে তা হল ঘুমের সমস্যা এবং ঠান্ডা ঘাম। হৃদস্পন্দন, সম্ভবত। আপনার কিছু অভিজ্ঞতা কী?")</f>
        <v>এখানে খুব কার্যকরী। আমার মনে হয় না যে আমি মদ্যপান করে আমার জীবন নষ্ট করছি। আমি শুধু আমার মানসিক/শারীরিক স্বাস্থ্যের জন্য একটা লম্বা বিরতি নিতে চাই। রাতে ঘুমানোর আগে আমি ৪টি বিয়ার থেকে শুরু করে ৭টি ভদকা ক্লাব পর্যন্ত খাই (পরবর্তীটিও বেশি নয়)। (৩১/মাস)। বছরের পর বছর ধরে এটা করছি। আমি প্রায় ৪ দিনের মতো ছুটি নিয়েছি। এবং আমার সবচেয়ে বেশি যে অভিজ্ঞতা হয়েছে তা হল ঘুমের সমস্যা এবং ঠান্ডা ঘাম। হৃদস্পন্দন, সম্ভবত। আপনার কিছু অভিজ্ঞতা কী?</v>
      </c>
    </row>
    <row r="1487" spans="1:3" ht="15" x14ac:dyDescent="0.25">
      <c r="A1487" s="3" t="s">
        <v>1481</v>
      </c>
      <c r="B1487" s="3" t="s">
        <v>997</v>
      </c>
      <c r="C1487" s="4" t="str">
        <f ca="1">IFERROR(__xludf.DUMMYFUNCTION("GOOGLETRANSLATE(A1487, ""auto"", ""bn"")"),"একটু প্রসঙ্গে বলতে গেলে, আমার বাবা খুব বেশি মদ্যপান করেন। তিনি এখন আর খুব একটা মদ্যপান করেন না, কিন্তু যখন তিনি পান করেন, তখন ৫০/৫০ শতাংশ সম্ভাবনা থাকে যে তিনি এক সপ্তাহ ধরে মদ্যপান করবেন। এখন পর্যন্ত, ৬ দিন ধরে ২৪/৭ মদ্যপান করেছেন এবং আমি তাকে সাহায্য কর"&amp;"ার চেষ্টা করছি। আমরা কিছুদিন আগে তাকে একটি ডিটক্স সেন্টারে পাঠানোর চেষ্টা করেছি, এবং এটি কাজ করেছে কিন্তু আমাদের ১০,০০০ ডলারের চিকিৎসা বিল রেখে গেছে (যা মাফ করা হয়েছে কিন্তু WTF - কী একটা কেলেঙ্কারী)। আমি লক্ষ্য করেছি যে সে একটু কাঁপতে শুরু করেছে এবং ভাব"&amp;"ছে যে এটি কি সাধারণ নাকি এটি একটি লক্ষণ যে তার পেশাদার যত্নের প্রয়োজন (এর আগে প্রতিটি বিকল্প চেষ্টা করার চেষ্টা করছি কারণ তার বীমা মাদকের অপব্যবহারকে কভার করে না)। এছাড়াও, আমি ভাবছি যে সে কি তাকে কমাতে সাহায্য করার জন্য খুব বেশি এগিয়ে গেছে এবং যদি না ক"&amp;"রে, তাহলে এটি করার জন্য কোন ভাল কৌশল ব্যবহার করা যেতে পারে। যদিও এই মদ্যপান থেকে সেরে ওঠার পরে আমরা অবশ্যই থেরাপি, পরিহার এবং AA সম্পর্কে আলোচনা করব।")</f>
        <v>একটু প্রসঙ্গে বলতে গেলে, আমার বাবা খুব বেশি মদ্যপান করেন। তিনি এখন আর খুব একটা মদ্যপান করেন না, কিন্তু যখন তিনি পান করেন, তখন ৫০/৫০ শতাংশ সম্ভাবনা থাকে যে তিনি এক সপ্তাহ ধরে মদ্যপান করবেন। এখন পর্যন্ত, ৬ দিন ধরে ২৪/৭ মদ্যপান করেছেন এবং আমি তাকে সাহায্য করার চেষ্টা করছি। আমরা কিছুদিন আগে তাকে একটি ডিটক্স সেন্টারে পাঠানোর চেষ্টা করেছি, এবং এটি কাজ করেছে কিন্তু আমাদের ১০,০০০ ডলারের চিকিৎসা বিল রেখে গেছে (যা মাফ করা হয়েছে কিন্তু WTF - কী একটা কেলেঙ্কারী)। আমি লক্ষ্য করেছি যে সে একটু কাঁপতে শুরু করেছে এবং ভাবছে যে এটি কি সাধারণ নাকি এটি একটি লক্ষণ যে তার পেশাদার যত্নের প্রয়োজন (এর আগে প্রতিটি বিকল্প চেষ্টা করার চেষ্টা করছি কারণ তার বীমা মাদকের অপব্যবহারকে কভার করে না)। এছাড়াও, আমি ভাবছি যে সে কি তাকে কমাতে সাহায্য করার জন্য খুব বেশি এগিয়ে গেছে এবং যদি না করে, তাহলে এটি করার জন্য কোন ভাল কৌশল ব্যবহার করা যেতে পারে। যদিও এই মদ্যপান থেকে সেরে ওঠার পরে আমরা অবশ্যই থেরাপি, পরিহার এবং AA সম্পর্কে আলোচনা করব।</v>
      </c>
    </row>
    <row r="1488" spans="1:3" ht="15" x14ac:dyDescent="0.25">
      <c r="A1488" s="3" t="s">
        <v>1482</v>
      </c>
      <c r="B1488" s="3" t="s">
        <v>997</v>
      </c>
      <c r="C1488" s="4" t="str">
        <f ca="1">IFERROR(__xludf.DUMMYFUNCTION("GOOGLETRANSLATE(A1488, ""auto"", ""bn"")"),"আমি খুব একটা মদ্যপান করি না, কিন্তু পার্টিতে বা পাব দেখতে গেলে আমি প্রায়শই অতিরিক্ত মদ্যপান করি। প্রায় প্রতিটি পার্টিতেই আমার স্মৃতিশক্তি কমে যায় এবং মাঝে মাঝে আমি ভুল আচরণ করি। মূলত আমি আপনাকে জিজ্ঞাসা করছি যে আমার ভবিষ্যৎ নিয়ে কি আমার চিন্তিত হওয়া "&amp;"উচিত, আমার অনেক আত্মীয়স্বজনের মদ্যপানের সমস্যা আছে, এবং আমি শুনেছি যে এই ধরনের বিষয়গুলি প্রভাব ফেলতে পারে। আমার বয়স ১৯ এবং যদি তা গুরুত্বপূর্ণ হয় তবে ১৬ বছর বয়সে মদ্যপান শুরু করি। আমার বর্তমান পরিস্থিতি কি খারাপ নাকি মনে হচ্ছে এটি আরও খারাপ কিছুতে পর"&amp;"িণত হতে পারে? যেকোনো উত্তরের জন্য ধন্যবাদ এবং নতুন বছরের শুভেচ্ছা!")</f>
        <v>আমি খুব একটা মদ্যপান করি না, কিন্তু পার্টিতে বা পাব দেখতে গেলে আমি প্রায়শই অতিরিক্ত মদ্যপান করি। প্রায় প্রতিটি পার্টিতেই আমার স্মৃতিশক্তি কমে যায় এবং মাঝে মাঝে আমি ভুল আচরণ করি। মূলত আমি আপনাকে জিজ্ঞাসা করছি যে আমার ভবিষ্যৎ নিয়ে কি আমার চিন্তিত হওয়া উচিত, আমার অনেক আত্মীয়স্বজনের মদ্যপানের সমস্যা আছে, এবং আমি শুনেছি যে এই ধরনের বিষয়গুলি প্রভাব ফেলতে পারে। আমার বয়স ১৯ এবং যদি তা গুরুত্বপূর্ণ হয় তবে ১৬ বছর বয়সে মদ্যপান শুরু করি। আমার বর্তমান পরিস্থিতি কি খারাপ নাকি মনে হচ্ছে এটি আরও খারাপ কিছুতে পরিণত হতে পারে? যেকোনো উত্তরের জন্য ধন্যবাদ এবং নতুন বছরের শুভেচ্ছা!</v>
      </c>
    </row>
    <row r="1489" spans="1:3" ht="15" x14ac:dyDescent="0.25">
      <c r="A1489" s="3" t="s">
        <v>1483</v>
      </c>
      <c r="B1489" s="3" t="s">
        <v>997</v>
      </c>
      <c r="C1489" s="4" t="str">
        <f ca="1">IFERROR(__xludf.DUMMYFUNCTION("GOOGLETRANSLATE(A1489, ""auto"", ""bn"")"),"দীর্ঘমেয়াদী মদ্যপান এবং দীর্ঘমেয়াদী বিষণ্ণতার মধ্যে কি কোন সুনির্দিষ্ট যোগসূত্র আছে? নাকি এটা বলা হচ্ছে কারণ অ্যালকোহল টেকনিক্যালি একটি বিষণ্ণতা? আমি জীবনের বেশিরভাগ সময় উদ্বেগ এবং বিষণ্ণতার সাথে লড়াই করেছি, কিন্তু কিশোর বয়স থেকেই আমি মদ্যপান করে আসছ"&amp;"ি। আমি আমার জীবনে কিছু সময় ধরে মদ্যপান করেছি, কিন্তু সেগুলো কখনও আমার বিষণ্ণতায় সাহায্য করেনি, এমনকি খাদ্যাভ্যাস এবং ব্যায়ামের সাথেও। বিষণ্ণতা কমে না যাওয়া পর্যন্ত কি ত্যাগ করার জন্য একটি নির্দিষ্ট সময় আছে?")</f>
        <v>দীর্ঘমেয়াদী মদ্যপান এবং দীর্ঘমেয়াদী বিষণ্ণতার মধ্যে কি কোন সুনির্দিষ্ট যোগসূত্র আছে? নাকি এটা বলা হচ্ছে কারণ অ্যালকোহল টেকনিক্যালি একটি বিষণ্ণতা? আমি জীবনের বেশিরভাগ সময় উদ্বেগ এবং বিষণ্ণতার সাথে লড়াই করেছি, কিন্তু কিশোর বয়স থেকেই আমি মদ্যপান করে আসছি। আমি আমার জীবনে কিছু সময় ধরে মদ্যপান করেছি, কিন্তু সেগুলো কখনও আমার বিষণ্ণতায় সাহায্য করেনি, এমনকি খাদ্যাভ্যাস এবং ব্যায়ামের সাথেও। বিষণ্ণতা কমে না যাওয়া পর্যন্ত কি ত্যাগ করার জন্য একটি নির্দিষ্ট সময় আছে?</v>
      </c>
    </row>
    <row r="1490" spans="1:3" ht="15" x14ac:dyDescent="0.25">
      <c r="A1490" s="3" t="s">
        <v>1484</v>
      </c>
      <c r="B1490" s="3" t="s">
        <v>997</v>
      </c>
      <c r="C1490" s="4" t="str">
        <f ca="1">IFERROR(__xludf.DUMMYFUNCTION("GOOGLETRANSLATE(A1490, ""auto"", ""bn"")"),"আমার বান্ধবীর প্রাক্তন স্বামী বেশ কিছুদিন ধরেই মদ্যপানে আসক্ত ছিল। আমরা তাকে তার সমস্যা বুঝতে এবং সাহায্য চাইতে অনেক চেষ্টা করেছিলাম কিন্তু ক্রিসমাসের আগের দিন আমরা তাকে 3 সপ্তাহের মধ্যে প্রথমবারের মতো দেখতে পাই এবং তার শারীরিক অবনতি দেখতে খুবই আশ্চর্যজনক"&amp;" ছিল। আমরা তার গোপনীয়তার অনুরোধ উপেক্ষা করার সিদ্ধান্ত নিয়েছিলাম এবং কয়েকদিন আগে তার খোঁজখবর নিয়েছিলাম। তাছাড়া, আমরা তার বাড়িতে ঢুকে তাকে মেঝেতে পড়ে থাকতে দেখেছি। অ্যাম্বুলেন্স ডাকার পর আমাদের তাকে বসিয়ে তাদের আগমনের জন্য অপেক্ষা করতে বলা হয়েছিল।"&amp;" সে আমার সাথে সাড়া দিতে সক্ষম হয়েছিল কিন্তু খুব বিভ্রান্ত ছিল, এবং সে কী বলতে চাইছে তা বোঝা প্রায় অসম্ভব ছিল। প্যারামেডিকরা আসার পর তারা তাকে পরীক্ষা করতে শুরু করে। তারা আমাকে তাকে শুইয়ে দিতে বলেছিল কিন্তু তা করার সাথে সাথে তার হৃদস্পন্দন বন্ধ হয়ে যা"&amp;"য়। ফায়ার ব্রিগেড তাকে ছাদ থেকে তুলে নিয়ে যায়, প্ররোচিত কোমায় রাখে এবং বর্তমানে ভেন্টিলেটরে থাকে। আমার ধারণা আমার প্রশ্নটি হয়তো নির্বোধের মতো আশাবাদী, কিন্তু যদি সে এই সময় পার করে তবে অজ্ঞান হওয়ার সময় কি ডিটক্স হিসাবে গণ্য হবে? এই মুহুর্ত থেকে পুন"&amp;"রুদ্ধার চালিয়ে যাওয়ার জন্য এটি কি একটি ভাল সুযোগ হতে পারে? আমি সত্যিই জানি না এর বাস্তবসম্মত ফলাফল কী। এখানে কি কারোর প্রিয়জনের সাথে এরকম কিছু ঘটেছে?")</f>
        <v>আমার বান্ধবীর প্রাক্তন স্বামী বেশ কিছুদিন ধরেই মদ্যপানে আসক্ত ছিল। আমরা তাকে তার সমস্যা বুঝতে এবং সাহায্য চাইতে অনেক চেষ্টা করেছিলাম কিন্তু ক্রিসমাসের আগের দিন আমরা তাকে 3 সপ্তাহের মধ্যে প্রথমবারের মতো দেখতে পাই এবং তার শারীরিক অবনতি দেখতে খুবই আশ্চর্যজনক ছিল। আমরা তার গোপনীয়তার অনুরোধ উপেক্ষা করার সিদ্ধান্ত নিয়েছিলাম এবং কয়েকদিন আগে তার খোঁজখবর নিয়েছিলাম। তাছাড়া, আমরা তার বাড়িতে ঢুকে তাকে মেঝেতে পড়ে থাকতে দেখেছি। অ্যাম্বুলেন্স ডাকার পর আমাদের তাকে বসিয়ে তাদের আগমনের জন্য অপেক্ষা করতে বলা হয়েছিল। সে আমার সাথে সাড়া দিতে সক্ষম হয়েছিল কিন্তু খুব বিভ্রান্ত ছিল, এবং সে কী বলতে চাইছে তা বোঝা প্রায় অসম্ভব ছিল। প্যারামেডিকরা আসার পর তারা তাকে পরীক্ষা করতে শুরু করে। তারা আমাকে তাকে শুইয়ে দিতে বলেছিল কিন্তু তা করার সাথে সাথে তার হৃদস্পন্দন বন্ধ হয়ে যায়। ফায়ার ব্রিগেড তাকে ছাদ থেকে তুলে নিয়ে যায়, প্ররোচিত কোমায় রাখে এবং বর্তমানে ভেন্টিলেটরে থাকে। আমার ধারণা আমার প্রশ্নটি হয়তো নির্বোধের মতো আশাবাদী, কিন্তু যদি সে এই সময় পার করে তবে অজ্ঞান হওয়ার সময় কি ডিটক্স হিসাবে গণ্য হবে? এই মুহুর্ত থেকে পুনরুদ্ধার চালিয়ে যাওয়ার জন্য এটি কি একটি ভাল সুযোগ হতে পারে? আমি সত্যিই জানি না এর বাস্তবসম্মত ফলাফল কী। এখানে কি কারোর প্রিয়জনের সাথে এরকম কিছু ঘটেছে?</v>
      </c>
    </row>
    <row r="1491" spans="1:3" ht="15" x14ac:dyDescent="0.25">
      <c r="A1491" s="3" t="s">
        <v>1485</v>
      </c>
      <c r="B1491" s="3" t="s">
        <v>997</v>
      </c>
      <c r="C1491" s="4" t="str">
        <f ca="1">IFERROR(__xludf.DUMMYFUNCTION("GOOGLETRANSLATE(A1491, ""auto"", ""bn"")"),"আমার মা (৬৯) সম্প্রতি আমার কাছে স্বীকার করেছেন (৩৭ বছর বয়সী) তার মদ্যপানের সমস্যা আছে এবং তার সাহায্যের প্রয়োজন। আমি সম্প্রতি বুঝতে পারিনি যে এটি কতটা খারাপ। সে AA মিটিংয়ে যেতে চায় না, এবং আমি তাকে সমর্থন করার জন্য এবং এই বিষয়ে তাকে সাহায্য করার জন্য"&amp;" যথাসাধ্য চেষ্টা করতে চাই। আমি চিন্তিত যে সে একা একা ঠান্ডা টার্কি করার চেষ্টা করছে - কারণ আমি শুনেছি যে এটি অতিরিক্ত মদ্যপানকারীদের ক্ষেত্রে সত্যিই বিপজ্জনক হতে পারে। কেউ কি বয়স্ক বাবা-মায়ের সাথে এই সমস্যাটি ভোগ করেছেন? যেকোনো সাহায্য বা পরামর্শের জন্য"&amp;" কৃতজ্ঞ।")</f>
        <v>আমার মা (৬৯) সম্প্রতি আমার কাছে স্বীকার করেছেন (৩৭ বছর বয়সী) তার মদ্যপানের সমস্যা আছে এবং তার সাহায্যের প্রয়োজন। আমি সম্প্রতি বুঝতে পারিনি যে এটি কতটা খারাপ। সে AA মিটিংয়ে যেতে চায় না, এবং আমি তাকে সমর্থন করার জন্য এবং এই বিষয়ে তাকে সাহায্য করার জন্য যথাসাধ্য চেষ্টা করতে চাই। আমি চিন্তিত যে সে একা একা ঠান্ডা টার্কি করার চেষ্টা করছে - কারণ আমি শুনেছি যে এটি অতিরিক্ত মদ্যপানকারীদের ক্ষেত্রে সত্যিই বিপজ্জনক হতে পারে। কেউ কি বয়স্ক বাবা-মায়ের সাথে এই সমস্যাটি ভোগ করেছেন? যেকোনো সাহায্য বা পরামর্শের জন্য কৃতজ্ঞ।</v>
      </c>
    </row>
    <row r="1492" spans="1:3" ht="15" x14ac:dyDescent="0.25">
      <c r="A1492" s="3" t="s">
        <v>1486</v>
      </c>
      <c r="B1492" s="3" t="s">
        <v>997</v>
      </c>
      <c r="C1492" s="4" t="str">
        <f ca="1">IFERROR(__xludf.DUMMYFUNCTION("GOOGLETRANSLATE(A1492, ""auto"", ""bn"")"),"আমি পুরো এক বছর মদ্যপান ছাড়াই কাটিয়েছি!!!! আমি জানতাম মদ্যপান ছেড়ে দেওয়া আমার জন্য ভালো হবে কিন্তু আমি কখনও স্বপ্নেও ভাবিনি যে মদ্যপান ছাড়া জীবন কতটা ভালো হতে পারে!! আমার জীবনের সেরা সিদ্ধান্ত! আর আজ আমি যে গর্ব অনুভব করছি তা অবিশ্বাস্য!! তোমাদের সকল"&amp;" অসাধারণ মানুষদের সাথে আমার বিশেষ দিনটি ভাগ করে নিতে চাই কারণ আমি তোমাদের সকলের কাছ থেকে অনেক সরঞ্জাম এবং অন্তর্দৃষ্টি পেয়েছি।")</f>
        <v>আমি পুরো এক বছর মদ্যপান ছাড়াই কাটিয়েছি!!!! আমি জানতাম মদ্যপান ছেড়ে দেওয়া আমার জন্য ভালো হবে কিন্তু আমি কখনও স্বপ্নেও ভাবিনি যে মদ্যপান ছাড়া জীবন কতটা ভালো হতে পারে!! আমার জীবনের সেরা সিদ্ধান্ত! আর আজ আমি যে গর্ব অনুভব করছি তা অবিশ্বাস্য!! তোমাদের সকল অসাধারণ মানুষদের সাথে আমার বিশেষ দিনটি ভাগ করে নিতে চাই কারণ আমি তোমাদের সকলের কাছ থেকে অনেক সরঞ্জাম এবং অন্তর্দৃষ্টি পেয়েছি।</v>
      </c>
    </row>
    <row r="1493" spans="1:3" ht="15" x14ac:dyDescent="0.25">
      <c r="A1493" s="3" t="s">
        <v>1487</v>
      </c>
      <c r="B1493" s="3" t="s">
        <v>997</v>
      </c>
      <c r="C1493" s="4" t="str">
        <f ca="1">IFERROR(__xludf.DUMMYFUNCTION("GOOGLETRANSLATE(A1493, ""auto"", ""bn"")"),"আমি আর আমার স্ত্রী কীভাবে এই পরিস্থিতির মোকাবিলা করব সে সম্পর্কে পরামর্শ খুঁজছি। আমাদের মেয়ের বয়স ২২ বছর এবং তার ১৮ মাস বয়সী যমজ ছেলে আছে। আমরা তাদের দেখাশোনার দায়িত্ব নিয়েছি, কিন্তু তার এখনও আইনি হেফাজত আছে। আমরা কেবল তার আসক্তিকে উৎসাহিত না করার ক্"&amp;"ষেত্রে কিছুটা দ্বিধাগ্রস্ত বোধ করছি। যদি আমরা আর্থিক সহায়তা বন্ধ করে দেই, তাহলে সে আমাদের দেখিয়েছে যে ছেলেদের সঠিক যত্ন নেওয়ার চেয়ে সে মদ্যপান এবং ধূমপানকে অগ্রাধিকার দেবে। কিন্তু যদি আমরা দায়িত্ব গ্রহণ করি, তাহলে তার সময়/অর্থ/দায়িত্বের স্বাধীনতা আ"&amp;"ছে প্রতিদিন শুধু কিছু করার। অতিরিক্ত অসুবিধা হল যে সে এখনও যমজদের হেফাজত চূড়ান্ত করার প্রক্রিয়ার মধ্যে আছে? ""বাবা?"", (আমি উদ্ধৃতি চিহ্ন ব্যবহার করি কারণ তার খুব কম জড়িত ছিল এবং সে একজন মাদক ব্যবসায়ী এবং মাদক সেবনকারী)। আমাদের উদ্বেগ হল যে এটিকে চাইল"&amp;"্ড সার্ভিসেস জড়িত এমন একটি পর্যায়ে যেতে দেওয়া তাকে হেফাজত পাওয়ার চেষ্টা করার সুযোগ দেবে। উল্লেখ না করেই যে আমাদের মেয়ে তার নেশায় এতটা পতিত হয়নি যে সে চাইল্ড সার্ভিসেসকে বোঝাতে যথেষ্ট সময় ধরে নিজেকে সামলাতে পারেনি যে সে যোগ্য এবং তারপরে আমাদের সম্প"&amp;"ূর্ণভাবে কেটে ফেলে। সে ডিটক্স প্রোগ্রামের জন্য অপেক্ষার তালিকায় আছে, এবং বলে যে সে এরপর একজন মহিলা পুনর্বাসন ক্লিনিকে যেতে চায়। কিন্তু সে আগেও এই বিষয়ে কথা বলেছে এবং তার অতীত অভিজ্ঞতা থেকেও সে বিরত থাকে। আমি ভাবছি যে এই পরিস্থিতি মোকাবেলা করার এবং ছেলে"&amp;"দের নিরাপদ রাখার এবং আমাদের নিরাপত্তার অনুভূতি দেওয়ার জন্য তার প্রয়োজনীয় সাহায্য এবং সমর্থন পাওয়ার কোনও ভাল উপায় আছে কিনা, যা সে ""সেই সময়ে ভালো বোধ করতে পারে না?"" এবং ছেলেদের ফিরিয়ে নিয়ে আসার জন্য এসে সেই রাতেই আমাদের ফোন আসে যেখানে সে মাতাল অবস"&amp;"্থায় আছে, এবং আমাদের ফিরে গিয়ে ছেলেদের নিয়ে আসতে হবে।")</f>
        <v>আমি আর আমার স্ত্রী কীভাবে এই পরিস্থিতির মোকাবিলা করব সে সম্পর্কে পরামর্শ খুঁজছি। আমাদের মেয়ের বয়স ২২ বছর এবং তার ১৮ মাস বয়সী যমজ ছেলে আছে। আমরা তাদের দেখাশোনার দায়িত্ব নিয়েছি, কিন্তু তার এখনও আইনি হেফাজত আছে। আমরা কেবল তার আসক্তিকে উৎসাহিত না করার ক্ষেত্রে কিছুটা দ্বিধাগ্রস্ত বোধ করছি। যদি আমরা আর্থিক সহায়তা বন্ধ করে দেই, তাহলে সে আমাদের দেখিয়েছে যে ছেলেদের সঠিক যত্ন নেওয়ার চেয়ে সে মদ্যপান এবং ধূমপানকে অগ্রাধিকার দেবে। কিন্তু যদি আমরা দায়িত্ব গ্রহণ করি, তাহলে তার সময়/অর্থ/দায়িত্বের স্বাধীনতা আছে প্রতিদিন শুধু কিছু করার। অতিরিক্ত অসুবিধা হল যে সে এখনও যমজদের হেফাজত চূড়ান্ত করার প্রক্রিয়ার মধ্যে আছে? "বাবা?", (আমি উদ্ধৃতি চিহ্ন ব্যবহার করি কারণ তার খুব কম জড়িত ছিল এবং সে একজন মাদক ব্যবসায়ী এবং মাদক সেবনকারী)। আমাদের উদ্বেগ হল যে এটিকে চাইল্ড সার্ভিসেস জড়িত এমন একটি পর্যায়ে যেতে দেওয়া তাকে হেফাজত পাওয়ার চেষ্টা করার সুযোগ দেবে। উল্লেখ না করেই যে আমাদের মেয়ে তার নেশায় এতটা পতিত হয়নি যে সে চাইল্ড সার্ভিসেসকে বোঝাতে যথেষ্ট সময় ধরে নিজেকে সামলাতে পারেনি যে সে যোগ্য এবং তারপরে আমাদের সম্পূর্ণভাবে কেটে ফেলে। সে ডিটক্স প্রোগ্রামের জন্য অপেক্ষার তালিকায় আছে, এবং বলে যে সে এরপর একজন মহিলা পুনর্বাসন ক্লিনিকে যেতে চায়। কিন্তু সে আগেও এই বিষয়ে কথা বলেছে এবং তার অতীত অভিজ্ঞতা থেকেও সে বিরত থাকে। আমি ভাবছি যে এই পরিস্থিতি মোকাবেলা করার এবং ছেলেদের নিরাপদ রাখার এবং আমাদের নিরাপত্তার অনুভূতি দেওয়ার জন্য তার প্রয়োজনীয় সাহায্য এবং সমর্থন পাওয়ার কোনও ভাল উপায় আছে কিনা, যা সে "সেই সময়ে ভালো বোধ করতে পারে না?" এবং ছেলেদের ফিরিয়ে নিয়ে আসার জন্য এসে সেই রাতেই আমাদের ফোন আসে যেখানে সে মাতাল অবস্থায় আছে, এবং আমাদের ফিরে গিয়ে ছেলেদের নিয়ে আসতে হবে।</v>
      </c>
    </row>
    <row r="1494" spans="1:3" ht="15" x14ac:dyDescent="0.25">
      <c r="A1494" s="3" t="s">
        <v>1488</v>
      </c>
      <c r="B1494" s="3" t="s">
        <v>997</v>
      </c>
      <c r="C1494" s="4" t="str">
        <f ca="1">IFERROR(__xludf.DUMMYFUNCTION("GOOGLETRANSLATE(A1494, ""auto"", ""bn"")"),"আমার স্বামী বছরের পর বছর ধরে মদ্যপানের সাথে লড়াই করে আসছে। সে একজন হিংস্র মাতাল। ৮ মাস ধরে মাদকাসক্ত থাকার পর এবার সে আবারও আসক্ত হয়ে পড়ে। খারাপ। এটা ছিল মাত্র এক রাত কিন্তু ভয়াবহ। সে আমার প্রাপ্তবয়স্ক মেয়ের পিছনে লেগেছিল কিন্তু তাকে স্পর্শ করেনি, এ"&amp;"বং তারপর সে আমার সাথে হিংস্র হয়ে ওঠে। তাকে গ্রেপ্তার করা হয়েছিল এবং ১৫ মাস ধরে কারাদণ্ড দেওয়া হচ্ছে। স্পষ্টতই আমরা আলাদা আছি এবং সে বেরিয়ে আসার পরও তাই থাকব। অবশ্যই, সে দুঃখিত, এবং আমি বিশ্বাস করি সে আছে। সে বলে যে সে আমাকে দেখাতে চায় যে সে মুক্তি পা"&amp;"ওয়ার পরেও মাদকাসক্ত থাকতে পারে। আমার প্রশ্ন হল আমি কীভাবে জানব যে সে একসাথে না থেকেও মাদকাসক্ত থাকছে? আমি এমন একটি পরিকল্পনা খুঁজছি যা কেবল তাকে জবাবদিহি করবে না বরং আমাকে নিরাপদ এবং অবহিত রাখবে?")</f>
        <v>আমার স্বামী বছরের পর বছর ধরে মদ্যপানের সাথে লড়াই করে আসছে। সে একজন হিংস্র মাতাল। ৮ মাস ধরে মাদকাসক্ত থাকার পর এবার সে আবারও আসক্ত হয়ে পড়ে। খারাপ। এটা ছিল মাত্র এক রাত কিন্তু ভয়াবহ। সে আমার প্রাপ্তবয়স্ক মেয়ের পিছনে লেগেছিল কিন্তু তাকে স্পর্শ করেনি, এবং তারপর সে আমার সাথে হিংস্র হয়ে ওঠে। তাকে গ্রেপ্তার করা হয়েছিল এবং ১৫ মাস ধরে কারাদণ্ড দেওয়া হচ্ছে। স্পষ্টতই আমরা আলাদা আছি এবং সে বেরিয়ে আসার পরও তাই থাকব। অবশ্যই, সে দুঃখিত, এবং আমি বিশ্বাস করি সে আছে। সে বলে যে সে আমাকে দেখাতে চায় যে সে মুক্তি পাওয়ার পরেও মাদকাসক্ত থাকতে পারে। আমার প্রশ্ন হল আমি কীভাবে জানব যে সে একসাথে না থেকেও মাদকাসক্ত থাকছে? আমি এমন একটি পরিকল্পনা খুঁজছি যা কেবল তাকে জবাবদিহি করবে না বরং আমাকে নিরাপদ এবং অবহিত রাখবে?</v>
      </c>
    </row>
    <row r="1495" spans="1:3" ht="15" x14ac:dyDescent="0.25">
      <c r="A1495" s="3" t="s">
        <v>1489</v>
      </c>
      <c r="B1495" s="3" t="s">
        <v>997</v>
      </c>
      <c r="C1495" s="4" t="str">
        <f ca="1">IFERROR(__xludf.DUMMYFUNCTION("GOOGLETRANSLATE(A1495, ""auto"", ""bn"")"),"এটাই বছরের শেষ চ্যালেঞ্জ। শক্ত থাকুন! এই চ্যালেঞ্জে বাইরে বসে থাকতে লজ্জার কিছু নেই, আপনার অস্থির বন্ধুদের সাথে যোগাযোগ করুন, যদি আপনার প্রয়োজন হয় বা অন্য কিছু, তাহলে সমর্থন খুঁজুন। আমার জন্য এটি নতুন ঐতিহ্যের বছর এবং আমি এর জন্য উত্তেজিত। ২রা জানুয়ারী"&amp;" আমার জন্য বিষণ্ণতার বছর হিসেবে চিহ্নিত হবে এবং এই ধরণের স্থানগুলি অত্যন্ত গুরুত্বপূর্ণ। আমি এখনও প্রতিদিন মদ্যপানের কথা ভাবি কিন্তু এটি ছাড়া জীবন সত্যিই অনেক ভালো। এখানে সকলকে ধন্যবাদ, আপনি ১০ বছর বিষণ্ণ, ১০ দিন বিষণ্ণ বা কেবল বিষণ্ণতার কথা ভাবছেন। আপনি"&amp;" অসাধারণ এবং আমি সকলের সাথে তাল মিলিয়ে চলতে পেরে খুব খুশি, সমস্ত ভয়াবহতা অতিক্রম করে।")</f>
        <v>এটাই বছরের শেষ চ্যালেঞ্জ। শক্ত থাকুন! এই চ্যালেঞ্জে বাইরে বসে থাকতে লজ্জার কিছু নেই, আপনার অস্থির বন্ধুদের সাথে যোগাযোগ করুন, যদি আপনার প্রয়োজন হয় বা অন্য কিছু, তাহলে সমর্থন খুঁজুন। আমার জন্য এটি নতুন ঐতিহ্যের বছর এবং আমি এর জন্য উত্তেজিত। ২রা জানুয়ারী আমার জন্য বিষণ্ণতার বছর হিসেবে চিহ্নিত হবে এবং এই ধরণের স্থানগুলি অত্যন্ত গুরুত্বপূর্ণ। আমি এখনও প্রতিদিন মদ্যপানের কথা ভাবি কিন্তু এটি ছাড়া জীবন সত্যিই অনেক ভালো। এখানে সকলকে ধন্যবাদ, আপনি ১০ বছর বিষণ্ণ, ১০ দিন বিষণ্ণ বা কেবল বিষণ্ণতার কথা ভাবছেন। আপনি অসাধারণ এবং আমি সকলের সাথে তাল মিলিয়ে চলতে পেরে খুব খুশি, সমস্ত ভয়াবহতা অতিক্রম করে।</v>
      </c>
    </row>
    <row r="1496" spans="1:3" ht="15" x14ac:dyDescent="0.25">
      <c r="A1496" s="3" t="s">
        <v>1490</v>
      </c>
      <c r="B1496" s="3" t="s">
        <v>997</v>
      </c>
      <c r="C1496" s="4" t="str">
        <f ca="1">IFERROR(__xludf.DUMMYFUNCTION("GOOGLETRANSLATE(A1496, ""auto"", ""bn"")"),"গত মাসটা আমার মদ্যপানের জন্য ভালো যায়নি। আমি একা থাকি এবং রেস্তোরাঁ শিল্পে আমার অভিজ্ঞতা গত দুই বছর ধরে আমাকে স্থায়ী আয়ের পথে সাহায্য করতে পারেনি। আমি টরন্টোতে থাকি, এবং আমি ভয় পাই যে সাহায্য ছাড়া, অথবা আশেপাশের কারো সাহায্য ছাড়া, আমি নিজের সাথে কী "&amp;"করতে পারি, যাতে আমাকে বোকামি থেকে বিরত রাখা যায়।")</f>
        <v>গত মাসটা আমার মদ্যপানের জন্য ভালো যায়নি। আমি একা থাকি এবং রেস্তোরাঁ শিল্পে আমার অভিজ্ঞতা গত দুই বছর ধরে আমাকে স্থায়ী আয়ের পথে সাহায্য করতে পারেনি। আমি টরন্টোতে থাকি, এবং আমি ভয় পাই যে সাহায্য ছাড়া, অথবা আশেপাশের কারো সাহায্য ছাড়া, আমি নিজের সাথে কী করতে পারি, যাতে আমাকে বোকামি থেকে বিরত রাখা যায়।</v>
      </c>
    </row>
    <row r="1497" spans="1:3" ht="15" x14ac:dyDescent="0.25">
      <c r="A1497" s="3" t="s">
        <v>1491</v>
      </c>
      <c r="B1497" s="3" t="s">
        <v>997</v>
      </c>
      <c r="C1497" s="4" t="str">
        <f ca="1">IFERROR(__xludf.DUMMYFUNCTION("GOOGLETRANSLATE(A1497, ""auto"", ""bn"")"),"আমি আশা করছি তোমরা সবাই আমাকে সাহায্য করতে পারবে। আমার ৫৩ বছর বয়সী বন্ধু গত মাসে দুবার মাতাল অবস্থায় পুলিশ স্টেশনে আত্মসমর্পণ করার জন্য গাড়ি চালিয়ে গেছে। দুবারই সে আত্মহত্যার কথা বলেছে এবং পুলিশ তাকে আটক করেছে। আমি তার সবচেয়ে ভালো বন্ধু এবং কীভাবে তা"&amp;"কে সাহায্য করব তা নিশ্চিত নই। সে থেরাপি নিচ্ছে এবং বিষণ্ণতা এবং মেজাজের পরিবর্তনের জন্য ওষুধ খাচ্ছে কিন্তু ক্ষুধা কমাতে কিছুই করছে না। সে আজ আবার অসুস্থ হয়ে পড়েছে এবং এখন জেলে আছে। যখন সে বের হয়ে আসবে তখন আমি তাকে এমনভাবে সাহায্য করতে চাই যাতে সে সমর্থ"&amp;"ন বোধ করে কারণ স্পষ্টতই তার মদ্যপানের কারণে তার অনেক অপরাধবোধ রয়েছে।")</f>
        <v>আমি আশা করছি তোমরা সবাই আমাকে সাহায্য করতে পারবে। আমার ৫৩ বছর বয়সী বন্ধু গত মাসে দুবার মাতাল অবস্থায় পুলিশ স্টেশনে আত্মসমর্পণ করার জন্য গাড়ি চালিয়ে গেছে। দুবারই সে আত্মহত্যার কথা বলেছে এবং পুলিশ তাকে আটক করেছে। আমি তার সবচেয়ে ভালো বন্ধু এবং কীভাবে তাকে সাহায্য করব তা নিশ্চিত নই। সে থেরাপি নিচ্ছে এবং বিষণ্ণতা এবং মেজাজের পরিবর্তনের জন্য ওষুধ খাচ্ছে কিন্তু ক্ষুধা কমাতে কিছুই করছে না। সে আজ আবার অসুস্থ হয়ে পড়েছে এবং এখন জেলে আছে। যখন সে বের হয়ে আসবে তখন আমি তাকে এমনভাবে সাহায্য করতে চাই যাতে সে সমর্থন বোধ করে কারণ স্পষ্টতই তার মদ্যপানের কারণে তার অনেক অপরাধবোধ রয়েছে।</v>
      </c>
    </row>
    <row r="1498" spans="1:3" ht="15" x14ac:dyDescent="0.25">
      <c r="A1498" s="3" t="s">
        <v>1492</v>
      </c>
      <c r="B1498" s="3" t="s">
        <v>997</v>
      </c>
      <c r="C1498" s="4" t="str">
        <f ca="1">IFERROR(__xludf.DUMMYFUNCTION("GOOGLETRANSLATE(A1498, ""auto"", ""bn"")"),"আমি প্রচণ্ড ক্ষুধা, অনাহার এবং জলীয়তার সমস্যায় ভুগছি এবং গত সপ্তাহ ধরে সাহায্যের জন্য চেষ্টা করছি, কিন্তু কোনও লাভ হয়নি। আমি সকাল সকাল ছিলাম এবং ভিটামিন দেওয়া হয়েছিল এবং বাড়ি যেতে বলা হয়েছিল। তাছাড়া, আমার মনে হচ্ছিল আমি পড়ে যাব, এবং তারা আমাকে বের করে দ"&amp;"িয়ে উবার নিতে বলেছিল। তাছাড়া, আমি একা থাকি, এবং আমার মাথা ব্যথায় কাঁপছে। আমার অ্যালকোহল টিম আমাকে আরেকটি অ্যাম্বুলেন্স ডাকতে বলেছিল যা আমি করেছি, এবং তারা আমাকে প্রত্যাখ্যান করেছে কারণ আজ সকালে যদি যাওয়া হয়। আমার মাথায় এত ব্যথা হচ্ছে যে এটি অসহ্য এবং আমা"&amp;"র উদ্বেগের কারণে আমি একা যেতে পারছি না যে আমার মনে হয় তাদের কাছে আমার জন্য সময় থাকবে তবুও। আমি মনে করি আমি আমার শর্তে এটি শেষ করতে যাচ্ছি। সাহায্য পেতে এত চেষ্টা করেছি এবং সর্বত্র প্রত্যাখ্যাত হয়েছি, সেই অসুস্থ পোস্টের জন্য দুঃখিত। আমার অ্যালকোহল টিম আমি "&amp;"খিঁচুনির ঝুঁকিতে আছি এবং আমি একা। এই ব্যথা অসহ্য। আমি এখন কী করব জানি না কিন্তু শান্ত হও। আশা করি তোমরা আমার চেয়ে ভালো থাকবে, আমি চাই তোমাদের জন্য আমার আরও ভালো কথা থাকুক কিন্তু আমি যন্ত্রণায় আছি। আমার মতো এত নিচে ঝাঁপিয়ে পড়ো না।")</f>
        <v>আমি প্রচণ্ড ক্ষুধা, অনাহার এবং জলীয়তার সমস্যায় ভুগছি এবং গত সপ্তাহ ধরে সাহায্যের জন্য চেষ্টা করছি, কিন্তু কোনও লাভ হয়নি। আমি সকাল সকাল ছিলাম এবং ভিটামিন দেওয়া হয়েছিল এবং বাড়ি যেতে বলা হয়েছিল। তাছাড়া, আমার মনে হচ্ছিল আমি পড়ে যাব, এবং তারা আমাকে বের করে দিয়ে উবার নিতে বলেছিল। তাছাড়া, আমি একা থাকি, এবং আমার মাথা ব্যথায় কাঁপছে। আমার অ্যালকোহল টিম আমাকে আরেকটি অ্যাম্বুলেন্স ডাকতে বলেছিল যা আমি করেছি, এবং তারা আমাকে প্রত্যাখ্যান করেছে কারণ আজ সকালে যদি যাওয়া হয়। আমার মাথায় এত ব্যথা হচ্ছে যে এটি অসহ্য এবং আমার উদ্বেগের কারণে আমি একা যেতে পারছি না যে আমার মনে হয় তাদের কাছে আমার জন্য সময় থাকবে তবুও। আমি মনে করি আমি আমার শর্তে এটি শেষ করতে যাচ্ছি। সাহায্য পেতে এত চেষ্টা করেছি এবং সর্বত্র প্রত্যাখ্যাত হয়েছি, সেই অসুস্থ পোস্টের জন্য দুঃখিত। আমার অ্যালকোহল টিম আমি খিঁচুনির ঝুঁকিতে আছি এবং আমি একা। এই ব্যথা অসহ্য। আমি এখন কী করব জানি না কিন্তু শান্ত হও। আশা করি তোমরা আমার চেয়ে ভালো থাকবে, আমি চাই তোমাদের জন্য আমার আরও ভালো কথা থাকুক কিন্তু আমি যন্ত্রণায় আছি। আমার মতো এত নিচে ঝাঁপিয়ে পড়ো না।</v>
      </c>
    </row>
    <row r="1499" spans="1:3" ht="15" x14ac:dyDescent="0.25">
      <c r="A1499" s="3" t="s">
        <v>1493</v>
      </c>
      <c r="B1499" s="3" t="s">
        <v>997</v>
      </c>
      <c r="C1499" s="4" t="str">
        <f ca="1">IFERROR(__xludf.DUMMYFUNCTION("GOOGLETRANSLATE(A1499, ""auto"", ""bn"")"),"দুই বছর আগে আমার একটা খারাপ ব্রেকআপ হয়েছিল। আমি এখন আমার অ্যাপার্টমেন্ট থেকে তাদের জিনিসপত্র পরিষ্কার করছি। সম্প্রতি আমি তাদের ব্লক করে দিয়েছি। আয়নায় নিজের দিকে তাকিয়ে লক্ষ্য করলাম গত দুই বছরে আমার বয়স কত বেড়েছে। আমি আমার ত্বকের খুব ভালো যত্ন নিতাম"&amp;"। সম্ভবত সপ্তাহে অন্তত ৪ বার ব্ল্যাকআউট হয়ে যাচ্ছি। আইডিকে এইমাত্র লক্ষ্য করেছে এবং মুখ থেকে বেরিয়ে আসতে চেয়েছে। আমার কাছে প্রায় এক-তৃতীয়াংশ হুইস্কি বোতল বাকি আছে কিন্তু কেন ঝামেলা করব? মাতাল হতে চাইলে আমাকে সম্ভবত আরও কিছু কিনতে হবে। তবে আর কিছু করা"&amp;"র নেই। আমি সারাদিন কাপড় ধোলাই করছি কিন্তু ভাঁজ করার মতো কিছুই অবশিষ্ট নেই। আমি সিনেমায় মনোযোগ দিতে পারছি না। আমার বাথরুম এবং শোবার ঘর সম্পূর্ণ পরিষ্কার, এবং আমি কতটা একাকী তা থেকে নিজেকে বিভ্রান্ত করার মতো কিছুই নেই।")</f>
        <v>দুই বছর আগে আমার একটা খারাপ ব্রেকআপ হয়েছিল। আমি এখন আমার অ্যাপার্টমেন্ট থেকে তাদের জিনিসপত্র পরিষ্কার করছি। সম্প্রতি আমি তাদের ব্লক করে দিয়েছি। আয়নায় নিজের দিকে তাকিয়ে লক্ষ্য করলাম গত দুই বছরে আমার বয়স কত বেড়েছে। আমি আমার ত্বকের খুব ভালো যত্ন নিতাম। সম্ভবত সপ্তাহে অন্তত ৪ বার ব্ল্যাকআউট হয়ে যাচ্ছি। আইডিকে এইমাত্র লক্ষ্য করেছে এবং মুখ থেকে বেরিয়ে আসতে চেয়েছে। আমার কাছে প্রায় এক-তৃতীয়াংশ হুইস্কি বোতল বাকি আছে কিন্তু কেন ঝামেলা করব? মাতাল হতে চাইলে আমাকে সম্ভবত আরও কিছু কিনতে হবে। তবে আর কিছু করার নেই। আমি সারাদিন কাপড় ধোলাই করছি কিন্তু ভাঁজ করার মতো কিছুই অবশিষ্ট নেই। আমি সিনেমায় মনোযোগ দিতে পারছি না। আমার বাথরুম এবং শোবার ঘর সম্পূর্ণ পরিষ্কার, এবং আমি কতটা একাকী তা থেকে নিজেকে বিভ্রান্ত করার মতো কিছুই নেই।</v>
      </c>
    </row>
    <row r="1500" spans="1:3" ht="15" x14ac:dyDescent="0.25">
      <c r="A1500" s="3" t="s">
        <v>1494</v>
      </c>
      <c r="B1500" s="3" t="s">
        <v>997</v>
      </c>
      <c r="C1500" s="4" t="str">
        <f ca="1">IFERROR(__xludf.DUMMYFUNCTION("GOOGLETRANSLATE(A1500, ""auto"", ""bn"")"),"আমি কিছুটা হতাশ, গত কয়েক মাসে আমার ওজন কিছুটা বেড়েছে, সম্ভবত অতিরিক্ত বিয়ার পান করার কারণে। সম্প্রতি আমি নিজেকে বলেছিলাম যে আমার সত্যিই মদ্যপান বন্ধ করা উচিত। আমি ৩ সপ্তাহ ধরে আছি। আমি ভেবেছিলাম এর ফলে আমার ওজন কমে যাবে এবং ভালো বোধ হবে, কিন্তু আমার ওজ"&amp;"ন মোটেও বদলায়নি, এবং এমনও নয় যে আমি প্রতিদিন ম্যাকডোনাল্ডস খাচ্ছি।")</f>
        <v>আমি কিছুটা হতাশ, গত কয়েক মাসে আমার ওজন কিছুটা বেড়েছে, সম্ভবত অতিরিক্ত বিয়ার পান করার কারণে। সম্প্রতি আমি নিজেকে বলেছিলাম যে আমার সত্যিই মদ্যপান বন্ধ করা উচিত। আমি ৩ সপ্তাহ ধরে আছি। আমি ভেবেছিলাম এর ফলে আমার ওজন কমে যাবে এবং ভালো বোধ হবে, কিন্তু আমার ওজন মোটেও বদলায়নি, এবং এমনও নয় যে আমি প্রতিদিন ম্যাকডোনাল্ডস খাচ্ছি।</v>
      </c>
    </row>
    <row r="1501" spans="1:3" ht="15" x14ac:dyDescent="0.25">
      <c r="A1501" s="3" t="s">
        <v>1495</v>
      </c>
      <c r="B1501" s="3" t="s">
        <v>997</v>
      </c>
      <c r="C1501" s="4" t="str">
        <f ca="1">IFERROR(__xludf.DUMMYFUNCTION("GOOGLETRANSLATE(A1501, ""auto"", ""bn"")"),"আজ এক বছর হয়ে গেল! এবার স্পষ্ট করে বলতে চাই। আমার শেষ বিদ্যুৎ বিভ্রাটের এক বছর হয়ে গেল। এক বছর হয়ে গেল যখন আমি আমার পরিবারকে বাড়ি থেকে বের করে দিয়েছিলাম কারণ আমি চাইনি যে তারা আমাকে ঘর ধ্বংস করতে দেখুক। এক বছর হয়ে গেল যখন আমি আমার স্ত্রীর আত্মসম্মান"&amp;" নষ্ট করার চেষ্টা করেছি। এক বছর হয়ে গেল যখন সে জানতে পেরেছিল যে সে একা নয়.....এক বছর। আমি একমাত্র পরামর্শ দিতে পারি যদি তুমি কোন উচ্চতর শক্তিতে বিশ্বাস না করো, তাহলে ভালোবাসায় বিশ্বাস করো। তোমরা সবাই শান্তভাবে নাও।")</f>
        <v>আজ এক বছর হয়ে গেল! এবার স্পষ্ট করে বলতে চাই। আমার শেষ বিদ্যুৎ বিভ্রাটের এক বছর হয়ে গেল। এক বছর হয়ে গেল যখন আমি আমার পরিবারকে বাড়ি থেকে বের করে দিয়েছিলাম কারণ আমি চাইনি যে তারা আমাকে ঘর ধ্বংস করতে দেখুক। এক বছর হয়ে গেল যখন আমি আমার স্ত্রীর আত্মসম্মান নষ্ট করার চেষ্টা করেছি। এক বছর হয়ে গেল যখন সে জানতে পেরেছিল যে সে একা নয়.....এক বছর। আমি একমাত্র পরামর্শ দিতে পারি যদি তুমি কোন উচ্চতর শক্তিতে বিশ্বাস না করো, তাহলে ভালোবাসায় বিশ্বাস করো। তোমরা সবাই শান্তভাবে নাও।</v>
      </c>
    </row>
    <row r="1502" spans="1:3" ht="15" x14ac:dyDescent="0.25">
      <c r="A1502" s="3" t="s">
        <v>1496</v>
      </c>
      <c r="B1502" s="3" t="s">
        <v>997</v>
      </c>
      <c r="C1502" s="4" t="str">
        <f ca="1">IFERROR(__xludf.DUMMYFUNCTION("GOOGLETRANSLATE(A1502, ""auto"", ""bn"")"),"আমি ওর সাথে এটা নিয়ে কথা বলেছি। কয়েক সপ্তাহের মধ্যে আমাদের একটা ব্যবসায়িক সফর আছে, আর আমি চিন্তিত যে ও আমাকে মিথ্যা বলছে যে ও ঠিক আছে। ও বলে ওর শুধু থেরাপির প্রয়োজন - AA বা অন্য কোনও সহায়তা গোষ্ঠীর নয়। আমার কি ওকে বিশ্বাস করা উচিত? আমি খুব রেগে আছি। আমি এ"&amp;"টা ঘৃণা করি। ও অসাধারণ মানুষ, কিন্তু মদটা একটা জঘন্য জিনিস।")</f>
        <v>আমি ওর সাথে এটা নিয়ে কথা বলেছি। কয়েক সপ্তাহের মধ্যে আমাদের একটা ব্যবসায়িক সফর আছে, আর আমি চিন্তিত যে ও আমাকে মিথ্যা বলছে যে ও ঠিক আছে। ও বলে ওর শুধু থেরাপির প্রয়োজন - AA বা অন্য কোনও সহায়তা গোষ্ঠীর নয়। আমার কি ওকে বিশ্বাস করা উচিত? আমি খুব রেগে আছি। আমি এটা ঘৃণা করি। ও অসাধারণ মানুষ, কিন্তু মদটা একটা জঘন্য জিনিস।</v>
      </c>
    </row>
    <row r="1503" spans="1:3" ht="15" x14ac:dyDescent="0.25">
      <c r="A1503" s="3" t="s">
        <v>1497</v>
      </c>
      <c r="B1503" s="3" t="s">
        <v>997</v>
      </c>
      <c r="C1503" s="4" t="str">
        <f ca="1">IFERROR(__xludf.DUMMYFUNCTION("GOOGLETRANSLATE(A1503, ""auto"", ""bn"")"),"আমি প্রায় প্রতিদিন (বাড়িতে) কাজ করি, সপ্তাহের সাত দিন। ছুটির মরশুমে নিজেকে কিছু অ্যালকোহল দেওয়ার সিদ্ধান্ত নিয়েছি এবং আমার উৎপাদনশীলতা সম্পর্কে আমার পর্যবেক্ষণ এখানে দেওয়া হল: অ্যালকোহল ছাড়া: আমি আমার কাজগুলো নিষ্ঠার সাথে সম্পন্ন করি। এটা বেশ সাধারণ এবং"&amp;" অরুচিকর, কিন্তু আমি সময়মতো সেগুলো সম্পন্ন করি। অ্যালকোহলের ক্ষেত্রে: অ্যালকোহলের প্রভাবে জিনিসগুলো কম সাধারণ এবং অরুচিকর মনে হয়, তবুও আমি নিজেকে ধীর এবং অদক্ষভাবে সেগুলি সম্পন্ন করতে দেখি, প্রায়শই বিভ্রান্ত এবং বিলম্বিত/অলস হয়ে পড়ি। আমি বলব, সামগ্রিকভ"&amp;"াবে, অ্যালকোহলের ক্ষেত্রে বা ছাড়াই আমার উৎপাদনশীলতা প্রায় একই রকম। তুমি যা ইচ্ছা তাই করো। অন্তত অ্যালকোহল ছাড়া, আমি কাজের সাথে সম্পর্কিত নয় এমন অন্যান্য কাজ করার জন্য/করার জন্য কিছু অতিরিক্ত সময় পাই, যেখানে অ্যালকোহলের ক্ষেত্রে, প্রায় সবকিছুই ঝাপসা।")</f>
        <v>আমি প্রায় প্রতিদিন (বাড়িতে) কাজ করি, সপ্তাহের সাত দিন। ছুটির মরশুমে নিজেকে কিছু অ্যালকোহল দেওয়ার সিদ্ধান্ত নিয়েছি এবং আমার উৎপাদনশীলতা সম্পর্কে আমার পর্যবেক্ষণ এখানে দেওয়া হল: অ্যালকোহল ছাড়া: আমি আমার কাজগুলো নিষ্ঠার সাথে সম্পন্ন করি। এটা বেশ সাধারণ এবং অরুচিকর, কিন্তু আমি সময়মতো সেগুলো সম্পন্ন করি। অ্যালকোহলের ক্ষেত্রে: অ্যালকোহলের প্রভাবে জিনিসগুলো কম সাধারণ এবং অরুচিকর মনে হয়, তবুও আমি নিজেকে ধীর এবং অদক্ষভাবে সেগুলি সম্পন্ন করতে দেখি, প্রায়শই বিভ্রান্ত এবং বিলম্বিত/অলস হয়ে পড়ি। আমি বলব, সামগ্রিকভাবে, অ্যালকোহলের ক্ষেত্রে বা ছাড়াই আমার উৎপাদনশীলতা প্রায় একই রকম। তুমি যা ইচ্ছা তাই করো। অন্তত অ্যালকোহল ছাড়া, আমি কাজের সাথে সম্পর্কিত নয় এমন অন্যান্য কাজ করার জন্য/করার জন্য কিছু অতিরিক্ত সময় পাই, যেখানে অ্যালকোহলের ক্ষেত্রে, প্রায় সবকিছুই ঝাপসা।</v>
      </c>
    </row>
    <row r="1504" spans="1:3" ht="15" x14ac:dyDescent="0.25">
      <c r="A1504" s="3" t="s">
        <v>1498</v>
      </c>
      <c r="B1504" s="3" t="s">
        <v>997</v>
      </c>
      <c r="C1504" s="4" t="str">
        <f ca="1">IFERROR(__xludf.DUMMYFUNCTION("GOOGLETRANSLATE(A1504, ""auto"", ""bn"")"),"এই বছরটা আমার জন্য নরক কেটেছে। আমি ৪ মাস ধরে অতিরিক্ত মদ্যপান করছি। রাতে প্রায় ৭ ডোজ ভদকা। আমি থামতে চাই কারণ আমি মরতে চাই না, কিন্তু এটা ছাড়া আমি ঘুমাতে পারি না এবং এই বছর যা ঘটেছে তার মানসিক যন্ত্রণা আর সহ্য করার মতো নয়।")</f>
        <v>এই বছরটা আমার জন্য নরক কেটেছে। আমি ৪ মাস ধরে অতিরিক্ত মদ্যপান করছি। রাতে প্রায় ৭ ডোজ ভদকা। আমি থামতে চাই কারণ আমি মরতে চাই না, কিন্তু এটা ছাড়া আমি ঘুমাতে পারি না এবং এই বছর যা ঘটেছে তার মানসিক যন্ত্রণা আর সহ্য করার মতো নয়।</v>
      </c>
    </row>
    <row r="1505" spans="1:3" ht="15" x14ac:dyDescent="0.25">
      <c r="A1505" s="3" t="s">
        <v>1499</v>
      </c>
      <c r="B1505" s="3" t="s">
        <v>997</v>
      </c>
      <c r="C1505" s="4" t="str">
        <f ca="1">IFERROR(__xludf.DUMMYFUNCTION("GOOGLETRANSLATE(A1505, ""auto"", ""bn"")"),"তাই আমি খুব বেশি মদ্যপান করি না কিন্তু যেহেতু আমি পরের সপ্তাহ পর্যন্ত কাজ থেকে বিরত থাকি, তাই আমি ২ সপ্তাহ ধরে প্রতিদিন মদ্যপান করছি এবং দিনে মাত্র ২-৩ পানীয়, তবে এক গ্লাস না খেলে আমি খুব উদ্বিগ্ন হয়ে পড়ি এবং বিষণ্ণতার সমস্যাও দেখা দেয়। আমি ভালো না হও"&amp;"য়া পর্যন্ত কমিয়ে আনার কথা ভাবছি কিন্তু এটা বুদ্ধিমানের কাজ কিনা তা নিয়ে খুব সন্দেহ আছে। মদ্যপান না করা এবং কিছুটা সাধারণ কথা বলে আমি কিছুটা দ্বিধাগ্রস্ত ছিলাম।")</f>
        <v>তাই আমি খুব বেশি মদ্যপান করি না কিন্তু যেহেতু আমি পরের সপ্তাহ পর্যন্ত কাজ থেকে বিরত থাকি, তাই আমি ২ সপ্তাহ ধরে প্রতিদিন মদ্যপান করছি এবং দিনে মাত্র ২-৩ পানীয়, তবে এক গ্লাস না খেলে আমি খুব উদ্বিগ্ন হয়ে পড়ি এবং বিষণ্ণতার সমস্যাও দেখা দেয়। আমি ভালো না হওয়া পর্যন্ত কমিয়ে আনার কথা ভাবছি কিন্তু এটা বুদ্ধিমানের কাজ কিনা তা নিয়ে খুব সন্দেহ আছে। মদ্যপান না করা এবং কিছুটা সাধারণ কথা বলে আমি কিছুটা দ্বিধাগ্রস্ত ছিলাম।</v>
      </c>
    </row>
    <row r="1506" spans="1:3" ht="15" x14ac:dyDescent="0.25">
      <c r="A1506" s="3" t="s">
        <v>1500</v>
      </c>
      <c r="B1506" s="3" t="s">
        <v>997</v>
      </c>
      <c r="C1506" s="4" t="str">
        <f ca="1">IFERROR(__xludf.DUMMYFUNCTION("GOOGLETRANSLATE(A1506, ""auto"", ""bn"")"),"আমি জানি, এই বিষয়ে অনেক প্রশ্ন আছে কিন্তু আমি এখনও নিশ্চিত নই। গত বছর আমি প্রতি সপ্তাহে এক বোতল ওয়াইন পান করতাম। মাঝে মাঝে কিছুটা শিথিল হওয়াটা ভালো এবং মজাদার ছিল। এই বছর আমার চারপাশে অনেক খারাপ ঘটনা ঘটেছে এবং আমার মনে হয়েছিল আমি এটা হারিয়ে ফেলছি। এক"&amp;" বোতল দুটি হয়ে গেছে, এবং এখন আমি প্রতিদিন কিছু না কিছু পান করি। এটা খুব বেশি নয়, যেমন প্রতিদিন ৩-৪ গ্লাস ওয়াইন, কিন্তু আমার সত্যিই মনে হয় আমি এটা ছাড়া বাঁচতে পারব না। যখন আমি বুঝতে পারি যে আমাদের বাড়িতে ওয়াইন ফুরিয়ে গেছে তখন আমি নার্ভাস বোধ করতে শ"&amp;"ুরু করি। মাঝে মাঝে আমার মনে হয় ওয়াইন আর কাজ করছে না, এবং আমি আরও শক্তিশালী কিছু পান করতে চাই, কিন্তু আমি জানি যদি আমি প্রতিদিন আরও শক্তিশালী পানীয় পান করা শুরু করি, তাহলে আর থামার উপায় নেই। মাঝে মাঝে অ্যালকোহল আমাকে আর খুশি এবং কম উদ্বিগ্ন করে না, মদ্"&amp;"যপানের পরে আমার প্রায়শই আতঙ্কের আক্রমণ হয়। তবুও আমি থামাতে পারি না। এটা কি ছেড়ে দেওয়ার লক্ষণ? নাকি প্রতিদিন ৩-৪ গ্লাস মদ্যপান এতটা অস্বাস্থ্যকর নয়? যাইহোক, আমার BPD আছে, আমি কিছু জিনিসের প্রতি আসক্ত হয়ে পড়ি।")</f>
        <v>আমি জানি, এই বিষয়ে অনেক প্রশ্ন আছে কিন্তু আমি এখনও নিশ্চিত নই। গত বছর আমি প্রতি সপ্তাহে এক বোতল ওয়াইন পান করতাম। মাঝে মাঝে কিছুটা শিথিল হওয়াটা ভালো এবং মজাদার ছিল। এই বছর আমার চারপাশে অনেক খারাপ ঘটনা ঘটেছে এবং আমার মনে হয়েছিল আমি এটা হারিয়ে ফেলছি। এক বোতল দুটি হয়ে গেছে, এবং এখন আমি প্রতিদিন কিছু না কিছু পান করি। এটা খুব বেশি নয়, যেমন প্রতিদিন ৩-৪ গ্লাস ওয়াইন, কিন্তু আমার সত্যিই মনে হয় আমি এটা ছাড়া বাঁচতে পারব না। যখন আমি বুঝতে পারি যে আমাদের বাড়িতে ওয়াইন ফুরিয়ে গেছে তখন আমি নার্ভাস বোধ করতে শুরু করি। মাঝে মাঝে আমার মনে হয় ওয়াইন আর কাজ করছে না, এবং আমি আরও শক্তিশালী কিছু পান করতে চাই, কিন্তু আমি জানি যদি আমি প্রতিদিন আরও শক্তিশালী পানীয় পান করা শুরু করি, তাহলে আর থামার উপায় নেই। মাঝে মাঝে অ্যালকোহল আমাকে আর খুশি এবং কম উদ্বিগ্ন করে না, মদ্যপানের পরে আমার প্রায়শই আতঙ্কের আক্রমণ হয়। তবুও আমি থামাতে পারি না। এটা কি ছেড়ে দেওয়ার লক্ষণ? নাকি প্রতিদিন ৩-৪ গ্লাস মদ্যপান এতটা অস্বাস্থ্যকর নয়? যাইহোক, আমার BPD আছে, আমি কিছু জিনিসের প্রতি আসক্ত হয়ে পড়ি।</v>
      </c>
    </row>
    <row r="1507" spans="1:3" ht="15" x14ac:dyDescent="0.25">
      <c r="A1507" s="3" t="s">
        <v>1501</v>
      </c>
      <c r="B1507" s="3" t="s">
        <v>997</v>
      </c>
      <c r="C1507" s="4" t="str">
        <f ca="1">IFERROR(__xludf.DUMMYFUNCTION("GOOGLETRANSLATE(A1507, ""auto"", ""bn"")"),"আমার বয়স ২১ বছর। আমার ভাইয়ের বয়স ৩০ বছর। সে একজন বুদ্ধিমান এবং মনোমুগ্ধকর মানুষ, কিন্তু মদ্যপানের সাথে তার খুব সমস্যা হয়। সে বেকার (কখনও ডিগ্রি অর্জন করেনি) এবং আমার বাবা-মায়ের উপর নির্ভর করে জীবনযাপন করে। তাছাড়া, আমার মা তাকে সাহায্য করার জন্য যথাসাধ্য "&amp;"চেষ্টা করলেও তার প্রতি তার গভীর ঘৃণা আছে এবং সে সবকিছুর জন্য তাকেই দোষারোপ করে। যখন সে মদ্যপান করে তখন সে একজন অসহ্য বোকা হয়ে যায় এবং কেউ তাকে থামাতে পারে না। সে পুনর্বাসনে গিয়েছিল কিন্তু শান্ত থাকেনি এবং তার ""বন্ধুদের"" সাথে মদ্যপান করে রাত কাটায়? মনে"&amp;" হচ্ছে তাদের বুদ্ধি চার বছরের বাচ্চার মতো। আমি বিদেশে থাকি কিন্তু ছুটি কাটাতে ফিরে এসেছি। আমি দেখতে পাচ্ছি যে আমি চলে যাওয়ার পর থেকে পরিস্থিতির কোনও উন্নতি হয়নি, এবং আমি জানি না কীভাবে কাজে লাগতে হয়। তাছাড়া, আমি তাকে ভালোবাসি, এবং তার হৃদয় ভালো, কিন্"&amp;"তু সে আসলে তার যত্ন নেওয়া সকলকে কষ্ট দিচ্ছে। দয়া করে সাহায্য করুন।")</f>
        <v>আমার বয়স ২১ বছর। আমার ভাইয়ের বয়স ৩০ বছর। সে একজন বুদ্ধিমান এবং মনোমুগ্ধকর মানুষ, কিন্তু মদ্যপানের সাথে তার খুব সমস্যা হয়। সে বেকার (কখনও ডিগ্রি অর্জন করেনি) এবং আমার বাবা-মায়ের উপর নির্ভর করে জীবনযাপন করে। তাছাড়া, আমার মা তাকে সাহায্য করার জন্য যথাসাধ্য চেষ্টা করলেও তার প্রতি তার গভীর ঘৃণা আছে এবং সে সবকিছুর জন্য তাকেই দোষারোপ করে। যখন সে মদ্যপান করে তখন সে একজন অসহ্য বোকা হয়ে যায় এবং কেউ তাকে থামাতে পারে না। সে পুনর্বাসনে গিয়েছিল কিন্তু শান্ত থাকেনি এবং তার "বন্ধুদের" সাথে মদ্যপান করে রাত কাটায়? মনে হচ্ছে তাদের বুদ্ধি চার বছরের বাচ্চার মতো। আমি বিদেশে থাকি কিন্তু ছুটি কাটাতে ফিরে এসেছি। আমি দেখতে পাচ্ছি যে আমি চলে যাওয়ার পর থেকে পরিস্থিতির কোনও উন্নতি হয়নি, এবং আমি জানি না কীভাবে কাজে লাগতে হয়। তাছাড়া, আমি তাকে ভালোবাসি, এবং তার হৃদয় ভালো, কিন্তু সে আসলে তার যত্ন নেওয়া সকলকে কষ্ট দিচ্ছে। দয়া করে সাহায্য করুন।</v>
      </c>
    </row>
    <row r="1508" spans="1:3" ht="15" x14ac:dyDescent="0.25">
      <c r="A1508" s="3" t="s">
        <v>1502</v>
      </c>
      <c r="B1508" s="3" t="s">
        <v>997</v>
      </c>
      <c r="C1508" s="4" t="str">
        <f ca="1">IFERROR(__xludf.DUMMYFUNCTION("GOOGLETRANSLATE(A1508, ""auto"", ""bn"")"),"গত ছয় মাস ধরে আমি অনেক বেশি মদ্যপান করছি। আমি ৪-৫.৫% বিয়ার খেয়েছি, আর গত মাস ধরে আমি দিনে প্রায় ছয় প্যাক বা আট প্যাক (২ লিটার+) বিয়ার খেয়েছি। আমি নিশ্চিত যে আরও অনেকেই পান করেন, তাই নতুন বছরের জন্য আমিও এটি বন্ধ করার সিদ্ধান্ত নিয়েছি। আমার আগেও কি"&amp;"ছু জিনিস নিয়ে ঠান্ডা মাথায় কাজ করার অভিজ্ঞতা আছে এবং এটিই আমার জন্য সবচেয়ে ভালো কাজ করে, তবে আমি যদি এমন পর্যায়ে থাকি যেখানে থামার ফলে বিপজ্জনক পার্শ্বপ্রতিক্রিয়া সম্পর্কে চিন্তা করা উচিত, তাহলে আমি কিছু মতামত পেতে চাই। আমার এমন কিছু দিন গেছে যখন আমি"&amp;" খুব বেশি পার্শ্বপ্রতিক্রিয়া লক্ষ্য করিনি, এবং এটি জিজ্ঞাসা করা হাস্যকর হতে পারে, তবে কেবল সমস্ত ভিত্তি কভার করার চেষ্টা করছি।")</f>
        <v>গত ছয় মাস ধরে আমি অনেক বেশি মদ্যপান করছি। আমি ৪-৫.৫% বিয়ার খেয়েছি, আর গত মাস ধরে আমি দিনে প্রায় ছয় প্যাক বা আট প্যাক (২ লিটার+) বিয়ার খেয়েছি। আমি নিশ্চিত যে আরও অনেকেই পান করেন, তাই নতুন বছরের জন্য আমিও এটি বন্ধ করার সিদ্ধান্ত নিয়েছি। আমার আগেও কিছু জিনিস নিয়ে ঠান্ডা মাথায় কাজ করার অভিজ্ঞতা আছে এবং এটিই আমার জন্য সবচেয়ে ভালো কাজ করে, তবে আমি যদি এমন পর্যায়ে থাকি যেখানে থামার ফলে বিপজ্জনক পার্শ্বপ্রতিক্রিয়া সম্পর্কে চিন্তা করা উচিত, তাহলে আমি কিছু মতামত পেতে চাই। আমার এমন কিছু দিন গেছে যখন আমি খুব বেশি পার্শ্বপ্রতিক্রিয়া লক্ষ্য করিনি, এবং এটি জিজ্ঞাসা করা হাস্যকর হতে পারে, তবে কেবল সমস্ত ভিত্তি কভার করার চেষ্টা করছি।</v>
      </c>
    </row>
    <row r="1509" spans="1:3" ht="15" x14ac:dyDescent="0.25">
      <c r="A1509" s="3" t="s">
        <v>1503</v>
      </c>
      <c r="B1509" s="3" t="s">
        <v>997</v>
      </c>
      <c r="C1509" s="4" t="str">
        <f ca="1">IFERROR(__xludf.DUMMYFUNCTION("GOOGLETRANSLATE(A1509, ""auto"", ""bn"")"),"তাই আমার প্রিয় বন্ধুটি কয়েক বছর আগে বুঝতে পেরেছিল যে তারা মদ্যপ। তারা ধীরে ধীরে সুস্থ হয়ে ওঠে এবং অনেক পরিবর্তন আনে এবং ওজনও কমাতে শুরু করে। গত বছরটি তাদের জন্য একটি চ্যালেঞ্জ ছিল এবং মদ্যপান আবার নিয়মিত হয়ে উঠেছে। আমি কীভাবে সাহায্য করতে পারি সে সম্"&amp;"পর্কে কিছু পরামর্শ পেতে চাই। যেকোনো পরামর্শ কৃতজ্ঞতার সাথে গ্রহণ করা হবে। আমরা যুক্তরাজ্যে থাকি এবং আমার এলাকায় AA ছাড়া খুব কমই পাওয়া যায় যা তাদের জন্য উপযুক্ত নয় বা সম্পূর্ণ পুনর্বাসন নয়।")</f>
        <v>তাই আমার প্রিয় বন্ধুটি কয়েক বছর আগে বুঝতে পেরেছিল যে তারা মদ্যপ। তারা ধীরে ধীরে সুস্থ হয়ে ওঠে এবং অনেক পরিবর্তন আনে এবং ওজনও কমাতে শুরু করে। গত বছরটি তাদের জন্য একটি চ্যালেঞ্জ ছিল এবং মদ্যপান আবার নিয়মিত হয়ে উঠেছে। আমি কীভাবে সাহায্য করতে পারি সে সম্পর্কে কিছু পরামর্শ পেতে চাই। যেকোনো পরামর্শ কৃতজ্ঞতার সাথে গ্রহণ করা হবে। আমরা যুক্তরাজ্যে থাকি এবং আমার এলাকায় AA ছাড়া খুব কমই পাওয়া যায় যা তাদের জন্য উপযুক্ত নয় বা সম্পূর্ণ পুনর্বাসন নয়।</v>
      </c>
    </row>
    <row r="1510" spans="1:3" ht="15" x14ac:dyDescent="0.25">
      <c r="A1510" s="3" t="s">
        <v>1504</v>
      </c>
      <c r="B1510" s="3" t="s">
        <v>997</v>
      </c>
      <c r="C1510" s="4" t="str">
        <f ca="1">IFERROR(__xludf.DUMMYFUNCTION("GOOGLETRANSLATE(A1510, ""auto"", ""bn"")"),"শেষ পানীয়টি ছিল ১৯তম, সপ্তাহে ৬ রাত ৮-১০টি বিয়ার। প্রথম সপ্তাহে, আমি সত্যিই উৎপাদনশীল ছিলাম, আমার পুরো হতাশাগ্রস্ত অ্যাপার্টমেন্ট পরিষ্কার করেছিলাম, হেঁটে কাজে গিয়েছিলাম এবং দারুন অনুভব করেছি। এখন দ্বিতীয় সপ্তাহে, আমার ঘুমাতে সমস্যা হচ্ছে, আমার অ্যাপা"&amp;"র্টমেন্ট পরিষ্কার থাকা সত্ত্বেও আমার মনে হচ্ছে আমার কিছুই করার নেই, প্রতি রাতে আমার মন ক্রমাগত আমাকে দোকানে যেতে রাজি করার চেষ্টা করছে। আমি প্রথম সপ্তাহের সেই অনুভূতি ফিরে পেতে চাই, অথবা অন্তত এই অনুভূতি আর না হোক।")</f>
        <v>শেষ পানীয়টি ছিল ১৯তম, সপ্তাহে ৬ রাত ৮-১০টি বিয়ার। প্রথম সপ্তাহে, আমি সত্যিই উৎপাদনশীল ছিলাম, আমার পুরো হতাশাগ্রস্ত অ্যাপার্টমেন্ট পরিষ্কার করেছিলাম, হেঁটে কাজে গিয়েছিলাম এবং দারুন অনুভব করেছি। এখন দ্বিতীয় সপ্তাহে, আমার ঘুমাতে সমস্যা হচ্ছে, আমার অ্যাপার্টমেন্ট পরিষ্কার থাকা সত্ত্বেও আমার মনে হচ্ছে আমার কিছুই করার নেই, প্রতি রাতে আমার মন ক্রমাগত আমাকে দোকানে যেতে রাজি করার চেষ্টা করছে। আমি প্রথম সপ্তাহের সেই অনুভূতি ফিরে পেতে চাই, অথবা অন্তত এই অনুভূতি আর না হোক।</v>
      </c>
    </row>
    <row r="1511" spans="1:3" ht="15" x14ac:dyDescent="0.25">
      <c r="A1511" s="3" t="s">
        <v>1505</v>
      </c>
      <c r="B1511" s="3" t="s">
        <v>997</v>
      </c>
      <c r="C1511" s="4" t="str">
        <f ca="1">IFERROR(__xludf.DUMMYFUNCTION("GOOGLETRANSLATE(A1511, ""auto"", ""bn"")"),"খুব ভালো লাগছে! আমি হতবাক! আমার কাজের পারফর্মেন্স ভালো, আমি ভালো ঘুমাই, সত্যি বলতে আমি কখনো কল্পনাও করিনি যে আমি এটা করতে পারব। আমি অন্যদের সাহায্য করতে চাই, কিন্তু এখনও আমার প্রাথমিক সুস্থতার দিনগুলো আছে। ৭ দিনের ডিটক্স এবং ৩ দিন এশিয়ান মলত্যাগের পর, আম"&amp;"ি ঠিক ছিলাম। কাজের দায়িত্বের কারণে আমি বাড়ি ফিরে পুনর্বাসন থেকে বেরিয়ে এসেছি। আমি ১২-পদক্ষেপের গ্রুপ চেষ্টা করেছি, এবং এটি আমার জন্য নয়। কেন জানি না, তবে আমার মনে হচ্ছে আমি মাতাল দিনের কথা আবার বলতে চাই না। আমি ভাবছি জিমে যাওয়া ছাড়া আর কী বিকল্প হতে"&amp;" পারে। আমার একমাত্র সমস্যা হল, ""মদ্যপান না"", আমার কোনও সামাজিক দক্ষতা নেই।")</f>
        <v>খুব ভালো লাগছে! আমি হতবাক! আমার কাজের পারফর্মেন্স ভালো, আমি ভালো ঘুমাই, সত্যি বলতে আমি কখনো কল্পনাও করিনি যে আমি এটা করতে পারব। আমি অন্যদের সাহায্য করতে চাই, কিন্তু এখনও আমার প্রাথমিক সুস্থতার দিনগুলো আছে। ৭ দিনের ডিটক্স এবং ৩ দিন এশিয়ান মলত্যাগের পর, আমি ঠিক ছিলাম। কাজের দায়িত্বের কারণে আমি বাড়ি ফিরে পুনর্বাসন থেকে বেরিয়ে এসেছি। আমি ১২-পদক্ষেপের গ্রুপ চেষ্টা করেছি, এবং এটি আমার জন্য নয়। কেন জানি না, তবে আমার মনে হচ্ছে আমি মাতাল দিনের কথা আবার বলতে চাই না। আমি ভাবছি জিমে যাওয়া ছাড়া আর কী বিকল্প হতে পারে। আমার একমাত্র সমস্যা হল, "মদ্যপান না", আমার কোনও সামাজিক দক্ষতা নেই।</v>
      </c>
    </row>
    <row r="1512" spans="1:3" ht="15" x14ac:dyDescent="0.25">
      <c r="A1512" s="3" t="s">
        <v>1506</v>
      </c>
      <c r="B1512" s="3" t="s">
        <v>997</v>
      </c>
      <c r="C1512" s="4" t="str">
        <f ca="1">IFERROR(__xludf.DUMMYFUNCTION("GOOGLETRANSLATE(A1512, ""auto"", ""bn"")"),"৫ বছর ধরে নিবিড় মদ্যপান এবং বোতলের দাসত্বের পর, আমি এক সপ্তাহের জন্য মুক্ত। প্রত্যাহার যতটা ভেবেছিলাম ততটা খারাপ ছিল না (আল্লাহর করুণা)। এটাই আমাকে এতদিন ধরে শান্ত হতে বাধা দিয়েছে। প্রত্যাহারের ভয়ে আমি ভীত ছিলাম। আমি এটি কাটিয়ে উঠেছি এবং আজ আমি কিছু স"&amp;"ময়ের চেয়ে ভালো বোধ করছি, যদিও এখনও কিছুটা মেজাজ খারাপ। এখনও ভিটামিন খাচ্ছি, এখনও জল খাচ্ছি। সম্ভবত শীঘ্রই ব্যায়াম শুরু করব। আমি আবার সুস্থ হতে চাই। যারা এই প্রক্রিয়াটি নিয়ে ভয় পান দয়া করে সাহায্য নিন। আপনি যদি আমার মতো হন এবং বাড়িতে ডিটক্স করেন তব"&amp;"ে অত্যন্ত সতর্কতা অবলম্বন করুন এবং প্রয়োজনে আপনাকে সাহায্য করার জন্য কাউকে প্রস্তুত রাখুন।")</f>
        <v>৫ বছর ধরে নিবিড় মদ্যপান এবং বোতলের দাসত্বের পর, আমি এক সপ্তাহের জন্য মুক্ত। প্রত্যাহার যতটা ভেবেছিলাম ততটা খারাপ ছিল না (আল্লাহর করুণা)। এটাই আমাকে এতদিন ধরে শান্ত হতে বাধা দিয়েছে। প্রত্যাহারের ভয়ে আমি ভীত ছিলাম। আমি এটি কাটিয়ে উঠেছি এবং আজ আমি কিছু সময়ের চেয়ে ভালো বোধ করছি, যদিও এখনও কিছুটা মেজাজ খারাপ। এখনও ভিটামিন খাচ্ছি, এখনও জল খাচ্ছি। সম্ভবত শীঘ্রই ব্যায়াম শুরু করব। আমি আবার সুস্থ হতে চাই। যারা এই প্রক্রিয়াটি নিয়ে ভয় পান দয়া করে সাহায্য নিন। আপনি যদি আমার মতো হন এবং বাড়িতে ডিটক্স করেন তবে অত্যন্ত সতর্কতা অবলম্বন করুন এবং প্রয়োজনে আপনাকে সাহায্য করার জন্য কাউকে প্রস্তুত রাখুন।</v>
      </c>
    </row>
    <row r="1513" spans="1:3" ht="15" x14ac:dyDescent="0.25">
      <c r="A1513" s="3" t="s">
        <v>1507</v>
      </c>
      <c r="B1513" s="3" t="s">
        <v>997</v>
      </c>
      <c r="C1513" s="4" t="str">
        <f ca="1">IFERROR(__xludf.DUMMYFUNCTION("GOOGLETRANSLATE(A1513, ""auto"", ""bn"")"),"কিছু প্রসঙ্গে বলতে গেলে, আমার বাবা এবং আমার নানা মদ্যপ ছিলেন এবং আছেন। বহু বছর ধরে তাদের এই সমস্যায় অনেক সমস্যা ছিল। আমার বয়স মাত্র ১৮ বছর হয়েছে এবং আমি বাড়ির পার্টি, পাব এবং ক্লাবে যেতে শুরু করেছি। আমি দেখতে পাচ্ছি যে প্রায় প্রতিবারই যখনই আমি মদ্যপান করি"&amp;" তখনই আমি নিজেকে আরও মদ্যপান থেকে বিরত রাখতে পারি না। তাছাড়া, আমি মদ্যপানের প্রয়োজন বোধ করি না এবং সপ্তাহান্তেও মদ্যপান করতে থাকি। কিন্তু যখনই আমার মনে হয় দু-একটি পানীয় আসে, তখনই আমি আরও পান করার জন্য তীব্র তাড়না অনুভব করি। আমার মনে হয় যে আমার আরও মদ্য"&amp;"পান করা উচিত নয় কিন্তু আমি মদ্যপান করতে থাকি। আমি প্রায়শই মদ্যপান বন্ধ করে দেই (যদিও আমি কখনও অজ্ঞান হইনি) এবং পরের দিন আমি বিষণ্ণ বোধ করি। তাছাড়া, আমি জানি আমার সমস্যাটি যতটা খারাপ হতে পারে ততটা খারাপ নয়, তবে আমি কেবল কিছু সাহায্য চাই যাতে আমার বাবার"&amp;" মতো একই গর্তে না পড়ে।")</f>
        <v>কিছু প্রসঙ্গে বলতে গেলে, আমার বাবা এবং আমার নানা মদ্যপ ছিলেন এবং আছেন। বহু বছর ধরে তাদের এই সমস্যায় অনেক সমস্যা ছিল। আমার বয়স মাত্র ১৮ বছর হয়েছে এবং আমি বাড়ির পার্টি, পাব এবং ক্লাবে যেতে শুরু করেছি। আমি দেখতে পাচ্ছি যে প্রায় প্রতিবারই যখনই আমি মদ্যপান করি তখনই আমি নিজেকে আরও মদ্যপান থেকে বিরত রাখতে পারি না। তাছাড়া, আমি মদ্যপানের প্রয়োজন বোধ করি না এবং সপ্তাহান্তেও মদ্যপান করতে থাকি। কিন্তু যখনই আমার মনে হয় দু-একটি পানীয় আসে, তখনই আমি আরও পান করার জন্য তীব্র তাড়না অনুভব করি। আমার মনে হয় যে আমার আরও মদ্যপান করা উচিত নয় কিন্তু আমি মদ্যপান করতে থাকি। আমি প্রায়শই মদ্যপান বন্ধ করে দেই (যদিও আমি কখনও অজ্ঞান হইনি) এবং পরের দিন আমি বিষণ্ণ বোধ করি। তাছাড়া, আমি জানি আমার সমস্যাটি যতটা খারাপ হতে পারে ততটা খারাপ নয়, তবে আমি কেবল কিছু সাহায্য চাই যাতে আমার বাবার মতো একই গর্তে না পড়ে।</v>
      </c>
    </row>
    <row r="1514" spans="1:3" ht="15" x14ac:dyDescent="0.25">
      <c r="A1514" s="3" t="s">
        <v>1508</v>
      </c>
      <c r="B1514" s="3" t="s">
        <v>997</v>
      </c>
      <c r="C1514" s="4" t="str">
        <f ca="1">IFERROR(__xludf.DUMMYFUNCTION("GOOGLETRANSLATE(A1514, ""auto"", ""bn"")"),"ঘাম, কাঁপুনি, শুকনো মাথাব্যথা। ঘুম থেকে উঠে এখনই ভোর ৫টায় ঘুম ভেঙে গেল কিন্তু ১২:৩০ নাগাদ কমে গেল। গতবারও এমনই হয়েছিল, কয়েক মাস আগেও সাইকোসিস/ডিলিরিয়াম ট্রিনের প্রাথমিক লক্ষণ দেখা গিয়েছিল, যার মধ্যে ছিল শ্রবণ হ্যালুসিনেশন এবং ছায়ার চিত্র দেখা। আমার ক"&amp;"াছে কেবল চারটি ৯% সাইডার এবং আধা বোতল ব্র্যান্ডি ছিল, এবং সকালের জন্য প্রত্যাহারের সাথে লড়াই করার জন্য সেই পরিমাণও যথেষ্ট ছিল না। আমি আতঙ্কিত এবং আমি খুব ক্লান্ত, বন্ধু, আমি চাই এটিই শেষবার হোক। পরের বার যখন আমি এটি পাব তখন আমার পুরো বেতন নিয়ে মাতাল হয়"&amp;"ে যাব না। আমি এখনই হাসপাতালে যেতে চাই কারণ আমি গুরুতর যন্ত্রণায় ভুগছি, কিন্তু আমার টাকা ফুরিয়ে গেছে এবং এই সপ্তাহে কাজ করতে হবে কারণ আমি স্কিইং দুর্ঘটনার কারণে একজন সহকর্মীর অভাব বোধ করছি। আমিও একটি বারে কাজ করি।")</f>
        <v>ঘাম, কাঁপুনি, শুকনো মাথাব্যথা। ঘুম থেকে উঠে এখনই ভোর ৫টায় ঘুম ভেঙে গেল কিন্তু ১২:৩০ নাগাদ কমে গেল। গতবারও এমনই হয়েছিল, কয়েক মাস আগেও সাইকোসিস/ডিলিরিয়াম ট্রিনের প্রাথমিক লক্ষণ দেখা গিয়েছিল, যার মধ্যে ছিল শ্রবণ হ্যালুসিনেশন এবং ছায়ার চিত্র দেখা। আমার কাছে কেবল চারটি ৯% সাইডার এবং আধা বোতল ব্র্যান্ডি ছিল, এবং সকালের জন্য প্রত্যাহারের সাথে লড়াই করার জন্য সেই পরিমাণও যথেষ্ট ছিল না। আমি আতঙ্কিত এবং আমি খুব ক্লান্ত, বন্ধু, আমি চাই এটিই শেষবার হোক। পরের বার যখন আমি এটি পাব তখন আমার পুরো বেতন নিয়ে মাতাল হয়ে যাব না। আমি এখনই হাসপাতালে যেতে চাই কারণ আমি গুরুতর যন্ত্রণায় ভুগছি, কিন্তু আমার টাকা ফুরিয়ে গেছে এবং এই সপ্তাহে কাজ করতে হবে কারণ আমি স্কিইং দুর্ঘটনার কারণে একজন সহকর্মীর অভাব বোধ করছি। আমিও একটি বারে কাজ করি।</v>
      </c>
    </row>
    <row r="1515" spans="1:3" ht="15" x14ac:dyDescent="0.25">
      <c r="A1515" s="3" t="s">
        <v>1509</v>
      </c>
      <c r="B1515" s="3" t="s">
        <v>997</v>
      </c>
      <c r="C1515" s="4" t="str">
        <f ca="1">IFERROR(__xludf.DUMMYFUNCTION("GOOGLETRANSLATE(A1515, ""auto"", ""bn"")"),"তো আমি একজন সামাজিক মদ্যপানপ্রিয়, প্রতিদিন বা কাজের পরে মদ্যপান করি না। কিন্তু ধরা যাক সপ্তাহান্তে যখন আমি বন্ধুর সাথে মদ্যপান করছি, তখন আমার থামাতে সমস্যা হচ্ছে এবং আমার মনে হয় এটি মানুষের সাথে আমার সম্পর্কের উপর প্রভাব ফেলছে। এর থেকে উত্তরণের জন্য এর চ"&amp;"েয়ে ভালো উপায় কারো কাছে আছে কি?")</f>
        <v>তো আমি একজন সামাজিক মদ্যপানপ্রিয়, প্রতিদিন বা কাজের পরে মদ্যপান করি না। কিন্তু ধরা যাক সপ্তাহান্তে যখন আমি বন্ধুর সাথে মদ্যপান করছি, তখন আমার থামাতে সমস্যা হচ্ছে এবং আমার মনে হয় এটি মানুষের সাথে আমার সম্পর্কের উপর প্রভাব ফেলছে। এর থেকে উত্তরণের জন্য এর চেয়ে ভালো উপায় কারো কাছে আছে কি?</v>
      </c>
    </row>
    <row r="1516" spans="1:3" ht="15" x14ac:dyDescent="0.25">
      <c r="A1516" s="3" t="s">
        <v>1510</v>
      </c>
      <c r="B1516" s="3" t="s">
        <v>997</v>
      </c>
      <c r="C1516" s="4" t="str">
        <f ca="1">IFERROR(__xludf.DUMMYFUNCTION("GOOGLETRANSLATE(A1516, ""auto"", ""bn"")"),"এই মুহূর্তে আমার মা ধূমপান ছেড়ে দেওয়ার চেষ্টা করছেন, তিনি একদিন আগে থেকেই ধূমপান করছেন এবং তিনি কাঁপছেন, খিটখিটে এবং মাথা ঘোরাচ্ছেন। এই মুহূর্তে আমি তাকে সাহায্য করার জন্য কী করতে পারি? তাকে এভাবে দেখতে আমার সহ্য হচ্ছে না, এবং আমিই একমাত্র ব্যক্তি যে তা"&amp;"কে সাহায্য করতে পারি তাই আমার আর কেউ নেই।")</f>
        <v>এই মুহূর্তে আমার মা ধূমপান ছেড়ে দেওয়ার চেষ্টা করছেন, তিনি একদিন আগে থেকেই ধূমপান করছেন এবং তিনি কাঁপছেন, খিটখিটে এবং মাথা ঘোরাচ্ছেন। এই মুহূর্তে আমি তাকে সাহায্য করার জন্য কী করতে পারি? তাকে এভাবে দেখতে আমার সহ্য হচ্ছে না, এবং আমিই একমাত্র ব্যক্তি যে তাকে সাহায্য করতে পারি তাই আমার আর কেউ নেই।</v>
      </c>
    </row>
    <row r="1517" spans="1:3" ht="15" x14ac:dyDescent="0.25">
      <c r="A1517" s="3" t="s">
        <v>1511</v>
      </c>
      <c r="B1517" s="3" t="s">
        <v>997</v>
      </c>
      <c r="C1517" s="4" t="str">
        <f ca="1">IFERROR(__xludf.DUMMYFUNCTION("GOOGLETRANSLATE(A1517, ""auto"", ""bn"")"),"আমি জানি এটা কখনোই কেবল একবারের ব্যাপার নয়, এটা একটা পিচ্ছিল ঢাল। কিন্তু আমি এক বছরেরও বেশি সময় ধরে সুস্থ আছি, আমি মানসিকভাবে সেই দিক থেকে আরও শক্তিশালী বোধ করছি, আমার লক্ষ্য ছিল এক বছর সুস্থ থাকা কারণ আমার হ্যালুসিনেশন আমাকে বলছিল... আমি এমন এক বন্ধুর "&amp;"সাথে আছি যাকে আমি চিরকাল দেখিনি (ভিন্ন অবস্থায়) আমরা শহরে যাচ্ছি। আর ভাই, আমি এই ধারণাটি গ্রহণ করিনি কারণ আমার সুস্থতা যদি আমি করতাম তবে সাধারণত বিরক্তি নিয়ে শেষ হত। আজকে অন্যরকম লাগছে। আমি জানি আমি এটি একবারই করতে পারি, অবশ্যই আবার A. একটি সভায় যাওয়া"&amp;"র পরিকল্পনা করছি। আমি জানি না শুধু আমার বর্তমান দ্বিধা ভাগ করে নিতে হয়েছিল।")</f>
        <v>আমি জানি এটা কখনোই কেবল একবারের ব্যাপার নয়, এটা একটা পিচ্ছিল ঢাল। কিন্তু আমি এক বছরেরও বেশি সময় ধরে সুস্থ আছি, আমি মানসিকভাবে সেই দিক থেকে আরও শক্তিশালী বোধ করছি, আমার লক্ষ্য ছিল এক বছর সুস্থ থাকা কারণ আমার হ্যালুসিনেশন আমাকে বলছিল... আমি এমন এক বন্ধুর সাথে আছি যাকে আমি চিরকাল দেখিনি (ভিন্ন অবস্থায়) আমরা শহরে যাচ্ছি। আর ভাই, আমি এই ধারণাটি গ্রহণ করিনি কারণ আমার সুস্থতা যদি আমি করতাম তবে সাধারণত বিরক্তি নিয়ে শেষ হত। আজকে অন্যরকম লাগছে। আমি জানি আমি এটি একবারই করতে পারি, অবশ্যই আবার A. একটি সভায় যাওয়ার পরিকল্পনা করছি। আমি জানি না শুধু আমার বর্তমান দ্বিধা ভাগ করে নিতে হয়েছিল।</v>
      </c>
    </row>
    <row r="1518" spans="1:3" ht="15" x14ac:dyDescent="0.25">
      <c r="A1518" s="3" t="s">
        <v>1512</v>
      </c>
      <c r="B1518" s="3" t="s">
        <v>997</v>
      </c>
      <c r="C1518" s="4" t="str">
        <f ca="1">IFERROR(__xludf.DUMMYFUNCTION("GOOGLETRANSLATE(A1518, ""auto"", ""bn"")"),"মদ্যপানের ব্যাপারে আমি যতগুলো রিসোর্স দেখি, সবখানেই নিজেকে অসাড় করে দেওয়ার কথা বলা হয়, আর আমি এর সাথে মোটেও সম্পর্কিত নই। আমি যখন শান্ত থাকি তখন আমার অসাড়তা অনুভব হয়। আমি যখন মদ্যপান করি তখন আমার রাগ হয় এমন লোকদের উপর যারা আমার উপর অন্যায় করেছে, অন"&amp;"্যথায় আমি তাদের আমার উপর দিয়ে হেঁটে যেতে দিতাম। আমি মদ্যপান করি কারণ মাতাল অবস্থায় খাবারের স্বাদ ভালো হয়, তাই মদ্যপান করার সময় আমার ঠিকমতো খেতে কষ্ট হয়, আমি মদ্যপান করি কারণ এটি আমাকে ভালোবাসার যোগ্য লোকদের ভালোবাসে এবং অন্যথায় আমি কতটা দূরে থাকি ত"&amp;"া আমি ঘৃণা করি। দুঃখের বিষয় হল, প্রথমে কয়েকটি পানীয় না খেয়ে আমার মানসিক সমস্যাগুলি সম্পর্কে সাহায্য চাইতে আমার কষ্ট হয়, কারণ আমি অন্যথায় আমার সমস্যাগুলি নিয়ে কথা বলতে পারি না। আমি মনে করি না যে আমি অনন্য, তাই অবশ্যই এমন কিছু আছে যা মদ্যপানের প্রতি "&amp;"এই আপাতদৃষ্টিতে ভিন্ন মনোভাবকে স্বীকার করে যা আমার দৃষ্টিকোণ থেকে উপেক্ষা করা হয়।")</f>
        <v>মদ্যপানের ব্যাপারে আমি যতগুলো রিসোর্স দেখি, সবখানেই নিজেকে অসাড় করে দেওয়ার কথা বলা হয়, আর আমি এর সাথে মোটেও সম্পর্কিত নই। আমি যখন শান্ত থাকি তখন আমার অসাড়তা অনুভব হয়। আমি যখন মদ্যপান করি তখন আমার রাগ হয় এমন লোকদের উপর যারা আমার উপর অন্যায় করেছে, অন্যথায় আমি তাদের আমার উপর দিয়ে হেঁটে যেতে দিতাম। আমি মদ্যপান করি কারণ মাতাল অবস্থায় খাবারের স্বাদ ভালো হয়, তাই মদ্যপান করার সময় আমার ঠিকমতো খেতে কষ্ট হয়, আমি মদ্যপান করি কারণ এটি আমাকে ভালোবাসার যোগ্য লোকদের ভালোবাসে এবং অন্যথায় আমি কতটা দূরে থাকি তা আমি ঘৃণা করি। দুঃখের বিষয় হল, প্রথমে কয়েকটি পানীয় না খেয়ে আমার মানসিক সমস্যাগুলি সম্পর্কে সাহায্য চাইতে আমার কষ্ট হয়, কারণ আমি অন্যথায় আমার সমস্যাগুলি নিয়ে কথা বলতে পারি না। আমি মনে করি না যে আমি অনন্য, তাই অবশ্যই এমন কিছু আছে যা মদ্যপানের প্রতি এই আপাতদৃষ্টিতে ভিন্ন মনোভাবকে স্বীকার করে যা আমার দৃষ্টিকোণ থেকে উপেক্ষা করা হয়।</v>
      </c>
    </row>
    <row r="1519" spans="1:3" ht="15" x14ac:dyDescent="0.25">
      <c r="A1519" s="3" t="s">
        <v>1513</v>
      </c>
      <c r="B1519" s="3" t="s">
        <v>997</v>
      </c>
      <c r="C1519" s="4" t="str">
        <f ca="1">IFERROR(__xludf.DUMMYFUNCTION("GOOGLETRANSLATE(A1519, ""auto"", ""bn"")"),"আমি এই পৃষ্ঠাটি কয়েক মাস ধরে অনুসরণ করছি, সাধারণত মাতাল অবস্থায় আমার কোনও সমস্যা আছে কিনা তা নিয়ে বিতর্ক করছি। আমি বারস্টুলে বসে এটি টাইপ করছি, ২০ মিনিট আগে অর্ডার করা একটি পূর্ণ বিয়ারের দিকে তাকিয়ে। আগামীকাল আমার প্রথম AA মিটিং। আমি ভয় পাচ্ছি না, ক"&amp;"িন্তু আমি এটি করছি, এমনকি আমার সাথে কোনও সমস্যা ছাড়াই একজন বন্ধুও পেয়েছি। আমার মনে হয় এটি এই পৃষ্ঠার জন্য আপনাকে ধন্যবাদ, আমি এটি করছি অথবা অন্তত চেষ্টা করব।")</f>
        <v>আমি এই পৃষ্ঠাটি কয়েক মাস ধরে অনুসরণ করছি, সাধারণত মাতাল অবস্থায় আমার কোনও সমস্যা আছে কিনা তা নিয়ে বিতর্ক করছি। আমি বারস্টুলে বসে এটি টাইপ করছি, ২০ মিনিট আগে অর্ডার করা একটি পূর্ণ বিয়ারের দিকে তাকিয়ে। আগামীকাল আমার প্রথম AA মিটিং। আমি ভয় পাচ্ছি না, কিন্তু আমি এটি করছি, এমনকি আমার সাথে কোনও সমস্যা ছাড়াই একজন বন্ধুও পেয়েছি। আমার মনে হয় এটি এই পৃষ্ঠার জন্য আপনাকে ধন্যবাদ, আমি এটি করছি অথবা অন্তত চেষ্টা করব।</v>
      </c>
    </row>
    <row r="1520" spans="1:3" ht="15" x14ac:dyDescent="0.25">
      <c r="A1520" s="3" t="s">
        <v>1514</v>
      </c>
      <c r="B1520" s="3" t="s">
        <v>997</v>
      </c>
      <c r="C1520" s="4" t="str">
        <f ca="1">IFERROR(__xludf.DUMMYFUNCTION("GOOGLETRANSLATE(A1520, ""auto"", ""bn"")"),"তাই সাধারণত আমি সপ্তাহে একবার মদ্যপান করি কিন্তু যেহেতু বড়দিন, তাই আমি এটা শেষ করে ফেলেছি। বড়দিনের বক্সিং ডে এবং তার পরের দিনও প্রচুর পরিমাণে মদ্যপান করেছি। গতকাল আমি বিরতি নিয়েছিলাম কিন্তু আজ রাতে একটা পার্টিতে যাচ্ছি। আগামীকাল আমি মদ্যপান করব না, তবে নব"&amp;"বর্ষের আগের দিন এবং নববর্ষের দিনে মদ্যপান করব।")</f>
        <v>তাই সাধারণত আমি সপ্তাহে একবার মদ্যপান করি কিন্তু যেহেতু বড়দিন, তাই আমি এটা শেষ করে ফেলেছি। বড়দিনের বক্সিং ডে এবং তার পরের দিনও প্রচুর পরিমাণে মদ্যপান করেছি। গতকাল আমি বিরতি নিয়েছিলাম কিন্তু আজ রাতে একটা পার্টিতে যাচ্ছি। আগামীকাল আমি মদ্যপান করব না, তবে নববর্ষের আগের দিন এবং নববর্ষের দিনে মদ্যপান করব।</v>
      </c>
    </row>
    <row r="1521" spans="1:3" ht="15" x14ac:dyDescent="0.25">
      <c r="A1521" s="3" t="s">
        <v>1515</v>
      </c>
      <c r="B1521" s="3" t="s">
        <v>997</v>
      </c>
      <c r="C1521" s="4" t="str">
        <f ca="1">IFERROR(__xludf.DUMMYFUNCTION("GOOGLETRANSLATE(A1521, ""auto"", ""bn"")"),"আমি প্রায় ১৩ দিন ধরে শয়তানের সাথে জড়িত। আমি আমার শহর ছেড়ে আমার শহরে গিয়েছিলাম কিছু চিন্তাভাবনা করার জন্য এবং নিজেকে সামলাতে। আমার স্ত্রী আমাকে বলেছিল যে সে কী দেখেছিল এবং আমি যখন অন্ধকারে ছিলাম তখন আমি কী করছিলাম (বিবরণগুলি খারাপ, এবং আমি বুঝতে পারি কেন আ"&amp;"মি তাকে আঘাত করেছিলাম)। সে আমাকে ফিরে পেতে চাইছে এবং কিছুটা স্বাভাবিকতা ফিরে পাওয়ার চেষ্টা করার জন্য একটি পরীক্ষামূলক দৌড়ে যেতে চায়। (আমরা জানি এটা এত সহজ নয়)। এটি আমার একমাত্র সুযোগ যে আমি আমার জিনিসগুলি একত্রিত করতে এবং তাকে দেখাতে চাই যে আমি আমাদের ঠ"&amp;"িক করতে ইচ্ছুক এবং দৃঢ়প্রতিজ্ঞ। আমি জানি আমি এটা বুঝতে পেরেছি এবং এটা আমার জন্য হতাশাজনক যে আমার জন্য এটি ঘটতে হয়েছিল যাতে আমি নিজেকে শান্ত করতে পারি এবং পরিবর্তন করতে পারি। যারা কিছু খারাপ পরিস্থিতির মধ্য দিয়ে যাচ্ছেন, তাদের জন্য নিজেকে তুলে ধরুন এবং চ"&amp;"েষ্টা চালিয়ে যান। আমরা এটা পেয়েছি ভাই ও বোনেরা। এখানে আরও ১৩ দিনের সংযমের জন্য।")</f>
        <v>আমি প্রায় ১৩ দিন ধরে শয়তানের সাথে জড়িত। আমি আমার শহর ছেড়ে আমার শহরে গিয়েছিলাম কিছু চিন্তাভাবনা করার জন্য এবং নিজেকে সামলাতে। আমার স্ত্রী আমাকে বলেছিল যে সে কী দেখেছিল এবং আমি যখন অন্ধকারে ছিলাম তখন আমি কী করছিলাম (বিবরণগুলি খারাপ, এবং আমি বুঝতে পারি কেন আমি তাকে আঘাত করেছিলাম)। সে আমাকে ফিরে পেতে চাইছে এবং কিছুটা স্বাভাবিকতা ফিরে পাওয়ার চেষ্টা করার জন্য একটি পরীক্ষামূলক দৌড়ে যেতে চায়। (আমরা জানি এটা এত সহজ নয়)। এটি আমার একমাত্র সুযোগ যে আমি আমার জিনিসগুলি একত্রিত করতে এবং তাকে দেখাতে চাই যে আমি আমাদের ঠিক করতে ইচ্ছুক এবং দৃঢ়প্রতিজ্ঞ। আমি জানি আমি এটা বুঝতে পেরেছি এবং এটা আমার জন্য হতাশাজনক যে আমার জন্য এটি ঘটতে হয়েছিল যাতে আমি নিজেকে শান্ত করতে পারি এবং পরিবর্তন করতে পারি। যারা কিছু খারাপ পরিস্থিতির মধ্য দিয়ে যাচ্ছেন, তাদের জন্য নিজেকে তুলে ধরুন এবং চেষ্টা চালিয়ে যান। আমরা এটা পেয়েছি ভাই ও বোনেরা। এখানে আরও ১৩ দিনের সংযমের জন্য।</v>
      </c>
    </row>
    <row r="1522" spans="1:3" ht="15" x14ac:dyDescent="0.25">
      <c r="A1522" s="3" t="s">
        <v>1516</v>
      </c>
      <c r="B1522" s="3" t="s">
        <v>997</v>
      </c>
      <c r="C1522" s="4" t="str">
        <f ca="1">IFERROR(__xludf.DUMMYFUNCTION("GOOGLETRANSLATE(A1522, ""auto"", ""bn"")"),"আমি একজন রাগান্বিত মাতাল এবং এর জন্য আমি সত্যিই নিজেকে ঘৃণা করি, অ্যালকোহল আমার ব্যক্তিত্বকে সম্পূর্ণ ১৮০% করে তোলে। ব্যাপারটা এমন পর্যায়ে পৌঁছেছে যে আমি বন্ধুদের সাথে মাতাল হয়ে ঝগড়া করেছি এবং পরে বুঝতে পেরেছি যে আমি ঝগড়া এবং মারামারি করেছি। আমি এটা ব"&amp;"লতে চাই না এবং এর জন্য আমি নিজেকে ঘৃণা করি। আমি চাই অ্যালকোহলের সাথে আমার একটি সুস্থ সম্পর্ক থাকুক। আমি সাধারণত কখনও এমন নই।")</f>
        <v>আমি একজন রাগান্বিত মাতাল এবং এর জন্য আমি সত্যিই নিজেকে ঘৃণা করি, অ্যালকোহল আমার ব্যক্তিত্বকে সম্পূর্ণ ১৮০% করে তোলে। ব্যাপারটা এমন পর্যায়ে পৌঁছেছে যে আমি বন্ধুদের সাথে মাতাল হয়ে ঝগড়া করেছি এবং পরে বুঝতে পেরেছি যে আমি ঝগড়া এবং মারামারি করেছি। আমি এটা বলতে চাই না এবং এর জন্য আমি নিজেকে ঘৃণা করি। আমি চাই অ্যালকোহলের সাথে আমার একটি সুস্থ সম্পর্ক থাকুক। আমি সাধারণত কখনও এমন নই।</v>
      </c>
    </row>
    <row r="1523" spans="1:3" ht="15" x14ac:dyDescent="0.25">
      <c r="A1523" s="3" t="s">
        <v>1517</v>
      </c>
      <c r="B1523" s="3" t="s">
        <v>997</v>
      </c>
      <c r="C1523" s="4" t="str">
        <f ca="1">IFERROR(__xludf.DUMMYFUNCTION("GOOGLETRANSLATE(A1523, ""auto"", ""bn"")"),"আমি সপ্তাহে কমপক্ষে ৬০ আউন্স ৪৫% মদ এবং ৩০ প্যাকেট বিয়ার পান করেছি, যদিও সাধারণত এর দ্বিগুণ বেশি। আমার বয়স ১৯, যদিও আমি ১৬ বছর বয়স থেকে এই পরিমাণ মদ্যপান করছি। এটি কখনও আমার কাজে প্রভাব ফেলেনি এবং কখনও দেরি করেনি বা কোনও দিন মিস করেনি। এটি পারিবারিক জী"&amp;"বনে প্রভাব ফেলেনি এবং কখনও ভাবিনি যে এটি আমার সামাজিক জীবনে প্রভাব ফেলেছে যতক্ষণ না আমি বোতল হাতে বসে বুঝতে পারি যে আমার আর কেউ নেই, আমি কখনও রাগান্বিত বা আক্রমণাত্মক মাতাল ছিলাম না, কেবল অতিরিক্ত সৎ এবং কথাবার্তা বলেছি এবং আমার ধারণা এটি আমাকে বছরের পর ব"&amp;"ছর ধরে এমন এক পর্যায়ে ফেলেছে যে আমার আর বন্ধু বলার মতো কেউ নেই। এটি মূলত কেবল একটি প্রকাশ, এটি প্রকাশ করার জন্য অন্য কোথাও নেই। তবে আমি এখন সত্যি বলতে পারি যে নিজেকে একজন মদ্যপ বিবেচনা করুন এবং বুঝতে পারি যে এটি আমার জীবনে নেতিবাচক প্রভাব ফেলছে। আশা করি "&amp;"এটি আমাকে এবার পরিবর্তন করার প্রেরণা দেবে।")</f>
        <v>আমি সপ্তাহে কমপক্ষে ৬০ আউন্স ৪৫% মদ এবং ৩০ প্যাকেট বিয়ার পান করেছি, যদিও সাধারণত এর দ্বিগুণ বেশি। আমার বয়স ১৯, যদিও আমি ১৬ বছর বয়স থেকে এই পরিমাণ মদ্যপান করছি। এটি কখনও আমার কাজে প্রভাব ফেলেনি এবং কখনও দেরি করেনি বা কোনও দিন মিস করেনি। এটি পারিবারিক জীবনে প্রভাব ফেলেনি এবং কখনও ভাবিনি যে এটি আমার সামাজিক জীবনে প্রভাব ফেলেছে যতক্ষণ না আমি বোতল হাতে বসে বুঝতে পারি যে আমার আর কেউ নেই, আমি কখনও রাগান্বিত বা আক্রমণাত্মক মাতাল ছিলাম না, কেবল অতিরিক্ত সৎ এবং কথাবার্তা বলেছি এবং আমার ধারণা এটি আমাকে বছরের পর বছর ধরে এমন এক পর্যায়ে ফেলেছে যে আমার আর বন্ধু বলার মতো কেউ নেই। এটি মূলত কেবল একটি প্রকাশ, এটি প্রকাশ করার জন্য অন্য কোথাও নেই। তবে আমি এখন সত্যি বলতে পারি যে নিজেকে একজন মদ্যপ বিবেচনা করুন এবং বুঝতে পারি যে এটি আমার জীবনে নেতিবাচক প্রভাব ফেলছে। আশা করি এটি আমাকে এবার পরিবর্তন করার প্রেরণা দেবে।</v>
      </c>
    </row>
    <row r="1524" spans="1:3" ht="15" x14ac:dyDescent="0.25">
      <c r="A1524" s="3" t="s">
        <v>1518</v>
      </c>
      <c r="B1524" s="3" t="s">
        <v>997</v>
      </c>
      <c r="C1524" s="4" t="str">
        <f ca="1">IFERROR(__xludf.DUMMYFUNCTION("GOOGLETRANSLATE(A1524, ""auto"", ""bn"")"),"আমার বয়স ১৬ এবং আমি প্রতিদিন সন্ধ্যায় মদ্যপান করি। মদ্যপান না করেই আমি খুব খুশি থাকি এবং সেই কারণেই আমি প্রায়ই মাতাল হই। তাছাড়া, মাতাল থাকার কারণে আমি পরীক্ষায় ফেল করেছি। তাছাড়া, আমি অনেকের সাথে এটি নিয়ে কথা বলেছি, কিন্তু আমি থামতে চাই না। আর সেই কারণেই"&amp;" আমি নিজেকে ঘৃণা করি।")</f>
        <v>আমার বয়স ১৬ এবং আমি প্রতিদিন সন্ধ্যায় মদ্যপান করি। মদ্যপান না করেই আমি খুব খুশি থাকি এবং সেই কারণেই আমি প্রায়ই মাতাল হই। তাছাড়া, মাতাল থাকার কারণে আমি পরীক্ষায় ফেল করেছি। তাছাড়া, আমি অনেকের সাথে এটি নিয়ে কথা বলেছি, কিন্তু আমি থামতে চাই না। আর সেই কারণেই আমি নিজেকে ঘৃণা করি।</v>
      </c>
    </row>
    <row r="1525" spans="1:3" ht="15" x14ac:dyDescent="0.25">
      <c r="A1525" s="3" t="s">
        <v>1519</v>
      </c>
      <c r="B1525" s="3" t="s">
        <v>997</v>
      </c>
      <c r="C1525" s="4" t="str">
        <f ca="1">IFERROR(__xludf.DUMMYFUNCTION("GOOGLETRANSLATE(A1525, ""auto"", ""bn"")"),"আমার সঙ্গী তার হতাশাজনক অনুভূতিগুলোকে প্রশমিত করার জন্য মদ্যপান করে, আর যখন সে এইভাবে আচরণ করে তখন সে আমার প্রতি কিছুটা অসংবেদনশীল এবং কষ্টদায়ক হয়। রাতে সে আমার সাথে ঠান্ডা থাকে এবং পরের দিন সকালে খুব ভালোবাসে, কিন্তু তারপর সে সাধারণত সারাদিনও বিষণ্ণ বো"&amp;"ধ করে। আমার কষ্ট এবং রাগের সাথে তার মুখোমুখি হওয়া কঠিন কারণ সে যখন খুব দুঃখিত হয় তখন সে পান করে এবং কী করবে বুঝতে পারে না। সে থেরাপিও করে এবং এমনকি সেশনের সময়ও পান করে কারণ এটি অনলাইন কাউন্সেলিং। প্রথমে এটি কিছুটা সাহায্য করেছিল, কিন্তু এখনও মাঝে মাঝে "&amp;"সে ভুল বুঝতে পারে। আমি তাকে ভালোবাসি, কিন্তু যখন সে ব্যথা করে, তখন সে আমাকে কষ্ট দেয়।")</f>
        <v>আমার সঙ্গী তার হতাশাজনক অনুভূতিগুলোকে প্রশমিত করার জন্য মদ্যপান করে, আর যখন সে এইভাবে আচরণ করে তখন সে আমার প্রতি কিছুটা অসংবেদনশীল এবং কষ্টদায়ক হয়। রাতে সে আমার সাথে ঠান্ডা থাকে এবং পরের দিন সকালে খুব ভালোবাসে, কিন্তু তারপর সে সাধারণত সারাদিনও বিষণ্ণ বোধ করে। আমার কষ্ট এবং রাগের সাথে তার মুখোমুখি হওয়া কঠিন কারণ সে যখন খুব দুঃখিত হয় তখন সে পান করে এবং কী করবে বুঝতে পারে না। সে থেরাপিও করে এবং এমনকি সেশনের সময়ও পান করে কারণ এটি অনলাইন কাউন্সেলিং। প্রথমে এটি কিছুটা সাহায্য করেছিল, কিন্তু এখনও মাঝে মাঝে সে ভুল বুঝতে পারে। আমি তাকে ভালোবাসি, কিন্তু যখন সে ব্যথা করে, তখন সে আমাকে কষ্ট দেয়।</v>
      </c>
    </row>
    <row r="1526" spans="1:3" ht="15" x14ac:dyDescent="0.25">
      <c r="A1526" s="3" t="s">
        <v>1520</v>
      </c>
      <c r="B1526" s="3" t="s">
        <v>997</v>
      </c>
      <c r="C1526" s="4" t="str">
        <f ca="1">IFERROR(__xludf.DUMMYFUNCTION("GOOGLETRANSLATE(A1526, ""auto"", ""bn"")"),"আমার সঙ্গী ৬ সপ্তাহ ধরে মদ্যপান ছেড়ে দিয়েছিল এবং বড়দিনে আবার অসুস্থ হয়ে পড়ে। সে প্রচণ্ড মাতাল হয়ে পড়েছিল, এবং পরের দিন খুব বেশি সময় ধরে তার মাথাব্যথা ছিল। গতকাল ER লবিতে থাকাকালীন তার খিঁচুনি হয়েছিল বলে আমরা মনে করি। হাঁচি দেওয়ার কারণে সে সেখানে"&amp;" গিয়েছিল এবং তার নাক থেকে রক্ত ​​বের হচ্ছিল এবং সে খুব অদ্ভুত অনুভব করছিল। তারা তাকে IV এবং এশিয়ান দিয়ে ছেড়ে দেয়। আমরা তার প্রাথমিক চিকিৎসার ডাক্তারের কাছে গিয়েছিলাম যিনি গ্যাবাপেন্টিন, মাল্টিভিটামিন এবং হাইড্রোক্সিজিন লিখেছিলেন। মদ্যপানের দিন থেকেই"&amp;" তার মাথা সত্যিই অদ্ভুত লাগছে। আমি যা পড়েছি তার পরে তার লক্ষণগুলি মনে হচ্ছে প্রচণ্ড উত্তেজনার মতো। আমরা একটি ডিটক্স প্লেসে ফোন করেছিলাম, এবং তারা বলেছিল যে সে সেখানে আসতে পারে কিন্তু তার শরীরে অ্যালকোহল থাকতে হবে। সে ক্রিসমাসের পর থেকে পান করেনি এবং চায়"&amp;" না, কিন্তু সে কি সঠিকভাবে ডিটক্স করতে পারে?")</f>
        <v>আমার সঙ্গী ৬ সপ্তাহ ধরে মদ্যপান ছেড়ে দিয়েছিল এবং বড়দিনে আবার অসুস্থ হয়ে পড়ে। সে প্রচণ্ড মাতাল হয়ে পড়েছিল, এবং পরের দিন খুব বেশি সময় ধরে তার মাথাব্যথা ছিল। গতকাল ER লবিতে থাকাকালীন তার খিঁচুনি হয়েছিল বলে আমরা মনে করি। হাঁচি দেওয়ার কারণে সে সেখানে গিয়েছিল এবং তার নাক থেকে রক্ত ​​বের হচ্ছিল এবং সে খুব অদ্ভুত অনুভব করছিল। তারা তাকে IV এবং এশিয়ান দিয়ে ছেড়ে দেয়। আমরা তার প্রাথমিক চিকিৎসার ডাক্তারের কাছে গিয়েছিলাম যিনি গ্যাবাপেন্টিন, মাল্টিভিটামিন এবং হাইড্রোক্সিজিন লিখেছিলেন। মদ্যপানের দিন থেকেই তার মাথা সত্যিই অদ্ভুত লাগছে। আমি যা পড়েছি তার পরে তার লক্ষণগুলি মনে হচ্ছে প্রচণ্ড উত্তেজনার মতো। আমরা একটি ডিটক্স প্লেসে ফোন করেছিলাম, এবং তারা বলেছিল যে সে সেখানে আসতে পারে কিন্তু তার শরীরে অ্যালকোহল থাকতে হবে। সে ক্রিসমাসের পর থেকে পান করেনি এবং চায় না, কিন্তু সে কি সঠিকভাবে ডিটক্স করতে পারে?</v>
      </c>
    </row>
    <row r="1527" spans="1:3" ht="15" x14ac:dyDescent="0.25">
      <c r="A1527" s="3" t="s">
        <v>1521</v>
      </c>
      <c r="B1527" s="3" t="s">
        <v>997</v>
      </c>
      <c r="C1527" s="4" t="str">
        <f ca="1">IFERROR(__xludf.DUMMYFUNCTION("GOOGLETRANSLATE(A1527, ""auto"", ""bn"")"),"পরের দিন যখনই ঘুম থেকে উঠে আয়নায় তাকাই, আমার বমি করার মতো অনুভূতি হয়। শুধু নিজের দিকে তাকালেই। আমার চুলগুলো এত তৈলাক্ত এবং নোংরা মনে হয়...সাধারণ থেকে অনেক খারাপ। এটা কি শুধু আমার?")</f>
        <v>পরের দিন যখনই ঘুম থেকে উঠে আয়নায় তাকাই, আমার বমি করার মতো অনুভূতি হয়। শুধু নিজের দিকে তাকালেই। আমার চুলগুলো এত তৈলাক্ত এবং নোংরা মনে হয়...সাধারণ থেকে অনেক খারাপ। এটা কি শুধু আমার?</v>
      </c>
    </row>
    <row r="1528" spans="1:3" ht="15" x14ac:dyDescent="0.25">
      <c r="A1528" s="3" t="s">
        <v>1522</v>
      </c>
      <c r="B1528" s="3" t="s">
        <v>997</v>
      </c>
      <c r="C1528" s="4" t="str">
        <f ca="1">IFERROR(__xludf.DUMMYFUNCTION("GOOGLETRANSLATE(A1528, ""auto"", ""bn"")"),"আমার বয়স ২৪ বছর এবং গত সাড়ে ৩ বছর ধরে আমি প্রতিদিন মদ্যপান করছি (১-২ দিন ছাড়া, খুব কমই)। আমি নিজেকে বারবার বলি যে আমার এটা ধীর করা উচিত অথবা একসাথে বন্ধ করা উচিত, কিন্তু আমি এটা করতে পারছি না। গত রাতে আমি? প্রচণ্ড মাতাল। আমার বয়ফ্রেন্ড আমার গাড়িটি বাড়"&amp;"ি নিয়ে গিয়েছিল এবং আমি কি ভেবেছিলাম যে আমি বিরক্ত, কিন্তু আমার একটা ভয়াবহ প্যানিক অ্যাটাক হয়েছিল (যা আমি খুব বেশি মাতাল হলে অবশ্যই ঘটে)। আমি জানি না আমার উপর কী এসেছিল, কিন্তু আমি আমার গাড়ির দরজা খুলে লাফিয়ে উঠেছিলাম যখন গাড়িটি চলছিল (সম্ভবত ১৫-২০ মাইল"&amp;" প্রতি ঘণ্টা)। আমার চশমা, নাক, হাঁটু এবং কনুই নষ্ট হয়ে গেছে। তাছাড়া, আমি আক্ষরিক অর্থেই বিশ্বাস করতে পারছি না যে আমি এটা করেছি এবং তাকে এই অবস্থায় ফেলে দিয়েছি। তাছাড়া, আমি জানি না কী করব। তাছাড়া, আমার মনে হয় আমার পেশাদার সাহায্যের প্রয়োজন।")</f>
        <v>আমার বয়স ২৪ বছর এবং গত সাড়ে ৩ বছর ধরে আমি প্রতিদিন মদ্যপান করছি (১-২ দিন ছাড়া, খুব কমই)। আমি নিজেকে বারবার বলি যে আমার এটা ধীর করা উচিত অথবা একসাথে বন্ধ করা উচিত, কিন্তু আমি এটা করতে পারছি না। গত রাতে আমি? প্রচণ্ড মাতাল। আমার বয়ফ্রেন্ড আমার গাড়িটি বাড়ি নিয়ে গিয়েছিল এবং আমি কি ভেবেছিলাম যে আমি বিরক্ত, কিন্তু আমার একটা ভয়াবহ প্যানিক অ্যাটাক হয়েছিল (যা আমি খুব বেশি মাতাল হলে অবশ্যই ঘটে)। আমি জানি না আমার উপর কী এসেছিল, কিন্তু আমি আমার গাড়ির দরজা খুলে লাফিয়ে উঠেছিলাম যখন গাড়িটি চলছিল (সম্ভবত ১৫-২০ মাইল প্রতি ঘণ্টা)। আমার চশমা, নাক, হাঁটু এবং কনুই নষ্ট হয়ে গেছে। তাছাড়া, আমি আক্ষরিক অর্থেই বিশ্বাস করতে পারছি না যে আমি এটা করেছি এবং তাকে এই অবস্থায় ফেলে দিয়েছি। তাছাড়া, আমি জানি না কী করব। তাছাড়া, আমার মনে হয় আমার পেশাদার সাহায্যের প্রয়োজন।</v>
      </c>
    </row>
    <row r="1529" spans="1:3" ht="15" x14ac:dyDescent="0.25">
      <c r="A1529" s="3" t="s">
        <v>1523</v>
      </c>
      <c r="B1529" s="3" t="s">
        <v>997</v>
      </c>
      <c r="C1529" s="4" t="str">
        <f ca="1">IFERROR(__xludf.DUMMYFUNCTION("GOOGLETRANSLATE(A1529, ""auto"", ""bn"")"),"আমি একজন সুস্থ হয়ে ওঠা মদ্যপ। বহু বছর ধরে, আমি প্রায় প্রতিদিন পান করতাম (১২+ বিয়ার, অজ্ঞান হয়ে যাওয়া, কাজে যাওয়া এবং আবারও পান করতাম) এবং এর মধ্যে এক বা দুই দিন বিরত থাকার জন্য নিজেকে নিয়ে গর্বিত হতাম। আমার বয়স এখন ২৯ এবং দুই সপ্তাহ ধরে আমি সুস্থ থাকি।"&amp;" আমি যে দুটি সবচেয়ে বিরক্তিকর জিনিস লক্ষ্য করেছি তা হল স্মৃতিশক্তি হ্রাস এবং মস্তিষ্কের কুয়াশা। আগের দিন আমি কী করেছি তা মনে রাখা আমার পক্ষে কঠিন, ইত্যাদি। আজ সকালে আমি ফ্রিজে দুধ খুঁজে পাইনি, কেবল বুঝতে পেরেছিলাম যে আমি কিছুক্ষণ আগে দুধ বের করেছিলাম, এ"&amp;"বং এটি কাউন্টারে ছিল। আমার প্রশ্ন হল, কেউ কি একই রকম কিছুর মধ্য দিয়ে গেছে? যদি তাই হয় তবে আপনার কোন পার্থক্য লক্ষ্য করতে কতক্ষণ সময় লেগেছে এবং প্রক্রিয়াটিকে সাহায্য করার জন্য আপনি কি কিছু সুপারিশ করবেন? আমার মনে হয় আমার কেবল কিছু আশ্বাসের প্রয়োজন,")</f>
        <v>আমি একজন সুস্থ হয়ে ওঠা মদ্যপ। বহু বছর ধরে, আমি প্রায় প্রতিদিন পান করতাম (১২+ বিয়ার, অজ্ঞান হয়ে যাওয়া, কাজে যাওয়া এবং আবারও পান করতাম) এবং এর মধ্যে এক বা দুই দিন বিরত থাকার জন্য নিজেকে নিয়ে গর্বিত হতাম। আমার বয়স এখন ২৯ এবং দুই সপ্তাহ ধরে আমি সুস্থ থাকি। আমি যে দুটি সবচেয়ে বিরক্তিকর জিনিস লক্ষ্য করেছি তা হল স্মৃতিশক্তি হ্রাস এবং মস্তিষ্কের কুয়াশা। আগের দিন আমি কী করেছি তা মনে রাখা আমার পক্ষে কঠিন, ইত্যাদি। আজ সকালে আমি ফ্রিজে দুধ খুঁজে পাইনি, কেবল বুঝতে পেরেছিলাম যে আমি কিছুক্ষণ আগে দুধ বের করেছিলাম, এবং এটি কাউন্টারে ছিল। আমার প্রশ্ন হল, কেউ কি একই রকম কিছুর মধ্য দিয়ে গেছে? যদি তাই হয় তবে আপনার কোন পার্থক্য লক্ষ্য করতে কতক্ষণ সময় লেগেছে এবং প্রক্রিয়াটিকে সাহায্য করার জন্য আপনি কি কিছু সুপারিশ করবেন? আমার মনে হয় আমার কেবল কিছু আশ্বাসের প্রয়োজন,</v>
      </c>
    </row>
    <row r="1530" spans="1:3" ht="15" x14ac:dyDescent="0.25">
      <c r="A1530" s="3" t="s">
        <v>1524</v>
      </c>
      <c r="B1530" s="3" t="s">
        <v>997</v>
      </c>
      <c r="C1530" s="4" t="str">
        <f ca="1">IFERROR(__xludf.DUMMYFUNCTION("GOOGLETRANSLATE(A1530, ""auto"", ""bn"")"),"আমি এখন এই সত্যটা মেনে নিচ্ছি যে মা আর নির্ভরযোগ্য নন। তিনি আমার বাগদত্তার বাবা-মায়ের সাথে দেখা করেননি বা আমার সাথে দেখা করেননি। আমি ছয় ঘন্টা দূরে থাকি। আমি তার ফ্লাইট, অ্যামট্র্যাক ইত্যাদির খরচ বহন করার প্রস্তাব দিয়েছি। আমি এমন এক পর্যায়ে এসেছি যেখান"&amp;"ে আমাকে তার বাবা-মাকে দেরি করতে হচ্ছে। তাছাড়া, আমার মা কেন তার সময়সূচী থেকে তার বাবা-মায়ের সাথে জুম/স্কাইপ কলের জন্য সময় বের করতে পারছেন না তার জন্য আমার কাছে কোনও অজুহাত নেই। আমার কি তাদের সাথে সৎ থাকা উচিত এবং ব্যাখ্যা করা উচিত যে আমার মা গভীর হতাশা"&amp;"র মধ্য দিয়ে যাচ্ছেন/শোক প্রক্রিয়া করছেন?")</f>
        <v>আমি এখন এই সত্যটা মেনে নিচ্ছি যে মা আর নির্ভরযোগ্য নন। তিনি আমার বাগদত্তার বাবা-মায়ের সাথে দেখা করেননি বা আমার সাথে দেখা করেননি। আমি ছয় ঘন্টা দূরে থাকি। আমি তার ফ্লাইট, অ্যামট্র্যাক ইত্যাদির খরচ বহন করার প্রস্তাব দিয়েছি। আমি এমন এক পর্যায়ে এসেছি যেখানে আমাকে তার বাবা-মাকে দেরি করতে হচ্ছে। তাছাড়া, আমার মা কেন তার সময়সূচী থেকে তার বাবা-মায়ের সাথে জুম/স্কাইপ কলের জন্য সময় বের করতে পারছেন না তার জন্য আমার কাছে কোনও অজুহাত নেই। আমার কি তাদের সাথে সৎ থাকা উচিত এবং ব্যাখ্যা করা উচিত যে আমার মা গভীর হতাশার মধ্য দিয়ে যাচ্ছেন/শোক প্রক্রিয়া করছেন?</v>
      </c>
    </row>
    <row r="1531" spans="1:3" ht="15" x14ac:dyDescent="0.25">
      <c r="A1531" s="3" t="s">
        <v>1525</v>
      </c>
      <c r="B1531" s="3" t="s">
        <v>997</v>
      </c>
      <c r="C1531" s="4" t="str">
        <f ca="1">IFERROR(__xludf.DUMMYFUNCTION("GOOGLETRANSLATE(A1531, ""auto"", ""bn"")"),"ছুটির ছুটিতে আমি কিছুটা বেশি মদ্যপান করেছি। এর পর আমি ভেবেছিলাম কিছুদিনের জন্য মদ্যপান থেকে বিরত থাকা উচিত, কারণ আমি একবার মদ্যপান ত্যাগ করেছি এবং আর কখনও সেই ত্যাগ করতে চাই না। তাছাড়া, আমি এখন ৩৬ ঘন্টা ধরে মদ্যপান করিনি এবং কোনও মদ্যপান ত্যাগ করিনি। তোম"&amp;"ার কি মনে হয় আমি স্পষ্ট? সর্বশেষ মদ্যপান ত্যাগের লক্ষণগুলি কখন শুরু হতে পারে? আমার পূর্ববর্তী মদ্যপানের অভিজ্ঞতায়, শেষ মদ্যপানের প্রায় ২৪ ঘন্টা পরে লক্ষণগুলি শুরু হয়েছিল, তাই আমি মনে করি আমি নিরাপদ।")</f>
        <v>ছুটির ছুটিতে আমি কিছুটা বেশি মদ্যপান করেছি। এর পর আমি ভেবেছিলাম কিছুদিনের জন্য মদ্যপান থেকে বিরত থাকা উচিত, কারণ আমি একবার মদ্যপান ত্যাগ করেছি এবং আর কখনও সেই ত্যাগ করতে চাই না। তাছাড়া, আমি এখন ৩৬ ঘন্টা ধরে মদ্যপান করিনি এবং কোনও মদ্যপান ত্যাগ করিনি। তোমার কি মনে হয় আমি স্পষ্ট? সর্বশেষ মদ্যপান ত্যাগের লক্ষণগুলি কখন শুরু হতে পারে? আমার পূর্ববর্তী মদ্যপানের অভিজ্ঞতায়, শেষ মদ্যপানের প্রায় ২৪ ঘন্টা পরে লক্ষণগুলি শুরু হয়েছিল, তাই আমি মনে করি আমি নিরাপদ।</v>
      </c>
    </row>
    <row r="1532" spans="1:3" ht="15" x14ac:dyDescent="0.25">
      <c r="A1532" s="3" t="s">
        <v>1526</v>
      </c>
      <c r="B1532" s="3" t="s">
        <v>997</v>
      </c>
      <c r="C1532" s="4" t="str">
        <f ca="1">IFERROR(__xludf.DUMMYFUNCTION("GOOGLETRANSLATE(A1532, ""auto"", ""bn"")"),"সে বেশিরভাগ সময় সপ্তাহের দিনগুলিতে মদ্যপান করে বলে মনে হয়। যখন সে তা করে, তখন সে দৃশ্যত মাতাল থাকে (গন্ধ পায়, সে ঘোলাটে ভাব করে, ইত্যাদি)। সম্প্রতি, সে মদ্যপান করছে কিনা তা নিয়ে মিথ্যা বলতে শুরু করে এবং ব্রেথঅ্যালাইজার কিনতে আমার দিকে তার কার্ড ছুঁড়ে "&amp;"মারে। সে থুতু ছিটিয়ে দেয়, জিনিসটিতে খুব একটা বাতাস ঢোকায় না, এবং ৭টি অদ্ভুত চেষ্টার পরে .১৫-.১৭ পেয়েছে। সে উল্লেখ করেছে যে এই স্কোরিং কারণ সে আগের দিন প্রচুর মদ্যপান করেছিল এবং দাঁত ব্রাশ করেনি (পরের দিন রাত ৯টার মতো)। তাছাড়া, সে ডেলিভারি পরিষেবার মাধ"&amp;"্যমে মদ্যপানের অর্ডার দিচ্ছে এবং তার অফিসে বোতলগুলি লুকিয়ে রেখেছে। আমি মদ্যপানের বিরুদ্ধে নই, কিন্তু যখন এটি গোপনে বা কাজের সময় হয়, তখন এটি আমার কাছে বিরক্তিকর। সে টানা কয়েক সপ্তাহ ধরে পান করবে, কয়েকবার থামবে, তারপর আবার শুরু করবে। সে বলেছে যে তার অব"&amp;"শ্যই কোনও সমস্যা নেই কারণ সে প্রতিদিন মদ্যপান করে না।")</f>
        <v>সে বেশিরভাগ সময় সপ্তাহের দিনগুলিতে মদ্যপান করে বলে মনে হয়। যখন সে তা করে, তখন সে দৃশ্যত মাতাল থাকে (গন্ধ পায়, সে ঘোলাটে ভাব করে, ইত্যাদি)। সম্প্রতি, সে মদ্যপান করছে কিনা তা নিয়ে মিথ্যা বলতে শুরু করে এবং ব্রেথঅ্যালাইজার কিনতে আমার দিকে তার কার্ড ছুঁড়ে মারে। সে থুতু ছিটিয়ে দেয়, জিনিসটিতে খুব একটা বাতাস ঢোকায় না, এবং ৭টি অদ্ভুত চেষ্টার পরে .১৫-.১৭ পেয়েছে। সে উল্লেখ করেছে যে এই স্কোরিং কারণ সে আগের দিন প্রচুর মদ্যপান করেছিল এবং দাঁত ব্রাশ করেনি (পরের দিন রাত ৯টার মতো)। তাছাড়া, সে ডেলিভারি পরিষেবার মাধ্যমে মদ্যপানের অর্ডার দিচ্ছে এবং তার অফিসে বোতলগুলি লুকিয়ে রেখেছে। আমি মদ্যপানের বিরুদ্ধে নই, কিন্তু যখন এটি গোপনে বা কাজের সময় হয়, তখন এটি আমার কাছে বিরক্তিকর। সে টানা কয়েক সপ্তাহ ধরে পান করবে, কয়েকবার থামবে, তারপর আবার শুরু করবে। সে বলেছে যে তার অবশ্যই কোনও সমস্যা নেই কারণ সে প্রতিদিন মদ্যপান করে না।</v>
      </c>
    </row>
    <row r="1533" spans="1:3" ht="15" x14ac:dyDescent="0.25">
      <c r="A1533" s="3" t="s">
        <v>1527</v>
      </c>
      <c r="B1533" s="3" t="s">
        <v>997</v>
      </c>
      <c r="C1533" s="4" t="str">
        <f ca="1">IFERROR(__xludf.DUMMYFUNCTION("GOOGLETRANSLATE(A1533, ""auto"", ""bn"")"),"আমার যমজ সন্তানের কিছু আচরণগত সমস্যা আছে এবং স্কুল আমাদের চিকিৎসা আচরণগত মূল্যায়ন করতে চায়। একাধিক ফর্মে গর্ভাবস্থায় অ্যালকোহল সেবন সম্পর্কে জিজ্ঞাসা করা হয়। আমি এই বাক্সগুলি পরীক্ষা করতে অনিচ্ছুক। আমার স্ত্রী এখন দুই বছর ধরে সুস্থ। বিবাহবিচ্ছেদের আবেদন"&amp;"পত্র পূরণ করতে, ডিইউআই করতে এবং তাকে থামাতে ৫১/৫০ পেতে আমার সময় লেগেছে। আমি বুঝতে পারছি না যে এই বাক্সটি পরীক্ষা করে আমার বাচ্চাদের জন্য কীভাবে কিছু পরিবর্তন হবে। আমার স্ত্রী তার ছেলের মস্তিষ্কের ক্ষতি করার সম্ভাবনা/বাস্তবতার মুখোমুখি হতে অবশ্যই কষ্ট পাব"&amp;"ে।")</f>
        <v>আমার যমজ সন্তানের কিছু আচরণগত সমস্যা আছে এবং স্কুল আমাদের চিকিৎসা আচরণগত মূল্যায়ন করতে চায়। একাধিক ফর্মে গর্ভাবস্থায় অ্যালকোহল সেবন সম্পর্কে জিজ্ঞাসা করা হয়। আমি এই বাক্সগুলি পরীক্ষা করতে অনিচ্ছুক। আমার স্ত্রী এখন দুই বছর ধরে সুস্থ। বিবাহবিচ্ছেদের আবেদনপত্র পূরণ করতে, ডিইউআই করতে এবং তাকে থামাতে ৫১/৫০ পেতে আমার সময় লেগেছে। আমি বুঝতে পারছি না যে এই বাক্সটি পরীক্ষা করে আমার বাচ্চাদের জন্য কীভাবে কিছু পরিবর্তন হবে। আমার স্ত্রী তার ছেলের মস্তিষ্কের ক্ষতি করার সম্ভাবনা/বাস্তবতার মুখোমুখি হতে অবশ্যই কষ্ট পাবে।</v>
      </c>
    </row>
    <row r="1534" spans="1:3" ht="15" x14ac:dyDescent="0.25">
      <c r="A1534" s="3" t="s">
        <v>1528</v>
      </c>
      <c r="B1534" s="3" t="s">
        <v>997</v>
      </c>
      <c r="C1534" s="4" t="str">
        <f ca="1">IFERROR(__xludf.DUMMYFUNCTION("GOOGLETRANSLATE(A1534, ""auto"", ""bn"")"),"আমি জানতে চাইছিলাম যে এখানে অন্য কারোর কি এর আগে এইরকম ঘটনা ঘটেছে। আমার বয়স ২০ বছর থেকে আমি মদ্যপানের সাথে লড়াই করছি এবং আমার সাথে মাত্র দুবার এমনটা হয়েছে। একবার আমি ২০টি হুইস্কি পান করার কারণে এবং সম্প্রতি (আজ) গত রাতে ১৬টি বিয়ার পান করার কারণে। আমার"&amp;" হৃদস্পন্দন এবং রক্তচাপ সত্যিই বেশি ছিল! আমার হৃদস্পন্দন প্রায় ১৬০ বিপিএম ছিল এবং আমি নিশ্চিত নই যে আমার রক্তচাপ কত, তবে প্যারামেডিক বলেছিলেন যে এটি বেশি ছিল। আজ সকালে ঘুম থেকে ওঠার পর থেকেই এটি শুরু হয়েছিল। স্বাভাবিক মাথাব্যথা বা বমি বমি ভাব ছিল না, কে"&amp;"বল খুব খারাপ লাগছিল এবং কুয়াশাচ্ছন্ন, হালকা মাথাব্যথা এবং দুর্বলতা ছিল এবং প্রায় ৩ ঘন্টা পরে, আমার হৃদস্পন্দন কেবল বাড়তে থাকে। আমি স্পষ্টতই ঠিক আছি, কিন্তু ভাবছিলাম যে এখানে কেউ কি আগে এই একই জিনিস অনুভব করেছে এবং এর ফলাফল কী? আমার পরিবার মনে করে পানিশ"&amp;"ূন্যতা।")</f>
        <v>আমি জানতে চাইছিলাম যে এখানে অন্য কারোর কি এর আগে এইরকম ঘটনা ঘটেছে। আমার বয়স ২০ বছর থেকে আমি মদ্যপানের সাথে লড়াই করছি এবং আমার সাথে মাত্র দুবার এমনটা হয়েছে। একবার আমি ২০টি হুইস্কি পান করার কারণে এবং সম্প্রতি (আজ) গত রাতে ১৬টি বিয়ার পান করার কারণে। আমার হৃদস্পন্দন এবং রক্তচাপ সত্যিই বেশি ছিল! আমার হৃদস্পন্দন প্রায় ১৬০ বিপিএম ছিল এবং আমি নিশ্চিত নই যে আমার রক্তচাপ কত, তবে প্যারামেডিক বলেছিলেন যে এটি বেশি ছিল। আজ সকালে ঘুম থেকে ওঠার পর থেকেই এটি শুরু হয়েছিল। স্বাভাবিক মাথাব্যথা বা বমি বমি ভাব ছিল না, কেবল খুব খারাপ লাগছিল এবং কুয়াশাচ্ছন্ন, হালকা মাথাব্যথা এবং দুর্বলতা ছিল এবং প্রায় ৩ ঘন্টা পরে, আমার হৃদস্পন্দন কেবল বাড়তে থাকে। আমি স্পষ্টতই ঠিক আছি, কিন্তু ভাবছিলাম যে এখানে কেউ কি আগে এই একই জিনিস অনুভব করেছে এবং এর ফলাফল কী? আমার পরিবার মনে করে পানিশূন্যতা।</v>
      </c>
    </row>
    <row r="1535" spans="1:3" ht="15" x14ac:dyDescent="0.25">
      <c r="A1535" s="3" t="s">
        <v>1529</v>
      </c>
      <c r="B1535" s="3" t="s">
        <v>997</v>
      </c>
      <c r="C1535" s="4" t="str">
        <f ca="1">IFERROR(__xludf.DUMMYFUNCTION("GOOGLETRANSLATE(A1535, ""auto"", ""bn"")"),"আমি এতটাই আটকা পড়েছি যে আমি অসুস্থ, আমার হৃদয় পাগল হয়ে যাচ্ছে, এবং মূলত আমাকে বলা হয় যে আমি মানসিকভাবে পাগল এবং যখন আমি সত্যিই 911 ফোন করতে চাই তখন মদ্যপান বন্ধ করতে বলি কারণ আমি মারা যাচ্ছি। আমি সুস্থ হওয়ার সাথে সাথে আমার বাড়ি থেকে বের হতে পারছি না"&amp;"। আমার হৃদস্পন্দন ব্যাথা করছে, আমি আমার কানে ধড়ফড় শুনতে পাচ্ছি এবং ভীত বোধ করছি, তাই আমি স্বাভাবিক থাকার জন্য পান করি, কিন্তু আমি আটকা পড়েছি কারণ আমি একা থাকি না এবং যখন আমি ডিটক্স বা হাসপাতালে নিয়ে আসি তখন লোকেরা এত রেগে যায় ... শুধু পান করো না তারা"&amp;" বলে")</f>
        <v>আমি এতটাই আটকা পড়েছি যে আমি অসুস্থ, আমার হৃদয় পাগল হয়ে যাচ্ছে, এবং মূলত আমাকে বলা হয় যে আমি মানসিকভাবে পাগল এবং যখন আমি সত্যিই 911 ফোন করতে চাই তখন মদ্যপান বন্ধ করতে বলি কারণ আমি মারা যাচ্ছি। আমি সুস্থ হওয়ার সাথে সাথে আমার বাড়ি থেকে বের হতে পারছি না। আমার হৃদস্পন্দন ব্যাথা করছে, আমি আমার কানে ধড়ফড় শুনতে পাচ্ছি এবং ভীত বোধ করছি, তাই আমি স্বাভাবিক থাকার জন্য পান করি, কিন্তু আমি আটকা পড়েছি কারণ আমি একা থাকি না এবং যখন আমি ডিটক্স বা হাসপাতালে নিয়ে আসি তখন লোকেরা এত রেগে যায় ... শুধু পান করো না তারা বলে</v>
      </c>
    </row>
    <row r="1536" spans="1:3" ht="15" x14ac:dyDescent="0.25">
      <c r="A1536" s="3" t="s">
        <v>1530</v>
      </c>
      <c r="B1536" s="3" t="s">
        <v>997</v>
      </c>
      <c r="C1536" s="4" t="str">
        <f ca="1">IFERROR(__xludf.DUMMYFUNCTION("GOOGLETRANSLATE(A1536, ""auto"", ""bn"")"),"তো গত রাতে আমি ৬টি আমদানি করা বেলজিয়ান বিয়ার খেয়েছিলাম (আমি মনে করি ডুয়েল ব্র্যান্ডের নাম)। স্পষ্টতই আমি দ্বিতীয়বার ডিনার করেছি এবং আমার স্ত্রীর সাথে অর্ধেক সিনেমা দেখেছি এবং আমার এই ঘটনাটি একেবারেই মনে নেই। গত এক বছরে প্রায় ৫ বারেরও কম ঘটেছে। আমি এ"&amp;"খন সপ্তাহে ১ থেকে ২ বার পান করি। এক বোতল ওয়াইন (মাঝে মাঝে দেড়)।")</f>
        <v>তো গত রাতে আমি ৬টি আমদানি করা বেলজিয়ান বিয়ার খেয়েছিলাম (আমি মনে করি ডুয়েল ব্র্যান্ডের নাম)। স্পষ্টতই আমি দ্বিতীয়বার ডিনার করেছি এবং আমার স্ত্রীর সাথে অর্ধেক সিনেমা দেখেছি এবং আমার এই ঘটনাটি একেবারেই মনে নেই। গত এক বছরে প্রায় ৫ বারেরও কম ঘটেছে। আমি এখন সপ্তাহে ১ থেকে ২ বার পান করি। এক বোতল ওয়াইন (মাঝে মাঝে দেড়)।</v>
      </c>
    </row>
    <row r="1537" spans="1:3" ht="15" x14ac:dyDescent="0.25">
      <c r="A1537" s="3" t="s">
        <v>1531</v>
      </c>
      <c r="B1537" s="3" t="s">
        <v>997</v>
      </c>
      <c r="C1537" s="4" t="str">
        <f ca="1">IFERROR(__xludf.DUMMYFUNCTION("GOOGLETRANSLATE(A1537, ""auto"", ""bn"")"),"আর ওরা আমাকে ছেড়ে দিল কারণ আমার গায়ে কোনও আঁচড় ছিল না, অথবা হয়তো ওরা বুঝতে পেরেছিল যে আমি মাতাল? আমি ঘুম থেকে উঠে আমার বাকি সব বিয়ার ফেলে দিলাম। পুলিশকে ফোন না করার জন্য অনেক ধন্যবাদ। আমি বিয়ার ঘৃণা করি, আমি রাম ঘৃণা করি, আমি মদ খুব ঘৃণা করি। উত্তর দ"&amp;"েওয়ার দরকার নেই, আমি মুখ বন্ধ করে দিচ্ছি এবং সম্ভবত উত্তর দেব না।")</f>
        <v>আর ওরা আমাকে ছেড়ে দিল কারণ আমার গায়ে কোনও আঁচড় ছিল না, অথবা হয়তো ওরা বুঝতে পেরেছিল যে আমি মাতাল? আমি ঘুম থেকে উঠে আমার বাকি সব বিয়ার ফেলে দিলাম। পুলিশকে ফোন না করার জন্য অনেক ধন্যবাদ। আমি বিয়ার ঘৃণা করি, আমি রাম ঘৃণা করি, আমি মদ খুব ঘৃণা করি। উত্তর দেওয়ার দরকার নেই, আমি মুখ বন্ধ করে দিচ্ছি এবং সম্ভবত উত্তর দেব না।</v>
      </c>
    </row>
    <row r="1538" spans="1:3" ht="15" x14ac:dyDescent="0.25">
      <c r="A1538" s="3" t="s">
        <v>1532</v>
      </c>
      <c r="B1538" s="3" t="s">
        <v>997</v>
      </c>
      <c r="C1538" s="4" t="str">
        <f ca="1">IFERROR(__xludf.DUMMYFUNCTION("GOOGLETRANSLATE(A1538, ""auto"", ""bn"")"),"তাই সুস্থ হওয়ার চেষ্টা করছি, ১৩ দিন, তারপর একটা ল্যাপস, তারপর ৭ দিন, তারপর ৫ দিন। আমি ক্লান্ত, একেবারে ক্লান্ত। কিন্তু আমি অপ্রত্যাশিত কিছু লক্ষ্য করেছি। আমি মদ্যপান ছাড়া খেতে পারি না, আর খাওয়া আমাকে মদ্যপান করতে উৎসাহিত করে। এখন এটা সম্পূর্ণরূপে অস্থি"&amp;"র, আমার ওজন দ্রুত হ্রাস পাচ্ছে, এবং আমি মৃত্যুর মতো অনুভব করছি, মনোযোগ দেওয়ার ক্ষমতা হারাতে শুরু করেছি, পেশীতে টান পড়ছে ইত্যাদি। এর সাথে কি অ্যালকোহলের যোগসূত্র আছে নাকি অভাবে? আমি ধরে নিচ্ছি এটি মানসিক হতে পারে নাকি আমি সত্যিই কোনওভাবে আমার পেট খারাপ ক"&amp;"রেছি? অন্য কেউ? এই বছর আমার মদ্যপানের কারণে ইতিমধ্যেই ২৬ কেজি ওজন কমেছে কিন্তু মরিয়া হয়ে সুস্থ হওয়ার চেষ্টা করছি। ৫০% সময় খাবারের প্রতিস্থাপনের ঝাঁকুনি কমাতে পারি, স্ক্র্যাবল খেলতে খেলতে বমি করে ফেলেছি, সত্যিই বেশ লজ্জাজনক।")</f>
        <v>তাই সুস্থ হওয়ার চেষ্টা করছি, ১৩ দিন, তারপর একটা ল্যাপস, তারপর ৭ দিন, তারপর ৫ দিন। আমি ক্লান্ত, একেবারে ক্লান্ত। কিন্তু আমি অপ্রত্যাশিত কিছু লক্ষ্য করেছি। আমি মদ্যপান ছাড়া খেতে পারি না, আর খাওয়া আমাকে মদ্যপান করতে উৎসাহিত করে। এখন এটা সম্পূর্ণরূপে অস্থির, আমার ওজন দ্রুত হ্রাস পাচ্ছে, এবং আমি মৃত্যুর মতো অনুভব করছি, মনোযোগ দেওয়ার ক্ষমতা হারাতে শুরু করেছি, পেশীতে টান পড়ছে ইত্যাদি। এর সাথে কি অ্যালকোহলের যোগসূত্র আছে নাকি অভাবে? আমি ধরে নিচ্ছি এটি মানসিক হতে পারে নাকি আমি সত্যিই কোনওভাবে আমার পেট খারাপ করেছি? অন্য কেউ? এই বছর আমার মদ্যপানের কারণে ইতিমধ্যেই ২৬ কেজি ওজন কমেছে কিন্তু মরিয়া হয়ে সুস্থ হওয়ার চেষ্টা করছি। ৫০% সময় খাবারের প্রতিস্থাপনের ঝাঁকুনি কমাতে পারি, স্ক্র্যাবল খেলতে খেলতে বমি করে ফেলেছি, সত্যিই বেশ লজ্জাজনক।</v>
      </c>
    </row>
    <row r="1539" spans="1:3" ht="15" x14ac:dyDescent="0.25">
      <c r="A1539" s="3" t="s">
        <v>1533</v>
      </c>
      <c r="B1539" s="3" t="s">
        <v>997</v>
      </c>
      <c r="C1539" s="4" t="str">
        <f ca="1">IFERROR(__xludf.DUMMYFUNCTION("GOOGLETRANSLATE(A1539, ""auto"", ""bn"")"),"তোমার ডাক্তার এটার কথা শোনেননি। তোমার পুনর্বাসন তোমাকে এটা সম্পর্কে শেখায়নি। AA লোকেদের এটা খোলাখুলি আলোচনা করতে দেবে না। তুমি কেন মনে করো? এটা প্রমাণ ভিত্তিক, ক্লিনিক্যালি প্রমাণিত। এই রোগে আক্রান্ত বেশিরভাগ মানুষের মতো, তোমাকে সম্ভবত স্বল্পমেয়াদী, প্রয়"&amp;"োজনীয়, ন্যাল্ট্রেক্সোন এবং মদ্যপানের আগে এটি গ্রহণের পদ্ধতি সম্পর্কে বলা হয়নি, যা তোমার মস্তিষ্ককে যেকোনো স্তরে নামিয়ে আনতে সাহায্য করবে (অ্যালকোহলমুক্ত থাকাই সবচেয়ে স্বাস্থ্যকর লক্ষ্য)। অ্যালকোহলের প্রতি আকাঙ্ক্ষা এবং আবেগপ্রবণ চিন্তাভাবনা ধীরে ধীরে অ"&amp;"দৃশ্য হয়ে যায়। মস্তিষ্ক নিজেকে পুনর্জীবিত করে এবং সুস্থ করে তোলে। এই পদ্ধতিটি ৪ জনের মধ্যে ৩ জনের জন্য কাজ করতে পারে যারা ৪-১২ মাস ধরে এক নিয়ম পদ্ধতিতে লেগে থাকতে পারে। মাস গড়ানোর সাথে সাথে তুমি ন্যাল্ট্রেক্সোন কম বেশি ব্যবহার করো।")</f>
        <v>তোমার ডাক্তার এটার কথা শোনেননি। তোমার পুনর্বাসন তোমাকে এটা সম্পর্কে শেখায়নি। AA লোকেদের এটা খোলাখুলি আলোচনা করতে দেবে না। তুমি কেন মনে করো? এটা প্রমাণ ভিত্তিক, ক্লিনিক্যালি প্রমাণিত। এই রোগে আক্রান্ত বেশিরভাগ মানুষের মতো, তোমাকে সম্ভবত স্বল্পমেয়াদী, প্রয়োজনীয়, ন্যাল্ট্রেক্সোন এবং মদ্যপানের আগে এটি গ্রহণের পদ্ধতি সম্পর্কে বলা হয়নি, যা তোমার মস্তিষ্ককে যেকোনো স্তরে নামিয়ে আনতে সাহায্য করবে (অ্যালকোহলমুক্ত থাকাই সবচেয়ে স্বাস্থ্যকর লক্ষ্য)। অ্যালকোহলের প্রতি আকাঙ্ক্ষা এবং আবেগপ্রবণ চিন্তাভাবনা ধীরে ধীরে অদৃশ্য হয়ে যায়। মস্তিষ্ক নিজেকে পুনর্জীবিত করে এবং সুস্থ করে তোলে। এই পদ্ধতিটি ৪ জনের মধ্যে ৩ জনের জন্য কাজ করতে পারে যারা ৪-১২ মাস ধরে এক নিয়ম পদ্ধতিতে লেগে থাকতে পারে। মাস গড়ানোর সাথে সাথে তুমি ন্যাল্ট্রেক্সোন কম বেশি ব্যবহার করো।</v>
      </c>
    </row>
    <row r="1540" spans="1:3" ht="15" x14ac:dyDescent="0.25">
      <c r="A1540" s="3" t="s">
        <v>1534</v>
      </c>
      <c r="B1540" s="3" t="s">
        <v>997</v>
      </c>
      <c r="C1540" s="4" t="str">
        <f ca="1">IFERROR(__xludf.DUMMYFUNCTION("GOOGLETRANSLATE(A1540, ""auto"", ""bn"")"),"আমার শারীরিকভাবে হ্যাংওভার হয় না, তবে মানসিকভাবেও হ্যাংওভার হয়। আমি প্রতিদিন পান করি না, শুধুমাত্র সপ্তাহান্তে, তবে এটা অদ্ভুত যে আমি এত বেশি পান করতে পারি, অন্ধকারে চলে যেতে পারি, মাঝে মাঝে অজ্ঞান হয়ে যেতে পারি, এবং তারপর পরের দিন শারীরিকভাবে হ্যাংওভা"&amp;"র ছাড়াই ঘুম থেকে উঠতে পারি, কেবল হ্যাংওভারের উদ্বেগ যা আমাকে ভাবায় যে আমি গত রাতে খারাপ কিছু করেছি।")</f>
        <v>আমার শারীরিকভাবে হ্যাংওভার হয় না, তবে মানসিকভাবেও হ্যাংওভার হয়। আমি প্রতিদিন পান করি না, শুধুমাত্র সপ্তাহান্তে, তবে এটা অদ্ভুত যে আমি এত বেশি পান করতে পারি, অন্ধকারে চলে যেতে পারি, মাঝে মাঝে অজ্ঞান হয়ে যেতে পারি, এবং তারপর পরের দিন শারীরিকভাবে হ্যাংওভার ছাড়াই ঘুম থেকে উঠতে পারি, কেবল হ্যাংওভারের উদ্বেগ যা আমাকে ভাবায় যে আমি গত রাতে খারাপ কিছু করেছি।</v>
      </c>
    </row>
    <row r="1541" spans="1:3" ht="15" x14ac:dyDescent="0.25">
      <c r="A1541" s="3" t="s">
        <v>1535</v>
      </c>
      <c r="B1541" s="3" t="s">
        <v>997</v>
      </c>
      <c r="C1541" s="4" t="str">
        <f ca="1">IFERROR(__xludf.DUMMYFUNCTION("GOOGLETRANSLATE(A1541, ""auto"", ""bn"")"),"তো, আমি কয়েক মাস ধরে সপ্তাহে অন্তত একবার প্রচুর পরিমাণে (১২ পাউন্ড) মদ্যপান করছি, গত কয়েক মাস ধরে, সপ্তাহে ২ বার, কখনও কখনও ৩ বার (সাধারণত পুরো কেস শেষ করে, কখনও কখনও একাধিক কেস, ব্ল্যাক আউট ইত্যাদি) এবং সপ্তাহান্তে আমার একটা ধারণা হয়েছে যে আমি মদ্যপানকে "&amp;"অস্বাস্থ্যকরভাবে মোকাবেলা করার জন্য ব্যবহার করছি। আমি পুরো সপ্তাহান্তে মাতাল ছিলাম (ট্র্যাশে) এবং বিশ্বাস করি যে আমি এই তিন দিনের মধ্যে ৩০-৩৫+ পানীয় পান করেছি। ঘুম থেকে উঠেই ঘাম হয়, মাথাব্যথা হয়, স্বাভাবিকের চেয়ে বেশি আতঙ্কিত হই, হালকা ঝাঁকুনি দেই, এব"&amp;"ং কেবল অদ্ভুত বোধ করি। কেউ কি জানেন, এই ধরণের অ্যালকোহল সেবন কি আমাকে ডিটক্স করতে পারে? আমি ২৪/৭ AA মিটিং শুনেছি এবং সিদ্ধান্ত নিয়েছি যে আমার সম্পূর্ণ জীবনযাত্রা পরিবর্তন করা উচিত। এটি নিজেকে, সম্পর্ককে, আমার পুরো জীবনকে আঘাত করছে।")</f>
        <v>তো, আমি কয়েক মাস ধরে সপ্তাহে অন্তত একবার প্রচুর পরিমাণে (১২ পাউন্ড) মদ্যপান করছি, গত কয়েক মাস ধরে, সপ্তাহে ২ বার, কখনও কখনও ৩ বার (সাধারণত পুরো কেস শেষ করে, কখনও কখনও একাধিক কেস, ব্ল্যাক আউট ইত্যাদি) এবং সপ্তাহান্তে আমার একটা ধারণা হয়েছে যে আমি মদ্যপানকে অস্বাস্থ্যকরভাবে মোকাবেলা করার জন্য ব্যবহার করছি। আমি পুরো সপ্তাহান্তে মাতাল ছিলাম (ট্র্যাশে) এবং বিশ্বাস করি যে আমি এই তিন দিনের মধ্যে ৩০-৩৫+ পানীয় পান করেছি। ঘুম থেকে উঠেই ঘাম হয়, মাথাব্যথা হয়, স্বাভাবিকের চেয়ে বেশি আতঙ্কিত হই, হালকা ঝাঁকুনি দেই, এবং কেবল অদ্ভুত বোধ করি। কেউ কি জানেন, এই ধরণের অ্যালকোহল সেবন কি আমাকে ডিটক্স করতে পারে? আমি ২৪/৭ AA মিটিং শুনেছি এবং সিদ্ধান্ত নিয়েছি যে আমার সম্পূর্ণ জীবনযাত্রা পরিবর্তন করা উচিত। এটি নিজেকে, সম্পর্ককে, আমার পুরো জীবনকে আঘাত করছে।</v>
      </c>
    </row>
    <row r="1542" spans="1:3" ht="15" x14ac:dyDescent="0.25">
      <c r="A1542" s="3" t="s">
        <v>1536</v>
      </c>
      <c r="B1542" s="3" t="s">
        <v>997</v>
      </c>
      <c r="C1542" s="4" t="str">
        <f ca="1">IFERROR(__xludf.DUMMYFUNCTION("GOOGLETRANSLATE(A1542, ""auto"", ""bn"")"),"এই বছর ক্রিসমাসের দিন আমার বাবা যখন কেবিনে ছিলেন, তখন তার হার্ট অ্যাটাক হয়েছিল এবং আজই তাকে যত্ন থেকে সরে এসে তার অঙ্গদানের সিদ্ধান্ত নিতে হয়েছিল। গত কয়েক বছর ধরে তাকে মদ্যপানের সাথে লড়াই করতে দেখা আমার জন্য সবচেয়ে কঠিন ছিল, এবং আজ রাতে ঘরে ঘুরে বেড়"&amp;"ানো আমার জন্য কঠিন ছিল। আপনার পরিবারের প্রতি ভালোবাসা দেখান, এমনকি যখন তারা পরিস্থিতিকে চ্যালেঞ্জিং করে তুলছে, তখনও আমাদের আগামীকাল প্রতিশ্রুতি দেওয়া হয় না।")</f>
        <v>এই বছর ক্রিসমাসের দিন আমার বাবা যখন কেবিনে ছিলেন, তখন তার হার্ট অ্যাটাক হয়েছিল এবং আজই তাকে যত্ন থেকে সরে এসে তার অঙ্গদানের সিদ্ধান্ত নিতে হয়েছিল। গত কয়েক বছর ধরে তাকে মদ্যপানের সাথে লড়াই করতে দেখা আমার জন্য সবচেয়ে কঠিন ছিল, এবং আজ রাতে ঘরে ঘুরে বেড়ানো আমার জন্য কঠিন ছিল। আপনার পরিবারের প্রতি ভালোবাসা দেখান, এমনকি যখন তারা পরিস্থিতিকে চ্যালেঞ্জিং করে তুলছে, তখনও আমাদের আগামীকাল প্রতিশ্রুতি দেওয়া হয় না।</v>
      </c>
    </row>
    <row r="1543" spans="1:3" ht="15" x14ac:dyDescent="0.25">
      <c r="A1543" s="3" t="s">
        <v>1537</v>
      </c>
      <c r="B1543" s="3" t="s">
        <v>997</v>
      </c>
      <c r="C1543" s="4" t="str">
        <f ca="1">IFERROR(__xludf.DUMMYFUNCTION("GOOGLETRANSLATE(A1543, ""auto"", ""bn"")"),"এটা আমার পঞ্চম বছর ধরে মদ্যপান বন্ধ। হ্যাঁ, এটা খারাপ। হ্যাঁ, এটা মদ্যপ হওয়ার চেয়ে ভালো। ছুটির দিনে সুস্থ থাকার জন্য সকলের জন্য - আলিঙ্গন এবং ভালোবাসা। শুভকামনা! ছুটির দিনে মদ্যপান করা উচিত নয় জেনেও - আলিঙ্গন এবং ভালোবাসা। আপনার উচিত নয় জেনেও ভালো কাজ"&amp;"। থামতে হবে না জেনেও থামতে পারছি না।")</f>
        <v>এটা আমার পঞ্চম বছর ধরে মদ্যপান বন্ধ। হ্যাঁ, এটা খারাপ। হ্যাঁ, এটা মদ্যপ হওয়ার চেয়ে ভালো। ছুটির দিনে সুস্থ থাকার জন্য সকলের জন্য - আলিঙ্গন এবং ভালোবাসা। শুভকামনা! ছুটির দিনে মদ্যপান করা উচিত নয় জেনেও - আলিঙ্গন এবং ভালোবাসা। আপনার উচিত নয় জেনেও ভালো কাজ। থামতে হবে না জেনেও থামতে পারছি না।</v>
      </c>
    </row>
    <row r="1544" spans="1:3" ht="15" x14ac:dyDescent="0.25">
      <c r="A1544" s="3" t="s">
        <v>1538</v>
      </c>
      <c r="B1544" s="3" t="s">
        <v>997</v>
      </c>
      <c r="C1544" s="4" t="str">
        <f ca="1">IFERROR(__xludf.DUMMYFUNCTION("GOOGLETRANSLATE(A1544, ""auto"", ""bn"")"),"ঠিক আছে, এটা খুব বাজে কথা মনে হতে পারে, কিন্তু আমি শুধু তোমার মতামত জানতে চেয়েছিলাম। আমি ১১ মাস ধরে শান্ত ছিলাম এবং আমার অবস্থা দেখে খুব খুশি হয়েছিলাম। সম্প্রতি ক্রিসমাসের ছুটিতে আমি আমার বাবা-মায়ের সাথে ছিলাম এবং আমাকে কেক দেওয়া হয়েছিল। কেকটি খেয়ে "&amp;"উপকরণগুলি দেখার পরই আমি বলেছিলাম যে রাম আছে। সাধারণত ঠিক আছে, আমি জানি রান্না করে অ্যালকোহল পুড়িয়ে ফেলা যায়, কিন্তু বাক্সে খুব স্পষ্টভাবে লেখা আছে ""অ্যালকোহল আছে?""। তাহলে আমার প্রশ্ন হল, টিটোটাল প্রেমীরা, তোমরা কি এমন কোনও এবং সমস্ত ভালো জিনিস এড়িয়"&amp;"ে চলো যাতে অ্যালকোহল থাকতে পারে?")</f>
        <v>ঠিক আছে, এটা খুব বাজে কথা মনে হতে পারে, কিন্তু আমি শুধু তোমার মতামত জানতে চেয়েছিলাম। আমি ১১ মাস ধরে শান্ত ছিলাম এবং আমার অবস্থা দেখে খুব খুশি হয়েছিলাম। সম্প্রতি ক্রিসমাসের ছুটিতে আমি আমার বাবা-মায়ের সাথে ছিলাম এবং আমাকে কেক দেওয়া হয়েছিল। কেকটি খেয়ে উপকরণগুলি দেখার পরই আমি বলেছিলাম যে রাম আছে। সাধারণত ঠিক আছে, আমি জানি রান্না করে অ্যালকোহল পুড়িয়ে ফেলা যায়, কিন্তু বাক্সে খুব স্পষ্টভাবে লেখা আছে "অ্যালকোহল আছে?"। তাহলে আমার প্রশ্ন হল, টিটোটাল প্রেমীরা, তোমরা কি এমন কোনও এবং সমস্ত ভালো জিনিস এড়িয়ে চলো যাতে অ্যালকোহল থাকতে পারে?</v>
      </c>
    </row>
    <row r="1545" spans="1:3" ht="15" x14ac:dyDescent="0.25">
      <c r="A1545" s="3" t="s">
        <v>1539</v>
      </c>
      <c r="B1545" s="3" t="s">
        <v>997</v>
      </c>
      <c r="C1545" s="4" t="str">
        <f ca="1">IFERROR(__xludf.DUMMYFUNCTION("GOOGLETRANSLATE(A1545, ""auto"", ""bn"")"),"তার বয়স মাত্র ৩২ বছর, কিন্তু আমি যতদিন তাকে চিনি, ততদিন সে অভ্যাসগতভাবে মদ্যপান করত - যখন সে ১৯ বছর বয়স। তার ভাইও অভ্যাসগতভাবে মদ্যপান করত। মদ্যপানের কারণে লিভার এবং কিডনি বিকল হয়ে যাওয়ার কথা আমাকে বলা হয়েছে। আমি তার পরিবারের সাথে নিশ্চিত নই, এবং ৫ বছর ধর"&amp;"ে তাকে দেখিনি, তবে আমি জানি সে বারটেন্ডারিং করছিল। আমিও কি তাই? এটা কীভাবে ঘটল? ২০২২ সালটা ভালো হবে কারণ আমি ১০০% সুস্থ থাকব, এবং মদ্যপানের মতো দীর্ঘস্থায়ী আত্মহত্যার ক্ষেত্রে আমি অবদান রাখব না। এই বছর মদ্যপানের কারণে আমার বন্ধুদের হারানোর সংখ্যা ভয়াবহ।")</f>
        <v>তার বয়স মাত্র ৩২ বছর, কিন্তু আমি যতদিন তাকে চিনি, ততদিন সে অভ্যাসগতভাবে মদ্যপান করত - যখন সে ১৯ বছর বয়স। তার ভাইও অভ্যাসগতভাবে মদ্যপান করত। মদ্যপানের কারণে লিভার এবং কিডনি বিকল হয়ে যাওয়ার কথা আমাকে বলা হয়েছে। আমি তার পরিবারের সাথে নিশ্চিত নই, এবং ৫ বছর ধরে তাকে দেখিনি, তবে আমি জানি সে বারটেন্ডারিং করছিল। আমিও কি তাই? এটা কীভাবে ঘটল? ২০২২ সালটা ভালো হবে কারণ আমি ১০০% সুস্থ থাকব, এবং মদ্যপানের মতো দীর্ঘস্থায়ী আত্মহত্যার ক্ষেত্রে আমি অবদান রাখব না। এই বছর মদ্যপানের কারণে আমার বন্ধুদের হারানোর সংখ্যা ভয়াবহ।</v>
      </c>
    </row>
    <row r="1546" spans="1:3" ht="15" x14ac:dyDescent="0.25">
      <c r="A1546" s="3" t="s">
        <v>1540</v>
      </c>
      <c r="B1546" s="3" t="s">
        <v>997</v>
      </c>
      <c r="C1546" s="4" t="str">
        <f ca="1">IFERROR(__xludf.DUMMYFUNCTION("GOOGLETRANSLATE(A1546, ""auto"", ""bn"")"),"আমার অবস্থা ভালো ছিল। আমি একজন কট্টর মদ্যপ। তাছাড়া, আমি ৪ দিন ধরে বেন্ডারে আছি। তাছাড়া, আমি অসুস্থ বলে অফিসে ফোন করেছিলাম। তাছাড়া, আমি সম্ভবত আমার চাকরি হারাতে যাচ্ছি। তাছাড়া, আমি আমার চারপাশের সকলের কাছে মিথ্যা বলছি। তাছাড়া, আমি কমানোর চেষ্টা করছি। "&amp;"তাছাড়া, আমি জানি আমি থামতে পারছি না। যদিও এটা খুবই কঠিন। যখন তুমি জানো যে শুধু ওই পানীয় পান করলেই সাহায্য হবে তখন এটা খুবই কঠিন..... কিন্তু তা হয় না। উদ্বেগ নিয়ন্ত্রণের বাইরে। আমি শান্ত থাকার চেষ্টা করছি। আমি আগেও এই পরিস্থিতির মধ্য দিয়ে গেছি। তাছাড়"&amp;"া, আমি জানি আগামীকাল আমার ভালো লাগবে। যতক্ষণ আমি কম সময়সূচী মেনে চলব। আমি আশা করি আমি যথেষ্ট শক্তিশালী থাকব। আমি এটা ঘৃণা করি। তাছাড়া, আমি যদি কখনও মদ্যপান শুরু না করতাম।")</f>
        <v>আমার অবস্থা ভালো ছিল। আমি একজন কট্টর মদ্যপ। তাছাড়া, আমি ৪ দিন ধরে বেন্ডারে আছি। তাছাড়া, আমি অসুস্থ বলে অফিসে ফোন করেছিলাম। তাছাড়া, আমি সম্ভবত আমার চাকরি হারাতে যাচ্ছি। তাছাড়া, আমি আমার চারপাশের সকলের কাছে মিথ্যা বলছি। তাছাড়া, আমি কমানোর চেষ্টা করছি। তাছাড়া, আমি জানি আমি থামতে পারছি না। যদিও এটা খুবই কঠিন। যখন তুমি জানো যে শুধু ওই পানীয় পান করলেই সাহায্য হবে তখন এটা খুবই কঠিন..... কিন্তু তা হয় না। উদ্বেগ নিয়ন্ত্রণের বাইরে। আমি শান্ত থাকার চেষ্টা করছি। আমি আগেও এই পরিস্থিতির মধ্য দিয়ে গেছি। তাছাড়া, আমি জানি আগামীকাল আমার ভালো লাগবে। যতক্ষণ আমি কম সময়সূচী মেনে চলব। আমি আশা করি আমি যথেষ্ট শক্তিশালী থাকব। আমি এটা ঘৃণা করি। তাছাড়া, আমি যদি কখনও মদ্যপান শুরু না করতাম।</v>
      </c>
    </row>
    <row r="1547" spans="1:3" ht="15" x14ac:dyDescent="0.25">
      <c r="A1547" s="3" t="s">
        <v>1541</v>
      </c>
      <c r="B1547" s="3" t="s">
        <v>997</v>
      </c>
      <c r="C1547" s="4" t="str">
        <f ca="1">IFERROR(__xludf.DUMMYFUNCTION("GOOGLETRANSLATE(A1547, ""auto"", ""bn"")"),"আমি ক্রিসমাসের আগের রাতে এবং ক্রিসমাসের দিন পান করেছি। আমি হ্যাংওভারকে ঘৃণা করি এবং আমি কেবল সেল্টজার জলই পেট ভরে দিতে পারি, এবং আমার মস্তিষ্ক এবং চোখের পিছনের অংশ প্লাবিত এবং ভারী মনে হয় যেন ওই জায়গায় অনেক জল জমে আছে। তাছাড়া, হ্যাংওভারের দিন আমার টেক্"&amp;"সটগুলি মাতাল বা অদ্ভুত শোনালেও আমি পড়তে ঘৃণা করি কারণ এটি আমার জন্য শান্ত নয় এবং আরও অসৎ মনে হয়। যাই হোক, আমি বকবক করতে এবং অভিযোগ করতে চেয়েছিলাম।")</f>
        <v>আমি ক্রিসমাসের আগের রাতে এবং ক্রিসমাসের দিন পান করেছি। আমি হ্যাংওভারকে ঘৃণা করি এবং আমি কেবল সেল্টজার জলই পেট ভরে দিতে পারি, এবং আমার মস্তিষ্ক এবং চোখের পিছনের অংশ প্লাবিত এবং ভারী মনে হয় যেন ওই জায়গায় অনেক জল জমে আছে। তাছাড়া, হ্যাংওভারের দিন আমার টেক্সটগুলি মাতাল বা অদ্ভুত শোনালেও আমি পড়তে ঘৃণা করি কারণ এটি আমার জন্য শান্ত নয় এবং আরও অসৎ মনে হয়। যাই হোক, আমি বকবক করতে এবং অভিযোগ করতে চেয়েছিলাম।</v>
      </c>
    </row>
    <row r="1548" spans="1:3" ht="15" x14ac:dyDescent="0.25">
      <c r="A1548" s="3" t="s">
        <v>1542</v>
      </c>
      <c r="B1548" s="3" t="s">
        <v>997</v>
      </c>
      <c r="C1548" s="4" t="str">
        <f ca="1">IFERROR(__xludf.DUMMYFUNCTION("GOOGLETRANSLATE(A1548, ""auto"", ""bn"")"),"আমি কখনো ভাবিনি যে এটা আমার সাথে ঘটতে পারে। যাইহোক, এটা কোন দুঃখের অনুষ্ঠান নয়। শুধু কিছু কথাবার্তা। আমি মনে করি জিনিসপত্র নথিভুক্ত করার জন্য এবং হয়তো একা বোধ না করার জন্য। এটি লেখার সময়, আমি মূলত সবকিছু হারিয়ে ফেলেছি। আমার কথা বলার জন্য প্রায় কোনও প"&amp;"রিবার নেই, বন্ধু নেই, সহকর্মী নেই। আমার মূলত অর্থের অভাব রয়েছে, কিন্তু আমার খাওয়ার জন্য খাবার আছে, তাই এটি এত খারাপ নয়। আমি এবং আমার বিড়াল, ওটমিল। অন্তত সে আমাকে পছন্দ করে। গত 6-7 বছর আমার জন্য বেশিরভাগই খারাপ ছিল। এবং আমার নিজেকে ছাড়া আমার আর কেউ দো"&amp;"ষারোপ করার নেই। আমি অসংখ্য সম্পর্ক এবং বন্ধুত্ব নষ্ট করেছি এবং হারিয়েছি, প্রচুর অর্থ অর্জন করেছি এবং প্রচুর অর্থ হারিয়েছি। এর অনেকটাই মদ্যপান এবং আসক্তির সাথে সম্পর্কিত। কিন্তু আমি যেমন বলেছি, নিজেকে ছাড়া আমার আর কেউ দোষারোপ করার নেই।")</f>
        <v>আমি কখনো ভাবিনি যে এটা আমার সাথে ঘটতে পারে। যাইহোক, এটা কোন দুঃখের অনুষ্ঠান নয়। শুধু কিছু কথাবার্তা। আমি মনে করি জিনিসপত্র নথিভুক্ত করার জন্য এবং হয়তো একা বোধ না করার জন্য। এটি লেখার সময়, আমি মূলত সবকিছু হারিয়ে ফেলেছি। আমার কথা বলার জন্য প্রায় কোনও পরিবার নেই, বন্ধু নেই, সহকর্মী নেই। আমার মূলত অর্থের অভাব রয়েছে, কিন্তু আমার খাওয়ার জন্য খাবার আছে, তাই এটি এত খারাপ নয়। আমি এবং আমার বিড়াল, ওটমিল। অন্তত সে আমাকে পছন্দ করে। গত 6-7 বছর আমার জন্য বেশিরভাগই খারাপ ছিল। এবং আমার নিজেকে ছাড়া আমার আর কেউ দোষারোপ করার নেই। আমি অসংখ্য সম্পর্ক এবং বন্ধুত্ব নষ্ট করেছি এবং হারিয়েছি, প্রচুর অর্থ অর্জন করেছি এবং প্রচুর অর্থ হারিয়েছি। এর অনেকটাই মদ্যপান এবং আসক্তির সাথে সম্পর্কিত। কিন্তু আমি যেমন বলেছি, নিজেকে ছাড়া আমার আর কেউ দোষারোপ করার নেই।</v>
      </c>
    </row>
    <row r="1549" spans="1:3" ht="15" x14ac:dyDescent="0.25">
      <c r="A1549" s="3" t="s">
        <v>1543</v>
      </c>
      <c r="B1549" s="3" t="s">
        <v>997</v>
      </c>
      <c r="C1549" s="4" t="str">
        <f ca="1">IFERROR(__xludf.DUMMYFUNCTION("GOOGLETRANSLATE(A1549, ""auto"", ""bn"")"),"তাই আমি জানতে চেয়েছিলাম যে আমি প্রতি মাসে মদের পিছনে কত খরচ করি, তাই জুন থেকে এখন পর্যন্ত আমার বিবৃতি ছাপিয়েছি। আমি গড়ে সপ্তাহে ৩০০-৬০০ ডলার মদের পিছনে খরচ করছিলাম (এটাই আমি ঠিক করেছিলাম। আমি নগদ অর্থের জন্য অনেক বেশি খরচ করতাম এবং বন্ধুদের পানীয় কেনা"&amp;", বন্ধুদের সাথে প্রেমের সম্পর্ক স্থাপন, বাবা-মায়ের কাছ থেকে মদ চুরি ইত্যাদির কারণে আমি অনেক বেশি সেবন করতাম)। অর্থাৎ মাসে ১,২০০ থেকে ২,৪০০ ডলার শুধু মদের পিছনে। আমি আমার বেতনের প্রায় ১/৪ থেকে ১/২ অংশ এতে ব্যয় করতাম। এটা পাগলামি!")</f>
        <v>তাই আমি জানতে চেয়েছিলাম যে আমি প্রতি মাসে মদের পিছনে কত খরচ করি, তাই জুন থেকে এখন পর্যন্ত আমার বিবৃতি ছাপিয়েছি। আমি গড়ে সপ্তাহে ৩০০-৬০০ ডলার মদের পিছনে খরচ করছিলাম (এটাই আমি ঠিক করেছিলাম। আমি নগদ অর্থের জন্য অনেক বেশি খরচ করতাম এবং বন্ধুদের পানীয় কেনা, বন্ধুদের সাথে প্রেমের সম্পর্ক স্থাপন, বাবা-মায়ের কাছ থেকে মদ চুরি ইত্যাদির কারণে আমি অনেক বেশি সেবন করতাম)। অর্থাৎ মাসে ১,২০০ থেকে ২,৪০০ ডলার শুধু মদের পিছনে। আমি আমার বেতনের প্রায় ১/৪ থেকে ১/২ অংশ এতে ব্যয় করতাম। এটা পাগলামি!</v>
      </c>
    </row>
    <row r="1550" spans="1:3" ht="15" x14ac:dyDescent="0.25">
      <c r="A1550" s="3" t="s">
        <v>1544</v>
      </c>
      <c r="B1550" s="3" t="s">
        <v>997</v>
      </c>
      <c r="C1550" s="4" t="str">
        <f ca="1">IFERROR(__xludf.DUMMYFUNCTION("GOOGLETRANSLATE(A1550, ""auto"", ""bn"")"),"আমি ১৬ বছর বয়স থেকেই খুব মদ্যপান করি, কলেজ পর্যন্ত পার্টিতে মদ্যপান করি এবং তারপর স্কুলে যাওয়ার পর মদ্যপানের নেশায় মত্ত থাকি। গত কয়েক মাস ধরে আমি এতে বিরক্ত হয়ে পড়েছি, আমি জীবনে প্রচুর মাদক গ্রহণ করেছি এবং মজা করেছি, আমার পুরো পরিবার মদ্যপান করে এবং"&amp;" মদ্যপানের দীর্ঘ ধারা থেকে এসেছি। এটা চালিয়ে যাওয়ার কোনও তাগিদ আমার নেই। সত্যি বলতে, আমি নিজেকে একঘেয়ে মনে করছি, এবং সম্প্রতি মদ্যপান কমিয়ে দিচ্ছি। এটা হতে পারে কারণ আমি স্নাতক হওয়ার পর থেকেই, যদিও আমি সবসময় ""সত্যিকারের"" মদ্যপায়ী হওয়ার ভয় পেতাম"&amp;"। আমি আশা করি ""একঘেয়েমি""র এই ধারা অব্যাহত থাকবে কিন্তু এই ধারাবাহিকতা বজায় রাখার জন্য কারও কাছে কি কোন টিপস আছে? অথবা এমনকি DFW টেক্সাসে একটি AA-এর লিঙ্ক দিয়েও আমি সম্পূর্ণরূপে সুস্থ থাকতে পারি।")</f>
        <v>আমি ১৬ বছর বয়স থেকেই খুব মদ্যপান করি, কলেজ পর্যন্ত পার্টিতে মদ্যপান করি এবং তারপর স্কুলে যাওয়ার পর মদ্যপানের নেশায় মত্ত থাকি। গত কয়েক মাস ধরে আমি এতে বিরক্ত হয়ে পড়েছি, আমি জীবনে প্রচুর মাদক গ্রহণ করেছি এবং মজা করেছি, আমার পুরো পরিবার মদ্যপান করে এবং মদ্যপানের দীর্ঘ ধারা থেকে এসেছি। এটা চালিয়ে যাওয়ার কোনও তাগিদ আমার নেই। সত্যি বলতে, আমি নিজেকে একঘেয়ে মনে করছি, এবং সম্প্রতি মদ্যপান কমিয়ে দিচ্ছি। এটা হতে পারে কারণ আমি স্নাতক হওয়ার পর থেকেই, যদিও আমি সবসময় "সত্যিকারের" মদ্যপায়ী হওয়ার ভয় পেতাম। আমি আশা করি "একঘেয়েমি"র এই ধারা অব্যাহত থাকবে কিন্তু এই ধারাবাহিকতা বজায় রাখার জন্য কারও কাছে কি কোন টিপস আছে? অথবা এমনকি DFW টেক্সাসে একটি AA-এর লিঙ্ক দিয়েও আমি সম্পূর্ণরূপে সুস্থ থাকতে পারি।</v>
      </c>
    </row>
    <row r="1551" spans="1:3" ht="15" x14ac:dyDescent="0.25">
      <c r="A1551" s="3" t="s">
        <v>1545</v>
      </c>
      <c r="B1551" s="3" t="s">
        <v>997</v>
      </c>
      <c r="C1551" s="4" t="str">
        <f ca="1">IFERROR(__xludf.DUMMYFUNCTION("GOOGLETRANSLATE(A1551, ""auto"", ""bn"")"),"আমি একজন মদ্যপ। এটা বুঝতে আমার দুটি সম্পর্ক ভেঙে যেতে হয়েছে। দুটোতেই, আমার সবসময় মনে পড়ে যে আমার সঙ্গী আমাকে বলত যে আমি যদি মদ্যপান বন্ধ করে দেই তাহলে ঠিক হবে। আমি থামতে চাই। প্রতি রাতে আমি নিজেকে বলি এটা আমার শেষ পানীয়। তারপর পরের দিন আমি মাতাল হয়ে "&amp;"যাই। আমি AA মিটিং চেষ্টা করেছি, কিন্তু সেগুলো সবসময় আমাকে আংশিক অস্বস্তিতে ফেলে কারণ আমার নিজের শহরের সবাই ধার্মিক (আমি খ্রিস্টান বা ধার্মিক নই)। আমি জানি রেডিট ব্যবহারকারীদের কাছ থেকে আমি সম্ভবত কিছু নিষ্ঠুর/অপমানজনক মন্তব্য পাব, কিন্তু যারা নিজেদের সবচ"&amp;"েয়ে খারাপ অনুভব করেছেন, তাদের কাছে আমি কীভাবে এটি কাটিয়ে উঠতে শুরু করব? এটি একটি বিশাল প্রতিবন্ধকতা, এবং আমি এটিকে খারাপভাবে কাটিয়ে উঠতে চাই, কিন্তু পদক্ষেপগুলি কী কী?")</f>
        <v>আমি একজন মদ্যপ। এটা বুঝতে আমার দুটি সম্পর্ক ভেঙে যেতে হয়েছে। দুটোতেই, আমার সবসময় মনে পড়ে যে আমার সঙ্গী আমাকে বলত যে আমি যদি মদ্যপান বন্ধ করে দেই তাহলে ঠিক হবে। আমি থামতে চাই। প্রতি রাতে আমি নিজেকে বলি এটা আমার শেষ পানীয়। তারপর পরের দিন আমি মাতাল হয়ে যাই। আমি AA মিটিং চেষ্টা করেছি, কিন্তু সেগুলো সবসময় আমাকে আংশিক অস্বস্তিতে ফেলে কারণ আমার নিজের শহরের সবাই ধার্মিক (আমি খ্রিস্টান বা ধার্মিক নই)। আমি জানি রেডিট ব্যবহারকারীদের কাছ থেকে আমি সম্ভবত কিছু নিষ্ঠুর/অপমানজনক মন্তব্য পাব, কিন্তু যারা নিজেদের সবচেয়ে খারাপ অনুভব করেছেন, তাদের কাছে আমি কীভাবে এটি কাটিয়ে উঠতে শুরু করব? এটি একটি বিশাল প্রতিবন্ধকতা, এবং আমি এটিকে খারাপভাবে কাটিয়ে উঠতে চাই, কিন্তু পদক্ষেপগুলি কী কী?</v>
      </c>
    </row>
    <row r="1552" spans="1:3" ht="15" x14ac:dyDescent="0.25">
      <c r="A1552" s="3" t="s">
        <v>1546</v>
      </c>
      <c r="B1552" s="3" t="s">
        <v>997</v>
      </c>
      <c r="C1552" s="4" t="str">
        <f ca="1">IFERROR(__xludf.DUMMYFUNCTION("GOOGLETRANSLATE(A1552, ""auto"", ""bn"")"),"৬ দিন ধরে অতিরিক্ত মদ্যপানের ফলে আমার ক্ষুধা কমে যাওয়া এবং বমি হওয়ার পর আমি এখন তা ছেড়ে দিচ্ছি। ২৩ বছর বয়স। কয়েক বছর ধরে প্রচুর মদ্যপান করছি। মাঝে মাঝে কিন্তু গত ৮ মাস ধরে বেশ স্থিতিশীল। ধীরে ধীরে ক্ষুধা ফিরে আসছে এবং আমার পেটের প্রদাহ কমে যাচ্ছে বলে মনে "&amp;"হচ্ছে। এখনও খুব একটা খেতে পারছি না। আরও ভালো হওয়ার অপেক্ষায় আছি।")</f>
        <v>৬ দিন ধরে অতিরিক্ত মদ্যপানের ফলে আমার ক্ষুধা কমে যাওয়া এবং বমি হওয়ার পর আমি এখন তা ছেড়ে দিচ্ছি। ২৩ বছর বয়স। কয়েক বছর ধরে প্রচুর মদ্যপান করছি। মাঝে মাঝে কিন্তু গত ৮ মাস ধরে বেশ স্থিতিশীল। ধীরে ধীরে ক্ষুধা ফিরে আসছে এবং আমার পেটের প্রদাহ কমে যাচ্ছে বলে মনে হচ্ছে। এখনও খুব একটা খেতে পারছি না। আরও ভালো হওয়ার অপেক্ষায় আছি।</v>
      </c>
    </row>
    <row r="1553" spans="1:3" ht="15" x14ac:dyDescent="0.25">
      <c r="A1553" s="3" t="s">
        <v>1547</v>
      </c>
      <c r="B1553" s="3" t="s">
        <v>997</v>
      </c>
      <c r="C1553" s="4" t="str">
        <f ca="1">IFERROR(__xludf.DUMMYFUNCTION("GOOGLETRANSLATE(A1553, ""auto"", ""bn"")"),"আমি ২৪ বছর বয়সী একজন যুবক, অ্যালকোহল আসক্তি নিয়ে চিন্তিত। ১৬ বছর বয়স থেকে আমি সবসময় প্রচুর মদ্যপান করি। যুক্তরাজ্যে প্রথম লকডাউনের পর থেকে আমি আমার অ্যালকোহল গ্রহণ প্রায় ৭০% বাড়িয়ে দিয়েছি। আমি প্রতিদিন মদ্যপান করি না, কিন্তু যখন আমি মদ্যপান করি তখ"&amp;"ন আমার মূল লক্ষ্য হল খারাপ আচরণ করা, যদিও তা আমার বান্ধবীর সাথে কয়েকটি শান্ত অভ্যাসের জন্যই হয়। পল পারসন যখন তার মদ্যপান এবং জুয়ার অভ্যাস সম্পর্কে কথা বলছিলেন তখন আমি তার সাথে অনেক কিছুর কথা বলেছিলাম এবং আমি নিজেকে একই আসক্তির সাথে দেখি। বন্ধুবান্ধব বা"&amp;" পরিবারের সাথে মাতাল হওয়া সামাজিকভাবে গ্রহণযোগ্য বলে আমি অনেক কিছু এড়িয়ে যেতে পারি, তবে আমি চিন্তিত যে ভবিষ্যতে কী হবে যদি আমি এটি নিয়ন্ত্রণে না আনতে পারি, আমি অ্যালকোহল ছাড়া জীবনকে কিছুটা বিরক্তিকর মনে করি। যেমন আমি যদি কখনও একা বাড়িতে থাকি, আমি কে"&amp;"বল বসে সিনেমা দেখতে পারি না, আমাকে কোনও না কোনওভাবে মদ্যপানের জন্য অজুহাত তৈরি করতে হবে, আমি আরও অনেক কিছু বলতে পারি তবে কীভাবে এটি বলব তা নিশ্চিত নই, যেকোনো পরামর্শের জন্য কৃতজ্ঞ।")</f>
        <v>আমি ২৪ বছর বয়সী একজন যুবক, অ্যালকোহল আসক্তি নিয়ে চিন্তিত। ১৬ বছর বয়স থেকে আমি সবসময় প্রচুর মদ্যপান করি। যুক্তরাজ্যে প্রথম লকডাউনের পর থেকে আমি আমার অ্যালকোহল গ্রহণ প্রায় ৭০% বাড়িয়ে দিয়েছি। আমি প্রতিদিন মদ্যপান করি না, কিন্তু যখন আমি মদ্যপান করি তখন আমার মূল লক্ষ্য হল খারাপ আচরণ করা, যদিও তা আমার বান্ধবীর সাথে কয়েকটি শান্ত অভ্যাসের জন্যই হয়। পল পারসন যখন তার মদ্যপান এবং জুয়ার অভ্যাস সম্পর্কে কথা বলছিলেন তখন আমি তার সাথে অনেক কিছুর কথা বলেছিলাম এবং আমি নিজেকে একই আসক্তির সাথে দেখি। বন্ধুবান্ধব বা পরিবারের সাথে মাতাল হওয়া সামাজিকভাবে গ্রহণযোগ্য বলে আমি অনেক কিছু এড়িয়ে যেতে পারি, তবে আমি চিন্তিত যে ভবিষ্যতে কী হবে যদি আমি এটি নিয়ন্ত্রণে না আনতে পারি, আমি অ্যালকোহল ছাড়া জীবনকে কিছুটা বিরক্তিকর মনে করি। যেমন আমি যদি কখনও একা বাড়িতে থাকি, আমি কেবল বসে সিনেমা দেখতে পারি না, আমাকে কোনও না কোনওভাবে মদ্যপানের জন্য অজুহাত তৈরি করতে হবে, আমি আরও অনেক কিছু বলতে পারি তবে কীভাবে এটি বলব তা নিশ্চিত নই, যেকোনো পরামর্শের জন্য কৃতজ্ঞ।</v>
      </c>
    </row>
    <row r="1554" spans="1:3" ht="15" x14ac:dyDescent="0.25">
      <c r="A1554" s="3" t="s">
        <v>1548</v>
      </c>
      <c r="B1554" s="3" t="s">
        <v>997</v>
      </c>
      <c r="C1554" s="4" t="str">
        <f ca="1">IFERROR(__xludf.DUMMYFUNCTION("GOOGLETRANSLATE(A1554, ""auto"", ""bn"")"),"এক মাসে খুব একটা কিছু খাইনি, খেতে বা পানি পান করতে পারছি না, দিনে ১৫টি সাইডার পান করার ফলে মনে হচ্ছে আমি মারা যাচ্ছি। ৫ ঘন্টা ঘুমিয়ে ঘুমিয়ে খুব অসুস্থ হয়ে পড়লাম, হৃদস্পন্দন এবং মাথা ঘুরছিল, ২টি সাইডার পান করলেও আমি কমাতে চেষ্টা করছি। আমি একা থাকি এবং "&amp;"দুবার খিঁচুনির ভয়ে ভীত, এবং তারা শুধু বলে যে শারীরিক অবসাদ ঠিক আছে এবং বাড়ি চলে যাও। সত্যিই মনে হচ্ছে এখনই শেষ। মেডিকেল ডিটক্স করতে চাইব কিন্তু একটাও পাবো না। সবসময় ভেবেছিলাম এভাবেই শেষ হবে?। আমার অসুস্থতার কারণে কীভাবে এগিয়ে যাব জানি না। জানুয়ারি থে"&amp;"কে আমার গ্রুপ শুরু হয়, কিন্তু শারীরিকভাবে আমার ভালো লাগছে না। মাথাটা যেন ফেটে যাওয়ার মতো। জল খাওয়ার চেষ্টা করার সময় খুব একটা ভাগ্য খারাপ। ভেন্টের জন্য দুঃখিত। শুধু ভয় পেয়েছি।")</f>
        <v>এক মাসে খুব একটা কিছু খাইনি, খেতে বা পানি পান করতে পারছি না, দিনে ১৫টি সাইডার পান করার ফলে মনে হচ্ছে আমি মারা যাচ্ছি। ৫ ঘন্টা ঘুমিয়ে ঘুমিয়ে খুব অসুস্থ হয়ে পড়লাম, হৃদস্পন্দন এবং মাথা ঘুরছিল, ২টি সাইডার পান করলেও আমি কমাতে চেষ্টা করছি। আমি একা থাকি এবং দুবার খিঁচুনির ভয়ে ভীত, এবং তারা শুধু বলে যে শারীরিক অবসাদ ঠিক আছে এবং বাড়ি চলে যাও। সত্যিই মনে হচ্ছে এখনই শেষ। মেডিকেল ডিটক্স করতে চাইব কিন্তু একটাও পাবো না। সবসময় ভেবেছিলাম এভাবেই শেষ হবে?। আমার অসুস্থতার কারণে কীভাবে এগিয়ে যাব জানি না। জানুয়ারি থেকে আমার গ্রুপ শুরু হয়, কিন্তু শারীরিকভাবে আমার ভালো লাগছে না। মাথাটা যেন ফেটে যাওয়ার মতো। জল খাওয়ার চেষ্টা করার সময় খুব একটা ভাগ্য খারাপ। ভেন্টের জন্য দুঃখিত। শুধু ভয় পেয়েছি।</v>
      </c>
    </row>
    <row r="1555" spans="1:3" ht="15" x14ac:dyDescent="0.25">
      <c r="A1555" s="3" t="s">
        <v>1549</v>
      </c>
      <c r="B1555" s="3" t="s">
        <v>997</v>
      </c>
      <c r="C1555" s="4" t="str">
        <f ca="1">IFERROR(__xludf.DUMMYFUNCTION("GOOGLETRANSLATE(A1555, ""auto"", ""bn"")"),"আমি শান্ত থাকতে চাই। কোথা থেকে শুরু করব জানি না। তাছাড়া, আমি অনেক সামাজিক মদ্যপানকারীদের সাথে মিশে আছি। তাছাড়া, আমি এমন এক বয়সে আছি যেখানে মদ্যপানের সংস্কৃতি এতটাই দৃঢ়ভাবে গেঁথে আছে যে এটি অর্থহীন বলে মনে হয়। আমার কি সামাজিক জীবন থাকবে? কিন্তু ভেতরে "&amp;"ভেতরে, গোপনে এটি আমার জীবনকে সম্পূর্ণরূপে ধ্বংস করে দিচ্ছে, এবং আমি থামতে চাই। আমার সর্বকালের হতাশা ছিল ৩ ঘন্টা ধরে ঠান্ডায় সাইকেল চালিয়ে বাড়ি ফেরার চেষ্টা করা কিন্তু খুব বেশি মাতাল হয়ে যাওয়া। আমি ১০ মিনিট দূরে থাকি। আমি আঘাতে ঢাকা অবস্থায় বাড়ি ফির"&amp;"ে এসেছি এবং সেই সময় কী হয়েছিল তা আমি জানি না, তবে আমি জানি এটি ভাল ছিল না।")</f>
        <v>আমি শান্ত থাকতে চাই। কোথা থেকে শুরু করব জানি না। তাছাড়া, আমি অনেক সামাজিক মদ্যপানকারীদের সাথে মিশে আছি। তাছাড়া, আমি এমন এক বয়সে আছি যেখানে মদ্যপানের সংস্কৃতি এতটাই দৃঢ়ভাবে গেঁথে আছে যে এটি অর্থহীন বলে মনে হয়। আমার কি সামাজিক জীবন থাকবে? কিন্তু ভেতরে ভেতরে, গোপনে এটি আমার জীবনকে সম্পূর্ণরূপে ধ্বংস করে দিচ্ছে, এবং আমি থামতে চাই। আমার সর্বকালের হতাশা ছিল ৩ ঘন্টা ধরে ঠান্ডায় সাইকেল চালিয়ে বাড়ি ফেরার চেষ্টা করা কিন্তু খুব বেশি মাতাল হয়ে যাওয়া। আমি ১০ মিনিট দূরে থাকি। আমি আঘাতে ঢাকা অবস্থায় বাড়ি ফিরে এসেছি এবং সেই সময় কী হয়েছিল তা আমি জানি না, তবে আমি জানি এটি ভাল ছিল না।</v>
      </c>
    </row>
    <row r="1556" spans="1:3" ht="15" x14ac:dyDescent="0.25">
      <c r="A1556" s="3" t="s">
        <v>1550</v>
      </c>
      <c r="B1556" s="3" t="s">
        <v>997</v>
      </c>
      <c r="C1556" s="4" t="str">
        <f ca="1">IFERROR(__xludf.DUMMYFUNCTION("GOOGLETRANSLATE(A1556, ""auto"", ""bn"")"),"আমি ১০ বছরেরও বেশি সময় ধরে একজন সক্রিয় মদ্যপ। আমার ওজন উল্লেখযোগ্যভাবে বৃদ্ধি পেয়েছে, এবং আমার সহনশীলতাও বেড়েছে। আমার স্বামী আমার মদ্যপানে বিরক্ত এবং আমাকে একটি আল্টিমেটাম দিয়েছিলেন। আমি কোল্ড টার্কি পান করা ছেড়ে দিয়েছি, এবং দ্বিতীয় দিনেই। সারা সক"&amp;"াল ধরে, আমার হৃদস্পন্দন বেড়ে গেছে, এবং আমার হাত হালকা কাঁপছে। আমার সবচেয়ে বেশি উদ্বেগ আছে এবং মনে হচ্ছে আমি আমার জ্ঞান হারিয়ে ফেলছি। আমার এখনও ক্ষুধা আছে, এবং বমি বমি ভাব বা বমি হয়নি। আমি নিশ্চিত নই যে এটি আমার মাথায় আছে, নাকি। কিন্তু দিন যত গড়িয়েছ"&amp;"ে, আমি আরও খারাপ বোধ করছিলাম এবং ভাবছিলাম যে আমার প্যানিক অ্যাটাক হবে। আমি আমার বাচ্চাদের জন্য ক্রিসমাসের নাস্তা তৈরি করতে পেরেছিলাম এবং তাদের উপহার খুলতে দেখেছি। কিন্তু যখন আমরা আমার শ্বশুরবাড়ি যাচ্ছিলাম, তখন আমি আমাদের শ্বশুরের জন্য শেষ মুহূর্তের উপহার"&amp;" পেতে একটি ওষুধের দোকানে থামালাম। আমার স্বামী এবং বাচ্চারা গাড়িতে ছিল। তারপর আমি কয়েকটি ছোট বাক্স ওয়াইনও কিনেছিলাম এবং আমার পার্সে রেখেছিলাম। আমি সবগুলো পান করে ফেললাম, এবং প্রায় সাথে সাথেই ভালো বোধ করলাম এবং আগের মতো আর খারাপ লাগছিল না। তাছাড়া, আমি ম"&amp;"োটেও মাতাল হইনি, এবং হালকা গুঞ্জন ছিল যা দ্রুত কমে গেল। তাছাড়া, আমি অবশ্যই কাউকে বলিনি, এবং ভীত। আমার স্বামী বলেছিল যে আমি যদি তাকে না বলে পান করি, তাহলে সে রেগে যাবে। কিন্তু তারপর, যখন এটি ঘটে তখন সে আমার উপর রেগে যায়: তাই স্বাভাবিকভাবেই আমি এটি গোপন র"&amp;"েখেছিলাম। আমি আর পান করতে চাই না, কিন্তু ইনপেশেন্ট ডিটক্স করার সময় বা উপায় নেই। আমাকে কাজ করতে হবে এবং আমার বাচ্চাদের যত্ন নিতে হবে। তাছাড়া, আমার সাহায্য করার জন্য আমার কোনও পরিবার নেই, এবং আমার শ্বশুরবাড়ির লোকেরা আমাকে ঘৃণা করে। আমি কীভাবে বাড়িতে ডিট"&amp;"ক্স করব? অতীতে যখন আমি এটি চেষ্টা করেছিলাম, তখন আমাকে সবসময় চিৎকার করা হত এবং হাসপাতালে যেতে বলা হত। এটি আমার জন্য কোনও বিকল্প নয়, এবং আমি এতটাই পথভ্রষ্ট এবং কোন দিকনির্দেশনা নেই।")</f>
        <v>আমি ১০ বছরেরও বেশি সময় ধরে একজন সক্রিয় মদ্যপ। আমার ওজন উল্লেখযোগ্যভাবে বৃদ্ধি পেয়েছে, এবং আমার সহনশীলতাও বেড়েছে। আমার স্বামী আমার মদ্যপানে বিরক্ত এবং আমাকে একটি আল্টিমেটাম দিয়েছিলেন। আমি কোল্ড টার্কি পান করা ছেড়ে দিয়েছি, এবং দ্বিতীয় দিনেই। সারা সকাল ধরে, আমার হৃদস্পন্দন বেড়ে গেছে, এবং আমার হাত হালকা কাঁপছে। আমার সবচেয়ে বেশি উদ্বেগ আছে এবং মনে হচ্ছে আমি আমার জ্ঞান হারিয়ে ফেলছি। আমার এখনও ক্ষুধা আছে, এবং বমি বমি ভাব বা বমি হয়নি। আমি নিশ্চিত নই যে এটি আমার মাথায় আছে, নাকি। কিন্তু দিন যত গড়িয়েছে, আমি আরও খারাপ বোধ করছিলাম এবং ভাবছিলাম যে আমার প্যানিক অ্যাটাক হবে। আমি আমার বাচ্চাদের জন্য ক্রিসমাসের নাস্তা তৈরি করতে পেরেছিলাম এবং তাদের উপহার খুলতে দেখেছি। কিন্তু যখন আমরা আমার শ্বশুরবাড়ি যাচ্ছিলাম, তখন আমি আমাদের শ্বশুরের জন্য শেষ মুহূর্তের উপহার পেতে একটি ওষুধের দোকানে থামালাম। আমার স্বামী এবং বাচ্চারা গাড়িতে ছিল। তারপর আমি কয়েকটি ছোট বাক্স ওয়াইনও কিনেছিলাম এবং আমার পার্সে রেখেছিলাম। আমি সবগুলো পান করে ফেললাম, এবং প্রায় সাথে সাথেই ভালো বোধ করলাম এবং আগের মতো আর খারাপ লাগছিল না। তাছাড়া, আমি মোটেও মাতাল হইনি, এবং হালকা গুঞ্জন ছিল যা দ্রুত কমে গেল। তাছাড়া, আমি অবশ্যই কাউকে বলিনি, এবং ভীত। আমার স্বামী বলেছিল যে আমি যদি তাকে না বলে পান করি, তাহলে সে রেগে যাবে। কিন্তু তারপর, যখন এটি ঘটে তখন সে আমার উপর রেগে যায়: তাই স্বাভাবিকভাবেই আমি এটি গোপন রেখেছিলাম। আমি আর পান করতে চাই না, কিন্তু ইনপেশেন্ট ডিটক্স করার সময় বা উপায় নেই। আমাকে কাজ করতে হবে এবং আমার বাচ্চাদের যত্ন নিতে হবে। তাছাড়া, আমার সাহায্য করার জন্য আমার কোনও পরিবার নেই, এবং আমার শ্বশুরবাড়ির লোকেরা আমাকে ঘৃণা করে। আমি কীভাবে বাড়িতে ডিটক্স করব? অতীতে যখন আমি এটি চেষ্টা করেছিলাম, তখন আমাকে সবসময় চিৎকার করা হত এবং হাসপাতালে যেতে বলা হত। এটি আমার জন্য কোনও বিকল্প নয়, এবং আমি এতটাই পথভ্রষ্ট এবং কোন দিকনির্দেশনা নেই।</v>
      </c>
    </row>
    <row r="1557" spans="1:3" ht="15" x14ac:dyDescent="0.25">
      <c r="A1557" s="3" t="s">
        <v>1551</v>
      </c>
      <c r="B1557" s="3" t="s">
        <v>997</v>
      </c>
      <c r="C1557" s="4" t="str">
        <f ca="1">IFERROR(__xludf.DUMMYFUNCTION("GOOGLETRANSLATE(A1557, ""auto"", ""bn"")"),"তাই আমি বহু বছর আগে মাছের মতো পান করতাম এবং এখন সপ্তাহান্তে শুধুমাত্র মদ্যপান করে মদ্যপান করার অভ্যাস অনেকটাই কমিয়ে এনেছি। গত শুক্রবার পর্যন্ত আমি কিছু ওয়াইন এবং অন্যান্য পানীয় পান করতে শুরু করেছি কারণ আমি ভঙ্গিমায় ছিলাম এবং ওয়াইন সাহায্য করে। এখন এট"&amp;"ি 7 দিন ধরে ওয়াইন পান করার সময় হয়েছে এবং কোনও কারণে আমি অত্যন্ত হতাশাগ্রস্ত এবং আত্ম-ক্ষতির আকাঙ্ক্ষায় ভুগছি, আমি নিজেকে নিয়ে খারাপভাবে ভাবতে থাকি, ভাবি যে আমি মূল্যহীন, আমার অতীতের ভুলগুলি নিয়ে ভাবতে থাকি, লজ্জাজনক - কেবল আমি পুরো এক সপ্তাহ ধরে নিজ"&amp;"ের প্রতি সদয় হইনি, আমি স্বভাবতই হতাশাগ্রস্ত ব্যক্তি নই, তবে পরে আমি হয়েছি। এর আগে কারও কি এই অভিজ্ঞতা হয়েছে?")</f>
        <v>তাই আমি বহু বছর আগে মাছের মতো পান করতাম এবং এখন সপ্তাহান্তে শুধুমাত্র মদ্যপান করে মদ্যপান করার অভ্যাস অনেকটাই কমিয়ে এনেছি। গত শুক্রবার পর্যন্ত আমি কিছু ওয়াইন এবং অন্যান্য পানীয় পান করতে শুরু করেছি কারণ আমি ভঙ্গিমায় ছিলাম এবং ওয়াইন সাহায্য করে। এখন এটি 7 দিন ধরে ওয়াইন পান করার সময় হয়েছে এবং কোনও কারণে আমি অত্যন্ত হতাশাগ্রস্ত এবং আত্ম-ক্ষতির আকাঙ্ক্ষায় ভুগছি, আমি নিজেকে নিয়ে খারাপভাবে ভাবতে থাকি, ভাবি যে আমি মূল্যহীন, আমার অতীতের ভুলগুলি নিয়ে ভাবতে থাকি, লজ্জাজনক - কেবল আমি পুরো এক সপ্তাহ ধরে নিজের প্রতি সদয় হইনি, আমি স্বভাবতই হতাশাগ্রস্ত ব্যক্তি নই, তবে পরে আমি হয়েছি। এর আগে কারও কি এই অভিজ্ঞতা হয়েছে?</v>
      </c>
    </row>
    <row r="1558" spans="1:3" ht="15" x14ac:dyDescent="0.25">
      <c r="A1558" s="3" t="s">
        <v>1552</v>
      </c>
      <c r="B1558" s="3" t="s">
        <v>997</v>
      </c>
      <c r="C1558" s="4" t="str">
        <f ca="1">IFERROR(__xludf.DUMMYFUNCTION("GOOGLETRANSLATE(A1558, ""auto"", ""bn"")"),"দুঃখিত, আমি নিশ্চিত নই যে এটি কোথায় পোস্ট করব কিন্তু আমি কিছু পরামর্শ চাইতে চাই। আমার মনে হয় আমার মায়ের অ্যালকোহলের সাথে অত্যন্ত অস্বাস্থ্যকর সম্পর্ক রয়েছে, তার প্রতি আমার কোনও বিচার নেই - আমি এই বিষয়গুলি সম্পূর্ণরূপে বুঝতে পারি কারণ আমি যখন ১৯ বছর ব"&amp;"য়সে কিছু মাদকদ্রব্যের জন্য এক মাসের ATP প্রোগ্রামে গিয়েছিলাম এবং ২২ বছর বয়সে আমি ৯ মাস ধরে মাদকাসক্ত। অ্যালকোহল এবং মাদকের সাথে আমার সবসময়ই খুব অস্বাস্থ্যকর সম্পর্ক ছিল কিন্তু কিছুক্ষণ পরিষ্কার থাকার পর আমি বুঝতে পেরেছি যে আমার মায়ের সবচেয়ে অস্বাস্থ"&amp;"্যকর অভ্যাস রয়েছে। তাছাড়া, আমি কয়েকবার তার সাথে এই বিষয়ে কথা বলার চেষ্টা করেছি, কিন্তু সে অস্বীকার করেছে, আমার বাবাও একমত, কিন্তু সত্যি বলতে, আমি মনে করি না যে সে কিছু করার জন্য যথেষ্ট যত্নশীল। এটা কেবল বাজে কথা এবং আমি তাকে সাহায্য করতে চাই। আমি আমার "&amp;"NA স্পনসরের সাথে অনেক কথা বলেছি কিন্তু কিছু অতিরিক্ত পরামর্শ খুঁজছিলাম কারণ তাকে এইভাবে দেখে একটু খারাপ লাগছে।")</f>
        <v>দুঃখিত, আমি নিশ্চিত নই যে এটি কোথায় পোস্ট করব কিন্তু আমি কিছু পরামর্শ চাইতে চাই। আমার মনে হয় আমার মায়ের অ্যালকোহলের সাথে অত্যন্ত অস্বাস্থ্যকর সম্পর্ক রয়েছে, তার প্রতি আমার কোনও বিচার নেই - আমি এই বিষয়গুলি সম্পূর্ণরূপে বুঝতে পারি কারণ আমি যখন ১৯ বছর বয়সে কিছু মাদকদ্রব্যের জন্য এক মাসের ATP প্রোগ্রামে গিয়েছিলাম এবং ২২ বছর বয়সে আমি ৯ মাস ধরে মাদকাসক্ত। অ্যালকোহল এবং মাদকের সাথে আমার সবসময়ই খুব অস্বাস্থ্যকর সম্পর্ক ছিল কিন্তু কিছুক্ষণ পরিষ্কার থাকার পর আমি বুঝতে পেরেছি যে আমার মায়ের সবচেয়ে অস্বাস্থ্যকর অভ্যাস রয়েছে। তাছাড়া, আমি কয়েকবার তার সাথে এই বিষয়ে কথা বলার চেষ্টা করেছি, কিন্তু সে অস্বীকার করেছে, আমার বাবাও একমত, কিন্তু সত্যি বলতে, আমি মনে করি না যে সে কিছু করার জন্য যথেষ্ট যত্নশীল। এটা কেবল বাজে কথা এবং আমি তাকে সাহায্য করতে চাই। আমি আমার NA স্পনসরের সাথে অনেক কথা বলেছি কিন্তু কিছু অতিরিক্ত পরামর্শ খুঁজছিলাম কারণ তাকে এইভাবে দেখে একটু খারাপ লাগছে।</v>
      </c>
    </row>
    <row r="1559" spans="1:3" ht="15" x14ac:dyDescent="0.25">
      <c r="A1559" s="3" t="s">
        <v>1553</v>
      </c>
      <c r="B1559" s="3" t="s">
        <v>997</v>
      </c>
      <c r="C1559" s="4" t="str">
        <f ca="1">IFERROR(__xludf.DUMMYFUNCTION("GOOGLETRANSLATE(A1559, ""auto"", ""bn"")"),"এইসব সামাজিক অনুষ্ঠানে সে আমাকে ফাঁদে ফেলছে, আমি জানতাম বড়দিন ঝামেলার হবে। আমি যখন একবার তার সাথে বকবক করেছিলাম, তখন থেকেই সে তার মদ্যপান (বেশিরভাগ ক্ষেত্রে) খুব ভালোভাবেই চালিয়ে যাচ্ছিল। আর যখনই আমি বাড়ি আসি, মনে হয় যেন সে আমার সামনে মাতাল না হয়। আজ"&amp;" পর্যন্ত, সে আক্ষরিক অর্থেই অসংলগ্ন ছিল কারণ আমি এবং আমার পরিবার আমাদের ক্রিসমাস পারিবারিক পার্টির পরে ঘুমাতে গিয়েছিলাম। সবচেয়ে খারাপ দিক হল, আমি এবার তার জন্য অজুহাত খুঁজছিলাম, নিজেকে বলছিলাম যে এটা ঠিক আছে কারণ সে মাতাল হয়েছিল কারণ আজ ক্রিসমাস, এটি এ"&amp;"কটি ছুটির দিন। কিন্তু এটি আমার মাথায় কেবল একটি বিষণ্ণ সুর তৈরি করেছিল। তার মতো আর কেউ মাতাল হয়নি, সে আমার অ্যাপার্টমেন্টে ফিরে যাওয়ার আগে আমার পরিবারের সাথে সময় উপভোগ করার চেষ্টা করার সময় অস্পষ্টভাবে কথা বলছিল, এবং এখন আমি ভয় পাচ্ছি যে একটি নতুন দুর"&amp;"্ঘটনার চক্র আসন্ন, এমন কিছু যা আমি পর্যবেক্ষণ করতে পারব না যার অর্থ এটি আমার অন্যান্য ভাইবোনদের উপর পড়বে যারা এখনও বাড়িতে থাকে। এটা আমাকে ২০২০ সালে ফিরিয়ে নিয়ে যাচ্ছে যখন তাকে প্রায় প্রতিদিনই খারাপ ব্যবহার করা হত, আমাদের কাছ থেকে বোতল আর মলমূত্র লুকিয়"&amp;"ে রাখা হত ইত্যাদি। আমি জানি না কী করব, আর সবচেয়ে খারাপ দিক হলো, আমার মনে হয় সে এটা জানে, আর তাই সে এটাকে একটা অজুহাত হিসেবে নিয়ে এটা চালিয়ে যায়, এমনকি যদি এটা আমাকে মানসিকভাবে ভেঙে ফেলে এবং আমার ""বাড়ি""-র ভাবমূর্তি নষ্ট করে।")</f>
        <v>এইসব সামাজিক অনুষ্ঠানে সে আমাকে ফাঁদে ফেলছে, আমি জানতাম বড়দিন ঝামেলার হবে। আমি যখন একবার তার সাথে বকবক করেছিলাম, তখন থেকেই সে তার মদ্যপান (বেশিরভাগ ক্ষেত্রে) খুব ভালোভাবেই চালিয়ে যাচ্ছিল। আর যখনই আমি বাড়ি আসি, মনে হয় যেন সে আমার সামনে মাতাল না হয়। আজ পর্যন্ত, সে আক্ষরিক অর্থেই অসংলগ্ন ছিল কারণ আমি এবং আমার পরিবার আমাদের ক্রিসমাস পারিবারিক পার্টির পরে ঘুমাতে গিয়েছিলাম। সবচেয়ে খারাপ দিক হল, আমি এবার তার জন্য অজুহাত খুঁজছিলাম, নিজেকে বলছিলাম যে এটা ঠিক আছে কারণ সে মাতাল হয়েছিল কারণ আজ ক্রিসমাস, এটি একটি ছুটির দিন। কিন্তু এটি আমার মাথায় কেবল একটি বিষণ্ণ সুর তৈরি করেছিল। তার মতো আর কেউ মাতাল হয়নি, সে আমার অ্যাপার্টমেন্টে ফিরে যাওয়ার আগে আমার পরিবারের সাথে সময় উপভোগ করার চেষ্টা করার সময় অস্পষ্টভাবে কথা বলছিল, এবং এখন আমি ভয় পাচ্ছি যে একটি নতুন দুর্ঘটনার চক্র আসন্ন, এমন কিছু যা আমি পর্যবেক্ষণ করতে পারব না যার অর্থ এটি আমার অন্যান্য ভাইবোনদের উপর পড়বে যারা এখনও বাড়িতে থাকে। এটা আমাকে ২০২০ সালে ফিরিয়ে নিয়ে যাচ্ছে যখন তাকে প্রায় প্রতিদিনই খারাপ ব্যবহার করা হত, আমাদের কাছ থেকে বোতল আর মলমূত্র লুকিয়ে রাখা হত ইত্যাদি। আমি জানি না কী করব, আর সবচেয়ে খারাপ দিক হলো, আমার মনে হয় সে এটা জানে, আর তাই সে এটাকে একটা অজুহাত হিসেবে নিয়ে এটা চালিয়ে যায়, এমনকি যদি এটা আমাকে মানসিকভাবে ভেঙে ফেলে এবং আমার "বাড়ি"-র ভাবমূর্তি নষ্ট করে।</v>
      </c>
    </row>
    <row r="1560" spans="1:3" ht="15" x14ac:dyDescent="0.25">
      <c r="A1560" s="3" t="s">
        <v>1554</v>
      </c>
      <c r="B1560" s="3" t="s">
        <v>997</v>
      </c>
      <c r="C1560" s="4" t="str">
        <f ca="1">IFERROR(__xludf.DUMMYFUNCTION("GOOGLETRANSLATE(A1560, ""auto"", ""bn"")"),"আমি শহরে আমার মায়ের সাথে দেখা করতে গিয়েছিলাম। আমি আশা করেছিলাম এই বছরটা অন্যরকম হবে কিন্তু আমার ভুল হয়েছে। আমি এই সবের সাথে নতুন। তাছাড়া, আমি এমন একজন মহান মায়ের সাথে বড় হয়েছি যিনি কখনও এক বিয়ার ছাড়া আর কিছু পান করেননি। শৈশবটাও দারুন ছিল, তাই আজ আমি যে "&amp;"মায়ের দেখা পাই, তিনি এমন একজন মা যাকে আমি চিনতে পারি না। বাবার মৃত্যু তাকে হতাশা এবং শোকের মধ্যে ফেলেছে এবং বোধগম্য, কিন্তু মনে হচ্ছে সে আর নিজের জন্য ভালো করতে চায় না। মনে হচ্ছে সে কিছু পরোয়া করে না। আমি তাকে দিনে একাধিক বিয়ার পান করতে দেখি। আমি বোকা নই"&amp;"। যাই হোক, অতীতে আমি এটা সহ্য করতে পারতাম না এবং হারিয়ে যেতাম। আমি তাকে চিৎকার করে ডাকতাম এবং তাতে কোনও লাভ হয়নি। যদি কিছু হয়, তবে এটি কেবল কিছুটা ভালো বোধ করেছিল। যাই হোক, এই বছর আমি রাগ না করার চেষ্টা করছি। এটা কেবল খারাপ। আমার কি কেবল বসে থাকা উচিত এব"&amp;"ং তাকে সবকিছু নষ্ট করতে দেওয়া উচিত?")</f>
        <v>আমি শহরে আমার মায়ের সাথে দেখা করতে গিয়েছিলাম। আমি আশা করেছিলাম এই বছরটা অন্যরকম হবে কিন্তু আমার ভুল হয়েছে। আমি এই সবের সাথে নতুন। তাছাড়া, আমি এমন একজন মহান মায়ের সাথে বড় হয়েছি যিনি কখনও এক বিয়ার ছাড়া আর কিছু পান করেননি। শৈশবটাও দারুন ছিল, তাই আজ আমি যে মায়ের দেখা পাই, তিনি এমন একজন মা যাকে আমি চিনতে পারি না। বাবার মৃত্যু তাকে হতাশা এবং শোকের মধ্যে ফেলেছে এবং বোধগম্য, কিন্তু মনে হচ্ছে সে আর নিজের জন্য ভালো করতে চায় না। মনে হচ্ছে সে কিছু পরোয়া করে না। আমি তাকে দিনে একাধিক বিয়ার পান করতে দেখি। আমি বোকা নই। যাই হোক, অতীতে আমি এটা সহ্য করতে পারতাম না এবং হারিয়ে যেতাম। আমি তাকে চিৎকার করে ডাকতাম এবং তাতে কোনও লাভ হয়নি। যদি কিছু হয়, তবে এটি কেবল কিছুটা ভালো বোধ করেছিল। যাই হোক, এই বছর আমি রাগ না করার চেষ্টা করছি। এটা কেবল খারাপ। আমার কি কেবল বসে থাকা উচিত এবং তাকে সবকিছু নষ্ট করতে দেওয়া উচিত?</v>
      </c>
    </row>
    <row r="1561" spans="1:3" ht="15" x14ac:dyDescent="0.25">
      <c r="A1561" s="3" t="s">
        <v>1555</v>
      </c>
      <c r="B1561" s="3" t="s">
        <v>997</v>
      </c>
      <c r="C1561" s="4" t="str">
        <f ca="1">IFERROR(__xludf.DUMMYFUNCTION("GOOGLETRANSLATE(A1561, ""auto"", ""bn"")"),"গত প্রায় এক বছর ধরে আমি আমার ব্যক্তিগত/মানসিক সমস্যাগুলো সামলে চলেছি। এটা এমন একটা অভ্যাস যা আমি ছাড়তে পারছি না, সম্ভবত কারণ আমি এটা এত খারাপভাবে ছাড়তে চাই না। যদিও এটা আসলে সাহায্য করছে না, তবুও আমি প্রতিবার, সবসময় এর দিকেই ঝুঁকে পড়ি। এই ক্রিসমাসে আমি "&amp;"আক্ষরিক অর্থেই একা। আমার রুমমেট এবং সবচেয়ে ভালো বন্ধু তাদের পরিবারের সাথে দেখা করতে গিয়েছিল, তাই গতকাল এবং আজ সারাদিন আমি ঘরে একা ছিলাম। আমি বেশিরভাগ সময় মাতাল এবং/অথবা উত্তেজিত ছিলাম। এখন আমি সুস্থ আছি এবং আমি শুধু ছবি তোলার কথাই ভাবি। আগামীকাল থেকে আমার"&amp;" বাবা-মা আমার সাথে দেখা করতে আসছেন, তাই আমি এতটা বিরক্তি এবং চিৎকার করতে পারছি না। যাই হোক, মূল কথা হল আমি ক্রমাগত একাকী বোধ করি এবং মদ্যপানই এর সাথে মোকাবিলা করছি। আমি থামার কারণ খুঁজে বের করার চেষ্টা করছি, কিন্তু আমি তাদের কোনওটিকেই ন্যায্যতা দিতে পারছি"&amp;" না। আমি কিছুটা চিন্তিত যে আমার জন্য সুস্থ থাকার প্রতিশ্রুতিবদ্ধ হতে অনেক সময় লাগবে। আমার আরেকটা অংশ আশা করছে যে হয়তো আমাকে আর কখনোই আমার জীবন থেকে মদ্যপান সম্পূর্ণভাবে বাদ দিতে হবে না, এবং হয়তো আমি পরিমিত পরিমাণে মদ্যপান করতে পারব (এর কোনও যুক্তি নেই কা"&amp;"রণ আমি আগে কখনও পরিমিত থাকতে পারিনি)। আমার আরেকটা অংশ আমার মদ্যপানে খুব স্বাচ্ছন্দ্য বোধ করে। আমার আরেকটা অংশ আমার আসক্তির জন্য খুবই লজ্জিত।")</f>
        <v>গত প্রায় এক বছর ধরে আমি আমার ব্যক্তিগত/মানসিক সমস্যাগুলো সামলে চলেছি। এটা এমন একটা অভ্যাস যা আমি ছাড়তে পারছি না, সম্ভবত কারণ আমি এটা এত খারাপভাবে ছাড়তে চাই না। যদিও এটা আসলে সাহায্য করছে না, তবুও আমি প্রতিবার, সবসময় এর দিকেই ঝুঁকে পড়ি। এই ক্রিসমাসে আমি আক্ষরিক অর্থেই একা। আমার রুমমেট এবং সবচেয়ে ভালো বন্ধু তাদের পরিবারের সাথে দেখা করতে গিয়েছিল, তাই গতকাল এবং আজ সারাদিন আমি ঘরে একা ছিলাম। আমি বেশিরভাগ সময় মাতাল এবং/অথবা উত্তেজিত ছিলাম। এখন আমি সুস্থ আছি এবং আমি শুধু ছবি তোলার কথাই ভাবি। আগামীকাল থেকে আমার বাবা-মা আমার সাথে দেখা করতে আসছেন, তাই আমি এতটা বিরক্তি এবং চিৎকার করতে পারছি না। যাই হোক, মূল কথা হল আমি ক্রমাগত একাকী বোধ করি এবং মদ্যপানই এর সাথে মোকাবিলা করছি। আমি থামার কারণ খুঁজে বের করার চেষ্টা করছি, কিন্তু আমি তাদের কোনওটিকেই ন্যায্যতা দিতে পারছি না। আমি কিছুটা চিন্তিত যে আমার জন্য সুস্থ থাকার প্রতিশ্রুতিবদ্ধ হতে অনেক সময় লাগবে। আমার আরেকটা অংশ আশা করছে যে হয়তো আমাকে আর কখনোই আমার জীবন থেকে মদ্যপান সম্পূর্ণভাবে বাদ দিতে হবে না, এবং হয়তো আমি পরিমিত পরিমাণে মদ্যপান করতে পারব (এর কোনও যুক্তি নেই কারণ আমি আগে কখনও পরিমিত থাকতে পারিনি)। আমার আরেকটা অংশ আমার মদ্যপানে খুব স্বাচ্ছন্দ্য বোধ করে। আমার আরেকটা অংশ আমার আসক্তির জন্য খুবই লজ্জিত।</v>
      </c>
    </row>
    <row r="1562" spans="1:3" ht="15" x14ac:dyDescent="0.25">
      <c r="A1562" s="3" t="s">
        <v>1556</v>
      </c>
      <c r="B1562" s="3" t="s">
        <v>997</v>
      </c>
      <c r="C1562" s="4" t="str">
        <f ca="1">IFERROR(__xludf.DUMMYFUNCTION("GOOGLETRANSLATE(A1562, ""auto"", ""bn"")"),"আমি আরও ৫ দিনের জন্য বেন্ডারে ছিলাম, এবং সকাল ৯ টায় আমার কুকুরটিকে ডগ পার্কে নিয়ে যাওয়ার চেষ্টা করেছিলাম। আমি আমার গাড়িতে এক বোতল ওয়াইন নিয়ে এসেছিলাম যাতে আমি যতটা সম্ভব পান করতে পারি - ঈশ্বর না করুন - আমাকে ডগ পার্কে ৪৫ মিনিটের জন্য অ্যালকোহল ছাড়া"&amp;"ই থাকতে হয়েছিল। তাছাড়া, আমি এতটাই মাতাল ছিলাম যে আমি গাড়ি থেকে নামতেও পারিনি এবং আমার সবচেয়ে ভালো বন্ধুকে ফোন করেছিলাম কারণ আমার সাহায্যের প্রয়োজন ছিল এবং আত্মসমর্পণ করতে হয়েছিল এবং কাজ শেষ করে দিতে হয়েছিল। সে আজ আমার সাথে শেয়ার করেছে যে যখন সে আম"&amp;"াকে তুলে নিয়েছিল তখন আমি তাকে চিনতেও পারিনি। আমার চোখে চকচকে ভাব ছিল এবং আমি আমার মতো দেখতে ছিলাম না। আমার শার্ট এবং গাড়িতে ওয়াইনের দাগ ছিল। আমার গাড়িতে খালি ওয়াইনের বোতল ছিল এবং বমির মতো গন্ধ ছিল। সে কোনওভাবে আমাকে এবং আমার কুকুরকে তার গাড়িতে তুলে "&amp;"নিয়ে গেল, এবং আমাকে বাড়িতে নিয়ে গেল এবং সারাদিন ঘুমাতে দিল। আমি পরের দিন মরতে চেয়েছিলাম। সত্যিই, বেঁচে থাকতে চাইনি। আমি আর ব্যথা সহ্য করতে পারছিলাম না। আমি কেবল শান্তভাবে দিন কাটানোর চেষ্টা করেছি। তাছাড়া, আমি দিনগুলি একসাথে করতে শুরু করেছি, দিনে ২টি "&amp;"AA মিটিং সহ।")</f>
        <v>আমি আরও ৫ দিনের জন্য বেন্ডারে ছিলাম, এবং সকাল ৯ টায় আমার কুকুরটিকে ডগ পার্কে নিয়ে যাওয়ার চেষ্টা করেছিলাম। আমি আমার গাড়িতে এক বোতল ওয়াইন নিয়ে এসেছিলাম যাতে আমি যতটা সম্ভব পান করতে পারি - ঈশ্বর না করুন - আমাকে ডগ পার্কে ৪৫ মিনিটের জন্য অ্যালকোহল ছাড়াই থাকতে হয়েছিল। তাছাড়া, আমি এতটাই মাতাল ছিলাম যে আমি গাড়ি থেকে নামতেও পারিনি এবং আমার সবচেয়ে ভালো বন্ধুকে ফোন করেছিলাম কারণ আমার সাহায্যের প্রয়োজন ছিল এবং আত্মসমর্পণ করতে হয়েছিল এবং কাজ শেষ করে দিতে হয়েছিল। সে আজ আমার সাথে শেয়ার করেছে যে যখন সে আমাকে তুলে নিয়েছিল তখন আমি তাকে চিনতেও পারিনি। আমার চোখে চকচকে ভাব ছিল এবং আমি আমার মতো দেখতে ছিলাম না। আমার শার্ট এবং গাড়িতে ওয়াইনের দাগ ছিল। আমার গাড়িতে খালি ওয়াইনের বোতল ছিল এবং বমির মতো গন্ধ ছিল। সে কোনওভাবে আমাকে এবং আমার কুকুরকে তার গাড়িতে তুলে নিয়ে গেল, এবং আমাকে বাড়িতে নিয়ে গেল এবং সারাদিন ঘুমাতে দিল। আমি পরের দিন মরতে চেয়েছিলাম। সত্যিই, বেঁচে থাকতে চাইনি। আমি আর ব্যথা সহ্য করতে পারছিলাম না। আমি কেবল শান্তভাবে দিন কাটানোর চেষ্টা করেছি। তাছাড়া, আমি দিনগুলি একসাথে করতে শুরু করেছি, দিনে ২টি AA মিটিং সহ।</v>
      </c>
    </row>
    <row r="1563" spans="1:3" ht="15" x14ac:dyDescent="0.25">
      <c r="A1563" s="3" t="s">
        <v>1557</v>
      </c>
      <c r="B1563" s="3" t="s">
        <v>997</v>
      </c>
      <c r="C1563" s="4" t="str">
        <f ca="1">IFERROR(__xludf.DUMMYFUNCTION("GOOGLETRANSLATE(A1563, ""auto"", ""bn"")"),"ব্যক্তিগত গল্পের সময়? গতকাল (প্রথমবার) আমি মদ্যপান ত্যাগের জন্য হাসপাতালে গিয়েছিলাম। প্রথম ডাক্তার আমাকে ছেড়ে দিতে বললেন (খুব সাহায্যকারী, ধন্যবাদ!) এবং তিনি কিছুই করতে পারলেন না। এবং আমাকে মিথ্যা বলার অভিযোগ করলেন। দ্বিতীয় ডাক্তার এসে বললেন যে গত কয়েক"&amp;" বছরের চাপের কারণে তারা এত বেশি এই সমস্যায় ভুগছেন। তিনি বললেন, ""তুমি একা নও। আমি তোমাকে সাহায্য করব?"" এবং কাঁপুনি থামাতে আমার চতুর্থাংশে কিছু ওষুধ দিলেন এবং তারপর বাড়িতে সাহায্য করার জন্য আমাকে একটি Rx লিখে দিলেন। আমি খুব কৃতজ্ঞ ছিলাম বলে আমি কেঁদে ফে"&amp;"ললাম। যেমন, আসল কথাটা কী। প্রতিযোগিতার জন্য, আমি একজন তরুণী দুই সন্তানের মা, যার একটি উন্নত ডিগ্রি আছে এবং এর আগে কখনও এত বড় সাহায্য চাইনি।")</f>
        <v>ব্যক্তিগত গল্পের সময়? গতকাল (প্রথমবার) আমি মদ্যপান ত্যাগের জন্য হাসপাতালে গিয়েছিলাম। প্রথম ডাক্তার আমাকে ছেড়ে দিতে বললেন (খুব সাহায্যকারী, ধন্যবাদ!) এবং তিনি কিছুই করতে পারলেন না। এবং আমাকে মিথ্যা বলার অভিযোগ করলেন। দ্বিতীয় ডাক্তার এসে বললেন যে গত কয়েক বছরের চাপের কারণে তারা এত বেশি এই সমস্যায় ভুগছেন। তিনি বললেন, "তুমি একা নও। আমি তোমাকে সাহায্য করব?" এবং কাঁপুনি থামাতে আমার চতুর্থাংশে কিছু ওষুধ দিলেন এবং তারপর বাড়িতে সাহায্য করার জন্য আমাকে একটি Rx লিখে দিলেন। আমি খুব কৃতজ্ঞ ছিলাম বলে আমি কেঁদে ফেললাম। যেমন, আসল কথাটা কী। প্রতিযোগিতার জন্য, আমি একজন তরুণী দুই সন্তানের মা, যার একটি উন্নত ডিগ্রি আছে এবং এর আগে কখনও এত বড় সাহায্য চাইনি।</v>
      </c>
    </row>
    <row r="1564" spans="1:3" ht="15" x14ac:dyDescent="0.25">
      <c r="A1564" s="3" t="s">
        <v>1558</v>
      </c>
      <c r="B1564" s="3" t="s">
        <v>997</v>
      </c>
      <c r="C1564" s="4" t="str">
        <f ca="1">IFERROR(__xludf.DUMMYFUNCTION("GOOGLETRANSLATE(A1564, ""auto"", ""bn"")"),"আমি বার ছেড়ে দেওয়ার পর থেকে এড়িয়ে চলছি। কিন্তু এই সপ্তাহান্তে আমি পারব না। আমি একটি অনুষ্ঠানের জন্য শহরের বাইরে ছিলাম এবং আমাদের নেতা সিদ্ধান্ত নিয়েছিলেন যে আমরা সবাই হোটেল বারে আমাদের আসন্ন প্রোগ্রাম নিয়ে আলোচনা করব। আমি যেতে চাইনি, কিন্তু যদি আমি "&amp;"না যাই, তাহলে আমাদের আসন্ন প্রকল্পের গুরুত্বপূর্ণ কৌশল পরিকল্পনা মিস করব। তাই, আমার ভয় ছিল মিস করার....কিন্তু মজা বা সাহচর্যের নয়। আমরা যে প্রকল্পটি করছি তার গুরুত্বপূর্ণ তথ্য হারিয়ে যাওয়ার ভয়। তাই আমি গেলাম। আর যখন ওয়েট্রেস এলো, আমি প্রথমে তাকে স্ব"&amp;"ীকার করতেও অস্বীকৃতি জানালাম। অভদ্র। কিন্তু আমি ভয় পেয়েছিলাম যে আমি এমন কিছু অর্ডার করব যা আমি চাই না যদি আমি করি। অবশেষে আমি তাকে বলেছিলাম যে আমি কিছু চাই না এবং তার কাছ থেকে খুব বিশ্রী চেহারা পেয়েছিলাম। বাকি সবাই অ্যালকোহলযুক্ত পানীয় অর্ডার করেছিলাম"&amp;"। এবং সেগুলি খেয়েছিলাম। আমার সামনে। এবং এটি ছিল নির্যাতন। আমি এতটাই বিভ্রান্ত ছিলাম যে আমি যা বলা হয়েছিল তাতেও মনোযোগ দিইনি। অবশেষে যখন কর্মে বিরতি আসে, তখন আমি টেবিল থেকে নিজেকে ছেড়ে চলে যাই। কিন্তু আমি জানতাম যে আমার যাওয়া উচিত ছিল সেভাবে চলে যাওয়া"&amp;"র পরিবর্তে, আমি বারে চলে গেলাম। আমি যখন বারে ছিলাম, তখন সবাই তাদের দ্বিতীয় রাউন্ড অর্ডার করছিল। আমি বারটেন্ডারের দৃষ্টি আকর্ষণ করলাম। সে আমার অর্ডার নিতে এসেছিল এবং...... আমি তাকে জিজ্ঞাসা করেছিলাম যে সে কি আমাকে পাথরের উপর একটি কুমারী মার্গারিটা তৈরি কর"&amp;"তে পারে? এবং সে তা করেছিল। এবং আমি টেবিলে ফিরে এসেছিলাম। এবং তারপর আমি ওয়েট্রেসের কাছ থেকে দ্বিতীয়টি অর্ডার করেছিলাম যখন সে প্রায় আধ ঘন্টা পরে আবার এসেছিল। এবং এটি কাজ করেছিল। এবং আমি তা করেছিলাম। আমার অর্ডারের ""কুমারী"" অংশটি অন্তর্ভুক্ত না করার জন্য"&amp;" আমি খুব, খুব লোভিত ছিলাম। কিন্তু আমি তা করেছিলাম। এবং আমার ৫-৬টি নিয়মিত পানীয় ছিল না। এবং আমি সবার সামনে নিজেকে বিব্রত করিনি। এবং আমি সারাদিন হ্যাংওভারের সাথে ঘুম থেকে উঠিনি যা আমাকে গাধা টেনে টেনে বের করতে বাধ্য করেছিল। আমি আসলে তা করেছিলাম। আমার এটি "&amp;"সম্পর্কে ভালো লাগছে। তাছাড়া, আমি ভাগ করে নিতে চেয়েছিলাম। কিন্তু আমি আর কখনও সেই স্তরের প্রলোভন অনুভব করতে চাই না। এইবার এই যাত্রা শুরু করার পর থেকে এটি আমার সবচেয়ে বেশি।")</f>
        <v>আমি বার ছেড়ে দেওয়ার পর থেকে এড়িয়ে চলছি। কিন্তু এই সপ্তাহান্তে আমি পারব না। আমি একটি অনুষ্ঠানের জন্য শহরের বাইরে ছিলাম এবং আমাদের নেতা সিদ্ধান্ত নিয়েছিলেন যে আমরা সবাই হোটেল বারে আমাদের আসন্ন প্রোগ্রাম নিয়ে আলোচনা করব। আমি যেতে চাইনি, কিন্তু যদি আমি না যাই, তাহলে আমাদের আসন্ন প্রকল্পের গুরুত্বপূর্ণ কৌশল পরিকল্পনা মিস করব। তাই, আমার ভয় ছিল মিস করার....কিন্তু মজা বা সাহচর্যের নয়। আমরা যে প্রকল্পটি করছি তার গুরুত্বপূর্ণ তথ্য হারিয়ে যাওয়ার ভয়। তাই আমি গেলাম। আর যখন ওয়েট্রেস এলো, আমি প্রথমে তাকে স্বীকার করতেও অস্বীকৃতি জানালাম। অভদ্র। কিন্তু আমি ভয় পেয়েছিলাম যে আমি এমন কিছু অর্ডার করব যা আমি চাই না যদি আমি করি। অবশেষে আমি তাকে বলেছিলাম যে আমি কিছু চাই না এবং তার কাছ থেকে খুব বিশ্রী চেহারা পেয়েছিলাম। বাকি সবাই অ্যালকোহলযুক্ত পানীয় অর্ডার করেছিলাম। এবং সেগুলি খেয়েছিলাম। আমার সামনে। এবং এটি ছিল নির্যাতন। আমি এতটাই বিভ্রান্ত ছিলাম যে আমি যা বলা হয়েছিল তাতেও মনোযোগ দিইনি। অবশেষে যখন কর্মে বিরতি আসে, তখন আমি টেবিল থেকে নিজেকে ছেড়ে চলে যাই। কিন্তু আমি জানতাম যে আমার যাওয়া উচিত ছিল সেভাবে চলে যাওয়ার পরিবর্তে, আমি বারে চলে গেলাম। আমি যখন বারে ছিলাম, তখন সবাই তাদের দ্বিতীয় রাউন্ড অর্ডার করছিল। আমি বারটেন্ডারের দৃষ্টি আকর্ষণ করলাম। সে আমার অর্ডার নিতে এসেছিল এবং...... আমি তাকে জিজ্ঞাসা করেছিলাম যে সে কি আমাকে পাথরের উপর একটি কুমারী মার্গারিটা তৈরি করতে পারে? এবং সে তা করেছিল। এবং আমি টেবিলে ফিরে এসেছিলাম। এবং তারপর আমি ওয়েট্রেসের কাছ থেকে দ্বিতীয়টি অর্ডার করেছিলাম যখন সে প্রায় আধ ঘন্টা পরে আবার এসেছিল। এবং এটি কাজ করেছিল। এবং আমি তা করেছিলাম। আমার অর্ডারের "কুমারী" অংশটি অন্তর্ভুক্ত না করার জন্য আমি খুব, খুব লোভিত ছিলাম। কিন্তু আমি তা করেছিলাম। এবং আমার ৫-৬টি নিয়মিত পানীয় ছিল না। এবং আমি সবার সামনে নিজেকে বিব্রত করিনি। এবং আমি সারাদিন হ্যাংওভারের সাথে ঘুম থেকে উঠিনি যা আমাকে গাধা টেনে টেনে বের করতে বাধ্য করেছিল। আমি আসলে তা করেছিলাম। আমার এটি সম্পর্কে ভালো লাগছে। তাছাড়া, আমি ভাগ করে নিতে চেয়েছিলাম। কিন্তু আমি আর কখনও সেই স্তরের প্রলোভন অনুভব করতে চাই না। এইবার এই যাত্রা শুরু করার পর থেকে এটি আমার সবচেয়ে বেশি।</v>
      </c>
    </row>
    <row r="1565" spans="1:3" ht="15" x14ac:dyDescent="0.25">
      <c r="A1565" s="3" t="s">
        <v>1559</v>
      </c>
      <c r="B1565" s="3" t="s">
        <v>997</v>
      </c>
      <c r="C1565" s="4" t="str">
        <f ca="1">IFERROR(__xludf.DUMMYFUNCTION("GOOGLETRANSLATE(A1565, ""auto"", ""bn"")"),"আমি এখানে মোটামুটি নতুন, কয়েক সপ্তাহ ধরে আমি লুকিয়ে আছি এবং অবশেষে আজ সকালে মদ্যপান ছেড়ে দেওয়ার সাহস পেয়েছি। আমার বিষণ্ণতা ক্রমশ খারাপ হচ্ছে, এবং আমি নিজেকে বোকা বানাচ্ছি যে অ্যালকোহল আমাকে আরাম করতে এবং শান্ত হতে সাহায্য করে, যদিও বাস্তবে এটি আমার র"&amp;"াগের সমস্যা প্রকাশ করে, আমাকে আরও আত্মহত্যাপ্রবণ করে তোলে এবং আমাকে বোকামি করতে বাধ্য করে। তাছাড়া, আমি দুটি ছোট ছেলের মা। তাছাড়া, আমি সেই ব্যক্তি হতে পারি না। তাছাড়া, আমি তাদের, আমার স্বামীর, আমার বন্ধুদের এবং সবচেয়ে গুরুত্বপূর্ণভাবে আমার নিজের কাছে ঋণী।"&amp;" আমার পুরো পরিবার এবং আমার স্বামীর পরিবারের সকলেরই মদ্যপানের বিভিন্ন স্তর রয়েছে, এটি আমার সামাজিক জীবনে এতটাই দৃঢ়ভাবে গেঁথে আছে।")</f>
        <v>আমি এখানে মোটামুটি নতুন, কয়েক সপ্তাহ ধরে আমি লুকিয়ে আছি এবং অবশেষে আজ সকালে মদ্যপান ছেড়ে দেওয়ার সাহস পেয়েছি। আমার বিষণ্ণতা ক্রমশ খারাপ হচ্ছে, এবং আমি নিজেকে বোকা বানাচ্ছি যে অ্যালকোহল আমাকে আরাম করতে এবং শান্ত হতে সাহায্য করে, যদিও বাস্তবে এটি আমার রাগের সমস্যা প্রকাশ করে, আমাকে আরও আত্মহত্যাপ্রবণ করে তোলে এবং আমাকে বোকামি করতে বাধ্য করে। তাছাড়া, আমি দুটি ছোট ছেলের মা। তাছাড়া, আমি সেই ব্যক্তি হতে পারি না। তাছাড়া, আমি তাদের, আমার স্বামীর, আমার বন্ধুদের এবং সবচেয়ে গুরুত্বপূর্ণভাবে আমার নিজের কাছে ঋণী। আমার পুরো পরিবার এবং আমার স্বামীর পরিবারের সকলেরই মদ্যপানের বিভিন্ন স্তর রয়েছে, এটি আমার সামাজিক জীবনে এতটাই দৃঢ়ভাবে গেঁথে আছে।</v>
      </c>
    </row>
    <row r="1566" spans="1:3" ht="15" x14ac:dyDescent="0.25">
      <c r="A1566" s="3" t="s">
        <v>1560</v>
      </c>
      <c r="B1566" s="3" t="s">
        <v>997</v>
      </c>
      <c r="C1566" s="4" t="str">
        <f ca="1">IFERROR(__xludf.DUMMYFUNCTION("GOOGLETRANSLATE(A1566, ""auto"", ""bn"")"),"গত রাতে সবার পছন্দের চা দেখে আমার খুব ভালো লেগেছে। যদি এই সাবের জন্য এটি উপযুক্ত না হয়, তাহলে আমি দুঃখিত, এবং দয়া করে এটি সরিয়ে ফেলুন। যাই হোক, আজ রাতে আমার একটু খারাপ লাগছে (শুধু ঠান্ডা লেগেছে)। আমি কিছু রাস্পবেরি চা বানালাম এবং লেবু এবং মধু খুব বেশি "&amp;"খেয়ে ফেললাম। এটা স্বাদযুক্ত এবং আমার গলায় খুব আরামদায়ক। অন্য কেউ কি চা পান করছেন বা আজ রাতে কেউ কি একটি চমৎকার নন-অ্যালকোহলযুক্ত পানীয় উপভোগ করছেন?")</f>
        <v>গত রাতে সবার পছন্দের চা দেখে আমার খুব ভালো লেগেছে। যদি এই সাবের জন্য এটি উপযুক্ত না হয়, তাহলে আমি দুঃখিত, এবং দয়া করে এটি সরিয়ে ফেলুন। যাই হোক, আজ রাতে আমার একটু খারাপ লাগছে (শুধু ঠান্ডা লেগেছে)। আমি কিছু রাস্পবেরি চা বানালাম এবং লেবু এবং মধু খুব বেশি খেয়ে ফেললাম। এটা স্বাদযুক্ত এবং আমার গলায় খুব আরামদায়ক। অন্য কেউ কি চা পান করছেন বা আজ রাতে কেউ কি একটি চমৎকার নন-অ্যালকোহলযুক্ত পানীয় উপভোগ করছেন?</v>
      </c>
    </row>
    <row r="1567" spans="1:3" ht="15" x14ac:dyDescent="0.25">
      <c r="A1567" s="3" t="s">
        <v>1561</v>
      </c>
      <c r="B1567" s="3" t="s">
        <v>997</v>
      </c>
      <c r="C1567" s="4" t="str">
        <f ca="1">IFERROR(__xludf.DUMMYFUNCTION("GOOGLETRANSLATE(A1567, ""auto"", ""bn"")"),"আমি বাসা থেকে কাজ করছিলাম এবং একা বোধ করছিলাম। আমি খুব বেশি মদ্যপান শুরু করেছিলাম: কাজের সময় বন্ধ, তারপর কাজের সময়, ভাবছিলাম এটা লক্ষণীয় নয়। আমার বস সবেমাত্র শেয়ার করেছেন যে তিনি অনুভব করেছেন যে আমি একটি মিটিংয়ে মাতাল ছিলাম, এবং অন্যরাও এটি উল্লেখ ক"&amp;"রেছে। আমি খুব লজ্জিত। আমি পরিবর্তন করতে চাই কিন্তু আমিও একরকম অদৃশ্য হয়ে যেতে চাই। এটা খুবই অপমানজনক, এবং আমার সাথে ভাগ করে নেওয়ার মতো কেউ নেই।")</f>
        <v>আমি বাসা থেকে কাজ করছিলাম এবং একা বোধ করছিলাম। আমি খুব বেশি মদ্যপান শুরু করেছিলাম: কাজের সময় বন্ধ, তারপর কাজের সময়, ভাবছিলাম এটা লক্ষণীয় নয়। আমার বস সবেমাত্র শেয়ার করেছেন যে তিনি অনুভব করেছেন যে আমি একটি মিটিংয়ে মাতাল ছিলাম, এবং অন্যরাও এটি উল্লেখ করেছে। আমি খুব লজ্জিত। আমি পরিবর্তন করতে চাই কিন্তু আমিও একরকম অদৃশ্য হয়ে যেতে চাই। এটা খুবই অপমানজনক, এবং আমার সাথে ভাগ করে নেওয়ার মতো কেউ নেই।</v>
      </c>
    </row>
    <row r="1568" spans="1:3" ht="15" x14ac:dyDescent="0.25">
      <c r="A1568" s="3" t="s">
        <v>1562</v>
      </c>
      <c r="B1568" s="3" t="s">
        <v>997</v>
      </c>
      <c r="C1568" s="4" t="str">
        <f ca="1">IFERROR(__xludf.DUMMYFUNCTION("GOOGLETRANSLATE(A1568, ""auto"", ""bn"")"),"শিরোনামই সব বলে দিচ্ছে! আমি খুব বেশি উত্তেজিত ছিলাম না কারণ আমি নিজেকে ৬৯ বছর বয়সে চুক্তি করতে বলেছিলাম... তবে, আমার স্পনসরের সাথে কথা বলার পর সে আমাকে এই মুহূর্তটিকে আরও বেশি করে বাঁচতে বলল - যা আমি একেবারেই ভয়ানক। যে কেউ... ২ মাস পরে... কখনও!!! আমি এত"&amp;"দিন অ্যালকোহল ছাড়া কখনও কাটিয়েছি না, এবং আমি নিজেকে নিয়ে খুব গর্বিত!!! এটা আরও সহজ হয়ে ওঠে!")</f>
        <v>শিরোনামই সব বলে দিচ্ছে! আমি খুব বেশি উত্তেজিত ছিলাম না কারণ আমি নিজেকে ৬৯ বছর বয়সে চুক্তি করতে বলেছিলাম... তবে, আমার স্পনসরের সাথে কথা বলার পর সে আমাকে এই মুহূর্তটিকে আরও বেশি করে বাঁচতে বলল - যা আমি একেবারেই ভয়ানক। যে কেউ... ২ মাস পরে... কখনও!!! আমি এতদিন অ্যালকোহল ছাড়া কখনও কাটিয়েছি না, এবং আমি নিজেকে নিয়ে খুব গর্বিত!!! এটা আরও সহজ হয়ে ওঠে!</v>
      </c>
    </row>
    <row r="1569" spans="1:3" ht="15" x14ac:dyDescent="0.25">
      <c r="A1569" s="3" t="s">
        <v>1563</v>
      </c>
      <c r="B1569" s="3" t="s">
        <v>997</v>
      </c>
      <c r="C1569" s="4" t="str">
        <f ca="1">IFERROR(__xludf.DUMMYFUNCTION("GOOGLETRANSLATE(A1569, ""auto"", ""bn"")"),"আমি আকর্ষণীয় তারিখের একজন বড় ভক্ত, তাই যখন বুঝতে পারলাম যে আমার এক বছর ২/২/২২ তারিখে পড়বে, তখন আমি উত্তেজিত হয়ে পড়েছিলাম। আমার মনে হচ্ছে আমি এক বছর উদযাপন করার যোগ্য নই কারণ আমি ""সমস্যাযুক্ত মদ্যপানকারী"" ছিলাম না? এবং আমি খুব একটা তুচ্ছ করিনি। আসলে, আম"&amp;"ি এই পোস্টটি কয়েকবার আবার টাইপ করেছি এবং মুছে ফেলেছি। আমি মদ্যপান না করাকে জনসমক্ষে প্রকাশ করিনি, আমি কেবল সুযোগগুলি প্রত্যাখ্যান করেছি, তাই আমার জীবনের বড় মানুষ জানে যে আমি মদ্যপান করছি না, কিন্তু আমি এখনও গর্বিত যে আমি যা করার পরিকল্পনা করেছি, একদিন করে"&amp;" এবং কারও সাথে উদযাপন করতে চাই। আমার পরিবারে উল্লেখযোগ্য সংখ্যক মদ্যপ থাকায়, আমি দেখতে পাচ্ছিলাম যে এটি আমার জন্য কতটা সমস্যা হতে পারে। আমি সপ্তাহে কত দিন পান করছিলাম তা গণনা করছিলাম, আমার কত পানীয় ছিল তা ট্র্যাক করছিলাম যাতে নিশ্চিত করা যায় যে এটি খুব ব"&amp;"েশি নয়, বরং পরবর্তীটির জন্য উত্তেজিত। যখন আমি ছোট ছিলাম, আমি প্রতিবার পান করার সময় নিরব থাকতাম এবং আমি বুঝতে পারিনি যে সবাই তা করে না।")</f>
        <v>আমি আকর্ষণীয় তারিখের একজন বড় ভক্ত, তাই যখন বুঝতে পারলাম যে আমার এক বছর ২/২/২২ তারিখে পড়বে, তখন আমি উত্তেজিত হয়ে পড়েছিলাম। আমার মনে হচ্ছে আমি এক বছর উদযাপন করার যোগ্য নই কারণ আমি "সমস্যাযুক্ত মদ্যপানকারী" ছিলাম না? এবং আমি খুব একটা তুচ্ছ করিনি। আসলে, আমি এই পোস্টটি কয়েকবার আবার টাইপ করেছি এবং মুছে ফেলেছি। আমি মদ্যপান না করাকে জনসমক্ষে প্রকাশ করিনি, আমি কেবল সুযোগগুলি প্রত্যাখ্যান করেছি, তাই আমার জীবনের বড় মানুষ জানে যে আমি মদ্যপান করছি না, কিন্তু আমি এখনও গর্বিত যে আমি যা করার পরিকল্পনা করেছি, একদিন করে এবং কারও সাথে উদযাপন করতে চাই। আমার পরিবারে উল্লেখযোগ্য সংখ্যক মদ্যপ থাকায়, আমি দেখতে পাচ্ছিলাম যে এটি আমার জন্য কতটা সমস্যা হতে পারে। আমি সপ্তাহে কত দিন পান করছিলাম তা গণনা করছিলাম, আমার কত পানীয় ছিল তা ট্র্যাক করছিলাম যাতে নিশ্চিত করা যায় যে এটি খুব বেশি নয়, বরং পরবর্তীটির জন্য উত্তেজিত। যখন আমি ছোট ছিলাম, আমি প্রতিবার পান করার সময় নিরব থাকতাম এবং আমি বুঝতে পারিনি যে সবাই তা করে না।</v>
      </c>
    </row>
    <row r="1570" spans="1:3" ht="15" x14ac:dyDescent="0.25">
      <c r="A1570" s="3" t="s">
        <v>1564</v>
      </c>
      <c r="B1570" s="3" t="s">
        <v>997</v>
      </c>
      <c r="C1570" s="4" t="str">
        <f ca="1">IFERROR(__xludf.DUMMYFUNCTION("GOOGLETRANSLATE(A1570, ""auto"", ""bn"")"),"আমার বয়স ৩২, দশ বছরেরও বেশি সময়ের মধ্যে এই প্রথম আমি ১৬ ঘন্টা ধরে ঘুমের মধ্যে আছি, আর আমার মনে হচ্ছে যেন মৃত্যু। আমি কাঁপছি, ঠান্ডা লাগছে, বমি হচ্ছে আর আমি জানি না আমি এটা করতে পারব কিনা। তাছাড়া, আমি জানি না এই পোস্ট থেকে আমি কী চাই, আমি এটা লুকিয়ে রাখতে"&amp;" পারদর্শী, তাই আমি এক দশক ধরে মোটামুটি লুব্রিকেন্ট থাকতে চলেছি, আর আমি বুঝতে পারছি যে আমি অ্যালকোহল ছাড়া কিছুই করতে জানি না। যেমন, অন্য কিছু। আর এখন এই তথ্য দিয়ে মানুষকে বোঝানোটা খারাপ লাগছে। আমি সকাল ৬টায় শুধু কথা বলছি কারণ আমি ঘুমাতে পারছি না। মদের স্বপ"&amp;"্ন দেখা কি স্বাভাবিক?")</f>
        <v>আমার বয়স ৩২, দশ বছরেরও বেশি সময়ের মধ্যে এই প্রথম আমি ১৬ ঘন্টা ধরে ঘুমের মধ্যে আছি, আর আমার মনে হচ্ছে যেন মৃত্যু। আমি কাঁপছি, ঠান্ডা লাগছে, বমি হচ্ছে আর আমি জানি না আমি এটা করতে পারব কিনা। তাছাড়া, আমি জানি না এই পোস্ট থেকে আমি কী চাই, আমি এটা লুকিয়ে রাখতে পারদর্শী, তাই আমি এক দশক ধরে মোটামুটি লুব্রিকেন্ট থাকতে চলেছি, আর আমি বুঝতে পারছি যে আমি অ্যালকোহল ছাড়া কিছুই করতে জানি না। যেমন, অন্য কিছু। আর এখন এই তথ্য দিয়ে মানুষকে বোঝানোটা খারাপ লাগছে। আমি সকাল ৬টায় শুধু কথা বলছি কারণ আমি ঘুমাতে পারছি না। মদের স্বপ্ন দেখা কি স্বাভাবিক?</v>
      </c>
    </row>
    <row r="1571" spans="1:3" ht="15" x14ac:dyDescent="0.25">
      <c r="A1571" s="3" t="s">
        <v>1565</v>
      </c>
      <c r="B1571" s="3" t="s">
        <v>997</v>
      </c>
      <c r="C1571" s="4" t="str">
        <f ca="1">IFERROR(__xludf.DUMMYFUNCTION("GOOGLETRANSLATE(A1571, ""auto"", ""bn"")"),"সম্প্রতি আমি আবার প্রতিদিন ৩ থেকে ৬টি বিয়ার পান করতে শুরু করেছি। আজ, আমি মুদিখানার জিনিসপত্র কিনেছি, পোষা প্রাণীদের জন্য জিনিসপত্র মজুত করেছি এবং বিয়ারের দোকানকে আমার শেষ গন্তব্য হিসেবে বেছে নিয়েছি। আমি আমার স্বাভাবিক ২৪টি ক্যাশ কাউন্টারে নিয়ে গিয়েছি"&amp;"লাম, ট্যাপ করে বুঝতে পেরেছিলাম যে আমার প্রতারণামূলক অ্যাকাউন্টে টাকা ফুরিয়ে গেছে। আমি ক্যাশিয়ারের দিকে তাকিয়ে বললাম, ""এটা তো একটা ভালো লক্ষণ বলে মনে হচ্ছে,"" বিয়ারটি আবার তাকে রেখে চলে গেলাম। তাছাড়া, আমার পোষা প্রাণী, মুদিখানা এবং গ্যাসের টাকা বিয়া"&amp;"রের আগে রাখতে হবে, তাই আমি আর বেশিদিন আর এগুলো কিনব না।")</f>
        <v>সম্প্রতি আমি আবার প্রতিদিন ৩ থেকে ৬টি বিয়ার পান করতে শুরু করেছি। আজ, আমি মুদিখানার জিনিসপত্র কিনেছি, পোষা প্রাণীদের জন্য জিনিসপত্র মজুত করেছি এবং বিয়ারের দোকানকে আমার শেষ গন্তব্য হিসেবে বেছে নিয়েছি। আমি আমার স্বাভাবিক ২৪টি ক্যাশ কাউন্টারে নিয়ে গিয়েছিলাম, ট্যাপ করে বুঝতে পেরেছিলাম যে আমার প্রতারণামূলক অ্যাকাউন্টে টাকা ফুরিয়ে গেছে। আমি ক্যাশিয়ারের দিকে তাকিয়ে বললাম, "এটা তো একটা ভালো লক্ষণ বলে মনে হচ্ছে," বিয়ারটি আবার তাকে রেখে চলে গেলাম। তাছাড়া, আমার পোষা প্রাণী, মুদিখানা এবং গ্যাসের টাকা বিয়ারের আগে রাখতে হবে, তাই আমি আর বেশিদিন আর এগুলো কিনব না।</v>
      </c>
    </row>
    <row r="1572" spans="1:3" ht="15" x14ac:dyDescent="0.25">
      <c r="A1572" s="3" t="s">
        <v>1566</v>
      </c>
      <c r="B1572" s="3" t="s">
        <v>997</v>
      </c>
      <c r="C1572" s="4" t="str">
        <f ca="1">IFERROR(__xludf.DUMMYFUNCTION("GOOGLETRANSLATE(A1572, ""auto"", ""bn"")"),"আজ প্রথমবার আমার জিআই বিশেষজ্ঞদের সাথে দেখা করে সব ঠিক হয়ে গেল। আমার রোগ নির্ণয় করা হয়েছিল ২ সপ্তাহ আগে এবং আজ সকালে তার অফিসে ফলো-আপ অ্যাপয়েন্টমেন্ট নিলাম। আমি নার্ভাস ছিলাম কারণ তার কিছু গুগল রিভিউ খুব একটা ভালো ছিল না, কিন্তু অফিসের কর্মীরা এবং ডাক"&amp;"্তার নিজেও পুরোপুরি ঠিক আছেন যা সবসময় ভালো। তিনি আমার পায়ে ফোলাভাব পরীক্ষা করতে চেয়েছিলেন যা তিনি করেছিলেন এবং বলেছিলেন যে তারা অনেক ভালো দেখাচ্ছে যা আমার পেটের সাথেও আছে। তিনি আমাকে জিজ্ঞাসা করেছিলেন যে আমি কি মুক্তি পাওয়ার পর থেকে মদ্যপান করছিলাম কি"&amp;"না আমি তাকে এক ফোঁটাও জানাইনি। আমাকে জিজ্ঞাসা করেছিলেন যে চলে যাওয়ার পর থেকে আমার আর কোনও লক্ষণ আছে কিনা আমি তাকে জানাইনি যে বমি বমি ভাব ইত্যাদি নেই। স্বাভাবিক সন্দেহের ভিত্তিতে তিনি রক্ত ​​বের করে পরীক্ষা করার জন্য একটি ল্যাবে পাঠিয়েছিলেন যা আমি বৃহস্প"&amp;"তিবার কল করব ফলাফল সহ আগামী মাসে আরেকটি অ্যাপয়েন্টমেন্ট ঠিক করব। তো আসলে কিছুই হয়নি, কিন্তু আমার মনে হচ্ছে এটা প্রায় ভালোই হয়েছে। রক্ত ​​পরীক্ষার রিপোর্ট আসতে দেখে আমি কিছুটা নার্ভাস, কিন্তু আমি ভালো খাচ্ছি এবং ব্যায়াম করছি, তাই আশা করছি ফলাফল আরও ভালো "&amp;"হবে। ও আমার জন্ডিসের দিকেও নজর দিয়ে বলল, সময়ের সাথে সাথে এটা ভালো হয়ে যাবে, তাই আমি খুশি... শুধু এটা পোস্ট করে মনের ভাব প্রকাশ করতে চাইছিলাম। ধন্যবাদ।")</f>
        <v>আজ প্রথমবার আমার জিআই বিশেষজ্ঞদের সাথে দেখা করে সব ঠিক হয়ে গেল। আমার রোগ নির্ণয় করা হয়েছিল ২ সপ্তাহ আগে এবং আজ সকালে তার অফিসে ফলো-আপ অ্যাপয়েন্টমেন্ট নিলাম। আমি নার্ভাস ছিলাম কারণ তার কিছু গুগল রিভিউ খুব একটা ভালো ছিল না, কিন্তু অফিসের কর্মীরা এবং ডাক্তার নিজেও পুরোপুরি ঠিক আছেন যা সবসময় ভালো। তিনি আমার পায়ে ফোলাভাব পরীক্ষা করতে চেয়েছিলেন যা তিনি করেছিলেন এবং বলেছিলেন যে তারা অনেক ভালো দেখাচ্ছে যা আমার পেটের সাথেও আছে। তিনি আমাকে জিজ্ঞাসা করেছিলেন যে আমি কি মুক্তি পাওয়ার পর থেকে মদ্যপান করছিলাম কিনা আমি তাকে এক ফোঁটাও জানাইনি। আমাকে জিজ্ঞাসা করেছিলেন যে চলে যাওয়ার পর থেকে আমার আর কোনও লক্ষণ আছে কিনা আমি তাকে জানাইনি যে বমি বমি ভাব ইত্যাদি নেই। স্বাভাবিক সন্দেহের ভিত্তিতে তিনি রক্ত ​​বের করে পরীক্ষা করার জন্য একটি ল্যাবে পাঠিয়েছিলেন যা আমি বৃহস্পতিবার কল করব ফলাফল সহ আগামী মাসে আরেকটি অ্যাপয়েন্টমেন্ট ঠিক করব। তো আসলে কিছুই হয়নি, কিন্তু আমার মনে হচ্ছে এটা প্রায় ভালোই হয়েছে। রক্ত ​​পরীক্ষার রিপোর্ট আসতে দেখে আমি কিছুটা নার্ভাস, কিন্তু আমি ভালো খাচ্ছি এবং ব্যায়াম করছি, তাই আশা করছি ফলাফল আরও ভালো হবে। ও আমার জন্ডিসের দিকেও নজর দিয়ে বলল, সময়ের সাথে সাথে এটা ভালো হয়ে যাবে, তাই আমি খুশি... শুধু এটা পোস্ট করে মনের ভাব প্রকাশ করতে চাইছিলাম। ধন্যবাদ।</v>
      </c>
    </row>
    <row r="1573" spans="1:3" ht="15" x14ac:dyDescent="0.25">
      <c r="A1573" s="3" t="s">
        <v>1567</v>
      </c>
      <c r="B1573" s="3" t="s">
        <v>997</v>
      </c>
      <c r="C1573" s="4" t="str">
        <f ca="1">IFERROR(__xludf.DUMMYFUNCTION("GOOGLETRANSLATE(A1573, ""auto"", ""bn"")"),"১৩ বছর ধরে মদ্যপান করছিলাম, মহামারীর সময় আবার মদ্যপান শুরু করেছি। আমি লজ্জিত এবং কাউকে বলতে পারছি না যে এটা কতটা খারাপ হয়ে গেছে। আমি মদ্যপান বন্ধ করে, বোতল লুকিয়ে রেখে, এবং আমার শরীর ও মনের উপর নির্যাতন করে ক্লান্ত। সকাল ৭টা: আমার সব শেষ! আমি মদ্যপান ক"&amp;"রছি না। আমি নিজের উপর খুব বিরক্ত! (লজ্জা অপ্রতিরোধ্য।) দুপুর ১২টা: এটা আসলে খারাপ নয়, তাই না? বিকেল ৪টা: আজ রাতে ওয়াইন নাকি ভদকা নাকি দুটোই? চক্র পুনরাবৃত্তি করে। আমার একদিন দরকার! দয়া করে আমার পথে ইতিবাচক শক্তি পাঠান। আমি মরিয়া। আজ আমি পান করব না।")</f>
        <v>১৩ বছর ধরে মদ্যপান করছিলাম, মহামারীর সময় আবার মদ্যপান শুরু করেছি। আমি লজ্জিত এবং কাউকে বলতে পারছি না যে এটা কতটা খারাপ হয়ে গেছে। আমি মদ্যপান বন্ধ করে, বোতল লুকিয়ে রেখে, এবং আমার শরীর ও মনের উপর নির্যাতন করে ক্লান্ত। সকাল ৭টা: আমার সব শেষ! আমি মদ্যপান করছি না। আমি নিজের উপর খুব বিরক্ত! (লজ্জা অপ্রতিরোধ্য।) দুপুর ১২টা: এটা আসলে খারাপ নয়, তাই না? বিকেল ৪টা: আজ রাতে ওয়াইন নাকি ভদকা নাকি দুটোই? চক্র পুনরাবৃত্তি করে। আমার একদিন দরকার! দয়া করে আমার পথে ইতিবাচক শক্তি পাঠান। আমি মরিয়া। আজ আমি পান করব না।</v>
      </c>
    </row>
    <row r="1574" spans="1:3" ht="15" x14ac:dyDescent="0.25">
      <c r="A1574" s="3" t="s">
        <v>1568</v>
      </c>
      <c r="B1574" s="3" t="s">
        <v>997</v>
      </c>
      <c r="C1574" s="4" t="str">
        <f ca="1">IFERROR(__xludf.DUMMYFUNCTION("GOOGLETRANSLATE(A1574, ""auto"", ""bn"")"),"আজ আমি গর্বের সাথে এক বছর অ্যালকোহলমুক্ত থাকার উদযাপন করছি। এই সাব ছাড়া আমি এটা করতে পারতাম না। এখানকার ঘাস সত্যিই আরও সবুজ, এবং বোতলের তলা আমাকে আগে কোথায় নিয়ে যাচ্ছে তা দেখে আমি কৃতজ্ঞ। আমার বয়স ২৩ বছর, এবং তুমি কখনই ছেড়ে দেওয়ার জন্য খুব ছোট নও। য"&amp;"দি তুমি প্রশ্ন করো যে তোমার মদ্যপান বন্ধ করা উচিত কিনা, উত্তর হল হ্যাঁ। এখানে সকলকে অনেক ধন্যবাদ। আমি ৩৬৪ দিনের মধ্যে আবার আসব এবং আরেকটি বছর উদযাপন করব। পরবর্তী সময় পর্যন্ত।")</f>
        <v>আজ আমি গর্বের সাথে এক বছর অ্যালকোহলমুক্ত থাকার উদযাপন করছি। এই সাব ছাড়া আমি এটা করতে পারতাম না। এখানকার ঘাস সত্যিই আরও সবুজ, এবং বোতলের তলা আমাকে আগে কোথায় নিয়ে যাচ্ছে তা দেখে আমি কৃতজ্ঞ। আমার বয়স ২৩ বছর, এবং তুমি কখনই ছেড়ে দেওয়ার জন্য খুব ছোট নও। যদি তুমি প্রশ্ন করো যে তোমার মদ্যপান বন্ধ করা উচিত কিনা, উত্তর হল হ্যাঁ। এখানে সকলকে অনেক ধন্যবাদ। আমি ৩৬৪ দিনের মধ্যে আবার আসব এবং আরেকটি বছর উদযাপন করব। পরবর্তী সময় পর্যন্ত।</v>
      </c>
    </row>
    <row r="1575" spans="1:3" ht="15" x14ac:dyDescent="0.25">
      <c r="A1575" s="3" t="s">
        <v>1569</v>
      </c>
      <c r="B1575" s="3" t="s">
        <v>997</v>
      </c>
      <c r="C1575" s="4" t="str">
        <f ca="1">IFERROR(__xludf.DUMMYFUNCTION("GOOGLETRANSLATE(A1575, ""auto"", ""bn"")"),"এখানে আমি প্রচুর পরিমাণে মদ্যপান করছি। ৯ দিন হয়ে গেল আমি একটা মদ্যপান করেছি। আমি নিজেকে প্রতিশ্রুতি দিয়েছিলাম যে আমি এক মাস ধরে কোনও অ্যালকোহল স্পর্শ না করেই থাকব, কীভাবে আমি এটি সামলাতে পারি কিনা তা পরীক্ষা করার জন্য। সপ্তাহ জুড়ে এটি পরিহার করা খুব সহ"&amp;"জ ছিল কিন্তু শুক্রবার আসার পর থেকে ক্ষুধা তীব্র হয়ে ওঠে। আমি লক্ষ্য করেছি যে আমি অবিশ্বাস্যভাবে বিরক্ত এবং উত্তেজিত ছিলাম। আমি ভাবতে থাকি যে এক গ্লাস ওয়াইন আমার যা কিছু করছি তা বাড়াতে কতটা সাহায্য করবে (যেমন রান্না করা)। তাছাড়া, আমি খুব ব্যস্ত থাকার ব"&amp;"িষয়টি নিশ্চিত করেছি। তাছাড়া, আমি আমার প্রেমিকের জন্য খুব ভাগ্যবান এবং কৃতজ্ঞ যে অবিশ্বাস্যভাবে সহায়ক এবং সহায়ক ছিল।")</f>
        <v>এখানে আমি প্রচুর পরিমাণে মদ্যপান করছি। ৯ দিন হয়ে গেল আমি একটা মদ্যপান করেছি। আমি নিজেকে প্রতিশ্রুতি দিয়েছিলাম যে আমি এক মাস ধরে কোনও অ্যালকোহল স্পর্শ না করেই থাকব, কীভাবে আমি এটি সামলাতে পারি কিনা তা পরীক্ষা করার জন্য। সপ্তাহ জুড়ে এটি পরিহার করা খুব সহজ ছিল কিন্তু শুক্রবার আসার পর থেকে ক্ষুধা তীব্র হয়ে ওঠে। আমি লক্ষ্য করেছি যে আমি অবিশ্বাস্যভাবে বিরক্ত এবং উত্তেজিত ছিলাম। আমি ভাবতে থাকি যে এক গ্লাস ওয়াইন আমার যা কিছু করছি তা বাড়াতে কতটা সাহায্য করবে (যেমন রান্না করা)। তাছাড়া, আমি খুব ব্যস্ত থাকার বিষয়টি নিশ্চিত করেছি। তাছাড়া, আমি আমার প্রেমিকের জন্য খুব ভাগ্যবান এবং কৃতজ্ঞ যে অবিশ্বাস্যভাবে সহায়ক এবং সহায়ক ছিল।</v>
      </c>
    </row>
    <row r="1576" spans="1:3" ht="15" x14ac:dyDescent="0.25">
      <c r="A1576" s="3" t="s">
        <v>1570</v>
      </c>
      <c r="B1576" s="3" t="s">
        <v>997</v>
      </c>
      <c r="C1576" s="4" t="str">
        <f ca="1">IFERROR(__xludf.DUMMYFUNCTION("GOOGLETRANSLATE(A1576, ""auto"", ""bn"")"),"আমি সবসময়ই একজন দৌড়বিদ। চল্লিশের কোঠায় পৌঁছানোর সাথে সাথে দৌড়ানোর পর আমার ব্যথা আরও বেশি হতে থাকে, পরের দিন আরও খারাপ লাগতে থাকে, এবং ছোটবেলার মতো শক্তি আর থাকে না। তারপর ২০২০ সালের গ্রীষ্মে বহু বছর ধরে দৌড়ানোর কারণে আমার নিতম্বে আঘাত লাগে। মহামারীর সা"&amp;"থে সাথে আমার মদ্যপানও বেড়ে যায়। নিতম্বের আঘাত থেকে সেরে ওঠার পর, আমি আবার দৌড়ানোর চেষ্টা করি, কিন্তু নিতম্ব সবসময়ই অস্বস্তিকর ছিল, পা আরও খারাপ লাগছিল, এবং আমি ভেবেছিলাম দৌড়ের জুতা ঝুলিয়ে রাখার সময় এসেছে। এই মাসের শুরুতে (শেষ পানীয়টি ২০২১ সালের ১৩"&amp;" নভেম্বর), আমি বছরের পর বছর ধরে আমার চেয়ে বেশি উদ্যমী বোধ করছি, তাই আমি ট্রেডমিলে কিছু ছোট ছোট দৌড় শুরু করি। আমি লক্ষ্য করি যে আমি ২ মাইল দৌড়াতে পারি এবং নিতম্বের ব্যথা ছাড়াই কিছুটা ঘুম থেকে উঠতে পারি, এবং, আমার কাছে আশ্চর্যজনক, আমার পা ভালো লাগছে এবং"&amp;" পরের দিন আমার মনে হয় আমি আরও কিছু করতে পারি। তারপর একদিন আমার খুব ভালো লাগছে, আর আমি নিজেকে বলি যে আমি মনে করি আমি ৫ মাইল দৌড়াতে পারব? তাই ৪৫ মিনিট পরে, আমি ৫ মাইল দৌড়াতে শেষ করলাম! আমি ভেবেছিলাম পরের দিন (গতকাল) আমার ব্যথা হবে এবং আমি ঘুম থেকে উঠলাম,"&amp;" আর আমার পায়ে তেমন ব্যথা হচ্ছে না। গতকাল আরও ৩টি এবং আজ ৪টি এবং আমি আমার পুরনো স্বভাবের মতো অনুভব করছি! এখন এটা মদ্যপান না করার সাথে সম্পর্কিত নাও হতে পারে, যদি আমি নিশ্চিতভাবে মনে করি। মদ্যপানের কারণে আমার পানিশূন্যতা নেই, আমার শরীর ব্যায়ামের ফলে পেশীগু"&amp;"লি নিরাময়ে এবং নিজেকে বিষাক্ত পদার্থ থেকে মুক্ত করতে তার শক্তি ব্যবহার করতে পারে, আমি আরও ভালো ঘুমাচ্ছি যা স্পষ্টতই পুনরুদ্ধারে সাহায্য করে, আমি মদ্যপান করছি না, তাই আমার শরীর প্রয়োজনীয় পুষ্টি বজায় রাখছে, এবং সবচেয়ে ভালো কথা, আমার নিতম্ব প্রায় ততটা "&amp;"ব্যাথা করে না! মদ্যপান না করলে শরীর কী করতে পারে তা আশ্চর্যজনক! TL;DR: মদ্যপান ছেড়ে দিন, আমার ২০/৩০ এর দশকের মতো আবার দৌড়াতে সক্ষম হচ্ছি")</f>
        <v>আমি সবসময়ই একজন দৌড়বিদ। চল্লিশের কোঠায় পৌঁছানোর সাথে সাথে দৌড়ানোর পর আমার ব্যথা আরও বেশি হতে থাকে, পরের দিন আরও খারাপ লাগতে থাকে, এবং ছোটবেলার মতো শক্তি আর থাকে না। তারপর ২০২০ সালের গ্রীষ্মে বহু বছর ধরে দৌড়ানোর কারণে আমার নিতম্বে আঘাত লাগে। মহামারীর সাথে সাথে আমার মদ্যপানও বেড়ে যায়। নিতম্বের আঘাত থেকে সেরে ওঠার পর, আমি আবার দৌড়ানোর চেষ্টা করি, কিন্তু নিতম্ব সবসময়ই অস্বস্তিকর ছিল, পা আরও খারাপ লাগছিল, এবং আমি ভেবেছিলাম দৌড়ের জুতা ঝুলিয়ে রাখার সময় এসেছে। এই মাসের শুরুতে (শেষ পানীয়টি ২০২১ সালের ১৩ নভেম্বর), আমি বছরের পর বছর ধরে আমার চেয়ে বেশি উদ্যমী বোধ করছি, তাই আমি ট্রেডমিলে কিছু ছোট ছোট দৌড় শুরু করি। আমি লক্ষ্য করি যে আমি ২ মাইল দৌড়াতে পারি এবং নিতম্বের ব্যথা ছাড়াই কিছুটা ঘুম থেকে উঠতে পারি, এবং, আমার কাছে আশ্চর্যজনক, আমার পা ভালো লাগছে এবং পরের দিন আমার মনে হয় আমি আরও কিছু করতে পারি। তারপর একদিন আমার খুব ভালো লাগছে, আর আমি নিজেকে বলি যে আমি মনে করি আমি ৫ মাইল দৌড়াতে পারব? তাই ৪৫ মিনিট পরে, আমি ৫ মাইল দৌড়াতে শেষ করলাম! আমি ভেবেছিলাম পরের দিন (গতকাল) আমার ব্যথা হবে এবং আমি ঘুম থেকে উঠলাম, আর আমার পায়ে তেমন ব্যথা হচ্ছে না। গতকাল আরও ৩টি এবং আজ ৪টি এবং আমি আমার পুরনো স্বভাবের মতো অনুভব করছি! এখন এটা মদ্যপান না করার সাথে সম্পর্কিত নাও হতে পারে, যদি আমি নিশ্চিতভাবে মনে করি। মদ্যপানের কারণে আমার পানিশূন্যতা নেই, আমার শরীর ব্যায়ামের ফলে পেশীগুলি নিরাময়ে এবং নিজেকে বিষাক্ত পদার্থ থেকে মুক্ত করতে তার শক্তি ব্যবহার করতে পারে, আমি আরও ভালো ঘুমাচ্ছি যা স্পষ্টতই পুনরুদ্ধারে সাহায্য করে, আমি মদ্যপান করছি না, তাই আমার শরীর প্রয়োজনীয় পুষ্টি বজায় রাখছে, এবং সবচেয়ে ভালো কথা, আমার নিতম্ব প্রায় ততটা ব্যাথা করে না! মদ্যপান না করলে শরীর কী করতে পারে তা আশ্চর্যজনক! TL;DR: মদ্যপান ছেড়ে দিন, আমার ২০/৩০ এর দশকের মতো আবার দৌড়াতে সক্ষম হচ্ছি</v>
      </c>
    </row>
    <row r="1577" spans="1:3" ht="15" x14ac:dyDescent="0.25">
      <c r="A1577" s="3" t="s">
        <v>1571</v>
      </c>
      <c r="B1577" s="3" t="s">
        <v>997</v>
      </c>
      <c r="C1577" s="4" t="str">
        <f ca="1">IFERROR(__xludf.DUMMYFUNCTION("GOOGLETRANSLATE(A1577, ""auto"", ""bn"")"),"এই নতুন বছরের শুরুতে প্রায় ১ মাস আমি সুস্থ ছিলাম। তারপর আমি মাঝে মাঝে মদ্যপান শুরু করি এবং পরিমিতভাবে নেশা করি, এবং তারপর গত সপ্তাহে ৩ বার মাতাল হয়ে যাই। আমার মানসিক অবস্থা খারাপ। হতাশাগ্রস্ত, উদ্বিগ্ন। অন্য কেউ কি তাদের মানসিক স্বাস্থ্যের উপর অ্যালকোহলে"&amp;"র প্রভাব ভাগ করে নিতে পারেন? আমি নোংরা বোধ করি, এবং আবারও লজ্জিত যে সবকিছু ঠিকঠাক হয়নি... আমার নিজের এবং আমার মানসিক ও শারীরিক স্বাস্থ্যের যত্ন নেওয়া দরকার। তাছাড়া, আমি খুব একা এবং পরাজিত বোধ করি।")</f>
        <v>এই নতুন বছরের শুরুতে প্রায় ১ মাস আমি সুস্থ ছিলাম। তারপর আমি মাঝে মাঝে মদ্যপান শুরু করি এবং পরিমিতভাবে নেশা করি, এবং তারপর গত সপ্তাহে ৩ বার মাতাল হয়ে যাই। আমার মানসিক অবস্থা খারাপ। হতাশাগ্রস্ত, উদ্বিগ্ন। অন্য কেউ কি তাদের মানসিক স্বাস্থ্যের উপর অ্যালকোহলের প্রভাব ভাগ করে নিতে পারেন? আমি নোংরা বোধ করি, এবং আবারও লজ্জিত যে সবকিছু ঠিকঠাক হয়নি... আমার নিজের এবং আমার মানসিক ও শারীরিক স্বাস্থ্যের যত্ন নেওয়া দরকার। তাছাড়া, আমি খুব একা এবং পরাজিত বোধ করি।</v>
      </c>
    </row>
    <row r="1578" spans="1:3" ht="15" x14ac:dyDescent="0.25">
      <c r="A1578" s="3" t="s">
        <v>1572</v>
      </c>
      <c r="B1578" s="3" t="s">
        <v>997</v>
      </c>
      <c r="C1578" s="4" t="str">
        <f ca="1">IFERROR(__xludf.DUMMYFUNCTION("GOOGLETRANSLATE(A1578, ""auto"", ""bn"")"),"আমি এখন তিন মাস ধরে সুস্থ; আমিও কোকেন আসক্তির সাথে লড়াই করছি, ভাবছি তোমাদের মধ্যে কতজন এর সাথে লড়াই করছে। মদ্যপান আমার প্রধান জিনিস ছিল/ছিল, কিন্তু আমার আসক্ত জীবনেও ঘা এর সহায়ক ভূমিকা ছিল। আমি কোকেন ব্যবহারকারীদের একটি সাব বা সহায়ক সম্প্রদায় খুঁজছি।"&amp;" R/কোকেন উপযুক্ত মনে হয়নি, এবং এটি খুব উত্তেজনাপূর্ণ ছিল; কয়েক মিনিটের জন্য স্ক্রল করার সময় আমি প্রায় পুনরায় অসুস্থ হয়ে পড়েছিলাম। ধন্যবাদ বন্ধুরা!")</f>
        <v>আমি এখন তিন মাস ধরে সুস্থ; আমিও কোকেন আসক্তির সাথে লড়াই করছি, ভাবছি তোমাদের মধ্যে কতজন এর সাথে লড়াই করছে। মদ্যপান আমার প্রধান জিনিস ছিল/ছিল, কিন্তু আমার আসক্ত জীবনেও ঘা এর সহায়ক ভূমিকা ছিল। আমি কোকেন ব্যবহারকারীদের একটি সাব বা সহায়ক সম্প্রদায় খুঁজছি। R/কোকেন উপযুক্ত মনে হয়নি, এবং এটি খুব উত্তেজনাপূর্ণ ছিল; কয়েক মিনিটের জন্য স্ক্রল করার সময় আমি প্রায় পুনরায় অসুস্থ হয়ে পড়েছিলাম। ধন্যবাদ বন্ধুরা!</v>
      </c>
    </row>
    <row r="1579" spans="1:3" ht="15" x14ac:dyDescent="0.25">
      <c r="A1579" s="3" t="s">
        <v>1573</v>
      </c>
      <c r="B1579" s="3" t="s">
        <v>997</v>
      </c>
      <c r="C1579" s="4" t="str">
        <f ca="1">IFERROR(__xludf.DUMMYFUNCTION("GOOGLETRANSLATE(A1579, ""auto"", ""bn"")"),"আজ ৬ মাস পূর্ণ হলো, বিয়ার নেই, কোন ওষুধ নেই, কোন ওয়াইন নেই, কোন হ্যাংওভার নেই, অনুশোচনার পর কোন সকাল নেই। ৬ মাস খুবই চ্যালেঞ্জিং ছিল, কিন্তু এর মূল্য আছে। হাল ছেড়ে দেওয়ার এবং 'শুধুমাত্র একটি' থাকার অনেক কারণ আছে। কিন্তু আমি এখানে। ধন্যবাদ, সম্প্রদায়।"&amp;" এবার অন্যরকম লাগছে। আমি আমার সংযত থাকাকে ঘৃণা করি না। আমি অনুভব করতে শুরু করেছি যে আমি আমার জীবন নিয়ন্ত্রণ করি। আমি এই জাহাজটি চালাই।")</f>
        <v>আজ ৬ মাস পূর্ণ হলো, বিয়ার নেই, কোন ওষুধ নেই, কোন ওয়াইন নেই, কোন হ্যাংওভার নেই, অনুশোচনার পর কোন সকাল নেই। ৬ মাস খুবই চ্যালেঞ্জিং ছিল, কিন্তু এর মূল্য আছে। হাল ছেড়ে দেওয়ার এবং 'শুধুমাত্র একটি' থাকার অনেক কারণ আছে। কিন্তু আমি এখানে। ধন্যবাদ, সম্প্রদায়। এবার অন্যরকম লাগছে। আমি আমার সংযত থাকাকে ঘৃণা করি না। আমি অনুভব করতে শুরু করেছি যে আমি আমার জীবন নিয়ন্ত্রণ করি। আমি এই জাহাজটি চালাই।</v>
      </c>
    </row>
    <row r="1580" spans="1:3" ht="15" x14ac:dyDescent="0.25">
      <c r="A1580" s="3" t="s">
        <v>1574</v>
      </c>
      <c r="B1580" s="3" t="s">
        <v>997</v>
      </c>
      <c r="C1580" s="4" t="str">
        <f ca="1">IFERROR(__xludf.DUMMYFUNCTION("GOOGLETRANSLATE(A1580, ""auto"", ""bn"")"),"মদ্যপান ছেড়ে দেওয়ার আগে আমি বুঝতেই পারিনি যে আমি কতক্ষণ মদ্যপান নিয়ে চিন্তা করে কাটিয়েছি। দিনটা খুব চাপের? তুমি একটা পানীয় কিনেছো। ক্লান্ত? এক গ্লাস ওয়াইন খেয়ে আরাম করো। জীবনের বেশিরভাগ ঘটনার প্রতি মদ্যপান আমার প্রতিক্রিয়া হয়ে ওঠে। মনকে মুক্ত করে"&amp;" তোলাটা দারুন, এখন আমাকে নতুন কিছু খুঁজে বের করতে হবে!")</f>
        <v>মদ্যপান ছেড়ে দেওয়ার আগে আমি বুঝতেই পারিনি যে আমি কতক্ষণ মদ্যপান নিয়ে চিন্তা করে কাটিয়েছি। দিনটা খুব চাপের? তুমি একটা পানীয় কিনেছো। ক্লান্ত? এক গ্লাস ওয়াইন খেয়ে আরাম করো। জীবনের বেশিরভাগ ঘটনার প্রতি মদ্যপান আমার প্রতিক্রিয়া হয়ে ওঠে। মনকে মুক্ত করে তোলাটা দারুন, এখন আমাকে নতুন কিছু খুঁজে বের করতে হবে!</v>
      </c>
    </row>
    <row r="1581" spans="1:3" ht="15" x14ac:dyDescent="0.25">
      <c r="A1581" s="3" t="s">
        <v>1575</v>
      </c>
      <c r="B1581" s="3" t="s">
        <v>997</v>
      </c>
      <c r="C1581" s="4" t="str">
        <f ca="1">IFERROR(__xludf.DUMMYFUNCTION("GOOGLETRANSLATE(A1581, ""auto"", ""bn"")"),"আবার মদ্যপানের সিদ্ধান্ত নেওয়ার জন্য নিজেকে বেশ বোকা মনে হচ্ছে। আমার শরীর শান্ত থাকাটা সত্যিই ভালোই চলছিল। আমি ভালো ঘুমাচ্ছিলাম, প্রতিদিন অনেক কদম হাঁটছিলাম, ভালো খাচ্ছিলাম, আমার সমস্ত দায়িত্ব পালন করছিলাম এবং সপ্তাহান্তে হাইকিংয়ে বের হচ্ছিলাম। তারপর আ"&amp;"মার পরিবারে একজনের মৃত্যু হল। আমার অনলাইন কোর্সটি চালিয়ে যাওয়া আমার জন্য খুব কঠিন মনে হচ্ছিল। আমি আমার ভালো রুটিন থেকে বেরিয়ে আসতে শুরু করেছিলাম। তারপর আমি ১ রাত মদ্যপান করলাম। আমি প্রতিরোধ করার চেষ্টা করলাম। আমার সঙ্গী এবং আমি দুজনেই স্বীকার করেছিলাম "&amp;"যে আমরা এটি নিয়ে ভাবছি তারপর সে গিয়ে কিছু কিনে আনল। আমি কয়েক ঘন্টা বসে রইলাম, এক গ্লাস ওয়াইন ইতিমধ্যেই ঢেলে দেওয়া হয়েছিল কিন্তু প্রতিরোধ করার চেষ্টা করছিলাম, জেনেছিলাম যে আমি আমার অগ্রগতি নষ্ট করে চক্র শুরু করতে চাই না। আত্মবিশ্বাস হারিয়ে ফেললাম। ন"&amp;"িজেকে বললাম এটা আর হবে না। ব্ল্যাকআউট, ঘুমাতে যাওয়ার কথা মনে নেই। পরের দিন সকালে আমার খুব খারাপ লাগছিল। শক্তি সঞ্চয় করার চেষ্টা করেছিলাম কিন্তু আবার পান করেছিলাম 'ধারণা কমাতে?'। আবার ব্ল্যাকআউট। আমার সঙ্গীর সাথে তর্ক করলাম। আবার ঘুমাতে যাওয়ার কথা মনে ন"&amp;"েই। পরের দিন হাঁটতে যাওয়ার এবং কিছু কাজ করার চেষ্টা করেছিলাম কিন্তু এখনও খুব খারাপ লাগছিল। উদ্বিগ্ন, এমনকি আমার দৃষ্টিশক্তিও অদ্ভুত লাগছিল, আমার পুরো শরীর অদ্ভুত লাগছিল। তাই আমরা আবার পান করলাম। আগের রাতের মতো এতটা নয়। এতে আমার আর ভালো লাগছিল না, কিন্তু"&amp;" আমার মনে আছে ঘুমাতে যাওয়ার কথা। এখনই শেষ হতে হবে। আবার মদ্যপান করা, মদ্যপান করা, মদ্যপান করা থেকে মদ্যপান করা, এই চক্রে ফিরে যাওয়া খুব সহজ। জীবনটা কঠিন মনে হচ্ছে। মৌলিক দায়িত্বগুলো খুব কঠিন মনে হচ্ছে। শুধু আমার গাছপালা এবং মাছকে বাঁচিয়ে রাখার চেষ্টা "&amp;"করা এবং আমার ঘরকে সম্পূর্ণ ধ্বংসস্তূপে পরিণত হতে না দেওয়া এত কঠিন, কিন্তু এটি সর্বনিম্ন। আমি যা করতে চাই তা হল বিছানায় কুঁকড়ে যাওয়া কিন্তু উদ্বেগ এতটাই তীব্র যে আমি সারাদিন ঘুমাতে পারব না। তাই আজ আমি গোসল করব। আমি হাঁটতে যাব। আমার ক্লাসের জন্য পড়ার চ"&amp;"েষ্টা করব। কিন্তু আমার মূল লক্ষ্য, সবচেয়ে গুরুত্বপূর্ণ, আজ মদ্যপান না করা, যতই অস্বস্তিকর হোক না কেন।")</f>
        <v>আবার মদ্যপানের সিদ্ধান্ত নেওয়ার জন্য নিজেকে বেশ বোকা মনে হচ্ছে। আমার শরীর শান্ত থাকাটা সত্যিই ভালোই চলছিল। আমি ভালো ঘুমাচ্ছিলাম, প্রতিদিন অনেক কদম হাঁটছিলাম, ভালো খাচ্ছিলাম, আমার সমস্ত দায়িত্ব পালন করছিলাম এবং সপ্তাহান্তে হাইকিংয়ে বের হচ্ছিলাম। তারপর আমার পরিবারে একজনের মৃত্যু হল। আমার অনলাইন কোর্সটি চালিয়ে যাওয়া আমার জন্য খুব কঠিন মনে হচ্ছিল। আমি আমার ভালো রুটিন থেকে বেরিয়ে আসতে শুরু করেছিলাম। তারপর আমি ১ রাত মদ্যপান করলাম। আমি প্রতিরোধ করার চেষ্টা করলাম। আমার সঙ্গী এবং আমি দুজনেই স্বীকার করেছিলাম যে আমরা এটি নিয়ে ভাবছি তারপর সে গিয়ে কিছু কিনে আনল। আমি কয়েক ঘন্টা বসে রইলাম, এক গ্লাস ওয়াইন ইতিমধ্যেই ঢেলে দেওয়া হয়েছিল কিন্তু প্রতিরোধ করার চেষ্টা করছিলাম, জেনেছিলাম যে আমি আমার অগ্রগতি নষ্ট করে চক্র শুরু করতে চাই না। আত্মবিশ্বাস হারিয়ে ফেললাম। নিজেকে বললাম এটা আর হবে না। ব্ল্যাকআউট, ঘুমাতে যাওয়ার কথা মনে নেই। পরের দিন সকালে আমার খুব খারাপ লাগছিল। শক্তি সঞ্চয় করার চেষ্টা করেছিলাম কিন্তু আবার পান করেছিলাম 'ধারণা কমাতে?'। আবার ব্ল্যাকআউট। আমার সঙ্গীর সাথে তর্ক করলাম। আবার ঘুমাতে যাওয়ার কথা মনে নেই। পরের দিন হাঁটতে যাওয়ার এবং কিছু কাজ করার চেষ্টা করেছিলাম কিন্তু এখনও খুব খারাপ লাগছিল। উদ্বিগ্ন, এমনকি আমার দৃষ্টিশক্তিও অদ্ভুত লাগছিল, আমার পুরো শরীর অদ্ভুত লাগছিল। তাই আমরা আবার পান করলাম। আগের রাতের মতো এতটা নয়। এতে আমার আর ভালো লাগছিল না, কিন্তু আমার মনে আছে ঘুমাতে যাওয়ার কথা। এখনই শেষ হতে হবে। আবার মদ্যপান করা, মদ্যপান করা, মদ্যপান করা থেকে মদ্যপান করা, এই চক্রে ফিরে যাওয়া খুব সহজ। জীবনটা কঠিন মনে হচ্ছে। মৌলিক দায়িত্বগুলো খুব কঠিন মনে হচ্ছে। শুধু আমার গাছপালা এবং মাছকে বাঁচিয়ে রাখার চেষ্টা করা এবং আমার ঘরকে সম্পূর্ণ ধ্বংসস্তূপে পরিণত হতে না দেওয়া এত কঠিন, কিন্তু এটি সর্বনিম্ন। আমি যা করতে চাই তা হল বিছানায় কুঁকড়ে যাওয়া কিন্তু উদ্বেগ এতটাই তীব্র যে আমি সারাদিন ঘুমাতে পারব না। তাই আজ আমি গোসল করব। আমি হাঁটতে যাব। আমার ক্লাসের জন্য পড়ার চেষ্টা করব। কিন্তু আমার মূল লক্ষ্য, সবচেয়ে গুরুত্বপূর্ণ, আজ মদ্যপান না করা, যতই অস্বস্তিকর হোক না কেন।</v>
      </c>
    </row>
    <row r="1582" spans="1:3" ht="15" x14ac:dyDescent="0.25">
      <c r="A1582" s="3" t="s">
        <v>1576</v>
      </c>
      <c r="B1582" s="3" t="s">
        <v>997</v>
      </c>
      <c r="C1582" s="4" t="str">
        <f ca="1">IFERROR(__xludf.DUMMYFUNCTION("GOOGLETRANSLATE(A1582, ""auto"", ""bn"")"),"""লাভ ইজ ব্লাইন্ড"" (বিচার করা ঠিক আছে) ধারাবাহিকটি বারবার দেখা এবং প্রতিযোগীদের গলায় তারা কতটা মদ ঢেলে দেয় তা অবাক করার মতো। স্পষ্টতই কিছু স্পনসরশিপ আছে (জ্যাক ড্যানিয়েলের ছবিগুলো কি কাউকে?) কিন্তু এটা সত্যিই অবাক করার মতো যে এমন একটি দৃশ্যও নেই যেখানে "&amp;"তারা মদ্যপান করছে না। আমি নিজেকে এইসব নারী ও পুরুষদের মধ্যে দেখতে পাই যারা ঘর থেকে বের হওয়ার সময় তাদের ওয়াইনের গ্লাস ধরে ফেলে। আমার মনে হয় না তারা এই শোতে একজন শান্ত ব্যক্তিকে আসতে দেবে। তাছাড়া, আমি নিশ্চিত যে রিয়েলিটি টিভিতে ৯৫% অ্যালকোহল এবং ৫% সা"&amp;"নড্রেস রয়েছে।")</f>
        <v>"লাভ ইজ ব্লাইন্ড" (বিচার করা ঠিক আছে) ধারাবাহিকটি বারবার দেখা এবং প্রতিযোগীদের গলায় তারা কতটা মদ ঢেলে দেয় তা অবাক করার মতো। স্পষ্টতই কিছু স্পনসরশিপ আছে (জ্যাক ড্যানিয়েলের ছবিগুলো কি কাউকে?) কিন্তু এটা সত্যিই অবাক করার মতো যে এমন একটি দৃশ্যও নেই যেখানে তারা মদ্যপান করছে না। আমি নিজেকে এইসব নারী ও পুরুষদের মধ্যে দেখতে পাই যারা ঘর থেকে বের হওয়ার সময় তাদের ওয়াইনের গ্লাস ধরে ফেলে। আমার মনে হয় না তারা এই শোতে একজন শান্ত ব্যক্তিকে আসতে দেবে। তাছাড়া, আমি নিশ্চিত যে রিয়েলিটি টিভিতে ৯৫% অ্যালকোহল এবং ৫% সানড্রেস রয়েছে।</v>
      </c>
    </row>
    <row r="1583" spans="1:3" ht="15" x14ac:dyDescent="0.25">
      <c r="A1583" s="3" t="s">
        <v>1577</v>
      </c>
      <c r="B1583" s="3" t="s">
        <v>997</v>
      </c>
      <c r="C1583" s="4" t="str">
        <f ca="1">IFERROR(__xludf.DUMMYFUNCTION("GOOGLETRANSLATE(A1583, ""auto"", ""bn"")"),"আমি ভাগ্যবান যে এই সময়টা বিশ্রামের জন্য উৎসর্গ করতে পারছি। প্রতিদিন ভ্যালিয়াম কমিয়ে, থায়ামিন ইত্যাদি খাচ্ছি এবং প্রচুর পানি পান করছি। আসক্তি ক্লিনিক থেকে আমার ফোন এসেছে এবং কয়েক সপ্তাহের মধ্যে ৯ সপ্তাহের ইনটেনসিভ চিকিৎসা শুরু হবে। ততক্ষণে আমার ডিটক্সিফাই "&amp;"হয়ে যাবে এবং ইএনটি দিনের কিছু সার্জারিও করতে হবে যা আমার খুব প্রয়োজন। জীবন পুনর্নির্মাণের মাধ্যমে (এখানে শরৎকালে) নতুন মৌসুম শুরু করা যাক।")</f>
        <v>আমি ভাগ্যবান যে এই সময়টা বিশ্রামের জন্য উৎসর্গ করতে পারছি। প্রতিদিন ভ্যালিয়াম কমিয়ে, থায়ামিন ইত্যাদি খাচ্ছি এবং প্রচুর পানি পান করছি। আসক্তি ক্লিনিক থেকে আমার ফোন এসেছে এবং কয়েক সপ্তাহের মধ্যে ৯ সপ্তাহের ইনটেনসিভ চিকিৎসা শুরু হবে। ততক্ষণে আমার ডিটক্সিফাই হয়ে যাবে এবং ইএনটি দিনের কিছু সার্জারিও করতে হবে যা আমার খুব প্রয়োজন। জীবন পুনর্নির্মাণের মাধ্যমে (এখানে শরৎকালে) নতুন মৌসুম শুরু করা যাক।</v>
      </c>
    </row>
    <row r="1584" spans="1:3" ht="15" x14ac:dyDescent="0.25">
      <c r="A1584" s="3" t="s">
        <v>1578</v>
      </c>
      <c r="B1584" s="3" t="s">
        <v>997</v>
      </c>
      <c r="C1584" s="4" t="str">
        <f ca="1">IFERROR(__xludf.DUMMYFUNCTION("GOOGLETRANSLATE(A1584, ""auto"", ""bn"")"),"হাই, আমি ২০ বছর ধরে প্রচুর মদ্যপান করছি। আমার দুটি কিশোর ছেলে (১৩ এবং ১৫ বছর) আছে, যাদের দুজনেরই অভিভাবকত্ব ভাগাভাগি করে নেওয়া হয়েছে। গত দুই বছরে, মহামারী, বাড়ি থেকে কাজ করা, বিচ্ছিন্নতা... এর ফলে আমার মদ্যপান বেড়ে গেছে এবং তারা আরও বেশি সচেতন হতে শুর"&amp;"ু করেছে। এটি তাদের পাগল করে তুলেছে, এবং আমি আমাদের সম্পর্ক উন্নত করার চেষ্টা করছি। এটি কথা বলা এবং তাদের সময় দেওয়ার মধ্যে ভারসাম্যপূর্ণ কাজ। আপনার যেকোনো পরামর্শ বা অভিজ্ঞতা শেয়ার করা স্বাগত!")</f>
        <v>হাই, আমি ২০ বছর ধরে প্রচুর মদ্যপান করছি। আমার দুটি কিশোর ছেলে (১৩ এবং ১৫ বছর) আছে, যাদের দুজনেরই অভিভাবকত্ব ভাগাভাগি করে নেওয়া হয়েছে। গত দুই বছরে, মহামারী, বাড়ি থেকে কাজ করা, বিচ্ছিন্নতা... এর ফলে আমার মদ্যপান বেড়ে গেছে এবং তারা আরও বেশি সচেতন হতে শুরু করেছে। এটি তাদের পাগল করে তুলেছে, এবং আমি আমাদের সম্পর্ক উন্নত করার চেষ্টা করছি। এটি কথা বলা এবং তাদের সময় দেওয়ার মধ্যে ভারসাম্যপূর্ণ কাজ। আপনার যেকোনো পরামর্শ বা অভিজ্ঞতা শেয়ার করা স্বাগত!</v>
      </c>
    </row>
    <row r="1585" spans="1:3" ht="15" x14ac:dyDescent="0.25">
      <c r="A1585" s="3" t="s">
        <v>1579</v>
      </c>
      <c r="B1585" s="3" t="s">
        <v>997</v>
      </c>
      <c r="C1585" s="4" t="str">
        <f ca="1">IFERROR(__xludf.DUMMYFUNCTION("GOOGLETRANSLATE(A1585, ""auto"", ""bn"")"),"এক বছরেরও বেশি সময় ধরে এটাই আমার সবচেয়ে দীর্ঘ সময়। গত ৪ মাস ধরে, আমি ব্রেকআপের মধ্য দিয়ে গেছি, ক্যান্সারের চিকিৎসা থেকে সেরে ওঠার সময় আমার মাকে সাহায্য করেছি, এবং ছুটি না নিয়ে নিজের ব্যবসা চালানোর চাপ সহ্য করেছি। আমার জীবন ক্রমশ খারাপ হতে থাকে, এবং "&amp;"আমি জানতাম মদ্যপান পরিস্থিতি আরও খারাপ করবে। আমি ১৫ ডিসেম্বর ২০২১ তারিখে মদ্যপান এবং ধূমপান ছেড়ে দিয়েছি এবং তারপর থেকে আমি কতটা এগিয়ে এসেছি তা নিয়ে আমি গর্বিত। গত ৬৯ দিনে। আমি আবারও ব্যায়াম শুরু করেছি, আমার সম্পর্ক উন্নত করেছি, আমার উদ্বেগ কমিয়েছি, "&amp;"আমার ত্বক পরিষ্কার করেছি এবং ভিতরে এবং বাইরে অনেক সুস্থ বোধ করছি।")</f>
        <v>এক বছরেরও বেশি সময় ধরে এটাই আমার সবচেয়ে দীর্ঘ সময়। গত ৪ মাস ধরে, আমি ব্রেকআপের মধ্য দিয়ে গেছি, ক্যান্সারের চিকিৎসা থেকে সেরে ওঠার সময় আমার মাকে সাহায্য করেছি, এবং ছুটি না নিয়ে নিজের ব্যবসা চালানোর চাপ সহ্য করেছি। আমার জীবন ক্রমশ খারাপ হতে থাকে, এবং আমি জানতাম মদ্যপান পরিস্থিতি আরও খারাপ করবে। আমি ১৫ ডিসেম্বর ২০২১ তারিখে মদ্যপান এবং ধূমপান ছেড়ে দিয়েছি এবং তারপর থেকে আমি কতটা এগিয়ে এসেছি তা নিয়ে আমি গর্বিত। গত ৬৯ দিনে। আমি আবারও ব্যায়াম শুরু করেছি, আমার সম্পর্ক উন্নত করেছি, আমার উদ্বেগ কমিয়েছি, আমার ত্বক পরিষ্কার করেছি এবং ভিতরে এবং বাইরে অনেক সুস্থ বোধ করছি।</v>
      </c>
    </row>
    <row r="1586" spans="1:3" ht="15" x14ac:dyDescent="0.25">
      <c r="A1586" s="3" t="s">
        <v>1580</v>
      </c>
      <c r="B1586" s="3" t="s">
        <v>997</v>
      </c>
      <c r="C1586" s="4" t="str">
        <f ca="1">IFERROR(__xludf.DUMMYFUNCTION("GOOGLETRANSLATE(A1586, ""auto"", ""bn"")"),"পাঞ্জা মাঝখানে আর আমি যা করতে পারি তা হল এখানেই মুখ খোলা রেখে বেরিয়ে আসার সিদ্ধান্ত নিলাম। বিয়ার আর হাতল কিনতে মদের দোকানে যাবো, আর ২৪ ঘন্টা পরে এখানেই আছি। আমার নাক ভেঙে গেছে আর ফুলে গেছে, আমার পায়ের নখ নেই আর আমি ঠিক করতেও পারছি না। ভ্যালেন্টাইনের জন"&amp;"্য আমার প্রাক্তন প্রেমিকের মতো একটা বোকা স্টাফড কচ্ছপের দিকে তাকানো ছাড়া আর কিছুই করার নেই। পৃথিবীর একমাত্র মানুষ যার সাথে আমি সত্যিই কথা বলতে পারি এবং এখন স্পষ্টতই সে আমার সাথে কিছুই করতে চায় না। আমি চাই সে আমার উপর চিৎকার করত, ঘুষি মারত, অথবা কান্না ছ"&amp;"াড়া অন্য কিছু করত। সে আমাকে সাহায্য করার জন্য অনেক চেষ্টা করত এবং আমার দুঃখিত গাধা এভাবেই ধন্যবাদ জানাত। একটা ভুল ভুল হয়ে গেল এবং আমার জীবনে যা কিছু ভালো যাচ্ছিল তা সরাসরি আঘাতকারীর উপর চলে গেল।")</f>
        <v>পাঞ্জা মাঝখানে আর আমি যা করতে পারি তা হল এখানেই মুখ খোলা রেখে বেরিয়ে আসার সিদ্ধান্ত নিলাম। বিয়ার আর হাতল কিনতে মদের দোকানে যাবো, আর ২৪ ঘন্টা পরে এখানেই আছি। আমার নাক ভেঙে গেছে আর ফুলে গেছে, আমার পায়ের নখ নেই আর আমি ঠিক করতেও পারছি না। ভ্যালেন্টাইনের জন্য আমার প্রাক্তন প্রেমিকের মতো একটা বোকা স্টাফড কচ্ছপের দিকে তাকানো ছাড়া আর কিছুই করার নেই। পৃথিবীর একমাত্র মানুষ যার সাথে আমি সত্যিই কথা বলতে পারি এবং এখন স্পষ্টতই সে আমার সাথে কিছুই করতে চায় না। আমি চাই সে আমার উপর চিৎকার করত, ঘুষি মারত, অথবা কান্না ছাড়া অন্য কিছু করত। সে আমাকে সাহায্য করার জন্য অনেক চেষ্টা করত এবং আমার দুঃখিত গাধা এভাবেই ধন্যবাদ জানাত। একটা ভুল ভুল হয়ে গেল এবং আমার জীবনে যা কিছু ভালো যাচ্ছিল তা সরাসরি আঘাতকারীর উপর চলে গেল।</v>
      </c>
    </row>
    <row r="1587" spans="1:3" ht="15" x14ac:dyDescent="0.25">
      <c r="A1587" s="3" t="s">
        <v>1581</v>
      </c>
      <c r="B1587" s="3" t="s">
        <v>997</v>
      </c>
      <c r="C1587" s="4" t="str">
        <f ca="1">IFERROR(__xludf.DUMMYFUNCTION("GOOGLETRANSLATE(A1587, ""auto"", ""bn"")"),"আমার জীবনে আমি সবচেয়ে একাকী বোধ করেছি। কোথা থেকে শুরু করব জানি না। এটা ছিল ৫৫ তম দিন, এবং আমি শুধু বলেছিলাম যে এটাকে ছেড়ে দাও কারণ মদ্যপান ছেড়ে দেওয়া এত বড় ফাটল হয়ে উঠেছে। এটা খুব বড় কোনও ভুল ছিল না, কিন্তু এই কারণেই আমি এটা করেছি যা আমাকে মেরে ফেল"&amp;"ছে। কারণ এটা ছাড়া আমরা একসাথে চলতে পারি না। শুধু একটা গ্লাস দেখানোর জন্য যে আমি অনমনীয় নই, তাই না? আর এটা ছাড়া আমার কোনও বন্ধু নেই। আমাদের সামাজিক জীবন সম্পূর্ণরূপে একে অপরের সাথে জড়িত। আমাদের পেশাদার জীবন একে অপরের সাথে জড়িত। এই উপাদানটি ছাড়া আমি আ"&amp;"মার জীবনের স্থিতাবস্থা বজায় রাখতে পারি না এবং এটি আমাকে খুব, খুব বিরক্ত করে তোলে। আমার মনে হয় যেন আমি জিততে পারব না। এটা হতাশাজনক। আমি কেবল একটি উন্নত জীবন চাই যেখানে আমি আমার আবেগ, আমার সিদ্ধান্ত এবং আমার আচরণের উপর সম্পূর্ণ নিয়ন্ত্রণ রাখব। এবং এটিকে "&amp;"এক ধরণের যুদ্ধের কাজ হিসেবে দেখা হচ্ছে।")</f>
        <v>আমার জীবনে আমি সবচেয়ে একাকী বোধ করেছি। কোথা থেকে শুরু করব জানি না। এটা ছিল ৫৫ তম দিন, এবং আমি শুধু বলেছিলাম যে এটাকে ছেড়ে দাও কারণ মদ্যপান ছেড়ে দেওয়া এত বড় ফাটল হয়ে উঠেছে। এটা খুব বড় কোনও ভুল ছিল না, কিন্তু এই কারণেই আমি এটা করেছি যা আমাকে মেরে ফেলছে। কারণ এটা ছাড়া আমরা একসাথে চলতে পারি না। শুধু একটা গ্লাস দেখানোর জন্য যে আমি অনমনীয় নই, তাই না? আর এটা ছাড়া আমার কোনও বন্ধু নেই। আমাদের সামাজিক জীবন সম্পূর্ণরূপে একে অপরের সাথে জড়িত। আমাদের পেশাদার জীবন একে অপরের সাথে জড়িত। এই উপাদানটি ছাড়া আমি আমার জীবনের স্থিতাবস্থা বজায় রাখতে পারি না এবং এটি আমাকে খুব, খুব বিরক্ত করে তোলে। আমার মনে হয় যেন আমি জিততে পারব না। এটা হতাশাজনক। আমি কেবল একটি উন্নত জীবন চাই যেখানে আমি আমার আবেগ, আমার সিদ্ধান্ত এবং আমার আচরণের উপর সম্পূর্ণ নিয়ন্ত্রণ রাখব। এবং এটিকে এক ধরণের যুদ্ধের কাজ হিসেবে দেখা হচ্ছে।</v>
      </c>
    </row>
    <row r="1588" spans="1:3" ht="15" x14ac:dyDescent="0.25">
      <c r="A1588" s="3" t="s">
        <v>1582</v>
      </c>
      <c r="B1588" s="3" t="s">
        <v>997</v>
      </c>
      <c r="C1588" s="4" t="str">
        <f ca="1">IFERROR(__xludf.DUMMYFUNCTION("GOOGLETRANSLATE(A1588, ""auto"", ""bn"")"),"আমার মদ্যপান ত্যাগ করা উচিত। আমি ১০ বছর ধরে অতিরিক্ত মদ্যপান করছি, তাই সম্ভবত আমি ডিটি'র ঝুঁকিতে আছি এবং কোল্ড টার্কি ছেড়ে দিলে মারা যাব... কিন্তু আমি এটাও জানি যে ধীরে ধীরে দুধ ছাড়ানোর মতো আত্ম-নিয়ন্ত্রণ আমার নেই। তাছাড়া, আমি এই সত্যটি মেনে নিয়েছি য"&amp;"ে আমি কখনই ""ক্যাজুয়াল মদ্যপানকারী"" হতে পারি না। এমনকি যদি আমার তিনটি বিয়ার খেয়ে থামার সর্বোত্তম ইচ্ছা থাকে, একবার শুরু করার পরেও, আমি থামতে পারি না। আমার সামাজিক উদ্বেগ (মাতাল অবস্থায় আমি বেশি মজা করি/বহির্গামী হই, বাস্তবে, আমি কেবল নিজেকে নিয়েই কথ"&amp;"া বলি) নিয়ন্ত্রণ করার জন্য আমি যখন ২০ বছর বয়সে শুরু করেছিলাম তখনও এমনই হয়েছিল। তখন এবং এখনকার মধ্যে একমাত্র পার্থক্য হল যে আমি পরের দিন সকালে আমার কর্মকাণ্ড সম্পর্কে আরও বেশি সচেতন, হা হা। আমি নিশ্চিত নই যে এখান থেকে কী করব, তবে আমি অসুস্থ এবং ক্লান্ত "&amp;"হয়ে ক্লান্ত। আমি আর সক্রিয় মদ্যপ হতে চাই না। কেউ কি ধূমপান ত্যাগ, ধূমপান ত্যাগ ইত্যাদির অভিজ্ঞতা শেয়ার করতে পারেন? আমি জানি আমি গুগলে তথ্য খুঁজে পেতে পারি, কিন্তু বাস্তব জীবনের অভিজ্ঞতা থেকে জানতে পারলে আমার জীবনের এই অধ্যায়টি শেষ হওয়ার সাথে সাথে কী "&amp;"আশা করা উচিত তা জানতে সাহায্য করবে। এবং, গুগল আমাকে বিশ্বাস করিয়েছে যে ধূমপানের কারণে আমি মারা যাব, যা ধূমপান ত্যাগের বিষয়ে আমার উদ্বেগকে আরও বাড়িয়ে তোলে। আমি মরতে চাই না... আমি আর এই খারাপ অভ্যাসের সাথে বাঁচতে চাই না, এবং খুব দেরি হওয়ার আগে/আমার বৃদ"&amp;"্ধ বয়সে ভবিষ্যতে স্বাস্থ্য সমস্যা তৈরি না করার আগে ধূমপান ত্যাগ করতে চাই।")</f>
        <v>আমার মদ্যপান ত্যাগ করা উচিত। আমি ১০ বছর ধরে অতিরিক্ত মদ্যপান করছি, তাই সম্ভবত আমি ডিটি'র ঝুঁকিতে আছি এবং কোল্ড টার্কি ছেড়ে দিলে মারা যাব... কিন্তু আমি এটাও জানি যে ধীরে ধীরে দুধ ছাড়ানোর মতো আত্ম-নিয়ন্ত্রণ আমার নেই। তাছাড়া, আমি এই সত্যটি মেনে নিয়েছি যে আমি কখনই "ক্যাজুয়াল মদ্যপানকারী" হতে পারি না। এমনকি যদি আমার তিনটি বিয়ার খেয়ে থামার সর্বোত্তম ইচ্ছা থাকে, একবার শুরু করার পরেও, আমি থামতে পারি না। আমার সামাজিক উদ্বেগ (মাতাল অবস্থায় আমি বেশি মজা করি/বহির্গামী হই, বাস্তবে, আমি কেবল নিজেকে নিয়েই কথা বলি) নিয়ন্ত্রণ করার জন্য আমি যখন ২০ বছর বয়সে শুরু করেছিলাম তখনও এমনই হয়েছিল। তখন এবং এখনকার মধ্যে একমাত্র পার্থক্য হল যে আমি পরের দিন সকালে আমার কর্মকাণ্ড সম্পর্কে আরও বেশি সচেতন, হা হা। আমি নিশ্চিত নই যে এখান থেকে কী করব, তবে আমি অসুস্থ এবং ক্লান্ত হয়ে ক্লান্ত। আমি আর সক্রিয় মদ্যপ হতে চাই না। কেউ কি ধূমপান ত্যাগ, ধূমপান ত্যাগ ইত্যাদির অভিজ্ঞতা শেয়ার করতে পারেন? আমি জানি আমি গুগলে তথ্য খুঁজে পেতে পারি, কিন্তু বাস্তব জীবনের অভিজ্ঞতা থেকে জানতে পারলে আমার জীবনের এই অধ্যায়টি শেষ হওয়ার সাথে সাথে কী আশা করা উচিত তা জানতে সাহায্য করবে। এবং, গুগল আমাকে বিশ্বাস করিয়েছে যে ধূমপানের কারণে আমি মারা যাব, যা ধূমপান ত্যাগের বিষয়ে আমার উদ্বেগকে আরও বাড়িয়ে তোলে। আমি মরতে চাই না... আমি আর এই খারাপ অভ্যাসের সাথে বাঁচতে চাই না, এবং খুব দেরি হওয়ার আগে/আমার বৃদ্ধ বয়সে ভবিষ্যতে স্বাস্থ্য সমস্যা তৈরি না করার আগে ধূমপান ত্যাগ করতে চাই।</v>
      </c>
    </row>
    <row r="1589" spans="1:3" ht="15" x14ac:dyDescent="0.25">
      <c r="A1589" s="3" t="s">
        <v>1583</v>
      </c>
      <c r="B1589" s="3" t="s">
        <v>997</v>
      </c>
      <c r="C1589" s="4" t="str">
        <f ca="1">IFERROR(__xludf.DUMMYFUNCTION("GOOGLETRANSLATE(A1589, ""auto"", ""bn"")"),"আজ রাতে আমার এক দীর্ঘদিনের বন্ধুর জন্মদিনে বাইরে গিয়েছিলাম, পানীয়ের তোড়জোড় শুরু হয়ে গিয়েছিল, আর খুব কষ্ট হচ্ছিল। সন্ধ্যার বেশিরভাগ সময় ঠিকঠাকই ছিলাম, কিন্তু শেষ পর্যন্ত আমার শরীর খারাপ হচ্ছিল, আর আমি উদ্বিগ্ন, কিছুটা বিষণ্ণ এবং কষ্ট পাচ্ছিলাম। কিন্"&amp;"তু আমি পান করিনি!")</f>
        <v>আজ রাতে আমার এক দীর্ঘদিনের বন্ধুর জন্মদিনে বাইরে গিয়েছিলাম, পানীয়ের তোড়জোড় শুরু হয়ে গিয়েছিল, আর খুব কষ্ট হচ্ছিল। সন্ধ্যার বেশিরভাগ সময় ঠিকঠাকই ছিলাম, কিন্তু শেষ পর্যন্ত আমার শরীর খারাপ হচ্ছিল, আর আমি উদ্বিগ্ন, কিছুটা বিষণ্ণ এবং কষ্ট পাচ্ছিলাম। কিন্তু আমি পান করিনি!</v>
      </c>
    </row>
    <row r="1590" spans="1:3" ht="15" x14ac:dyDescent="0.25">
      <c r="A1590" s="3" t="s">
        <v>1584</v>
      </c>
      <c r="B1590" s="3" t="s">
        <v>997</v>
      </c>
      <c r="C1590" s="4" t="str">
        <f ca="1">IFERROR(__xludf.DUMMYFUNCTION("GOOGLETRANSLATE(A1590, ""auto"", ""bn"")"),"আমি জানি না যখন আমি পান না করি তখন কী করব, সন্ধ্যা ৬টা বেজে গেছে এবং আমি প্রায় বাসায় এসে গেছি, আর আমি ভয় পাচ্ছি এবং বিষণ্ণ বোধ করছি। সাধারণত, আমি বাড়ি ফিরেই একটা পানীয় খুলে ফেলতাম। কিন্তু এখন আমার কাছে তা নেই। আমি নিশ্চিত নই যে আমার সময়টা কীভাবে নিয়ে আনন্"&amp;"দদায়ক হয়ে উঠবো। কিছু দিন আমি জিমে যাবো এবং ওয়ার্কআউট করবো যার ফলে আমার মন ভালো থাকবে। কিন্তু অন্য দিন আমি যেতে চাই না। কেউ কি জানেন? কাজের পর মদ্যপানের পরিবর্তে তোমরা কী করো?")</f>
        <v>আমি জানি না যখন আমি পান না করি তখন কী করব, সন্ধ্যা ৬টা বেজে গেছে এবং আমি প্রায় বাসায় এসে গেছি, আর আমি ভয় পাচ্ছি এবং বিষণ্ণ বোধ করছি। সাধারণত, আমি বাড়ি ফিরেই একটা পানীয় খুলে ফেলতাম। কিন্তু এখন আমার কাছে তা নেই। আমি নিশ্চিত নই যে আমার সময়টা কীভাবে নিয়ে আনন্দদায়ক হয়ে উঠবো। কিছু দিন আমি জিমে যাবো এবং ওয়ার্কআউট করবো যার ফলে আমার মন ভালো থাকবে। কিন্তু অন্য দিন আমি যেতে চাই না। কেউ কি জানেন? কাজের পর মদ্যপানের পরিবর্তে তোমরা কী করো?</v>
      </c>
    </row>
    <row r="1591" spans="1:3" ht="15" x14ac:dyDescent="0.25">
      <c r="A1591" s="3" t="s">
        <v>1585</v>
      </c>
      <c r="B1591" s="3" t="s">
        <v>997</v>
      </c>
      <c r="C1591" s="4" t="str">
        <f ca="1">IFERROR(__xludf.DUMMYFUNCTION("GOOGLETRANSLATE(A1591, ""auto"", ""bn"")"),"আমি বারবার ভাবি যে আমার মদ্যপানের আসক্তি অস্বাভাবিক, কিন্তু তা নয়। শারীরিকভাবে আসক্তিকর ওষুধের প্রতি আসক্ত হওয়া যা আনন্দের মাত্রা বৃদ্ধি করে তা অস্বাভাবিক নয়, এটি এমন কিছু যা মানুষ খুঁজে বেড়ায় এবং আকাঙ্ক্ষা করে। অস্বাভাবিক অংশ হল এমন কিছু থেকে বিরত থ"&amp;"াকা যার প্রায় তাৎক্ষণিক ইতিবাচক প্রভাব পড়ে এবং তীব্র এন্ডোরফিন ক্ষরণ শুরু করে। সবচেয়ে কঠিন অংশ হল এই উচ্চতার সাথে কী পরিণতি হতে পারে তা বোঝার জন্য আপনার মস্তিষ্ককে প্রশিক্ষণ দেওয়া। হ্যাংওভার, প্রত্যাহার, বিষণ্ণতা, উদ্বেগ ইত্যাদি। কিন্তু মদ্যপানের আসক্"&amp;"তি অনন্য, অস্বাভাবিক বা অপ্রত্যাশিত নয়।")</f>
        <v>আমি বারবার ভাবি যে আমার মদ্যপানের আসক্তি অস্বাভাবিক, কিন্তু তা নয়। শারীরিকভাবে আসক্তিকর ওষুধের প্রতি আসক্ত হওয়া যা আনন্দের মাত্রা বৃদ্ধি করে তা অস্বাভাবিক নয়, এটি এমন কিছু যা মানুষ খুঁজে বেড়ায় এবং আকাঙ্ক্ষা করে। অস্বাভাবিক অংশ হল এমন কিছু থেকে বিরত থাকা যার প্রায় তাৎক্ষণিক ইতিবাচক প্রভাব পড়ে এবং তীব্র এন্ডোরফিন ক্ষরণ শুরু করে। সবচেয়ে কঠিন অংশ হল এই উচ্চতার সাথে কী পরিণতি হতে পারে তা বোঝার জন্য আপনার মস্তিষ্ককে প্রশিক্ষণ দেওয়া। হ্যাংওভার, প্রত্যাহার, বিষণ্ণতা, উদ্বেগ ইত্যাদি। কিন্তু মদ্যপানের আসক্তি অনন্য, অস্বাভাবিক বা অপ্রত্যাশিত নয়।</v>
      </c>
    </row>
    <row r="1592" spans="1:3" ht="15" x14ac:dyDescent="0.25">
      <c r="A1592" s="3" t="s">
        <v>1586</v>
      </c>
      <c r="B1592" s="3" t="s">
        <v>997</v>
      </c>
      <c r="C1592" s="4" t="str">
        <f ca="1">IFERROR(__xludf.DUMMYFUNCTION("GOOGLETRANSLATE(A1592, ""auto"", ""bn"")"),"হ্যালো, আমার বয়স ২৪ ডিগ্রি, এবং প্রায় ৩ সপ্তাহ ধরে আমি মানসিকভাবে ভেঙে পড়ার পর সুস্থ ছিলাম। আজ আমার অবস্থা খারাপ হয়ে গেছে এবং আমি ভয়াবহভাবে অসুস্থ। আমি সপ্তাহে অন্তত ৩ বার AA মিটিংয়ে যোগ দিচ্ছি কিন্তু আজ কেন আমার মস্তিষ্ক আমাকে দখল করে নিয়েছে তা আমি জানি"&amp;" না। আমি জানি না কিভাবে স্পনসর পাবো। তাছাড়া, আমি নিজেই এই যাত্রাটি করার চেষ্টা করছি কিন্তু এটা খুবই কঠিন। আমি আসলে কী করছি তা বুঝতে পারছি না, কিন্তু এখন আমার সত্যিই কিছু সাহায্যের প্রয়োজন।")</f>
        <v>হ্যালো, আমার বয়স ২৪ ডিগ্রি, এবং প্রায় ৩ সপ্তাহ ধরে আমি মানসিকভাবে ভেঙে পড়ার পর সুস্থ ছিলাম। আজ আমার অবস্থা খারাপ হয়ে গেছে এবং আমি ভয়াবহভাবে অসুস্থ। আমি সপ্তাহে অন্তত ৩ বার AA মিটিংয়ে যোগ দিচ্ছি কিন্তু আজ কেন আমার মস্তিষ্ক আমাকে দখল করে নিয়েছে তা আমি জানি না। আমি জানি না কিভাবে স্পনসর পাবো। তাছাড়া, আমি নিজেই এই যাত্রাটি করার চেষ্টা করছি কিন্তু এটা খুবই কঠিন। আমি আসলে কী করছি তা বুঝতে পারছি না, কিন্তু এখন আমার সত্যিই কিছু সাহায্যের প্রয়োজন।</v>
      </c>
    </row>
    <row r="1593" spans="1:3" ht="15" x14ac:dyDescent="0.25">
      <c r="A1593" s="3" t="s">
        <v>1587</v>
      </c>
      <c r="B1593" s="3" t="s">
        <v>997</v>
      </c>
      <c r="C1593" s="4" t="str">
        <f ca="1">IFERROR(__xludf.DUMMYFUNCTION("GOOGLETRANSLATE(A1593, ""auto"", ""bn"")"),"ঠিক আছে, আজ মঙ্গলবার, রেস্তোরাঁয় আমার একাই কাজ শেষ করছি, আর আমি সবসময়ের মতো একাই কাজ শেষ করছি। সাধারণত যখন আমি কাজ শেষ করি, তখনই আমি আমার প্রথম পানীয় ঢেলে দেই। যখন আমি পরিষ্কার করা, গণনা করা এবং আলো নিভিয়ে দেওয়া শেষ করি, তখন আমি ৩-৪টি পানীয় পান করি এবং আ"&amp;"মার স্থানীয় ডাইভের জন্য নাইট ক্যাপ (অথবা তিনটি) নিতে প্রস্তুত। আমি অগত্যা নার্ভাস নই? আমি এখনও সংযমের প্রথম সপ্তাহে আছি তাই আমার মধ্যে প্রচুর অনুপ্রেরণা চলছে। আমি সংযমের পডকাস্ট বারবার শুনছি এবং প্রচুর সমর্থনমূলক ""আলো ছাড়ো"" পড়ছি। তাছাড়া, আমি কেবল এই"&amp;" সব লিখে রাখতে চাই যাতে আজ রাত শেষ করার সময় মনে পড়ে যে আমি রাতের জন্য একটি নজির স্থাপন করেছি? নিজের জন্য কিছু ঢেলে না দিয়েই কাজ শেষ করছি। আজ রাতের পর, আমার ৩টি দীর্ঘ দিন ছুটি আছে, বার থেকে দূরে, এবং আমি এর জন্য অধীর আগ্রহে অপেক্ষা করছি। কঠোর পরিশ্রম কর"&amp;"ছি, তাই আমি সম্ভবত এতটাই ক্লান্ত যে আমি ছুটি পেলে আমার বিছানা ছাড়া আর কিছু ভাবতেও পারছি না।")</f>
        <v>ঠিক আছে, আজ মঙ্গলবার, রেস্তোরাঁয় আমার একাই কাজ শেষ করছি, আর আমি সবসময়ের মতো একাই কাজ শেষ করছি। সাধারণত যখন আমি কাজ শেষ করি, তখনই আমি আমার প্রথম পানীয় ঢেলে দেই। যখন আমি পরিষ্কার করা, গণনা করা এবং আলো নিভিয়ে দেওয়া শেষ করি, তখন আমি ৩-৪টি পানীয় পান করি এবং আমার স্থানীয় ডাইভের জন্য নাইট ক্যাপ (অথবা তিনটি) নিতে প্রস্তুত। আমি অগত্যা নার্ভাস নই? আমি এখনও সংযমের প্রথম সপ্তাহে আছি তাই আমার মধ্যে প্রচুর অনুপ্রেরণা চলছে। আমি সংযমের পডকাস্ট বারবার শুনছি এবং প্রচুর সমর্থনমূলক "আলো ছাড়ো" পড়ছি। তাছাড়া, আমি কেবল এই সব লিখে রাখতে চাই যাতে আজ রাত শেষ করার সময় মনে পড়ে যে আমি রাতের জন্য একটি নজির স্থাপন করেছি? নিজের জন্য কিছু ঢেলে না দিয়েই কাজ শেষ করছি। আজ রাতের পর, আমার ৩টি দীর্ঘ দিন ছুটি আছে, বার থেকে দূরে, এবং আমি এর জন্য অধীর আগ্রহে অপেক্ষা করছি। কঠোর পরিশ্রম করছি, তাই আমি সম্ভবত এতটাই ক্লান্ত যে আমি ছুটি পেলে আমার বিছানা ছাড়া আর কিছু ভাবতেও পারছি না।</v>
      </c>
    </row>
    <row r="1594" spans="1:3" ht="15" x14ac:dyDescent="0.25">
      <c r="A1594" s="3" t="s">
        <v>1588</v>
      </c>
      <c r="B1594" s="3" t="s">
        <v>997</v>
      </c>
      <c r="C1594" s="4" t="str">
        <f ca="1">IFERROR(__xludf.DUMMYFUNCTION("GOOGLETRANSLATE(A1594, ""auto"", ""bn"")"),"সংক্ষেপে বলতে গেলে, আমার সঙ্গী হঠাৎ করেই আমাদের সম্পর্ক শেষ করে দিল, এবং সে এমন কিছু কথা বলল যা আমার নিজের সম্পর্কে আমার সবচেয়ে খারাপ ভয়কে নিশ্চিত করে। আমি ইতিমধ্যেই মানসিক এবং মানসিকভাবে সংগ্রাম করছিলাম এবং এটি শেষ খড়ের মতো মনে হয়েছিল। সে আমাকে ফেলে "&amp;"দেওয়ার পর আমি পার্কিং লটে বসে অনেকক্ষণ ধরে কাঁদতে কাঁদতে ভেতরে ভেতরে কী করব তা নিয়ে বিতর্ক করেছিলাম। অতীতে যখন আমি এত খারাপ অনুভব করতাম তখন মনে হত যে একেবারে নিষ্পেষণকারী মানসিক যন্ত্রণা থেকে নিজেকে দূরে রাখার জন্য পান করাই একমাত্র বিকল্প। অবশ্যই এটি কে"&amp;"বল একটি অস্থায়ী, বাজে ব্যান্ড-এইড এবং দীর্ঘমেয়াদে আমি আরও খারাপ বোধ করি। এটা সত্যিই কঠিন ছিল কিন্তু আমি পান করিনি। এটি একটি দুর্দান্ত সাফল্যের গল্প নয় কারণ আমি খাওয়ার ব্যাধি আচরণ মোকাবেলা করার জন্য ব্যবহার করেছি, তবে অতীতে আমি এর উপরে অ্যালকোহল ব্যবহা"&amp;"র করতাম, এবং এটি সবকিছুকে আরও বাড়িয়ে তুলত। আমি আত্ম-আঘাতে পুনরায় আক্রান্ত হওয়ার কথাও ভাবছিলাম, কিন্তু আমি তা করতে পারিনি। তাই আমি মনে করি আমি কিছুটা অগ্রগতি করছি। আমি সপ্তাহান্তে আমার মায়ের সাথে কাটিয়েছি (ঈশ্বর তাকে আশীর্বাদ করুন, তিনি একজন সাধু) এব"&amp;"ং সত্যি বলতে, আমি সম্পূর্ণরূপে দুর্বিষহ ছিলাম, কিন্তু আমি জানতাম মদ্যপান কিছুই ভালো করবে না। আমি আজ কাজে ফিরে এসেছি এবং আমার জীবন কিছুটা সহজলভ্য বোধ করছে, যদিও আমার এখনও অনেক পথ পাড়ি দিতে হবে। তাছাড়া, আমি জানি এটি কোনও বিশাল অর্জন নয়, তবে আমি যতটুকু ইতি"&amp;"বাচকতা পাচ্ছি তা আঁকড়ে ধরে থাকার চেষ্টা করছি। কথা বলার জন্য দুঃখিত, আমার আর কেউ ছিল না যা আমি বলতে পারি। তোমাদের সকলকে তোমাদের গল্প শেয়ার করার জন্য ধন্যবাদ, এই সাবটি খুবই সহায়ক এবং অনুপ্রেরণামূলক, এবং আমি তোমাদের সকলের মঙ্গল কামনা করি।")</f>
        <v>সংক্ষেপে বলতে গেলে, আমার সঙ্গী হঠাৎ করেই আমাদের সম্পর্ক শেষ করে দিল, এবং সে এমন কিছু কথা বলল যা আমার নিজের সম্পর্কে আমার সবচেয়ে খারাপ ভয়কে নিশ্চিত করে। আমি ইতিমধ্যেই মানসিক এবং মানসিকভাবে সংগ্রাম করছিলাম এবং এটি শেষ খড়ের মতো মনে হয়েছিল। সে আমাকে ফেলে দেওয়ার পর আমি পার্কিং লটে বসে অনেকক্ষণ ধরে কাঁদতে কাঁদতে ভেতরে ভেতরে কী করব তা নিয়ে বিতর্ক করেছিলাম। অতীতে যখন আমি এত খারাপ অনুভব করতাম তখন মনে হত যে একেবারে নিষ্পেষণকারী মানসিক যন্ত্রণা থেকে নিজেকে দূরে রাখার জন্য পান করাই একমাত্র বিকল্প। অবশ্যই এটি কেবল একটি অস্থায়ী, বাজে ব্যান্ড-এইড এবং দীর্ঘমেয়াদে আমি আরও খারাপ বোধ করি। এটা সত্যিই কঠিন ছিল কিন্তু আমি পান করিনি। এটি একটি দুর্দান্ত সাফল্যের গল্প নয় কারণ আমি খাওয়ার ব্যাধি আচরণ মোকাবেলা করার জন্য ব্যবহার করেছি, তবে অতীতে আমি এর উপরে অ্যালকোহল ব্যবহার করতাম, এবং এটি সবকিছুকে আরও বাড়িয়ে তুলত। আমি আত্ম-আঘাতে পুনরায় আক্রান্ত হওয়ার কথাও ভাবছিলাম, কিন্তু আমি তা করতে পারিনি। তাই আমি মনে করি আমি কিছুটা অগ্রগতি করছি। আমি সপ্তাহান্তে আমার মায়ের সাথে কাটিয়েছি (ঈশ্বর তাকে আশীর্বাদ করুন, তিনি একজন সাধু) এবং সত্যি বলতে, আমি সম্পূর্ণরূপে দুর্বিষহ ছিলাম, কিন্তু আমি জানতাম মদ্যপান কিছুই ভালো করবে না। আমি আজ কাজে ফিরে এসেছি এবং আমার জীবন কিছুটা সহজলভ্য বোধ করছে, যদিও আমার এখনও অনেক পথ পাড়ি দিতে হবে। তাছাড়া, আমি জানি এটি কোনও বিশাল অর্জন নয়, তবে আমি যতটুকু ইতিবাচকতা পাচ্ছি তা আঁকড়ে ধরে থাকার চেষ্টা করছি। কথা বলার জন্য দুঃখিত, আমার আর কেউ ছিল না যা আমি বলতে পারি। তোমাদের সকলকে তোমাদের গল্প শেয়ার করার জন্য ধন্যবাদ, এই সাবটি খুবই সহায়ক এবং অনুপ্রেরণামূলক, এবং আমি তোমাদের সকলের মঙ্গল কামনা করি।</v>
      </c>
    </row>
    <row r="1595" spans="1:3" ht="15" x14ac:dyDescent="0.25">
      <c r="A1595" s="3" t="s">
        <v>1589</v>
      </c>
      <c r="B1595" s="3" t="s">
        <v>997</v>
      </c>
      <c r="C1595" s="4" t="str">
        <f ca="1">IFERROR(__xludf.DUMMYFUNCTION("GOOGLETRANSLATE(A1595, ""auto"", ""bn"")"),"আমাকে কোনও সম্পর্কহীন কারণে গ্রেপ্তার করা হয়েছিল, কিন্তু আমার বন্ডের শর্তগুলির মধ্যে একটি ছিল ""মদ্যপানের আশেপাশে থাকা যাবে না""। ১৯শে আগস্ট থেকে আমি কোনও পানীয় পান করিনি। আমি কিছুটা হতাশ হয়েছি যে আমি আশা করছিলাম যে কিছুটা মানসিক স্বচ্ছতা আসবে অথবা আমা"&amp;"র শরীর ভালো হবে, কিন্তু আমি ঠিক আগের মতোই অনুভব করছি। তাছাড়া, আমি মদ্যপান মিস করি না, তবে বারে আমার সমস্ত বন্ধুদের সাথে দেখা মিস করি।")</f>
        <v>আমাকে কোনও সম্পর্কহীন কারণে গ্রেপ্তার করা হয়েছিল, কিন্তু আমার বন্ডের শর্তগুলির মধ্যে একটি ছিল "মদ্যপানের আশেপাশে থাকা যাবে না"। ১৯শে আগস্ট থেকে আমি কোনও পানীয় পান করিনি। আমি কিছুটা হতাশ হয়েছি যে আমি আশা করছিলাম যে কিছুটা মানসিক স্বচ্ছতা আসবে অথবা আমার শরীর ভালো হবে, কিন্তু আমি ঠিক আগের মতোই অনুভব করছি। তাছাড়া, আমি মদ্যপান মিস করি না, তবে বারে আমার সমস্ত বন্ধুদের সাথে দেখা মিস করি।</v>
      </c>
    </row>
    <row r="1596" spans="1:3" ht="15" x14ac:dyDescent="0.25">
      <c r="A1596" s="3" t="s">
        <v>1590</v>
      </c>
      <c r="B1596" s="3" t="s">
        <v>997</v>
      </c>
      <c r="C1596" s="4" t="str">
        <f ca="1">IFERROR(__xludf.DUMMYFUNCTION("GOOGLETRANSLATE(A1596, ""auto"", ""bn"")"),"আমার ৫ দিন আছে। সপ্তাহগুলিতে কখনও মদ্যপান করিনি কিন্তু ১৬ বছর বয়স থেকে প্রতি সপ্তাহান্তে প্রচুর পরিমাণে মদ্যপান এবং ব্ল্যাকআউট করছি। এই মাসে ২৭ বছর বয়সী হয়েছি এবং অবশেষে মেনে নিতে প্রস্তুত যে কোনও কৌশল, ঘড়ি, অ্যাপ, হাতে কলমের দাগ দিয়ে পানীয় গণনা ইত্"&amp;"যাদি আমাকে একবার মদ্যপান বন্ধ করতে বাধ্য করবে না। আমি ব্ল্যাকআউট, সঙ্গীদের সাথে প্রতারণা, কীভাবে বাড়ি ফিরেছিলাম তা মনে না রাখা এবং সাধারণত নিজের মতো করে এমন একটি সংস্করণে পরিণত হতে ক্লান্ত যা আমি চিনতে পারি না। তাই আমি থামছি। তবে আমি এই গ্রীষ্মে একটি চাক"&amp;"রির জন্য মেক্সিকো সিটিতেও চলে যাচ্ছি। বিশেষ করে মেক্সিকো সিটির শান্ত জীবন সম্পর্কে বা এমনকি সংযমের প্রথম দিকে চলে যাওয়ার বিষয়ে কোনও পরামর্শ?")</f>
        <v>আমার ৫ দিন আছে। সপ্তাহগুলিতে কখনও মদ্যপান করিনি কিন্তু ১৬ বছর বয়স থেকে প্রতি সপ্তাহান্তে প্রচুর পরিমাণে মদ্যপান এবং ব্ল্যাকআউট করছি। এই মাসে ২৭ বছর বয়সী হয়েছি এবং অবশেষে মেনে নিতে প্রস্তুত যে কোনও কৌশল, ঘড়ি, অ্যাপ, হাতে কলমের দাগ দিয়ে পানীয় গণনা ইত্যাদি আমাকে একবার মদ্যপান বন্ধ করতে বাধ্য করবে না। আমি ব্ল্যাকআউট, সঙ্গীদের সাথে প্রতারণা, কীভাবে বাড়ি ফিরেছিলাম তা মনে না রাখা এবং সাধারণত নিজের মতো করে এমন একটি সংস্করণে পরিণত হতে ক্লান্ত যা আমি চিনতে পারি না। তাই আমি থামছি। তবে আমি এই গ্রীষ্মে একটি চাকরির জন্য মেক্সিকো সিটিতেও চলে যাচ্ছি। বিশেষ করে মেক্সিকো সিটির শান্ত জীবন সম্পর্কে বা এমনকি সংযমের প্রথম দিকে চলে যাওয়ার বিষয়ে কোনও পরামর্শ?</v>
      </c>
    </row>
    <row r="1597" spans="1:3" ht="15" x14ac:dyDescent="0.25">
      <c r="A1597" s="3" t="s">
        <v>1591</v>
      </c>
      <c r="B1597" s="3" t="s">
        <v>997</v>
      </c>
      <c r="C1597" s="4" t="str">
        <f ca="1">IFERROR(__xludf.DUMMYFUNCTION("GOOGLETRANSLATE(A1597, ""auto"", ""bn"")"),"গত কয়েকদিন ধরে এখানে পড়ছি। তাই ৬ বছর আগেও আমি মদ্যপান বন্ধ করে দিয়েছিলাম। প্রথম ৪ বছর আমি একেবারেই মদ্যপান করিনি। তারপর, সম্প্রতি পর্যন্ত আমি এখানে-সেখানে কেবল উদযাপনের জন্য পানীয় খেয়েছি। কিন্তু গত সপ্তাহান্তে একটা পানীয় পান করার জন্য আমার মাথাব্যথা হয়েছি"&amp;"ল এবং একটা পানীয় ১০ পানীয়ে পরিণত হয়েছিল। পবিত্র নরক - পরের দিন আমার সমস্ত মন, শরীর এবং আত্মা আমাকে ঘৃণা করত। মনে হচ্ছে আমার মস্তিষ্ক অচল হয়ে পড়েছে। মনোযোগ? ভুলে যাও। হাত-চোখের সমন্বয় চলে গেছে। আমি জানি না কেউ বুঝতে পারবে কিনা আমি কী বলছি - কিন্তু আমার দৃ"&amp;"ষ্টিশক্তিও নড়বড়ে হয়ে গেছে। আমার দৃষ্টির সাথে সাথে, আমার হাত-পাও অস্থির ছিল - যেন বাচ্চা ঘোড়া হাঁটতে শিখছে। আমি আবেগগতভাবে ক্লান্ত বোধ করছিলাম। এই পানীয়গুলি পান করার আগে - আমি মানসিকভাবে বেশ স্থিতিশীল ছিলাম। পান করার পর? আমি তীব্র অপরাধবোধ অনুভব করছিলা"&amp;"ম। এমন ধরণের যা আপনার হৃদয়কে কষ্ট দেয়। মাতাল হওয়ার স্মৃতি আমার বারবার ফিরে আসছে, আর এটা আমাকে এমনভাবে উদ্বিগ্ন করে তুলছে যেন আমি কোনও ধরণের আঘাতের শিকার হয়েছি - যদিও আমি তা করিনি (হয়তো আমার লিভারের উপর যা চাপ দিয়েছি তা বাদ দিয়ে।) মানসিক দিকটি এতটাই তীব"&amp;"্র যে আমার মনে হচ্ছে এগুলো কাটিয়ে ওঠার একমাত্র উপায় হলো নিজেকে কিছুদিনের জন্য আলাদা করে রাখা যতক্ষণ না সেগুলো স্বাভাবিক হয়। আমার সমস্ত শরীর ক্ষয়ক্ষতি হঠাৎ করেই শেষ হয়ে গেছে। এমনকি ক্লান্ত বোধ করলেও ঘুমাতে না পারাটাও এর মধ্যে অন্তর্ভুক্ত নয়। অথবা মাথাব্যথা"&amp;"। অথবা পেটে ব্যথা যেখানে ক্ষুধার্ত বোধ করলেও ক্ষুধা নেই? মানে WTF হলো? আমি আরও উল্লেখ করতে চাই - এমন একটি পার্শ্বপ্রতিক্রিয়া যা আগে কখনও হয়নি - কিন্তু আমার জ্বর অনুভূত হয়েছিল। এই সব নেতিবাচক পার্শ্বপ্রতিক্রিয়া... এবং কেন? আমি এখনকার চেয়ে বেশি শান্ত থা"&amp;"কাকে উপভোগ করিনি। আমি অনেক দিন ধরে মদ্যপান করিনি এবং এত দিন ধরে এই ভয়াবহ পার্শ্বপ্রতিক্রিয়াগুলির কোনওটিই অনুভব করিনি যে ""হ্যাংওভার"" কতটা খারাপ তা আমি অবমূল্যায়ন করেছি। ৪৮ ঘন্টা হয়ে গেছে, এবং আমি কেবল ভালো বোধ করতে শুরু করেছি - এখনও ১০০% নয়। তাই মূল"&amp;"ত ১০/১০ সুপারিশ করো না। জীবন অনেক ভালো হয় যখন তোমার মন তোমার দিকে না ঝুঁকে এবং তোমার লিভার যন্ত্রণায় চিৎকার না করে।")</f>
        <v>গত কয়েকদিন ধরে এখানে পড়ছি। তাই ৬ বছর আগেও আমি মদ্যপান বন্ধ করে দিয়েছিলাম। প্রথম ৪ বছর আমি একেবারেই মদ্যপান করিনি। তারপর, সম্প্রতি পর্যন্ত আমি এখানে-সেখানে কেবল উদযাপনের জন্য পানীয় খেয়েছি। কিন্তু গত সপ্তাহান্তে একটা পানীয় পান করার জন্য আমার মাথাব্যথা হয়েছিল এবং একটা পানীয় ১০ পানীয়ে পরিণত হয়েছিল। পবিত্র নরক - পরের দিন আমার সমস্ত মন, শরীর এবং আত্মা আমাকে ঘৃণা করত। মনে হচ্ছে আমার মস্তিষ্ক অচল হয়ে পড়েছে। মনোযোগ? ভুলে যাও। হাত-চোখের সমন্বয় চলে গেছে। আমি জানি না কেউ বুঝতে পারবে কিনা আমি কী বলছি - কিন্তু আমার দৃষ্টিশক্তিও নড়বড়ে হয়ে গেছে। আমার দৃষ্টির সাথে সাথে, আমার হাত-পাও অস্থির ছিল - যেন বাচ্চা ঘোড়া হাঁটতে শিখছে। আমি আবেগগতভাবে ক্লান্ত বোধ করছিলাম। এই পানীয়গুলি পান করার আগে - আমি মানসিকভাবে বেশ স্থিতিশীল ছিলাম। পান করার পর? আমি তীব্র অপরাধবোধ অনুভব করছিলাম। এমন ধরণের যা আপনার হৃদয়কে কষ্ট দেয়। মাতাল হওয়ার স্মৃতি আমার বারবার ফিরে আসছে, আর এটা আমাকে এমনভাবে উদ্বিগ্ন করে তুলছে যেন আমি কোনও ধরণের আঘাতের শিকার হয়েছি - যদিও আমি তা করিনি (হয়তো আমার লিভারের উপর যা চাপ দিয়েছি তা বাদ দিয়ে।) মানসিক দিকটি এতটাই তীব্র যে আমার মনে হচ্ছে এগুলো কাটিয়ে ওঠার একমাত্র উপায় হলো নিজেকে কিছুদিনের জন্য আলাদা করে রাখা যতক্ষণ না সেগুলো স্বাভাবিক হয়। আমার সমস্ত শরীর ক্ষয়ক্ষতি হঠাৎ করেই শেষ হয়ে গেছে। এমনকি ক্লান্ত বোধ করলেও ঘুমাতে না পারাটাও এর মধ্যে অন্তর্ভুক্ত নয়। অথবা মাথাব্যথা। অথবা পেটে ব্যথা যেখানে ক্ষুধার্ত বোধ করলেও ক্ষুধা নেই? মানে WTF হলো? আমি আরও উল্লেখ করতে চাই - এমন একটি পার্শ্বপ্রতিক্রিয়া যা আগে কখনও হয়নি - কিন্তু আমার জ্বর অনুভূত হয়েছিল। এই সব নেতিবাচক পার্শ্বপ্রতিক্রিয়া... এবং কেন? আমি এখনকার চেয়ে বেশি শান্ত থাকাকে উপভোগ করিনি। আমি অনেক দিন ধরে মদ্যপান করিনি এবং এত দিন ধরে এই ভয়াবহ পার্শ্বপ্রতিক্রিয়াগুলির কোনওটিই অনুভব করিনি যে "হ্যাংওভার" কতটা খারাপ তা আমি অবমূল্যায়ন করেছি। ৪৮ ঘন্টা হয়ে গেছে, এবং আমি কেবল ভালো বোধ করতে শুরু করেছি - এখনও ১০০% নয়। তাই মূলত ১০/১০ সুপারিশ করো না। জীবন অনেক ভালো হয় যখন তোমার মন তোমার দিকে না ঝুঁকে এবং তোমার লিভার যন্ত্রণায় চিৎকার না করে।</v>
      </c>
    </row>
    <row r="1598" spans="1:3" ht="15" x14ac:dyDescent="0.25">
      <c r="A1598" s="3" t="s">
        <v>1592</v>
      </c>
      <c r="B1598" s="3" t="s">
        <v>997</v>
      </c>
      <c r="C1598" s="4" t="str">
        <f ca="1">IFERROR(__xludf.DUMMYFUNCTION("GOOGLETRANSLATE(A1598, ""auto"", ""bn"")"),"অনেক দিন ধরে লুকোচুরি, প্রথমবারের মতো। আমার বয়স ৩২ মিলি এবং আমি প্রায় এক বছর ধরে ধূমপান ছাড়ার চেষ্টা করছি। আমার দীর্ঘতম ধূমপান ১০ দিন এবং তাও কোভিডের কারণে। কোভিডের পাশাপাশি গত ১০ বছরে আমার দীর্ঘতম ধূমপান ৭ দিন। গড়ে আমি সপ্তাহে ৪ বার এবং প্রতিবার ৩টি "&amp;"বিয়ার (৫০০ মিলি) পান করি। আমি নিশ্চিত নই যে কেউ কোন পরামিতি অনুসারে সিদ্ধান্ত নেয় যে সে মদ্যপ কিনা। আমি শুধু জানি যে পান করার সুযোগ পেলে আমি কখনই না বলতে পারি না। আসলে যদি ২-৩ দিন সুযোগ না থাকে, তাহলে আমার মাথায় কিছু কারণ তৈরি হয় যেমন আমি আজ খুব ক্লান"&amp;"্ত, অথবা কর্মক্ষেত্রে একটি দুর্দান্ত দিন কাটিয়েছি অথবা কর্মক্ষেত্রে একটি খারাপ দিন কাটিয়েছি ইত্যাদি। আমি খেলাধুলায়ও খুব আগ্রহী - দৌড়, সাইক্লিং, ব্যাডমিন্টন ইত্যাদি এবং সপ্তাহে ৪-৫ দিন শারীরিক কার্যকলাপ করি। এবং এটি আমার মাথায়ও খেলাধুলা করে - যে? ওহ, "&amp;"আমি অনেক ক্যালোরি পোড়াচ্ছি, তাই আমাকে কয়েক পাইন্ট খেতে দেওয়া উচিত?")</f>
        <v>অনেক দিন ধরে লুকোচুরি, প্রথমবারের মতো। আমার বয়স ৩২ মিলি এবং আমি প্রায় এক বছর ধরে ধূমপান ছাড়ার চেষ্টা করছি। আমার দীর্ঘতম ধূমপান ১০ দিন এবং তাও কোভিডের কারণে। কোভিডের পাশাপাশি গত ১০ বছরে আমার দীর্ঘতম ধূমপান ৭ দিন। গড়ে আমি সপ্তাহে ৪ বার এবং প্রতিবার ৩টি বিয়ার (৫০০ মিলি) পান করি। আমি নিশ্চিত নই যে কেউ কোন পরামিতি অনুসারে সিদ্ধান্ত নেয় যে সে মদ্যপ কিনা। আমি শুধু জানি যে পান করার সুযোগ পেলে আমি কখনই না বলতে পারি না। আসলে যদি ২-৩ দিন সুযোগ না থাকে, তাহলে আমার মাথায় কিছু কারণ তৈরি হয় যেমন আমি আজ খুব ক্লান্ত, অথবা কর্মক্ষেত্রে একটি দুর্দান্ত দিন কাটিয়েছি অথবা কর্মক্ষেত্রে একটি খারাপ দিন কাটিয়েছি ইত্যাদি। আমি খেলাধুলায়ও খুব আগ্রহী - দৌড়, সাইক্লিং, ব্যাডমিন্টন ইত্যাদি এবং সপ্তাহে ৪-৫ দিন শারীরিক কার্যকলাপ করি। এবং এটি আমার মাথায়ও খেলাধুলা করে - যে? ওহ, আমি অনেক ক্যালোরি পোড়াচ্ছি, তাই আমাকে কয়েক পাইন্ট খেতে দেওয়া উচিত?</v>
      </c>
    </row>
    <row r="1599" spans="1:3" ht="15" x14ac:dyDescent="0.25">
      <c r="A1599" s="3" t="s">
        <v>1593</v>
      </c>
      <c r="B1599" s="3" t="s">
        <v>997</v>
      </c>
      <c r="C1599" s="4" t="str">
        <f ca="1">IFERROR(__xludf.DUMMYFUNCTION("GOOGLETRANSLATE(A1599, ""auto"", ""bn"")"),"আমার প্রাপ্তবয়স্ক জীবনের পুরোটা সময় মদ্যপানের পর, কিন্তু গত ৭ বছর ধরে প্রতিদিন প্রচুর পরিমাণে মদ্যপান করে আসছি। প্রথমে, আমার খুব ভালো লাগছিল, আমি মদ্যপানের চ্যালেঞ্জ উপভোগ করছিলাম। আমি ব্যস্ত থাকার জন্য আমার রুটিন পরিবর্তন করেছিলাম, জিমে যোগ দিয়েছিলাম,"&amp;" ধীরে ধীরে আমার শরীর ফিরে পেতে শুরু করেছিলাম, এই বছরের জুলাই মাসে ইতালিতে পাহাড়ে ওঠার জন্য বুকিং করেছিলাম। আমার মনোযোগ দেওয়ার এবং অনুপ্রাণিত থাকার জন্য কিছু একটার প্রয়োজন ছিল। এখন মদ্যপানের নতুনত্ব নষ্ট হয়ে গেছে, তাই আমি সবসময় দুঃখিত। আমি এমন কিছু কর"&amp;"তে আনন্দ পাই না যা আমি আগে উপভোগ করতাম। মদ্যপানের সময় আমার সঙ্গীর সাথে ঘনিষ্ঠ হতে আমার কষ্ট হয়, তাই যখন সে এগিয়ে আসে বা যৌনতা চায় তখন আমি অজুহাত দেখি। মদ্যপান বন্ধ হওয়ার পর থেকে আমাদের সম্পর্ক খারাপ হয়ে গেছে কারণ আমি মনে করি না যে আমি মদ্যপানের সময়"&amp;" যেমন ছিলাম তেমন মানুষ নই। মদ্যপানের সময় আমরা দেখা করেছিলাম এবং একসাথে ছিলাম তাই সে কখনও আমাকে মদ্যপানের সাথে চিনতে পারেনি। সে একজন অসাধারণ মহিলা, এবং আমাদের মধ্যে অনেক মিল এবং একই রকম আগ্রহ এবং পটভূমি রয়েছে। কিন্তু আমি বারবার তাকে দূরে ঠেলে দেই। পরিবার"&amp;"ের সাথে একসাথে থাকা কঠিন, যখন আমরা বাইরে খেতে যাই, কারণ তারা সবাই মদ্যপান করে, আর আমার মদ্যপানের কোন ইচ্ছা নেই, তবুও আমি তাদের সাথে একই স্তরে থাকতে পারি না কারণ, তারা সবাই মাতাল এবং এটা কেবল বিরক্তিকর। মাতালদের দলে আমি একমাত্র শান্ত ব্যক্তি হিসেবে তুমি বু"&amp;"ঝতে পারো যে মাতাল অবস্থায় লোকেরা কতটা বাজে কথা বলে। সাধারণত আমি অজুহাত দেখাই এবং বাড়ি ফিরে যাই কারণ আমি তাদের সাথে থাকতে চাই না। আমি খুব একাকী বোধ করি। যখন আমি মানুষের সাথে থাকি তখন একাকী এবং যখন আমি থাকি না তখন একাকী। অন্য কেউ কি এর সাথে সম্পর্কিত হতে "&amp;"পারে? কেউ কি আমাকে কোন পরামর্শ দিতে পারেন? কেউ কি আমাকে বলতে পারেন যে সবকিছু ঠিক হয়ে যাবে, কারণ এখন আমি এই জীবনকে এভাবে বাঁচতে চাই না। আমি আবার সুখী হতে চাই।")</f>
        <v>আমার প্রাপ্তবয়স্ক জীবনের পুরোটা সময় মদ্যপানের পর, কিন্তু গত ৭ বছর ধরে প্রতিদিন প্রচুর পরিমাণে মদ্যপান করে আসছি। প্রথমে, আমার খুব ভালো লাগছিল, আমি মদ্যপানের চ্যালেঞ্জ উপভোগ করছিলাম। আমি ব্যস্ত থাকার জন্য আমার রুটিন পরিবর্তন করেছিলাম, জিমে যোগ দিয়েছিলাম, ধীরে ধীরে আমার শরীর ফিরে পেতে শুরু করেছিলাম, এই বছরের জুলাই মাসে ইতালিতে পাহাড়ে ওঠার জন্য বুকিং করেছিলাম। আমার মনোযোগ দেওয়ার এবং অনুপ্রাণিত থাকার জন্য কিছু একটার প্রয়োজন ছিল। এখন মদ্যপানের নতুনত্ব নষ্ট হয়ে গেছে, তাই আমি সবসময় দুঃখিত। আমি এমন কিছু করতে আনন্দ পাই না যা আমি আগে উপভোগ করতাম। মদ্যপানের সময় আমার সঙ্গীর সাথে ঘনিষ্ঠ হতে আমার কষ্ট হয়, তাই যখন সে এগিয়ে আসে বা যৌনতা চায় তখন আমি অজুহাত দেখি। মদ্যপান বন্ধ হওয়ার পর থেকে আমাদের সম্পর্ক খারাপ হয়ে গেছে কারণ আমি মনে করি না যে আমি মদ্যপানের সময় যেমন ছিলাম তেমন মানুষ নই। মদ্যপানের সময় আমরা দেখা করেছিলাম এবং একসাথে ছিলাম তাই সে কখনও আমাকে মদ্যপানের সাথে চিনতে পারেনি। সে একজন অসাধারণ মহিলা, এবং আমাদের মধ্যে অনেক মিল এবং একই রকম আগ্রহ এবং পটভূমি রয়েছে। কিন্তু আমি বারবার তাকে দূরে ঠেলে দেই। পরিবারের সাথে একসাথে থাকা কঠিন, যখন আমরা বাইরে খেতে যাই, কারণ তারা সবাই মদ্যপান করে, আর আমার মদ্যপানের কোন ইচ্ছা নেই, তবুও আমি তাদের সাথে একই স্তরে থাকতে পারি না কারণ, তারা সবাই মাতাল এবং এটা কেবল বিরক্তিকর। মাতালদের দলে আমি একমাত্র শান্ত ব্যক্তি হিসেবে তুমি বুঝতে পারো যে মাতাল অবস্থায় লোকেরা কতটা বাজে কথা বলে। সাধারণত আমি অজুহাত দেখাই এবং বাড়ি ফিরে যাই কারণ আমি তাদের সাথে থাকতে চাই না। আমি খুব একাকী বোধ করি। যখন আমি মানুষের সাথে থাকি তখন একাকী এবং যখন আমি থাকি না তখন একাকী। অন্য কেউ কি এর সাথে সম্পর্কিত হতে পারে? কেউ কি আমাকে কোন পরামর্শ দিতে পারেন? কেউ কি আমাকে বলতে পারেন যে সবকিছু ঠিক হয়ে যাবে, কারণ এখন আমি এই জীবনকে এভাবে বাঁচতে চাই না। আমি আবার সুখী হতে চাই।</v>
      </c>
    </row>
    <row r="1600" spans="1:3" ht="15" x14ac:dyDescent="0.25">
      <c r="A1600" s="3" t="s">
        <v>1594</v>
      </c>
      <c r="B1600" s="3" t="s">
        <v>997</v>
      </c>
      <c r="C1600" s="4" t="str">
        <f ca="1">IFERROR(__xludf.DUMMYFUNCTION("GOOGLETRANSLATE(A1600, ""auto"", ""bn"")"),"গত কয়েক বছর ধরে ঘুম থেকে ওঠার পর থেকে ঘুমাতে যাওয়া পর্যন্ত প্রায় প্রতিদিনই মদ্যপান করার পর, গভীর বিষণ্ণতার কারণে আমি প্রায় আত্মহত্যার দিকে ঝুঁকে পড়ছিলাম, এবং আমার কর্মস্থলে আমার উপস্থিতির জন্য একটি লিখিত আবেদন পেয়েছিলাম (বিষণ্ণতা এবং হ্যাংওভারের কারণে),"&amp;" অবশেষে আমি সিদ্ধান্ত নিয়েছি যে যথেষ্ট হয়েছে। আমি এক বছর ধরে অ্যান্টিডিপ্রেসেন্ট গ্রহণ করছি, এবং তারা সাহায্য করে, কিন্তু যখন আমি সারাদিন প্রতিদিন একটি বিষাক্ত ডিপ্রেসেন্ট পান করি তখনই তারা খুব বেশি কিছু করতে পারে। আমি আশা করছি যে মদ্যপান সম্পূর্ণরূপে বন্"&amp;"ধ করলে আমি আবার আমার মতো বোধ করতে পারব।")</f>
        <v>গত কয়েক বছর ধরে ঘুম থেকে ওঠার পর থেকে ঘুমাতে যাওয়া পর্যন্ত প্রায় প্রতিদিনই মদ্যপান করার পর, গভীর বিষণ্ণতার কারণে আমি প্রায় আত্মহত্যার দিকে ঝুঁকে পড়ছিলাম, এবং আমার কর্মস্থলে আমার উপস্থিতির জন্য একটি লিখিত আবেদন পেয়েছিলাম (বিষণ্ণতা এবং হ্যাংওভারের কারণে), অবশেষে আমি সিদ্ধান্ত নিয়েছি যে যথেষ্ট হয়েছে। আমি এক বছর ধরে অ্যান্টিডিপ্রেসেন্ট গ্রহণ করছি, এবং তারা সাহায্য করে, কিন্তু যখন আমি সারাদিন প্রতিদিন একটি বিষাক্ত ডিপ্রেসেন্ট পান করি তখনই তারা খুব বেশি কিছু করতে পারে। আমি আশা করছি যে মদ্যপান সম্পূর্ণরূপে বন্ধ করলে আমি আবার আমার মতো বোধ করতে পারব।</v>
      </c>
    </row>
    <row r="1601" spans="1:3" ht="15" x14ac:dyDescent="0.25">
      <c r="A1601" s="3" t="s">
        <v>1595</v>
      </c>
      <c r="B1601" s="3" t="s">
        <v>997</v>
      </c>
      <c r="C1601" s="4" t="str">
        <f ca="1">IFERROR(__xludf.DUMMYFUNCTION("GOOGLETRANSLATE(A1601, ""auto"", ""bn"")"),"গত কয়েক মাস ধরে আমার মদ্যপান নিয়ন্ত্রণের বাইরে চলে যাচ্ছে। আমার চাকরি, বিল এবং জীবনযাত্রার পরিস্থিতি নিয়ে আমি সত্যিই চাপে আছি। আমার শরীরের চেহারা নিয়েও আমি সত্যিই অসন্তুষ্ট। এই অনুভূতিগুলির মুখোমুখি হওয়া আমাকে এতটাই অস্বস্তিকর এবং অসন্তুষ্ট করে তুলেছ"&amp;"িল। আমি জানি না যে সমস্যাগুলিকে কীভাবে শুয়ে না থেকে দেখতে হয়। সবকিছুর দ্বারা সম্পূর্ণরূপে ভারাক্রান্ত। তাই পরিবর্তে আমি কেবল বাইরে যেতাম, পান করতাম, নতুন ""বন্ধুদের"" সাথে দেখা করতাম, কারণ এতে আমার মনে হত যে আমি যদি অন্য সবকিছুতে বিরক্ত হই, এমনকি যদি আম"&amp;"ি নিজের এবং আমার জীবনের অন্য সবকিছুকে ঘৃণা করি, তবুও আমি অন্তত এমন ব্যক্তি হতে পারি যে সামাজিক হতে এবং অন্যদের আমার মতো করে তুলতে ভালো। অন্তত রাতের জন্য। কিন্তু গত রাতে আমার নতুন ""বন্ধুদের মধ্যে একজন? আমাকে কোক (অন্য একটি সম্পূর্ণ অ্যালকোহল সম্পর্কিত সমস"&amp;"্যা) বলে মনে হয়েছিল, এবং আমি নিশ্চিত যে এটি GHB ছিল। আমি এতটাই মাতাল ছিলাম যে গন্ধ/স্বাদে কোনও পার্থক্য ছিল কিনা তা মনে করতে পারিনি, কিন্তু 10 মিনিট পরে, আমি সম্পূর্ণরূপে অক্ষম হয়ে পড়েছিলাম। আমি বাড়ি যাওয়ার আগে এটা নিয়েছিলাম, কারণ আমি ভেবেছিলাম এটা আ"&amp;"মাকে শান্ত করবে, কিন্তু গাড়ি চালানোর কয়েক মিনিটের মধ্যেই (আরেকটি খারাপ সমস্যা যার জন্য আমি নিজেকে ঘৃণা করি), আমি বুঝতে পারলাম যে আমার সাথে খারাপ আচরণ করা হয়েছে। তাই আমি আমার প্রেমিককে ফোন করেছিলাম যে আমি যে বারে ছিলাম সেখান থেকে মাত্র ৫ মিনিট দূরে থাকে"&amp;" এবং তাকে বলেছিলাম যে আমার এখানে আসা দরকার। আমি তাকে বলেছিলাম যে আমাকে আটকে রাখা হয়েছে। এবং আমি আটকে গেছি। কিন্তু আমি নিজের সাথে এটা করেছি কারণ আমি এতটাই মাতাল ছিলাম যে কোনও সম্ভাব্য ঝুঁকি সম্পর্কে ভাবতে পারিনি। আমি একজন অপরিচিত ব্যক্তির কাছ থেকে ওষুধ খে"&amp;"য়েছিলাম, কারণ কেন নয়, এবং আমি আটকে গিয়েছিলাম। যখন সে আমাকে সচেতন রাখতে লড়াই করছিল তখন তার চোখে ভয়ের ছাপ আমাকে চিরকাল তাড়া করবে। আমি কেবল আমার সমস্যাগুলির মুখোমুখি হতে না পারার কারণে আমি তাকে যে পরিমাণ যন্ত্রণা দিয়েছি। এর জন্য আমি নিজেকে ঘৃণা করি। আ"&amp;"মি আর এভাবে বাঁচতে চাই না। তাছাড়া, আমি আরও ভালো জীবনের জন্য আকাঙ্ক্ষা করতে চাই না এবং সেই জীবন পেতে আমি যে জিনিসগুলি উন্নত করতে পারি সেগুলিও এড়িয়ে যেতে চাই না। এটা খুবই খারাপ। আমি তাকে যেভাবে আঘাত করেছি তা আমি খুব ঘৃণা করি। কিন্তু অবশেষে আমি নিজেকে কতট"&amp;"া কষ্ট দিচ্ছি তা আমার খুব খারাপ লাগে। আমি বিশ্বাস করতে চাই যে আমি আরও ভালো কিছু পাওয়ার যোগ্য।")</f>
        <v>গত কয়েক মাস ধরে আমার মদ্যপান নিয়ন্ত্রণের বাইরে চলে যাচ্ছে। আমার চাকরি, বিল এবং জীবনযাত্রার পরিস্থিতি নিয়ে আমি সত্যিই চাপে আছি। আমার শরীরের চেহারা নিয়েও আমি সত্যিই অসন্তুষ্ট। এই অনুভূতিগুলির মুখোমুখি হওয়া আমাকে এতটাই অস্বস্তিকর এবং অসন্তুষ্ট করে তুলেছিল। আমি জানি না যে সমস্যাগুলিকে কীভাবে শুয়ে না থেকে দেখতে হয়। সবকিছুর দ্বারা সম্পূর্ণরূপে ভারাক্রান্ত। তাই পরিবর্তে আমি কেবল বাইরে যেতাম, পান করতাম, নতুন "বন্ধুদের" সাথে দেখা করতাম, কারণ এতে আমার মনে হত যে আমি যদি অন্য সবকিছুতে বিরক্ত হই, এমনকি যদি আমি নিজের এবং আমার জীবনের অন্য সবকিছুকে ঘৃণা করি, তবুও আমি অন্তত এমন ব্যক্তি হতে পারি যে সামাজিক হতে এবং অন্যদের আমার মতো করে তুলতে ভালো। অন্তত রাতের জন্য। কিন্তু গত রাতে আমার নতুন "বন্ধুদের মধ্যে একজন? আমাকে কোক (অন্য একটি সম্পূর্ণ অ্যালকোহল সম্পর্কিত সমস্যা) বলে মনে হয়েছিল, এবং আমি নিশ্চিত যে এটি GHB ছিল। আমি এতটাই মাতাল ছিলাম যে গন্ধ/স্বাদে কোনও পার্থক্য ছিল কিনা তা মনে করতে পারিনি, কিন্তু 10 মিনিট পরে, আমি সম্পূর্ণরূপে অক্ষম হয়ে পড়েছিলাম। আমি বাড়ি যাওয়ার আগে এটা নিয়েছিলাম, কারণ আমি ভেবেছিলাম এটা আমাকে শান্ত করবে, কিন্তু গাড়ি চালানোর কয়েক মিনিটের মধ্যেই (আরেকটি খারাপ সমস্যা যার জন্য আমি নিজেকে ঘৃণা করি), আমি বুঝতে পারলাম যে আমার সাথে খারাপ আচরণ করা হয়েছে। তাই আমি আমার প্রেমিককে ফোন করেছিলাম যে আমি যে বারে ছিলাম সেখান থেকে মাত্র ৫ মিনিট দূরে থাকে এবং তাকে বলেছিলাম যে আমার এখানে আসা দরকার। আমি তাকে বলেছিলাম যে আমাকে আটকে রাখা হয়েছে। এবং আমি আটকে গেছি। কিন্তু আমি নিজের সাথে এটা করেছি কারণ আমি এতটাই মাতাল ছিলাম যে কোনও সম্ভাব্য ঝুঁকি সম্পর্কে ভাবতে পারিনি। আমি একজন অপরিচিত ব্যক্তির কাছ থেকে ওষুধ খেয়েছিলাম, কারণ কেন নয়, এবং আমি আটকে গিয়েছিলাম। যখন সে আমাকে সচেতন রাখতে লড়াই করছিল তখন তার চোখে ভয়ের ছাপ আমাকে চিরকাল তাড়া করবে। আমি কেবল আমার সমস্যাগুলির মুখোমুখি হতে না পারার কারণে আমি তাকে যে পরিমাণ যন্ত্রণা দিয়েছি। এর জন্য আমি নিজেকে ঘৃণা করি। আমি আর এভাবে বাঁচতে চাই না। তাছাড়া, আমি আরও ভালো জীবনের জন্য আকাঙ্ক্ষা করতে চাই না এবং সেই জীবন পেতে আমি যে জিনিসগুলি উন্নত করতে পারি সেগুলিও এড়িয়ে যেতে চাই না। এটা খুবই খারাপ। আমি তাকে যেভাবে আঘাত করেছি তা আমি খুব ঘৃণা করি। কিন্তু অবশেষে আমি নিজেকে কতটা কষ্ট দিচ্ছি তা আমার খুব খারাপ লাগে। আমি বিশ্বাস করতে চাই যে আমি আরও ভালো কিছু পাওয়ার যোগ্য।</v>
      </c>
    </row>
    <row r="1602" spans="1:3" ht="15" x14ac:dyDescent="0.25">
      <c r="A1602" s="3" t="s">
        <v>1596</v>
      </c>
      <c r="B1602" s="3" t="s">
        <v>997</v>
      </c>
      <c r="C1602" s="4" t="str">
        <f ca="1">IFERROR(__xludf.DUMMYFUNCTION("GOOGLETRANSLATE(A1602, ""auto"", ""bn"")"),"মূলত আমি নিজেকে কিছু খারাপ ঋণ, দেরিতে পরিশোধ এবং আর্থিক পরিস্থিতিতে ডুবিয়ে রেখেছি। কিন্তু এখন আমার লক্ষ্য হলো সংযম। এই আর্থিক গর্ত থেকে বেরিয়ে এসে কোনও দিন আমার ঋণ পুনরুদ্ধার করা অসম্ভব বলে মনে হচ্ছে। এই বিষয়ে কোন গল্প আছে? শুধু কিছু অতিরিক্ত আশা খুঁজছ"&amp;"ি।")</f>
        <v>মূলত আমি নিজেকে কিছু খারাপ ঋণ, দেরিতে পরিশোধ এবং আর্থিক পরিস্থিতিতে ডুবিয়ে রেখেছি। কিন্তু এখন আমার লক্ষ্য হলো সংযম। এই আর্থিক গর্ত থেকে বেরিয়ে এসে কোনও দিন আমার ঋণ পুনরুদ্ধার করা অসম্ভব বলে মনে হচ্ছে। এই বিষয়ে কোন গল্প আছে? শুধু কিছু অতিরিক্ত আশা খুঁজছি।</v>
      </c>
    </row>
    <row r="1603" spans="1:3" ht="15" x14ac:dyDescent="0.25">
      <c r="A1603" s="3" t="s">
        <v>1597</v>
      </c>
      <c r="B1603" s="3" t="s">
        <v>997</v>
      </c>
      <c r="C1603" s="4" t="str">
        <f ca="1">IFERROR(__xludf.DUMMYFUNCTION("GOOGLETRANSLATE(A1603, ""auto"", ""bn"")"),"আমি এই সাব-টিকে ধন্যবাদ জানাতে চাই, কারণ আমার সম্ভবত সবচেয়ে খারাপ রিল্যাপস হওয়ার পর এবং সত্যিই, সত্যিই, সত্যিই পঙ্গু হয়ে যাওয়ার পর, প্রথম দিনটা পার করতে আমাকে সাহায্য করেছিল। সেই রাতের স্মৃতি আমার মনে বারবার ঘুরপাক খাচ্ছে এবং আমার বাবা-মা আমার দিকে তা"&amp;"কাতেও পারছেন না। যারা এই ঝামেলা থেকে বেরিয়ে আসার ইতিবাচক দিক খুঁজে পেয়েছেন, কিন্তু সমস্যার সমাধানের জন্য লড়াই করছেন - তাদের জন্য কি আপনার কাছে আপনার প্রিয়জন এবং বন্ধুদের সাথে কীভাবে সবকিছু ঠিক করা হয়েছে তার কোনও ইঙ্গিত আছে? সংক্ষেপে, আমি শনিবার রাতে "&amp;"বাইরে গিয়েছিলাম এবং এতটাই অন্ধকারে পড়ে গিয়েছিলাম যে আমার সঙ্গীকে আমার বাড়িতে ট্যাক্সি ধরে আমাকে দরজা দিয়ে নিয়ে যেতে হয়েছিল। এরপর আমি সিঁড়িতে অজ্ঞান হয়ে যাই এবং আমার বাবা-মা অ্যাম্বুলেন্স ডাকেন কারণ আমি সাড়া দিচ্ছি না, আমাকে বিছানায় শুইয়ে দেওয়"&amp;"ার পর আমি উঠে আমার ঘরের মেঝেতে প্রস্রাব করি - আমার বাবা শুনতে পান এবং আমাকে থামানোর চেষ্টা করেন কিন্তু পারেননি। এখন আমার বাবা-মা কেউই আমার দিকে তাকাতে পারেন না। আমি যা করেছি তার চিন্তাভাবনা, আমার মদ্যপানের স্বার্থপরতা এবং তারপরে আমার কাজগুলি আমাকে হৃদয়ে "&amp;"অসুস্থ করে তোলে, এবং অপরাধবোধ আমাকে কেবল জীবন্ত করে তোলে। আমি খুব ভাগ্যবান যে তাদের পেয়েছি, আর তারাই শেষ মানুষ যাদের আমি কষ্ট দিতে চাইনি কিন্তু শেষ পর্যন্ত তারাই সেই মানুষ যাদের আমি সবচেয়ে বেশি কষ্ট দিয়েছি। কেউ কি কোন ইঙ্গিত দিতে পারে যে তারা কীভাবে প্"&amp;"রিয়জনদের সাথে প্রতিশোধ নিতে শুরু করেছিল যখন তারা বুঝতে পেরেছিল যে সংযমই হলো পরবর্তী পথ, সংযমের পরিবর্তে? তোমাদের সকলের জন্য সত্যিই কৃতজ্ঞ, যদি এটি সাব-এর শর্তাবলীর বাইরে থাকে তবে আমি বুঝতে পারি যে এটি বাতিল করা উচিত।")</f>
        <v>আমি এই সাব-টিকে ধন্যবাদ জানাতে চাই, কারণ আমার সম্ভবত সবচেয়ে খারাপ রিল্যাপস হওয়ার পর এবং সত্যিই, সত্যিই, সত্যিই পঙ্গু হয়ে যাওয়ার পর, প্রথম দিনটা পার করতে আমাকে সাহায্য করেছিল। সেই রাতের স্মৃতি আমার মনে বারবার ঘুরপাক খাচ্ছে এবং আমার বাবা-মা আমার দিকে তাকাতেও পারছেন না। যারা এই ঝামেলা থেকে বেরিয়ে আসার ইতিবাচক দিক খুঁজে পেয়েছেন, কিন্তু সমস্যার সমাধানের জন্য লড়াই করছেন - তাদের জন্য কি আপনার কাছে আপনার প্রিয়জন এবং বন্ধুদের সাথে কীভাবে সবকিছু ঠিক করা হয়েছে তার কোনও ইঙ্গিত আছে? সংক্ষেপে, আমি শনিবার রাতে বাইরে গিয়েছিলাম এবং এতটাই অন্ধকারে পড়ে গিয়েছিলাম যে আমার সঙ্গীকে আমার বাড়িতে ট্যাক্সি ধরে আমাকে দরজা দিয়ে নিয়ে যেতে হয়েছিল। এরপর আমি সিঁড়িতে অজ্ঞান হয়ে যাই এবং আমার বাবা-মা অ্যাম্বুলেন্স ডাকেন কারণ আমি সাড়া দিচ্ছি না, আমাকে বিছানায় শুইয়ে দেওয়ার পর আমি উঠে আমার ঘরের মেঝেতে প্রস্রাব করি - আমার বাবা শুনতে পান এবং আমাকে থামানোর চেষ্টা করেন কিন্তু পারেননি। এখন আমার বাবা-মা কেউই আমার দিকে তাকাতে পারেন না। আমি যা করেছি তার চিন্তাভাবনা, আমার মদ্যপানের স্বার্থপরতা এবং তারপরে আমার কাজগুলি আমাকে হৃদয়ে অসুস্থ করে তোলে, এবং অপরাধবোধ আমাকে কেবল জীবন্ত করে তোলে। আমি খুব ভাগ্যবান যে তাদের পেয়েছি, আর তারাই শেষ মানুষ যাদের আমি কষ্ট দিতে চাইনি কিন্তু শেষ পর্যন্ত তারাই সেই মানুষ যাদের আমি সবচেয়ে বেশি কষ্ট দিয়েছি। কেউ কি কোন ইঙ্গিত দিতে পারে যে তারা কীভাবে প্রিয়জনদের সাথে প্রতিশোধ নিতে শুরু করেছিল যখন তারা বুঝতে পেরেছিল যে সংযমই হলো পরবর্তী পথ, সংযমের পরিবর্তে? তোমাদের সকলের জন্য সত্যিই কৃতজ্ঞ, যদি এটি সাব-এর শর্তাবলীর বাইরে থাকে তবে আমি বুঝতে পারি যে এটি বাতিল করা উচিত।</v>
      </c>
    </row>
    <row r="1604" spans="1:3" ht="15" x14ac:dyDescent="0.25">
      <c r="A1604" s="3" t="s">
        <v>1598</v>
      </c>
      <c r="B1604" s="3" t="s">
        <v>997</v>
      </c>
      <c r="C1604" s="4" t="str">
        <f ca="1">IFERROR(__xludf.DUMMYFUNCTION("GOOGLETRANSLATE(A1604, ""auto"", ""bn"")"),"ঘুম থেকে উঠেই আমার বমি বমি ভাব শুরু হয়ে গেল। আমার বিছানা, বাথরুম, মেঝে, সোফা। বমি বমি ভাবটাও মনে নেই। আমি টেক্সট মেসেজ পাঠিয়েছিলাম, যা না পাঠাই, এমন কিছু দেব। তাছাড়া, আমার মনে হয় আমি যার সাথে কথা বলছি তাকেই আমি অদ্ভুত বলে ফেলেছি। থ্যাঙ্কসগিভিং-এ আমার "&amp;"প্রাক্তন প্রেমিক আমাকে ছেড়ে দেওয়ার পর থেকে এই প্রথম আমার সাথেই দেখা করার সুযোগ হয়েছে। বাজে কথা বলার জন্য আমাকে তাড়িয়ে দিয়েছে, কারণ আমি তখনও মাতাল ছিলাম বলে মনেও নেই। আমাকে থামতে হবে। আমি খুব দুঃখী এবং একা। আমি সুন্দরী এবং বুদ্ধিমান, তবুও আমি বিয়ারে"&amp;"র বোতল এবং হুইস্কির শট নিয়ে সবকিছু নষ্ট করি। আজ আমি মদ্যপান করছি না।")</f>
        <v>ঘুম থেকে উঠেই আমার বমি বমি ভাব শুরু হয়ে গেল। আমার বিছানা, বাথরুম, মেঝে, সোফা। বমি বমি ভাবটাও মনে নেই। আমি টেক্সট মেসেজ পাঠিয়েছিলাম, যা না পাঠাই, এমন কিছু দেব। তাছাড়া, আমার মনে হয় আমি যার সাথে কথা বলছি তাকেই আমি অদ্ভুত বলে ফেলেছি। থ্যাঙ্কসগিভিং-এ আমার প্রাক্তন প্রেমিক আমাকে ছেড়ে দেওয়ার পর থেকে এই প্রথম আমার সাথেই দেখা করার সুযোগ হয়েছে। বাজে কথা বলার জন্য আমাকে তাড়িয়ে দিয়েছে, কারণ আমি তখনও মাতাল ছিলাম বলে মনেও নেই। আমাকে থামতে হবে। আমি খুব দুঃখী এবং একা। আমি সুন্দরী এবং বুদ্ধিমান, তবুও আমি বিয়ারের বোতল এবং হুইস্কির শট নিয়ে সবকিছু নষ্ট করি। আজ আমি মদ্যপান করছি না।</v>
      </c>
    </row>
    <row r="1605" spans="1:3" ht="15" x14ac:dyDescent="0.25">
      <c r="A1605" s="3" t="s">
        <v>1599</v>
      </c>
      <c r="B1605" s="3" t="s">
        <v>997</v>
      </c>
      <c r="C1605" s="4" t="str">
        <f ca="1">IFERROR(__xludf.DUMMYFUNCTION("GOOGLETRANSLATE(A1605, ""auto"", ""bn"")"),"গতকাল অনেক বেশি কফি খেয়েছি... প্রায় ৩ ঘন্টা ঘুমিয়েছি আর বাকি সময় ঘুম থেকে উঠে পড়েছি। আমার মাথা খারাপ লাগছে এবং আজকে আমাকে অনেক কষ্ট করতে হবে, কিন্তু আমার বিবেক পরিষ্কার, যা অনেক বেশি তৃপ্তিদায়ক।")</f>
        <v>গতকাল অনেক বেশি কফি খেয়েছি... প্রায় ৩ ঘন্টা ঘুমিয়েছি আর বাকি সময় ঘুম থেকে উঠে পড়েছি। আমার মাথা খারাপ লাগছে এবং আজকে আমাকে অনেক কষ্ট করতে হবে, কিন্তু আমার বিবেক পরিষ্কার, যা অনেক বেশি তৃপ্তিদায়ক।</v>
      </c>
    </row>
    <row r="1606" spans="1:3" ht="15" x14ac:dyDescent="0.25">
      <c r="A1606" s="3" t="s">
        <v>1600</v>
      </c>
      <c r="B1606" s="3" t="s">
        <v>997</v>
      </c>
      <c r="C1606" s="4" t="str">
        <f ca="1">IFERROR(__xludf.DUMMYFUNCTION("GOOGLETRANSLATE(A1606, ""auto"", ""bn"")"),"আমি সিদ্ধান্ত নিলাম যে অ্যালকোহলের সাথে আমার সম্পর্কের সাথে আমি খুশি নই। আমি বছরের পর বছর ধরে প্রতি রাতে মদ্যপান করছিলাম। কোনও বড় নাটক বা বিপর্যয় ছিল না, তবে অস্থির ঘুম, ফোলা মুখ এবং পরের দিন সকালে মুখে সেই ভয়াবহ স্বাদ আমার জীবনের অবিরাম অংশ ছিল। শারীর"&amp;"িক লক্ষণগুলির চেয়েও খারাপ, সমস্ত সময় নষ্ট হয়ে যেত। সন্ধ্যা ৬টা বেজে যেত, আমি মদ্যপান শুরু করতাম এবং পৃথিবীর সাথে আমার যোগাযোগের ক্ষমতা দ্রুত ম্লান হয়ে যেত। প্রথম দুই সপ্তাহ মদ্যপান না করা খারাপ ছিল। আমি স্পষ্টতই শারীরিকভাবে অ্যালকোহলের উপর নির্ভরশীল ছ"&amp;"িলাম, বিশেষ করে ঘুমের জন্য, এবং আমার শরীরকে নিজেকে সামলাতে দেওয়ার জন্য ধৈর্য খুঁজে পাওয়া কঠিন ছিল। আমি নিখুঁত ছিলাম না। আমার ব্যাজটি এটি প্রতিফলিত করে। গত এক বছরে আমি ৩ বার মদ্যপান করেছি। তবে অ্যালকোহল ছাড়া জীবন কেমন তা দেখার পর, আমি প্রতিবার নিজেকে ঝে"&amp;"ড়ে ফেলে আবার গাড়িতে উঠতে পেরেছি। এটি সম্ভব করতে সাহায্য করার জন্য মদ্যপান বন্ধ করার সম্প্রদায়কে ধন্যবাদ। এই সাব সত্যিই একটি উপহার।")</f>
        <v>আমি সিদ্ধান্ত নিলাম যে অ্যালকোহলের সাথে আমার সম্পর্কের সাথে আমি খুশি নই। আমি বছরের পর বছর ধরে প্রতি রাতে মদ্যপান করছিলাম। কোনও বড় নাটক বা বিপর্যয় ছিল না, তবে অস্থির ঘুম, ফোলা মুখ এবং পরের দিন সকালে মুখে সেই ভয়াবহ স্বাদ আমার জীবনের অবিরাম অংশ ছিল। শারীরিক লক্ষণগুলির চেয়েও খারাপ, সমস্ত সময় নষ্ট হয়ে যেত। সন্ধ্যা ৬টা বেজে যেত, আমি মদ্যপান শুরু করতাম এবং পৃথিবীর সাথে আমার যোগাযোগের ক্ষমতা দ্রুত ম্লান হয়ে যেত। প্রথম দুই সপ্তাহ মদ্যপান না করা খারাপ ছিল। আমি স্পষ্টতই শারীরিকভাবে অ্যালকোহলের উপর নির্ভরশীল ছিলাম, বিশেষ করে ঘুমের জন্য, এবং আমার শরীরকে নিজেকে সামলাতে দেওয়ার জন্য ধৈর্য খুঁজে পাওয়া কঠিন ছিল। আমি নিখুঁত ছিলাম না। আমার ব্যাজটি এটি প্রতিফলিত করে। গত এক বছরে আমি ৩ বার মদ্যপান করেছি। তবে অ্যালকোহল ছাড়া জীবন কেমন তা দেখার পর, আমি প্রতিবার নিজেকে ঝেড়ে ফেলে আবার গাড়িতে উঠতে পেরেছি। এটি সম্ভব করতে সাহায্য করার জন্য মদ্যপান বন্ধ করার সম্প্রদায়কে ধন্যবাদ। এই সাব সত্যিই একটি উপহার।</v>
      </c>
    </row>
    <row r="1607" spans="1:3" ht="15" x14ac:dyDescent="0.25">
      <c r="A1607" s="3" t="s">
        <v>1601</v>
      </c>
      <c r="B1607" s="3" t="s">
        <v>997</v>
      </c>
      <c r="C1607" s="4" t="str">
        <f ca="1">IFERROR(__xludf.DUMMYFUNCTION("GOOGLETRANSLATE(A1607, ""auto"", ""bn"")"),"নিজেকে জবাবদিহি করার জন্য এটা করছি। গতকাল আমি আর আমার বয়ফ্রেন্ড একটা খেলার রাতের আয়োজন করেছিলাম। এটা ছিল আমার ১৩তম দিন, সুস্থ থাকার। আমি উঠে পরিষ্কার করে পার্টির জন্য প্রস্তুতি নিলাম। আমার বয়ফ্রেন্ড আর আমি অনেক ঝগড়া করছিলাম। সে আমাকে উত্তেজিত করছিল, আ"&amp;"র পার্টিও। আমি বললাম, ""বাবা, এটাকে উত্তেজিত করছিলেন।"" আমার বাবার অবস্থা, আমার প্রেমিকের অবস্থা, পৃথিবীটা কেমন, আর আমার নেশা আমাকে খুব ভালোভাবে প্রভাবিত করেছে। তাই, আমি আবার এসেছি। প্রথম দিন। খারাপ কিছু ঘটেনি, সবাই খুব ভালো সময় কাটিয়েছে এবং আমি সত্যিই "&amp;"উপভোগ করেছি। একজন খুব বেশি মাতাল হয়ে পড়ে ঘরে সিগারেট জ্বালালো। কিন্তু আমি তো ছিলাম না। কিন্তু যদি আমি মাতাল এবং সম্পূর্ণ অকার্যকরতার মধ্যে সীমা না চিনতাম, তাহলে আমি সহজেই আমার পথে চলে যেতাম। আমি আমার পরিশ্রমের জন্য ধন্যবাদ জানাই যে আমি সুস্থ থাকার জন্য "&amp;"ব্যয় করেছি।")</f>
        <v>নিজেকে জবাবদিহি করার জন্য এটা করছি। গতকাল আমি আর আমার বয়ফ্রেন্ড একটা খেলার রাতের আয়োজন করেছিলাম। এটা ছিল আমার ১৩তম দিন, সুস্থ থাকার। আমি উঠে পরিষ্কার করে পার্টির জন্য প্রস্তুতি নিলাম। আমার বয়ফ্রেন্ড আর আমি অনেক ঝগড়া করছিলাম। সে আমাকে উত্তেজিত করছিল, আর পার্টিও। আমি বললাম, "বাবা, এটাকে উত্তেজিত করছিলেন।" আমার বাবার অবস্থা, আমার প্রেমিকের অবস্থা, পৃথিবীটা কেমন, আর আমার নেশা আমাকে খুব ভালোভাবে প্রভাবিত করেছে। তাই, আমি আবার এসেছি। প্রথম দিন। খারাপ কিছু ঘটেনি, সবাই খুব ভালো সময় কাটিয়েছে এবং আমি সত্যিই উপভোগ করেছি। একজন খুব বেশি মাতাল হয়ে পড়ে ঘরে সিগারেট জ্বালালো। কিন্তু আমি তো ছিলাম না। কিন্তু যদি আমি মাতাল এবং সম্পূর্ণ অকার্যকরতার মধ্যে সীমা না চিনতাম, তাহলে আমি সহজেই আমার পথে চলে যেতাম। আমি আমার পরিশ্রমের জন্য ধন্যবাদ জানাই যে আমি সুস্থ থাকার জন্য ব্যয় করেছি।</v>
      </c>
    </row>
    <row r="1608" spans="1:3" ht="15" x14ac:dyDescent="0.25">
      <c r="A1608" s="3" t="s">
        <v>1602</v>
      </c>
      <c r="B1608" s="3" t="s">
        <v>997</v>
      </c>
      <c r="C1608" s="4" t="str">
        <f ca="1">IFERROR(__xludf.DUMMYFUNCTION("GOOGLETRANSLATE(A1608, ""auto"", ""bn"")"),"আমি সিদ্ধান্ত নিয়েছি এবার আমাকে ভিন্ন কিছু করতে হবে, তাই আমি ৯০-এর মধ্যে ৯০ (নব্বই দিনে নব্বইটি মিটিং) করছি। ভাবলাম এখানে পোস্ট করে দেখি অন্য কেউ আমার সাথে যোগ দিতে চায় কিনা। আমার মনে হয় আমরা একে অপরের জন্য একটু সহায়তা বা জবাবদিহিতামূলক গ্রুপ হতে পারি।")</f>
        <v>আমি সিদ্ধান্ত নিয়েছি এবার আমাকে ভিন্ন কিছু করতে হবে, তাই আমি ৯০-এর মধ্যে ৯০ (নব্বই দিনে নব্বইটি মিটিং) করছি। ভাবলাম এখানে পোস্ট করে দেখি অন্য কেউ আমার সাথে যোগ দিতে চায় কিনা। আমার মনে হয় আমরা একে অপরের জন্য একটু সহায়তা বা জবাবদিহিতামূলক গ্রুপ হতে পারি।</v>
      </c>
    </row>
    <row r="1609" spans="1:3" ht="15" x14ac:dyDescent="0.25">
      <c r="A1609" s="3" t="s">
        <v>1603</v>
      </c>
      <c r="B1609" s="3" t="s">
        <v>997</v>
      </c>
      <c r="C1609" s="4" t="str">
        <f ca="1">IFERROR(__xludf.DUMMYFUNCTION("GOOGLETRANSLATE(A1609, ""auto"", ""bn"")"),"আমি কাউকে স্বীকার করিনি, এমনকি আমার স্ত্রীও (সে জানে...), কিন্তু আমার একটা সমস্যা আছে। আমার প্রাপ্তবয়স্ক জীবনে (আমার বয়স এখন ৩৮) আমি এতটাই তীব্র প্যানিক অ্যাটাকের শিকার হয়েছি যে প্রায় দুই বছর ধরে আমি ঘর থেকে বের হতে পারিনি। সৌভাগ্যবশত আমি এখন অনেক ভাল"&amp;"ো আছি, মদ্যপান হোক বা না হোক। কিন্তু সেই দিনগুলো ছিল যখন আমি প্রতিদিন মদ্যপান শুরু করতাম। যখন আমি দু-একটা বিয়ার খাই, এমনকি ""মাত্র"" ৩-৪টাও, তখন আমার আর এতটা উদ্বিগ্ন বোধ হয় না। আমি শহরে গিয়ে মজা করতে পারতাম, বাইরে যেতে পারতাম এবং আবহাওয়া উপভোগ করতে প"&amp;"ারতাম এবং বন্ধুদের সাথে সময় কাটাতে পারতাম। কয়েক বছর ধরে আমার মনে হচ্ছিল যখন আমার সবচেয়ে বেশি প্রয়োজন ছিল তখন অ্যালকোহল আমাকে সত্যিই টেনে নিয়ে গিয়েছিল। প্রচুর থেরাপির জন্য ধন্যবাদ, আমি প্রায় ৭ বছর ধরে ভালো আছি। উদ্বেগ আমাকে কখনও ছাড়বে না, যতদিন বেঁ"&amp;"চে থাকব ততদিন এটি আমার অংশ থাকবে, তবে আমি এর সাথে বাঁচতে পারব এবং একটি পূর্ণ জীবনযাপন করতে পারব কিন্তু... অ্যালকোহল এখনও আছে। আমি এখন একটি কন্যা এবং একটি ২ বছরের ছেলের বাবা। ওরা আমার কাছে পৃথিবী, প্রতিদিন আরও বেশি। কিন্তু আমি এখনও নিশ্চিত করি যে আমার বাড়"&amp;"িতে বিয়ার আছে যা আমি তাদের মা ঘুমাতে গেলে পান করতে পারি। যখন তিনজনই ঘরের বাইরে থাকে তখন আমি মাঝে মাঝে দিনের বেলায় পান করতে শুরু করি। আমার পেটে মাঝে মাঝে ব্যথা হয়। আমি খারাপ থাকি এবং যখন আমি কয়েক সপ্তাহ ধরে পান করি না তখন আমি অনেক ভালো এবং আরও উদ্যমী ব"&amp;"োধ করি, তবে সবসময়ই একটি অজুহাত থাকে। একটি পার্টি, বন্ধুরা রাতের খাবারের জন্য আসছে, যেকোনো কিছু, আবার শুরু করার জন্য। আমি ছেড়ে দিতে চাই। আমি সুস্থ থাকতে চাই এবং একজন সক্রিয় বাবা হতে চাই এবং যতদিন সম্ভব আমার বাচ্চাদের যত্ন নিতে চাই, আমি তাদের বড় হতে দেখ"&amp;"তে চাই। কারণ আমার একটি স্থিতিশীল চাকরি আছে এবং শুধুমাত্র সন্ধ্যায় যখন আমার স্ত্রী ঘুমাতে যায় তখনই আমি পান করি, আমি নিজেকে বলি যে এটি এত খারাপ নয়। কিন্তু সত্যিই আমি জানি এটা... ওহ, আমি ছেড়ে দিতে পারি। আমরা যখন বাচ্চাদের জন্য চেষ্টা করছিলাম তখন আমি কয়ে"&amp;"ক মাস ধরে পান করিনি, তাই আমার ছোট সাঁতারুরা অন্তত সুস্থ ছিল। কিন্তু যখন আমি সুযোগ পাই তখন আমি আবার পান শুরু করি, এবং আমি ব্যাখ্যা করতে পারি না কেন। অনেক সন্ধ্যার মতো আমি নিজেকেও একই কথা বলি। কাল আমি চাকরি ছেড়ে দেব। কিন্তু তারপর শনিবার আমাদের একটা পার্টি "&amp;"আছে... আমি কাল এটা নিয়ে ভাবব।")</f>
        <v>আমি কাউকে স্বীকার করিনি, এমনকি আমার স্ত্রীও (সে জানে...), কিন্তু আমার একটা সমস্যা আছে। আমার প্রাপ্তবয়স্ক জীবনে (আমার বয়স এখন ৩৮) আমি এতটাই তীব্র প্যানিক অ্যাটাকের শিকার হয়েছি যে প্রায় দুই বছর ধরে আমি ঘর থেকে বের হতে পারিনি। সৌভাগ্যবশত আমি এখন অনেক ভালো আছি, মদ্যপান হোক বা না হোক। কিন্তু সেই দিনগুলো ছিল যখন আমি প্রতিদিন মদ্যপান শুরু করতাম। যখন আমি দু-একটা বিয়ার খাই, এমনকি "মাত্র" ৩-৪টাও, তখন আমার আর এতটা উদ্বিগ্ন বোধ হয় না। আমি শহরে গিয়ে মজা করতে পারতাম, বাইরে যেতে পারতাম এবং আবহাওয়া উপভোগ করতে পারতাম এবং বন্ধুদের সাথে সময় কাটাতে পারতাম। কয়েক বছর ধরে আমার মনে হচ্ছিল যখন আমার সবচেয়ে বেশি প্রয়োজন ছিল তখন অ্যালকোহল আমাকে সত্যিই টেনে নিয়ে গিয়েছিল। প্রচুর থেরাপির জন্য ধন্যবাদ, আমি প্রায় ৭ বছর ধরে ভালো আছি। উদ্বেগ আমাকে কখনও ছাড়বে না, যতদিন বেঁচে থাকব ততদিন এটি আমার অংশ থাকবে, তবে আমি এর সাথে বাঁচতে পারব এবং একটি পূর্ণ জীবনযাপন করতে পারব কিন্তু... অ্যালকোহল এখনও আছে। আমি এখন একটি কন্যা এবং একটি ২ বছরের ছেলের বাবা। ওরা আমার কাছে পৃথিবী, প্রতিদিন আরও বেশি। কিন্তু আমি এখনও নিশ্চিত করি যে আমার বাড়িতে বিয়ার আছে যা আমি তাদের মা ঘুমাতে গেলে পান করতে পারি। যখন তিনজনই ঘরের বাইরে থাকে তখন আমি মাঝে মাঝে দিনের বেলায় পান করতে শুরু করি। আমার পেটে মাঝে মাঝে ব্যথা হয়। আমি খারাপ থাকি এবং যখন আমি কয়েক সপ্তাহ ধরে পান করি না তখন আমি অনেক ভালো এবং আরও উদ্যমী বোধ করি, তবে সবসময়ই একটি অজুহাত থাকে। একটি পার্টি, বন্ধুরা রাতের খাবারের জন্য আসছে, যেকোনো কিছু, আবার শুরু করার জন্য। আমি ছেড়ে দিতে চাই। আমি সুস্থ থাকতে চাই এবং একজন সক্রিয় বাবা হতে চাই এবং যতদিন সম্ভব আমার বাচ্চাদের যত্ন নিতে চাই, আমি তাদের বড় হতে দেখতে চাই। কারণ আমার একটি স্থিতিশীল চাকরি আছে এবং শুধুমাত্র সন্ধ্যায় যখন আমার স্ত্রী ঘুমাতে যায় তখনই আমি পান করি, আমি নিজেকে বলি যে এটি এত খারাপ নয়। কিন্তু সত্যিই আমি জানি এটা... ওহ, আমি ছেড়ে দিতে পারি। আমরা যখন বাচ্চাদের জন্য চেষ্টা করছিলাম তখন আমি কয়েক মাস ধরে পান করিনি, তাই আমার ছোট সাঁতারুরা অন্তত সুস্থ ছিল। কিন্তু যখন আমি সুযোগ পাই তখন আমি আবার পান শুরু করি, এবং আমি ব্যাখ্যা করতে পারি না কেন। অনেক সন্ধ্যার মতো আমি নিজেকেও একই কথা বলি। কাল আমি চাকরি ছেড়ে দেব। কিন্তু তারপর শনিবার আমাদের একটা পার্টি আছে... আমি কাল এটা নিয়ে ভাবব।</v>
      </c>
    </row>
    <row r="1610" spans="1:3" ht="15" x14ac:dyDescent="0.25">
      <c r="A1610" s="3" t="s">
        <v>1604</v>
      </c>
      <c r="B1610" s="3" t="s">
        <v>997</v>
      </c>
      <c r="C1610" s="4" t="str">
        <f ca="1">IFERROR(__xludf.DUMMYFUNCTION("GOOGLETRANSLATE(A1610, ""auto"", ""bn"")"),"আমি কমপক্ষে ৫ বছর ধরে প্রতিদিন ১৭ থেকে ২০টি স্ট্যান্ডার্ড ড্রিংক (ভদকা) পান করছি। এর সাথে প্রতিদিন ১ থেকে ২ লিটার পপ (মাউন্টেন ডিউ বা ডক্টর পেপার) পান করছি। সম্প্রতি আমার পা, পা, বাহু এবং হাত ব্যথা শুরু হয়েছে। আমি কাজের জন্য পায়ে বসে আছি, তাই এটি এমন কিছ"&amp;"ু ছিল যা আমি সহ্য করতে পারিনি। কর্মক্ষেত্রে আমার ৮ ঘন্টার মধ্যে আমি মাত্র ৮ ঘন্টাই সুস্থ থাকি এবং ব্যথা অসহনীয় ছিল। আমি এই সিদ্ধান্তে পৌঁছেছি যে আমি খুব খারাপ ডায়েট, খুব কম খাওয়া এবং কেবল ভদকা এবং পপ পান করার কারণে স্নায়ু স্নায়ুতন্ত্রে ভুগছি। তাই আমি"&amp;" গত রাতে আমার ছুটিতে পান করিনি। আমার শেষ পানীয়ের ৬ ঘন্টা পরে আমার বমি বমি ভাব হয়েছিল। তারপর ৭ ঘন্টা। তারপর ৮ ঘন্টা। তারপর অবশেষে আমার ঘুম এসেছিল। আজ ঘুম থেকে উঠে দেখলাম আমার পা এবং পায়ের ব্যথা ইতিমধ্যেই প্রায় সম্পূর্ণরূপে চলে গেছে। আরাম আশ্চর্যজনক। আজ"&amp;" সকালে আমি আরও একবার বমি বমি ভাব করেছি কিন্তু জল এবং কমলার রস পান করে চলেছি।")</f>
        <v>আমি কমপক্ষে ৫ বছর ধরে প্রতিদিন ১৭ থেকে ২০টি স্ট্যান্ডার্ড ড্রিংক (ভদকা) পান করছি। এর সাথে প্রতিদিন ১ থেকে ২ লিটার পপ (মাউন্টেন ডিউ বা ডক্টর পেপার) পান করছি। সম্প্রতি আমার পা, পা, বাহু এবং হাত ব্যথা শুরু হয়েছে। আমি কাজের জন্য পায়ে বসে আছি, তাই এটি এমন কিছু ছিল যা আমি সহ্য করতে পারিনি। কর্মক্ষেত্রে আমার ৮ ঘন্টার মধ্যে আমি মাত্র ৮ ঘন্টাই সুস্থ থাকি এবং ব্যথা অসহনীয় ছিল। আমি এই সিদ্ধান্তে পৌঁছেছি যে আমি খুব খারাপ ডায়েট, খুব কম খাওয়া এবং কেবল ভদকা এবং পপ পান করার কারণে স্নায়ু স্নায়ুতন্ত্রে ভুগছি। তাই আমি গত রাতে আমার ছুটিতে পান করিনি। আমার শেষ পানীয়ের ৬ ঘন্টা পরে আমার বমি বমি ভাব হয়েছিল। তারপর ৭ ঘন্টা। তারপর ৮ ঘন্টা। তারপর অবশেষে আমার ঘুম এসেছিল। আজ ঘুম থেকে উঠে দেখলাম আমার পা এবং পায়ের ব্যথা ইতিমধ্যেই প্রায় সম্পূর্ণরূপে চলে গেছে। আরাম আশ্চর্যজনক। আজ সকালে আমি আরও একবার বমি বমি ভাব করেছি কিন্তু জল এবং কমলার রস পান করে চলেছি।</v>
      </c>
    </row>
    <row r="1611" spans="1:3" ht="15" x14ac:dyDescent="0.25">
      <c r="A1611" s="3" t="s">
        <v>1605</v>
      </c>
      <c r="B1611" s="3" t="s">
        <v>997</v>
      </c>
      <c r="C1611" s="4" t="str">
        <f ca="1">IFERROR(__xludf.DUMMYFUNCTION("GOOGLETRANSLATE(A1611, ""auto"", ""bn"")"),"মূলত আমিও ঠিক একইভাবে কাজ করব যেমনটা আমি মাতাল অবস্থায় করতাম। আমার মস্তিষ্ক অন্য কোনও আচরণ করার কথা মনে রাখতে পারে না কিন্তু সন্দেহজনক, বেশিরভাগ ক্ষেত্রেই এটি কর্মক্ষেত্রে ঘটে। আমার চাকরি এমনকি জানে যে আমি শান্ত - কারণ আমি কাজের পরে প্রতি রাতে বাইরে যেতা"&amp;"ম, এবং গত 2 বছর ধরে হঠাৎ করে পার্টিতে যোগদান বন্ধ করে দিয়েছি। কিন্তু আমার মনে হচ্ছে যে আমি যেভাবে মদ্যপান করতাম সেভাবেই আমাকে বিচার করা হচ্ছে। যেমন মানুষ বলতে পারে আমি মিথ্যা বলছি এবং কিছু লুকাচ্ছি। অথবা যদি মানুষ পরীক্ষা করে দেখছে যে আমি মদ্যপান করেছি ক"&amp;"িনা ইত্যাদি, আমি এই পর্যায়টিকে কী বলব তাও জানি না। এখন যখন আমি কথা বলি তখন আমি মানুষের চোখের দিকে তাকাই এবং আমার মাথার মধ্য দিয়ে যা কিছু যায়, কিন্তু আমার মনে হয় আমি অতিরিক্ত ক্ষতিপূরণ দিচ্ছি।")</f>
        <v>মূলত আমিও ঠিক একইভাবে কাজ করব যেমনটা আমি মাতাল অবস্থায় করতাম। আমার মস্তিষ্ক অন্য কোনও আচরণ করার কথা মনে রাখতে পারে না কিন্তু সন্দেহজনক, বেশিরভাগ ক্ষেত্রেই এটি কর্মক্ষেত্রে ঘটে। আমার চাকরি এমনকি জানে যে আমি শান্ত - কারণ আমি কাজের পরে প্রতি রাতে বাইরে যেতাম, এবং গত 2 বছর ধরে হঠাৎ করে পার্টিতে যোগদান বন্ধ করে দিয়েছি। কিন্তু আমার মনে হচ্ছে যে আমি যেভাবে মদ্যপান করতাম সেভাবেই আমাকে বিচার করা হচ্ছে। যেমন মানুষ বলতে পারে আমি মিথ্যা বলছি এবং কিছু লুকাচ্ছি। অথবা যদি মানুষ পরীক্ষা করে দেখছে যে আমি মদ্যপান করেছি কিনা ইত্যাদি, আমি এই পর্যায়টিকে কী বলব তাও জানি না। এখন যখন আমি কথা বলি তখন আমি মানুষের চোখের দিকে তাকাই এবং আমার মাথার মধ্য দিয়ে যা কিছু যায়, কিন্তু আমার মনে হয় আমি অতিরিক্ত ক্ষতিপূরণ দিচ্ছি।</v>
      </c>
    </row>
    <row r="1612" spans="1:3" ht="15" x14ac:dyDescent="0.25">
      <c r="A1612" s="3" t="s">
        <v>1606</v>
      </c>
      <c r="B1612" s="3" t="s">
        <v>997</v>
      </c>
      <c r="C1612" s="4" t="str">
        <f ca="1">IFERROR(__xludf.DUMMYFUNCTION("GOOGLETRANSLATE(A1612, ""auto"", ""bn"")"),"আমি আমার নিজের উপর গর্বিত যে আমি নিজেকে শান্ত রাখি, এবং সামগ্রিকভাবে আমি নিজেকে আরও ভালো বোধ করি, তবে, আমি জানি না কিভাবে কোনও ডাউনটাইম/একঘেয়েমি মোকাবেলা করতে হয়। আমি প্রতি সপ্তাহে ৫০ ঘন্টা একজন ফিজিওথেরাপিস্ট হিসেবে কাজ করি যা সবসময় আমার স্বপ্নের কাজ "&amp;"ছিল। সবার পরামর্শ অনুযায়ী যখনই আমার অবসর সময় থাকে আমি আমার প্রিয় শখ যেমন গল্ফিং, বোর্ড গেমস, বন্ধুদের সাথে আড্ডা দেওয়া ইত্যাদি করার চেষ্টা করি কিন্তু তবুও এটি কখনই যথেষ্ট মনে হয় না। যখনই আমি বাড়ি ফিরে আসি তখনই আমি বিরক্ত হয়ে যাই, এবং আমার মনে হয় আম"&amp;"ার আরও কিছু দরকার, এবং এটি সাধারণত আমাকে মদ সম্পর্কে ভাবতে বাধ্য করে। আমি এটা ঘৃণা করি। আমি নিজেকে হারিয়ে ফেলি, এবং আমি জানতে চাইছিলাম যে আমার একঘেয়েমি নিয়ে আমি আর কী করতে পারি সে সম্পর্কে আপনার কোন পরামর্শ আছে কিনা।")</f>
        <v>আমি আমার নিজের উপর গর্বিত যে আমি নিজেকে শান্ত রাখি, এবং সামগ্রিকভাবে আমি নিজেকে আরও ভালো বোধ করি, তবে, আমি জানি না কিভাবে কোনও ডাউনটাইম/একঘেয়েমি মোকাবেলা করতে হয়। আমি প্রতি সপ্তাহে ৫০ ঘন্টা একজন ফিজিওথেরাপিস্ট হিসেবে কাজ করি যা সবসময় আমার স্বপ্নের কাজ ছিল। সবার পরামর্শ অনুযায়ী যখনই আমার অবসর সময় থাকে আমি আমার প্রিয় শখ যেমন গল্ফিং, বোর্ড গেমস, বন্ধুদের সাথে আড্ডা দেওয়া ইত্যাদি করার চেষ্টা করি কিন্তু তবুও এটি কখনই যথেষ্ট মনে হয় না। যখনই আমি বাড়ি ফিরে আসি তখনই আমি বিরক্ত হয়ে যাই, এবং আমার মনে হয় আমার আরও কিছু দরকার, এবং এটি সাধারণত আমাকে মদ সম্পর্কে ভাবতে বাধ্য করে। আমি এটা ঘৃণা করি। আমি নিজেকে হারিয়ে ফেলি, এবং আমি জানতে চাইছিলাম যে আমার একঘেয়েমি নিয়ে আমি আর কী করতে পারি সে সম্পর্কে আপনার কোন পরামর্শ আছে কিনা।</v>
      </c>
    </row>
    <row r="1613" spans="1:3" ht="15" x14ac:dyDescent="0.25">
      <c r="A1613" s="3" t="s">
        <v>1607</v>
      </c>
      <c r="B1613" s="3" t="s">
        <v>997</v>
      </c>
      <c r="C1613" s="4" t="str">
        <f ca="1">IFERROR(__xludf.DUMMYFUNCTION("GOOGLETRANSLATE(A1613, ""auto"", ""bn"")"),"আমি সাধারণত সপ্তাহে প্রায় ২ রাত পান করি এবং আমার স্বাভাবিক পরিমাণ এক বোতল রাম পান করার চেয়েও কম। আমার মনে হয় অ্যালকোহল ব্যবহারের ব্যাধিতে ভুগছেন এমন অনেক লোকের তুলনায় আমার মদ্যপানের সমস্যাটি বেশ সামান্য, তবে এটি আমার জীবনে কিছু সমস্যা তৈরি করে। তাছাড়া"&amp;", আমি অনেকবার থামানোর চেষ্টা করেছি, কিন্তু সত্যি বলতে, আমি যখন মদ্যপান করি তখন আমার এখনও অনেক মজা লাগে এবং আমি নিজের মতো আচরণ করি। তাই চেষ্টা চালিয়ে যাওয়ার এবং পুরোপুরি ছেড়ে দিতে ব্যর্থ হওয়ার পরিবর্তে, আমার পরিকল্পনা হল সপ্তাহে কেবল একবার পান করা এবং "&amp;"চুক্তি হল, প্রতিবার যখন আমি পান করি, তখন আমি সন্ধ্যার একটি উল্লেখযোগ্য অংশ ব্যায়াম বা ব্যায়াম করে কাটাব। কয়েকটি পানীয়ের পরে ব্যায়াম করলে আমার মনে হয় যে আমি অন্তত অ্যালকোহল অপব্যবহারের কিছু নেতিবাচক প্রভাব পূরণ করছি, এবং সত্যি বলতে, এটি ব্যায়ামকে আর"&amp;"ও মজাদার করে তোলে। অবশ্যই, আমি এতে নিরাপদ বোধ করছি। এতে কোনও বিনামূল্যে ওজন জড়িত নেই বা এমন কিছু নেই যা আমাকে ক্ষতি করতে পারে। কেবল আমার স্থির বাইক যার সাথে সাধারণত একটি রেজিস্ট্যান্স ব্যান্ড সংযুক্ত থাকে। আমি সত্যিই ওজন কমানোর চেষ্টা করছি, তাই অ্যালকোহল"&amp;"ের সাথে আসা টন ক্যালোরির ক্ষতিপূরণ দেওয়ার জন্য এটি আমার জন্য একটি দুর্দান্ত উপায় ছিল। এটি একটি নিখুঁত সমাধান নয়, তবে এটি সঠিক দিকের একটি পদক্ষেপ বলে আমি মনে করি।")</f>
        <v>আমি সাধারণত সপ্তাহে প্রায় ২ রাত পান করি এবং আমার স্বাভাবিক পরিমাণ এক বোতল রাম পান করার চেয়েও কম। আমার মনে হয় অ্যালকোহল ব্যবহারের ব্যাধিতে ভুগছেন এমন অনেক লোকের তুলনায় আমার মদ্যপানের সমস্যাটি বেশ সামান্য, তবে এটি আমার জীবনে কিছু সমস্যা তৈরি করে। তাছাড়া, আমি অনেকবার থামানোর চেষ্টা করেছি, কিন্তু সত্যি বলতে, আমি যখন মদ্যপান করি তখন আমার এখনও অনেক মজা লাগে এবং আমি নিজের মতো আচরণ করি। তাই চেষ্টা চালিয়ে যাওয়ার এবং পুরোপুরি ছেড়ে দিতে ব্যর্থ হওয়ার পরিবর্তে, আমার পরিকল্পনা হল সপ্তাহে কেবল একবার পান করা এবং চুক্তি হল, প্রতিবার যখন আমি পান করি, তখন আমি সন্ধ্যার একটি উল্লেখযোগ্য অংশ ব্যায়াম বা ব্যায়াম করে কাটাব। কয়েকটি পানীয়ের পরে ব্যায়াম করলে আমার মনে হয় যে আমি অন্তত অ্যালকোহল অপব্যবহারের কিছু নেতিবাচক প্রভাব পূরণ করছি, এবং সত্যি বলতে, এটি ব্যায়ামকে আরও মজাদার করে তোলে। অবশ্যই, আমি এতে নিরাপদ বোধ করছি। এতে কোনও বিনামূল্যে ওজন জড়িত নেই বা এমন কিছু নেই যা আমাকে ক্ষতি করতে পারে। কেবল আমার স্থির বাইক যার সাথে সাধারণত একটি রেজিস্ট্যান্স ব্যান্ড সংযুক্ত থাকে। আমি সত্যিই ওজন কমানোর চেষ্টা করছি, তাই অ্যালকোহলের সাথে আসা টন ক্যালোরির ক্ষতিপূরণ দেওয়ার জন্য এটি আমার জন্য একটি দুর্দান্ত উপায় ছিল। এটি একটি নিখুঁত সমাধান নয়, তবে এটি সঠিক দিকের একটি পদক্ষেপ বলে আমি মনে করি।</v>
      </c>
    </row>
    <row r="1614" spans="1:3" ht="15" x14ac:dyDescent="0.25">
      <c r="A1614" s="3" t="s">
        <v>1608</v>
      </c>
      <c r="B1614" s="3" t="s">
        <v>997</v>
      </c>
      <c r="C1614" s="4" t="str">
        <f ca="1">IFERROR(__xludf.DUMMYFUNCTION("GOOGLETRANSLATE(A1614, ""auto"", ""bn"")"),"আমি বলতে বাধ্য হচ্ছি যে আমি এই ৯৪ জিনিসটির সাথে তুলনা করি, হয়তো আরও বেশি। আমি একজন বড় সংখ্যার মানুষ। তাছাড়া, আমি সবসময় সংখ্যার মধ্যে একটি লুকানো বার্তা খুঁজি। ২২/২২/২২ একটি বড় ব্যাপার। যদিও এখন পর্যন্ত, সত্যি বলতে, এটি থেকে আমার জন্য কিছুই আসেনি, কেব"&amp;"ল সবাই মজা করছে। এবং আমার জন্য এটাই যথেষ্ট।")</f>
        <v>আমি বলতে বাধ্য হচ্ছি যে আমি এই ৯৪ জিনিসটির সাথে তুলনা করি, হয়তো আরও বেশি। আমি একজন বড় সংখ্যার মানুষ। তাছাড়া, আমি সবসময় সংখ্যার মধ্যে একটি লুকানো বার্তা খুঁজি। ২২/২২/২২ একটি বড় ব্যাপার। যদিও এখন পর্যন্ত, সত্যি বলতে, এটি থেকে আমার জন্য কিছুই আসেনি, কেবল সবাই মজা করছে। এবং আমার জন্য এটাই যথেষ্ট।</v>
      </c>
    </row>
    <row r="1615" spans="1:3" ht="15" x14ac:dyDescent="0.25">
      <c r="A1615" s="3" t="s">
        <v>1609</v>
      </c>
      <c r="B1615" s="3" t="s">
        <v>997</v>
      </c>
      <c r="C1615" s="4" t="str">
        <f ca="1">IFERROR(__xludf.DUMMYFUNCTION("GOOGLETRANSLATE(A1615, ""auto"", ""bn"")"),"আমার বয়স ২০। ১২ বছর বয়স থেকে মদ্যপান শুরু করেছি। আমাকে বলা হয়েছে যে আমার এখনও কোনও সমস্যা হওয়ার মতো বড় বয়স নেই। আমার মনে হয় ৮ বছর অনেক দীর্ঘ সময়। তাছাড়া, আমি জানি যে জীবনের এত ছোটবেলায় আমি ধূমপান ছেড়ে দিতে পেরে ভাগ্যবান। কিন্তু আমি যদি অবর্ণনীয় যন্ত্রণা "&amp;"না পেতাম যা আমার চারপাশের মানুষদের কাছে ছড়িয়ে পড়ে। এখন আমার প্রায় ৪টি মানসিক ব্যাধি আছে এবং এর জন্য অনেক সম্পর্ক এবং মূল্যবোধ ভেঙে গেছে। আমি এখনও বেদনায় ভুগছি। আরও বেশি করে এখন যেহেতু আমি আমার ক্ষতি দেখতে পাচ্ছি। আর কিসের জন্য? আমার শৈশবকাল সবচেয়ে ভালো ক"&amp;"েটেছে, তাই সব দোষ আমার উপর। বেশিরভাগ দিন আমি কেবল নিজের উপর রাগ করি। কিছু দিন আমি মাদক, আমাদের সমাজ এবং এটি যে মদ পছন্দ করে তার উপর রাগ করি। আমাকে প্রচুর পরিমাণে মাদক সম্পর্কে সতর্ক করা হয়েছে, কিন্তু যখন পুরো পৃথিবী মদ্যপান করে তখন তা খালি বাজে। আমি সেই "&amp;"ব্যক্তির সাথে খুব বেশি মেলামেশা না করার চেষ্টা করি কারণ এতে আমি আত্মহত্যা করতে বাধ্য হতে পারি। যদি এটা নৈতিকভাবে সঠিক হয়, আমি জানি না। কিন্তু আমি জানি যে সে যে পরিমাণ দুঃখ মানুষকে দিয়েছে তা দূর হবে না, বরং আমার অদৃশ্য হয়ে গেলে আরও খারাপ হবে। এখন যেহেতু"&amp;" আমি আমার কর্মকাণ্ড এবং পারিপার্শ্বিকতা সম্পর্কে সচেতন, আমি মনে করি আমি যাদের ভালোবাসি তাদের কাছে আমি ঋণী, যারা আমার ক্ষতিপূরণ দিতে ভালোবাসে।")</f>
        <v>আমার বয়স ২০। ১২ বছর বয়স থেকে মদ্যপান শুরু করেছি। আমাকে বলা হয়েছে যে আমার এখনও কোনও সমস্যা হওয়ার মতো বড় বয়স নেই। আমার মনে হয় ৮ বছর অনেক দীর্ঘ সময়। তাছাড়া, আমি জানি যে জীবনের এত ছোটবেলায় আমি ধূমপান ছেড়ে দিতে পেরে ভাগ্যবান। কিন্তু আমি যদি অবর্ণনীয় যন্ত্রণা না পেতাম যা আমার চারপাশের মানুষদের কাছে ছড়িয়ে পড়ে। এখন আমার প্রায় ৪টি মানসিক ব্যাধি আছে এবং এর জন্য অনেক সম্পর্ক এবং মূল্যবোধ ভেঙে গেছে। আমি এখনও বেদনায় ভুগছি। আরও বেশি করে এখন যেহেতু আমি আমার ক্ষতি দেখতে পাচ্ছি। আর কিসের জন্য? আমার শৈশবকাল সবচেয়ে ভালো কেটেছে, তাই সব দোষ আমার উপর। বেশিরভাগ দিন আমি কেবল নিজের উপর রাগ করি। কিছু দিন আমি মাদক, আমাদের সমাজ এবং এটি যে মদ পছন্দ করে তার উপর রাগ করি। আমাকে প্রচুর পরিমাণে মাদক সম্পর্কে সতর্ক করা হয়েছে, কিন্তু যখন পুরো পৃথিবী মদ্যপান করে তখন তা খালি বাজে। আমি সেই ব্যক্তির সাথে খুব বেশি মেলামেশা না করার চেষ্টা করি কারণ এতে আমি আত্মহত্যা করতে বাধ্য হতে পারি। যদি এটা নৈতিকভাবে সঠিক হয়, আমি জানি না। কিন্তু আমি জানি যে সে যে পরিমাণ দুঃখ মানুষকে দিয়েছে তা দূর হবে না, বরং আমার অদৃশ্য হয়ে গেলে আরও খারাপ হবে। এখন যেহেতু আমি আমার কর্মকাণ্ড এবং পারিপার্শ্বিকতা সম্পর্কে সচেতন, আমি মনে করি আমি যাদের ভালোবাসি তাদের কাছে আমি ঋণী, যারা আমার ক্ষতিপূরণ দিতে ভালোবাসে।</v>
      </c>
    </row>
    <row r="1616" spans="1:3" ht="15" x14ac:dyDescent="0.25">
      <c r="A1616" s="3" t="s">
        <v>1610</v>
      </c>
      <c r="B1616" s="3" t="s">
        <v>997</v>
      </c>
      <c r="C1616" s="4" t="str">
        <f ca="1">IFERROR(__xludf.DUMMYFUNCTION("GOOGLETRANSLATE(A1616, ""auto"", ""bn"")"),"আজ এই ঘটনার জন্য আমি সত্যিই কষ্ট পাচ্ছি। আমি কান্না থামাতে পারছি না, আমার মেজাজ সত্যিই খারাপ। বিশেষ কিছু ঘটেনি। আমি এই অস্থিরতার জন্য কিছুটা বিরক্ত। আমি এক হুইস্কি এবং আদা বিয়ার চাই। আমি অদৃশ্য হয়ে যেতে চাই।")</f>
        <v>আজ এই ঘটনার জন্য আমি সত্যিই কষ্ট পাচ্ছি। আমি কান্না থামাতে পারছি না, আমার মেজাজ সত্যিই খারাপ। বিশেষ কিছু ঘটেনি। আমি এই অস্থিরতার জন্য কিছুটা বিরক্ত। আমি এক হুইস্কি এবং আদা বিয়ার চাই। আমি অদৃশ্য হয়ে যেতে চাই।</v>
      </c>
    </row>
    <row r="1617" spans="1:3" ht="15" x14ac:dyDescent="0.25">
      <c r="A1617" s="3" t="s">
        <v>1611</v>
      </c>
      <c r="B1617" s="3" t="s">
        <v>997</v>
      </c>
      <c r="C1617" s="4" t="str">
        <f ca="1">IFERROR(__xludf.DUMMYFUNCTION("GOOGLETRANSLATE(A1617, ""auto"", ""bn"")"),"অবশেষে আমি এমন এক জায়গায় এসে পৌঁছেছি যেখানে আমি জানি যে বোতলটা নামিয়ে রাখাই আমার জন্য ভালো। অ্যালকোহল এখন আর আমার জন্য ভালো নয়। আমি এমনকি জানি না মদ্যপান কেমন লাগে কারণ আমার শরীরের জন্য এটা একটা প্রয়োজনীয়তা, পুরস্কার নয়। বিবাহবিচ্ছেদের পর আমি একটা অবিশ্ব"&amp;"াস্য কঠিন সময় পার করছি এবং জানতে পারছি যে আমার স্টাইক্স আমাদের ছেলের সেরা বন্ধুর মায়ের সাথে ডেটিং করছে। যে আমার বন্ধুও ছিল। শনিবার আমি জানতে পারি এবং মদ্যপানে ডুবে যাই, এবং এতে আমার আগের চেয়েও খারাপ অনুভূতি হয়ে যায়। তাই গতকাল বোতলটা শেষ করে ফেলেছি, গত রা"&amp;"তে এক ঘন্টা ঘুমিয়েছি, এবং আজ পান করিনি। আমার কি মনে হয় আমি চিরতরে ছেড়ে দেব? আমি জানি না। আমি আশা করছি একবার সুস্থ হয়ে উঠলে আমি এখানে-সেখানে পানীয় উপভোগ করতে শিখতে পারব। কেবল সময়ই বলবে। আমি প্রায় দুই বছর ধরে এই ফোরামটি দেখছি এবং জানি যে আমার এখানে থাকা দরক"&amp;"ার।")</f>
        <v>অবশেষে আমি এমন এক জায়গায় এসে পৌঁছেছি যেখানে আমি জানি যে বোতলটা নামিয়ে রাখাই আমার জন্য ভালো। অ্যালকোহল এখন আর আমার জন্য ভালো নয়। আমি এমনকি জানি না মদ্যপান কেমন লাগে কারণ আমার শরীরের জন্য এটা একটা প্রয়োজনীয়তা, পুরস্কার নয়। বিবাহবিচ্ছেদের পর আমি একটা অবিশ্বাস্য কঠিন সময় পার করছি এবং জানতে পারছি যে আমার স্টাইক্স আমাদের ছেলের সেরা বন্ধুর মায়ের সাথে ডেটিং করছে। যে আমার বন্ধুও ছিল। শনিবার আমি জানতে পারি এবং মদ্যপানে ডুবে যাই, এবং এতে আমার আগের চেয়েও খারাপ অনুভূতি হয়ে যায়। তাই গতকাল বোতলটা শেষ করে ফেলেছি, গত রাতে এক ঘন্টা ঘুমিয়েছি, এবং আজ পান করিনি। আমার কি মনে হয় আমি চিরতরে ছেড়ে দেব? আমি জানি না। আমি আশা করছি একবার সুস্থ হয়ে উঠলে আমি এখানে-সেখানে পানীয় উপভোগ করতে শিখতে পারব। কেবল সময়ই বলবে। আমি প্রায় দুই বছর ধরে এই ফোরামটি দেখছি এবং জানি যে আমার এখানে থাকা দরকার।</v>
      </c>
    </row>
    <row r="1618" spans="1:3" ht="15" x14ac:dyDescent="0.25">
      <c r="A1618" s="3" t="s">
        <v>1612</v>
      </c>
      <c r="B1618" s="3" t="s">
        <v>997</v>
      </c>
      <c r="C1618" s="4" t="str">
        <f ca="1">IFERROR(__xludf.DUMMYFUNCTION("GOOGLETRANSLATE(A1618, ""auto"", ""bn"")"),"আমার বয়স ৪৮। গত কয়েক বছরে মদ্যপান অনেক বেড়ে গেছে। প্রায় প্রতিদিন ৪+ বিয়ার, আর অনেক দিন ছিল অতিরিক্ত। আমি অসুস্থ, বিব্রত, শারীরিক ও মানসিকভাবে অস্বাস্থ্যকর বোধ করছি। তবুও, আমি বারবার এটা করেই যাচ্ছি। নভেম্বরে এক মাসের ছুটি নিয়েছিলাম, আর এটা অসাধারণ ছিল। ডি"&amp;"সেম্বরে আমি আবার খারাপ অভ্যাসে জড়িয়ে পড়ি, আর জানুয়ারি ও ফেব্রুয়ারিতে সেগুলো আরও খারাপ হয়ে ওঠে। তাছাড়া, আমি এতে একেবারেই বিরক্ত। তাছাড়া, আমি এখানে আমার লক্ষ্য লিখছি, শুধু সেটা প্রকাশ করার জন্য। বাস্তবে রূপ দিতে। আমি ৬ সপ্তাহ অ্যালকোহল ছাড়া থাকতে চাই। এ"&amp;"র কারণ হলো শারীরিক, মানসিক এবং মানসিকভাবে উন্নতি করা। সেই সময় আমি ১০ পাউন্ড ওজন কমাতে চাই। আমি একটি দৈনিক ""ড্রিংক জার্নাল"" রাখব যাতে আমি ঘুম থেকে উঠলে কেমন ঘুমাতাম এবং কেমন অনুভব করতাম, সকালে প্রথমে ৩২ আউন্স পানি পান করার জন্য একটি চেকবক্স, দিনের জন্য ও"&amp;"য়ার্কআউট, সেদিন খাওয়া খাবার, উৎপাদনশীলতা এবং সাধারণ চিন্তাভাবনা অন্তর্ভুক্ত থাকবে। তাছাড়া, আমি ট্রিগারগুলির একটি তালিকা লিখেছি যাতে আমি সেগুলি এড়াতে পারি, অথবা সেগুলি সম্পর্কে সচেতন থাকার মাধ্যমে আকাঙ্ক্ষার কাছে নতি স্বীকার না করি।")</f>
        <v>আমার বয়স ৪৮। গত কয়েক বছরে মদ্যপান অনেক বেড়ে গেছে। প্রায় প্রতিদিন ৪+ বিয়ার, আর অনেক দিন ছিল অতিরিক্ত। আমি অসুস্থ, বিব্রত, শারীরিক ও মানসিকভাবে অস্বাস্থ্যকর বোধ করছি। তবুও, আমি বারবার এটা করেই যাচ্ছি। নভেম্বরে এক মাসের ছুটি নিয়েছিলাম, আর এটা অসাধারণ ছিল। ডিসেম্বরে আমি আবার খারাপ অভ্যাসে জড়িয়ে পড়ি, আর জানুয়ারি ও ফেব্রুয়ারিতে সেগুলো আরও খারাপ হয়ে ওঠে। তাছাড়া, আমি এতে একেবারেই বিরক্ত। তাছাড়া, আমি এখানে আমার লক্ষ্য লিখছি, শুধু সেটা প্রকাশ করার জন্য। বাস্তবে রূপ দিতে। আমি ৬ সপ্তাহ অ্যালকোহল ছাড়া থাকতে চাই। এর কারণ হলো শারীরিক, মানসিক এবং মানসিকভাবে উন্নতি করা। সেই সময় আমি ১০ পাউন্ড ওজন কমাতে চাই। আমি একটি দৈনিক "ড্রিংক জার্নাল" রাখব যাতে আমি ঘুম থেকে উঠলে কেমন ঘুমাতাম এবং কেমন অনুভব করতাম, সকালে প্রথমে ৩২ আউন্স পানি পান করার জন্য একটি চেকবক্স, দিনের জন্য ওয়ার্কআউট, সেদিন খাওয়া খাবার, উৎপাদনশীলতা এবং সাধারণ চিন্তাভাবনা অন্তর্ভুক্ত থাকবে। তাছাড়া, আমি ট্রিগারগুলির একটি তালিকা লিখেছি যাতে আমি সেগুলি এড়াতে পারি, অথবা সেগুলি সম্পর্কে সচেতন থাকার মাধ্যমে আকাঙ্ক্ষার কাছে নতি স্বীকার না করি।</v>
      </c>
    </row>
    <row r="1619" spans="1:3" ht="15" x14ac:dyDescent="0.25">
      <c r="A1619" s="3" t="s">
        <v>1613</v>
      </c>
      <c r="B1619" s="3" t="s">
        <v>997</v>
      </c>
      <c r="C1619" s="4" t="str">
        <f ca="1">IFERROR(__xludf.DUMMYFUNCTION("GOOGLETRANSLATE(A1619, ""auto"", ""bn"")"),"গত ২ বছর ধরে, কোয়ারেন্টাইনে থাকার পর থেকে, আমি প্রতি রাতে প্রায় এক চতুর্থাংশ মদ পান করছি, যদি তার বেশি না হয়। ২ সপ্তাহ আগে আমি প্রতি রাতে মাত্র এক বা দুটি গ্লাস ওয়াইন পান করা শুরু করেছিলাম এবং এটিকে একটি বড় সাফল্য বলে মনে করছি। ২২ বছর বয়সে অ্যালকোহল"&amp;" আসক্ত হয়ে পড়া অনেক বেশি। মদ্যপানের কারণে আমার ওজন প্রায় দ্বিগুণ হয়ে গেছে এবং আমি খুব কমই খাই। ঘুম থেকে উঠে সতেজতা বোধ করছি, কোনও বিষ্ঠার মতো অনুভব করছি না এবং আসলে সারা দিন কাজ করার জন্য শক্তি পাচ্ছি। তা সত্ত্বেও আমার প্রেমিক একই পরিমাণে পান করে চলেছ"&amp;"ে এবং কাউন্টারে থাকা মদ প্রতিরোধ করা কঠিন। প্রতি রাতে ভদকা আমার দিকে তাকিয়ে থাকা এড়াতে আমাকে সাহায্য করার জন্য কোন পরামর্শ বা টিপস?")</f>
        <v>গত ২ বছর ধরে, কোয়ারেন্টাইনে থাকার পর থেকে, আমি প্রতি রাতে প্রায় এক চতুর্থাংশ মদ পান করছি, যদি তার বেশি না হয়। ২ সপ্তাহ আগে আমি প্রতি রাতে মাত্র এক বা দুটি গ্লাস ওয়াইন পান করা শুরু করেছিলাম এবং এটিকে একটি বড় সাফল্য বলে মনে করছি। ২২ বছর বয়সে অ্যালকোহল আসক্ত হয়ে পড়া অনেক বেশি। মদ্যপানের কারণে আমার ওজন প্রায় দ্বিগুণ হয়ে গেছে এবং আমি খুব কমই খাই। ঘুম থেকে উঠে সতেজতা বোধ করছি, কোনও বিষ্ঠার মতো অনুভব করছি না এবং আসলে সারা দিন কাজ করার জন্য শক্তি পাচ্ছি। তা সত্ত্বেও আমার প্রেমিক একই পরিমাণে পান করে চলেছে এবং কাউন্টারে থাকা মদ প্রতিরোধ করা কঠিন। প্রতি রাতে ভদকা আমার দিকে তাকিয়ে থাকা এড়াতে আমাকে সাহায্য করার জন্য কোন পরামর্শ বা টিপস?</v>
      </c>
    </row>
    <row r="1620" spans="1:3" ht="15" x14ac:dyDescent="0.25">
      <c r="A1620" s="3" t="s">
        <v>1614</v>
      </c>
      <c r="B1620" s="3" t="s">
        <v>997</v>
      </c>
      <c r="C1620" s="4" t="str">
        <f ca="1">IFERROR(__xludf.DUMMYFUNCTION("GOOGLETRANSLATE(A1620, ""auto"", ""bn"")"),"৩৮ দিন আগে চাকরি ছেড়ে দেওয়ার পর আজ আমার সবচেয়ে ভালো দিন। আমি বিছানা থেকে উঠতে পারছিলাম না। কর্মক্ষেত্রে অসুস্থতার খবর পেয়ে ফোন করা হয়েছিল। উদ্বেগ এবং আতঙ্কের আক্রমণে অভিভূত। দুবার বিশ্বাস। আমার স্ত্রীর জন্য ধন্যবাদ, আমি বিকেল ৪টায় বিছানা থেকে ওঠার শ"&amp;"ক্তি খুঁজে পেয়েছি এবং জগিং করতে গিয়েছিলাম। এরপর আমার মেজাজ অনেক ভালো ছিল। আপনার মেজাজের উন্নতি হতে কতক্ষণ সময় লাগে?")</f>
        <v>৩৮ দিন আগে চাকরি ছেড়ে দেওয়ার পর আজ আমার সবচেয়ে ভালো দিন। আমি বিছানা থেকে উঠতে পারছিলাম না। কর্মক্ষেত্রে অসুস্থতার খবর পেয়ে ফোন করা হয়েছিল। উদ্বেগ এবং আতঙ্কের আক্রমণে অভিভূত। দুবার বিশ্বাস। আমার স্ত্রীর জন্য ধন্যবাদ, আমি বিকেল ৪টায় বিছানা থেকে ওঠার শক্তি খুঁজে পেয়েছি এবং জগিং করতে গিয়েছিলাম। এরপর আমার মেজাজ অনেক ভালো ছিল। আপনার মেজাজের উন্নতি হতে কতক্ষণ সময় লাগে?</v>
      </c>
    </row>
    <row r="1621" spans="1:3" ht="15" x14ac:dyDescent="0.25">
      <c r="A1621" s="3" t="s">
        <v>1615</v>
      </c>
      <c r="B1621" s="3" t="s">
        <v>997</v>
      </c>
      <c r="C1621" s="4" t="str">
        <f ca="1">IFERROR(__xludf.DUMMYFUNCTION("GOOGLETRANSLATE(A1621, ""auto"", ""bn"")"),"এটি আমার দ্বিতীয় দীর্ঘতম অ্যালকোহল ছাড়া জীবনযাপনের ঘটনা। গত বছর আমি ৪ মাস ধরে মদ্যপান করেছি, কিন্তু আমি প্রতিশ্রুতিবদ্ধ ছিলাম না। ২ মাস আগে আমার দীর্ঘতম সম্পর্কটি শেষ হয়ে গিয়েছিল, এবং আমার মদ্যপান এতে ভূমিকা রেখেছিল, যদিও আরও অনেক কারণ ছিল। সেদিন আমি "&amp;"AA মিটিংয়ে কাঁদতে কাঁদতে গিয়েছিলাম। তারপর থেকে আমি একা থাকি, কিন্তু নিজেকে ঠিক করার জন্য প্রতিশ্রুতিবদ্ধ। তাছাড়া, আমি অনেক ভালো বোধ করছি, যদিও আমি জানি যে আমার এখনও কতটা কাজ করতে হবে। এই দুই মাসে কতটা পরিবর্তন হয়েছে তা এখনও অবিশ্বাস্য। ২০১৬ সাল থেকে আম"&amp;"ি এখন সবচেয়ে ভালো অবস্থায় আছি এবং আমার ত্বক অবশেষে পরিষ্কার হচ্ছে। আমার ঘর পরিষ্কার এবং সুসংগঠিত এবং দুই সপ্তাহ আগে আমি মানসিক সাহায্য চাইতে শুরু করেছিলাম এবং SSRI-তে ফিরে গিয়েছিলাম। এবং আমাকে আর্থিকভাবে এত চিন্তা করতে হবে না।")</f>
        <v>এটি আমার দ্বিতীয় দীর্ঘতম অ্যালকোহল ছাড়া জীবনযাপনের ঘটনা। গত বছর আমি ৪ মাস ধরে মদ্যপান করেছি, কিন্তু আমি প্রতিশ্রুতিবদ্ধ ছিলাম না। ২ মাস আগে আমার দীর্ঘতম সম্পর্কটি শেষ হয়ে গিয়েছিল, এবং আমার মদ্যপান এতে ভূমিকা রেখেছিল, যদিও আরও অনেক কারণ ছিল। সেদিন আমি AA মিটিংয়ে কাঁদতে কাঁদতে গিয়েছিলাম। তারপর থেকে আমি একা থাকি, কিন্তু নিজেকে ঠিক করার জন্য প্রতিশ্রুতিবদ্ধ। তাছাড়া, আমি অনেক ভালো বোধ করছি, যদিও আমি জানি যে আমার এখনও কতটা কাজ করতে হবে। এই দুই মাসে কতটা পরিবর্তন হয়েছে তা এখনও অবিশ্বাস্য। ২০১৬ সাল থেকে আমি এখন সবচেয়ে ভালো অবস্থায় আছি এবং আমার ত্বক অবশেষে পরিষ্কার হচ্ছে। আমার ঘর পরিষ্কার এবং সুসংগঠিত এবং দুই সপ্তাহ আগে আমি মানসিক সাহায্য চাইতে শুরু করেছিলাম এবং SSRI-তে ফিরে গিয়েছিলাম। এবং আমাকে আর্থিকভাবে এত চিন্তা করতে হবে না।</v>
      </c>
    </row>
    <row r="1622" spans="1:3" ht="15" x14ac:dyDescent="0.25">
      <c r="A1622" s="3" t="s">
        <v>1616</v>
      </c>
      <c r="B1622" s="3" t="s">
        <v>997</v>
      </c>
      <c r="C1622" s="4" t="str">
        <f ca="1">IFERROR(__xludf.DUMMYFUNCTION("GOOGLETRANSLATE(A1622, ""auto"", ""bn"")"),"স্পষ্টতই মদ্যপান বন্ধ করা সবচেয়ে গুরুত্বপূর্ণ। কিন্তু নিজেকে আবার সঠিক পথে ফিরিয়ে আনার জন্য আপনি আর কী করেছেন? অন্য কাউকে নতুন করে শুরু করার জন্য আপনি কী পরামর্শ দেবেন? আপনি কি এমন কিছু করতে পারেন যা বেঁচে থাকার যোগ্য জীবন তৈরিতে সাহায্য করেছে?")</f>
        <v>স্পষ্টতই মদ্যপান বন্ধ করা সবচেয়ে গুরুত্বপূর্ণ। কিন্তু নিজেকে আবার সঠিক পথে ফিরিয়ে আনার জন্য আপনি আর কী করেছেন? অন্য কাউকে নতুন করে শুরু করার জন্য আপনি কী পরামর্শ দেবেন? আপনি কি এমন কিছু করতে পারেন যা বেঁচে থাকার যোগ্য জীবন তৈরিতে সাহায্য করেছে?</v>
      </c>
    </row>
    <row r="1623" spans="1:3" ht="15" x14ac:dyDescent="0.25">
      <c r="A1623" s="3" t="s">
        <v>1617</v>
      </c>
      <c r="B1623" s="3" t="s">
        <v>997</v>
      </c>
      <c r="C1623" s="4" t="str">
        <f ca="1">IFERROR(__xludf.DUMMYFUNCTION("GOOGLETRANSLATE(A1623, ""auto"", ""bn"")"),"আপনাদের সকলকে আপনাদের সমর্থনের জন্য অন্তরের অন্তঃস্থল থেকে ধন্যবাদ জানাতে চাই। এক সপ্তাহ আগে আমি প্রথমবারের মতো ধূমপানের মধ্য দিয়ে যাচ্ছিলাম এবং নিজেকে একটি ডিটক্স সেন্টারে নিয়ে যেতে চেয়েছিলাম। যখন আমি আমার প্রথম পোস্টটি করি তখন আমি কাঁদছিলাম এবং কাঁপছ"&amp;"িলাম এবং আমার মনে হয়েছিল যে আমার জীবন বেঁচে থাকার যোগ্য নয়। বছরের পর বছর ধরে আমি নিজের ইচ্ছায় (কোভিড-১৯ ব্যতীত) সবচেয়ে বেশি সময় ধরে শান্ত জীবনযাপন করেছি। প্রতিদিন এটি সহজ হয়ে উঠেছে। আমি 6 বছরের মধ্যে সবচেয়ে স্বাস্থ্যকর বোধ করছি। আমি একজন কলেজ ক্রীড"&amp;"়াবিদ ছিলাম এবং বছরের পর বছর ধরে প্রথমবারের মতো আমার মন এবং শরীরের উপর মনোযোগ দিয়ে প্রতিদিন ব্যায়াম করছি। যখন আমি কলেজ ছেড়েছিলাম তখন অতিরিক্ত মদ্যপান এবং খাওয়ার ফলে আমার ওজন 60 পাউন্ড বেড়ে গিয়েছিল। আজ আমি দুবার জিমে যাওয়ার জন্য যথেষ্ট অনুপ্রাণিত হয"&amp;"়েছিলাম। দুবার! আমার জীবন থেকে অ্যালকোহল বাদ দেওয়ার পর এখন আমার অনেক বেশি শক্তি এবং ড্রাইভ আছে। আগামীকাল একটি জাদুঘরে যাওয়ার পরিকল্পনা আছে এবং স্থানীয়, স্বাস্থ্যকর খাবারের জন্য একটি কৃষক বাজারে যাওয়ার পরিকল্পনা আছে। অ্যালকোহল আমার মন থেকে সবচেয়ে দূরে"&amp;"। যারা সংগ্রাম করছেন, তাদের সকলের জন্য, সবকিছু আরও ভালো হয়ে উঠছে! যদি তুমি আমাকে বিশ্বাস করতে পারো, আমিও তোমাকে বিশ্বাস করতে পারি!!!")</f>
        <v>আপনাদের সকলকে আপনাদের সমর্থনের জন্য অন্তরের অন্তঃস্থল থেকে ধন্যবাদ জানাতে চাই। এক সপ্তাহ আগে আমি প্রথমবারের মতো ধূমপানের মধ্য দিয়ে যাচ্ছিলাম এবং নিজেকে একটি ডিটক্স সেন্টারে নিয়ে যেতে চেয়েছিলাম। যখন আমি আমার প্রথম পোস্টটি করি তখন আমি কাঁদছিলাম এবং কাঁপছিলাম এবং আমার মনে হয়েছিল যে আমার জীবন বেঁচে থাকার যোগ্য নয়। বছরের পর বছর ধরে আমি নিজের ইচ্ছায় (কোভিড-১৯ ব্যতীত) সবচেয়ে বেশি সময় ধরে শান্ত জীবনযাপন করেছি। প্রতিদিন এটি সহজ হয়ে উঠেছে। আমি 6 বছরের মধ্যে সবচেয়ে স্বাস্থ্যকর বোধ করছি। আমি একজন কলেজ ক্রীড়াবিদ ছিলাম এবং বছরের পর বছর ধরে প্রথমবারের মতো আমার মন এবং শরীরের উপর মনোযোগ দিয়ে প্রতিদিন ব্যায়াম করছি। যখন আমি কলেজ ছেড়েছিলাম তখন অতিরিক্ত মদ্যপান এবং খাওয়ার ফলে আমার ওজন 60 পাউন্ড বেড়ে গিয়েছিল। আজ আমি দুবার জিমে যাওয়ার জন্য যথেষ্ট অনুপ্রাণিত হয়েছিলাম। দুবার! আমার জীবন থেকে অ্যালকোহল বাদ দেওয়ার পর এখন আমার অনেক বেশি শক্তি এবং ড্রাইভ আছে। আগামীকাল একটি জাদুঘরে যাওয়ার পরিকল্পনা আছে এবং স্থানীয়, স্বাস্থ্যকর খাবারের জন্য একটি কৃষক বাজারে যাওয়ার পরিকল্পনা আছে। অ্যালকোহল আমার মন থেকে সবচেয়ে দূরে। যারা সংগ্রাম করছেন, তাদের সকলের জন্য, সবকিছু আরও ভালো হয়ে উঠছে! যদি তুমি আমাকে বিশ্বাস করতে পারো, আমিও তোমাকে বিশ্বাস করতে পারি!!!</v>
      </c>
    </row>
    <row r="1624" spans="1:3" ht="15" x14ac:dyDescent="0.25">
      <c r="A1624" s="3" t="s">
        <v>1618</v>
      </c>
      <c r="B1624" s="3" t="s">
        <v>997</v>
      </c>
      <c r="C1624" s="4" t="str">
        <f ca="1">IFERROR(__xludf.DUMMYFUNCTION("GOOGLETRANSLATE(A1624, ""auto"", ""bn"")"),"আজ থেকে এক মাস পর আমার মদ্যপান এবং তামাক থেকে বিরত থাকার ২ বছর পূর্ণ হবে। এটি আমার প্রথমবারের মতো সংযত থাকার প্রচেষ্টা, তাই আমি জানি পরিসংখ্যান আমার পক্ষে নয়। আমি বিষণ্ণতার সাথে বেড়ে উঠেছি। আত্মহত্যা করার ইচ্ছা আমার প্রথম স্মৃতি, ১০ বছর বয়সে। আমি কখনও "&amp;"নিজের জন্য ভবিষ্যতের পরিকল্পনা করিনি কারণ জ্ঞান ফিরে আসার সাথে সাথেই আমি জানতাম যে আমি শীঘ্রই মারা যাব। তাহলে আমি কেন কখনও মদ্যপান না করার কথা ভাবব? ভবিষ্যৎ অন্ধকার ছিল না। এটা আসলে সম্ভব ছিল না। আমার অনিবার্য মৃত্যুর আগ পর্যন্ত সময় কাটানোর জন্য অ্যালকোহ"&amp;"ল ছিল। আমি কিশোর বয়সে মদ্যপান শুরু করেছিলাম, এবং আমি কখনই খুব বেশি সামাজিক ছিলাম না, তাই শুরু থেকেই আমি একাকী মদ্যপান করতাম। যখন আমি নিজের টাকা আয় করতে শুরু করি, তখন আমি প্রতি রাতে আধা ৫ লিটার (১.৩ গ্যালন) বাক্স রেড ওয়াইন পোড়াতে বাধ্য হয়েছিলাম। ইউনিত"&amp;"ে প্রথমবারের মতো বন্ধুত্ব হয়েছিল এবং আমি তাদের সাথে ধূমপানও শুরু করেছিলাম। এটি একটি ভালো সামাজিক অভ্যাস বলে মনে হয়েছিল। আমি নিয়মিত সকালের ক্লাস এড়িয়ে যেতাম। আমি কোনওভাবে নিজেকে তাড়াতাড়ি বিছানা থেকে টেনে নামিয়ে দিতাম, যাতে আমি বিশ্ববিদ্যালয়ে গাড়ি"&amp;" চালাতে পারি (মাঝে মাঝে আগের রাতের মাতাল অবস্থায়) এবং পার্কিং লটে কয়েক ঘন্টার জন্য অজ্ঞান হয়ে পড়তাম যাতে আমার বাবা-মা বুঝতে না পারেন যে আমার সমস্যা কত বড়। এত কাজ এবং নিজেকে এবং অন্যদের বিপদে ফেলতে হচ্ছে যাতে আমার উপস্থিতি বজায় থাকে। কোনওভাবে, আমি স্"&amp;"নাতক হয়েছি। এমন একটি ক্ষেত্রে ডিগ্রি অর্জনের পর আমি এমন একটি প্রতিষ্ঠানকে ঘৃণা করতে শুরু করি যা আমি গভীরভাবে দুর্নীতিগ্রস্ত এবং সম্পূর্ণ খারাপ বলে মনে করি। তারপরে কয়েক বছর ধরে একটি বাজে চাকরি নিয়ে ঝগড়াঝাঁটি করেছিলাম যা আমাকে আশ্রয় এবং মাতাল রাখার জন্"&amp;"য যথেষ্ট পরিমাণে আনত। তবুও, অর্থের অভাব হচ্ছিল। ২০২০ সালের শুরুতে, আমি আমার মদ্যপান কমিয়ে দিয়েছিলাম। আমি প্রতি রাতে মাত্র এক বোতল ওয়াইন খেয়েছিলাম। যদি বিশেষ কিছু থাকে তবে হয়তো দুটি। ? এটা ঠিক আছে, আমি ভেবেছিলাম। আমি মৌলিক জিনিসপত্র বহন করতে পারতাম এব"&amp;"ং আমার কাজ খেয়াল করেনি/পরোয়া করেনি। ২০২০ সালের জানুয়ারির শুরুতে আমি কিছু সাইকেডেলিক মাশরুম খেয়েছিলাম। ভ্রমণের প্রথম অংশে, আমি একটি টিভি স্কেচ কমেডি শোতে খুব হেসেছিলাম এবং তারপরে, আমি বাথরুমে গিয়েছিলাম। হাত ধুতে ধুতে আমি আয়নার দিকে তাকালাম এবং মাশরুম"&amp;"ের ""উপস্থিতি"" শুনতে পেলাম যে আমি মদ্যপান, ধূমপান বা মনোরোগ বিশেষজ্ঞদের কাছ থেকে কোনও লাভ পাচ্ছি না। আমি যদি থামি তাহলে আমি আরও খুশি হব। ? কত অদ্ভুত? আমি ভাবলাম। মাদক আমাকে মাদক গ্রহণ বন্ধ করতে বলছে। কয়েক সপ্তাহ পরে, ২৬শে মার্চ, ২০২০ তারিখে, আমার দেশ কঠ"&amp;"োর লকডাউনে চলে যায়। কেবল ঘরে থাকার আদেশই নয়, অ্যালকোহল এবং তামাক বিক্রিও নিষিদ্ধ করা হয়েছিল। অন্য কারো কণ্ঠস্বর আমার মনে একটা ভাবনা জাগিয়ে তোলে। ? এটা ছেড়ে দেওয়ার জীবনে একবারের সুযোগ। তোমার সরবরাহ আইনত কেড়ে নেওয়া হয়েছে। ? এবং এটি নিশ্চিত করার জন্"&amp;"য, আমি আরও একটি সিগারেটের কিছু অংশ ধূমপান করে বাকি বাক্সটি ফেলে দিয়েছিলাম। শেষ সিগারেটটি আমার কাছে এতটাই ঘৃণ্য ছিল যে আমি তা শেষ করতে পারিনি। এবং এখন, প্রায় ২ বছর পরে, একটি ধ্বংসাত্মক মহামারী এবং বিশ্বের সবচেয়ে কঠোর লকডাউনগুলির মধ্যে একটির মধ্য দিয়ে, "&amp;"আমি আমার ভবিষ্যত আবিষ্কার করেছি। আমি গত দুটি শান্ত বছর পড়াশোনা এবং দুটি ছোটখাটো সার্টিফিকেট অর্জন করে কাটিয়েছি। আমি কয়েকটি দুর্দান্ত বই পড়েছি। এখন পর্যন্ত, কাঠের উপর ঠোকাঠুকি, আমি কোনও ওষুধের জন্য তীব্র আকাঙ্ক্ষা অনুভব করিনি। আমার মনে হয় না আমি কখনও "&amp;"অ্যালকোহলে আসক্ত ছিলাম; শুনতে যতই অদ্ভুত লাগুক না কেন। এর অনুপস্থিতি এখানে অন্যদের মতো তীব্রভাবে অনুভূত হয় না। মাঝে মাঝে আমি মাতাল হওয়ার কথা মনে করি কিন্তু এখন ইথানলকে মূলত দ্রাবক হিসেবে ভাবি। আমি মাঝে মাঝে স্বপ্ন দেখি যেখানে আমি ধূমপান করি এবং তাৎক্ষণি"&amp;"কভাবে অনুশোচনা করি, তবে জেগে ওঠার পর যখন আমি বুঝতে পারি যে এটি কেবল একটি স্বপ্ন ছিল তখন প্রচুর স্বস্তি পাই। গত সপ্তাহে, এই সার্টিফিকেশনগুলির জন্য ধন্যবাদ, আমি এমন একটি ক্ষেত্রে চাকরির প্রস্তাব পেয়েছি যা আমি আসলে উপভোগ করি। আমি সবেমাত্র এমন একটি বিষয়ে চি"&amp;"ঠিপত্র ডিগ্রি শুরু করেছি যা আমি পছন্দ করি এবং এতে আমি ভালো, বোনাস সহ যে এটি আমাকে আরও বেশি কর্মসংস্থানযোগ্য করে তুলবে। আমি এখনও কিছু দিন বিষণ্ণ বোধ করি, কিন্তু আমরা এখন পুরানো বন্ধু, এবং আমি জানি কিভাবে এটিকে একটি পরিচালনাযোগ্য স্তরে বলতে হয়। আমি প্রায় "&amp;"6 বছর ধরে আত্মহত্যার চেষ্টা করিনি। আমি ছেড়ে দেওয়ার পর থেকে আমি এটি সম্পর্কে কল্পনাও করিনি। তাছাড়া, আমি জানি না যে আমার শরীরে কে ছিল, 2 বছর আগে পর্যন্ত সেই অস্তিত্ব চালাচ্ছিল। আমি নিশ্চিত নই যে এখানে কেউ ছিল কিনা। এখন আমার বন্ধু আছে। একজন থেরাপিস্ট। সুস"&amp;"্থ সম্পর্ক। আমি নিজের জন্য একটি ভবিষ্যৎ কল্পনাও করতে পারি, এবং এমন একটি জীবন যা আমি যাপন করতে চাই। আমি জীবনে প্রথমবারের মতো বেঁচে আছি। তো, হ্যালো পৃথিবী, কেমন আছো?")</f>
        <v>আজ থেকে এক মাস পর আমার মদ্যপান এবং তামাক থেকে বিরত থাকার ২ বছর পূর্ণ হবে। এটি আমার প্রথমবারের মতো সংযত থাকার প্রচেষ্টা, তাই আমি জানি পরিসংখ্যান আমার পক্ষে নয়। আমি বিষণ্ণতার সাথে বেড়ে উঠেছি। আত্মহত্যা করার ইচ্ছা আমার প্রথম স্মৃতি, ১০ বছর বয়সে। আমি কখনও নিজের জন্য ভবিষ্যতের পরিকল্পনা করিনি কারণ জ্ঞান ফিরে আসার সাথে সাথেই আমি জানতাম যে আমি শীঘ্রই মারা যাব। তাহলে আমি কেন কখনও মদ্যপান না করার কথা ভাবব? ভবিষ্যৎ অন্ধকার ছিল না। এটা আসলে সম্ভব ছিল না। আমার অনিবার্য মৃত্যুর আগ পর্যন্ত সময় কাটানোর জন্য অ্যালকোহল ছিল। আমি কিশোর বয়সে মদ্যপান শুরু করেছিলাম, এবং আমি কখনই খুব বেশি সামাজিক ছিলাম না, তাই শুরু থেকেই আমি একাকী মদ্যপান করতাম। যখন আমি নিজের টাকা আয় করতে শুরু করি, তখন আমি প্রতি রাতে আধা ৫ লিটার (১.৩ গ্যালন) বাক্স রেড ওয়াইন পোড়াতে বাধ্য হয়েছিলাম। ইউনিতে প্রথমবারের মতো বন্ধুত্ব হয়েছিল এবং আমি তাদের সাথে ধূমপানও শুরু করেছিলাম। এটি একটি ভালো সামাজিক অভ্যাস বলে মনে হয়েছিল। আমি নিয়মিত সকালের ক্লাস এড়িয়ে যেতাম। আমি কোনওভাবে নিজেকে তাড়াতাড়ি বিছানা থেকে টেনে নামিয়ে দিতাম, যাতে আমি বিশ্ববিদ্যালয়ে গাড়ি চালাতে পারি (মাঝে মাঝে আগের রাতের মাতাল অবস্থায়) এবং পার্কিং লটে কয়েক ঘন্টার জন্য অজ্ঞান হয়ে পড়তাম যাতে আমার বাবা-মা বুঝতে না পারেন যে আমার সমস্যা কত বড়। এত কাজ এবং নিজেকে এবং অন্যদের বিপদে ফেলতে হচ্ছে যাতে আমার উপস্থিতি বজায় থাকে। কোনওভাবে, আমি স্নাতক হয়েছি। এমন একটি ক্ষেত্রে ডিগ্রি অর্জনের পর আমি এমন একটি প্রতিষ্ঠানকে ঘৃণা করতে শুরু করি যা আমি গভীরভাবে দুর্নীতিগ্রস্ত এবং সম্পূর্ণ খারাপ বলে মনে করি। তারপরে কয়েক বছর ধরে একটি বাজে চাকরি নিয়ে ঝগড়াঝাঁটি করেছিলাম যা আমাকে আশ্রয় এবং মাতাল রাখার জন্য যথেষ্ট পরিমাণে আনত। তবুও, অর্থের অভাব হচ্ছিল। ২০২০ সালের শুরুতে, আমি আমার মদ্যপান কমিয়ে দিয়েছিলাম। আমি প্রতি রাতে মাত্র এক বোতল ওয়াইন খেয়েছিলাম। যদি বিশেষ কিছু থাকে তবে হয়তো দুটি। ? এটা ঠিক আছে, আমি ভেবেছিলাম। আমি মৌলিক জিনিসপত্র বহন করতে পারতাম এবং আমার কাজ খেয়াল করেনি/পরোয়া করেনি। ২০২০ সালের জানুয়ারির শুরুতে আমি কিছু সাইকেডেলিক মাশরুম খেয়েছিলাম। ভ্রমণের প্রথম অংশে, আমি একটি টিভি স্কেচ কমেডি শোতে খুব হেসেছিলাম এবং তারপরে, আমি বাথরুমে গিয়েছিলাম। হাত ধুতে ধুতে আমি আয়নার দিকে তাকালাম এবং মাশরুমের "উপস্থিতি" শুনতে পেলাম যে আমি মদ্যপান, ধূমপান বা মনোরোগ বিশেষজ্ঞদের কাছ থেকে কোনও লাভ পাচ্ছি না। আমি যদি থামি তাহলে আমি আরও খুশি হব। ? কত অদ্ভুত? আমি ভাবলাম। মাদক আমাকে মাদক গ্রহণ বন্ধ করতে বলছে। কয়েক সপ্তাহ পরে, ২৬শে মার্চ, ২০২০ তারিখে, আমার দেশ কঠোর লকডাউনে চলে যায়। কেবল ঘরে থাকার আদেশই নয়, অ্যালকোহল এবং তামাক বিক্রিও নিষিদ্ধ করা হয়েছিল। অন্য কারো কণ্ঠস্বর আমার মনে একটা ভাবনা জাগিয়ে তোলে। ? এটা ছেড়ে দেওয়ার জীবনে একবারের সুযোগ। তোমার সরবরাহ আইনত কেড়ে নেওয়া হয়েছে। ? এবং এটি নিশ্চিত করার জন্য, আমি আরও একটি সিগারেটের কিছু অংশ ধূমপান করে বাকি বাক্সটি ফেলে দিয়েছিলাম। শেষ সিগারেটটি আমার কাছে এতটাই ঘৃণ্য ছিল যে আমি তা শেষ করতে পারিনি। এবং এখন, প্রায় ২ বছর পরে, একটি ধ্বংসাত্মক মহামারী এবং বিশ্বের সবচেয়ে কঠোর লকডাউনগুলির মধ্যে একটির মধ্য দিয়ে, আমি আমার ভবিষ্যত আবিষ্কার করেছি। আমি গত দুটি শান্ত বছর পড়াশোনা এবং দুটি ছোটখাটো সার্টিফিকেট অর্জন করে কাটিয়েছি। আমি কয়েকটি দুর্দান্ত বই পড়েছি। এখন পর্যন্ত, কাঠের উপর ঠোকাঠুকি, আমি কোনও ওষুধের জন্য তীব্র আকাঙ্ক্ষা অনুভব করিনি। আমার মনে হয় না আমি কখনও অ্যালকোহলে আসক্ত ছিলাম; শুনতে যতই অদ্ভুত লাগুক না কেন। এর অনুপস্থিতি এখানে অন্যদের মতো তীব্রভাবে অনুভূত হয় না। মাঝে মাঝে আমি মাতাল হওয়ার কথা মনে করি কিন্তু এখন ইথানলকে মূলত দ্রাবক হিসেবে ভাবি। আমি মাঝে মাঝে স্বপ্ন দেখি যেখানে আমি ধূমপান করি এবং তাৎক্ষণিকভাবে অনুশোচনা করি, তবে জেগে ওঠার পর যখন আমি বুঝতে পারি যে এটি কেবল একটি স্বপ্ন ছিল তখন প্রচুর স্বস্তি পাই। গত সপ্তাহে, এই সার্টিফিকেশনগুলির জন্য ধন্যবাদ, আমি এমন একটি ক্ষেত্রে চাকরির প্রস্তাব পেয়েছি যা আমি আসলে উপভোগ করি। আমি সবেমাত্র এমন একটি বিষয়ে চিঠিপত্র ডিগ্রি শুরু করেছি যা আমি পছন্দ করি এবং এতে আমি ভালো, বোনাস সহ যে এটি আমাকে আরও বেশি কর্মসংস্থানযোগ্য করে তুলবে। আমি এখনও কিছু দিন বিষণ্ণ বোধ করি, কিন্তু আমরা এখন পুরানো বন্ধু, এবং আমি জানি কিভাবে এটিকে একটি পরিচালনাযোগ্য স্তরে বলতে হয়। আমি প্রায় 6 বছর ধরে আত্মহত্যার চেষ্টা করিনি। আমি ছেড়ে দেওয়ার পর থেকে আমি এটি সম্পর্কে কল্পনাও করিনি। তাছাড়া, আমি জানি না যে আমার শরীরে কে ছিল, 2 বছর আগে পর্যন্ত সেই অস্তিত্ব চালাচ্ছিল। আমি নিশ্চিত নই যে এখানে কেউ ছিল কিনা। এখন আমার বন্ধু আছে। একজন থেরাপিস্ট। সুস্থ সম্পর্ক। আমি নিজের জন্য একটি ভবিষ্যৎ কল্পনাও করতে পারি, এবং এমন একটি জীবন যা আমি যাপন করতে চাই। আমি জীবনে প্রথমবারের মতো বেঁচে আছি। তো, হ্যালো পৃথিবী, কেমন আছো?</v>
      </c>
    </row>
    <row r="1625" spans="1:3" ht="15" x14ac:dyDescent="0.25">
      <c r="A1625" s="3" t="s">
        <v>1619</v>
      </c>
      <c r="B1625" s="3" t="s">
        <v>997</v>
      </c>
      <c r="C1625" s="4" t="str">
        <f ca="1">IFERROR(__xludf.DUMMYFUNCTION("GOOGLETRANSLATE(A1625, ""auto"", ""bn"")"),"""প্রতিদিন"" মদ্যপানকারী না হলে ডাক্তার দেখানোর কি কোন মানে আছে, যদি আপনি ঋতুস্রাবের সময় মদ্যপানের অভিজ্ঞতা না পেতেন? এই প্রথম দিনের কাঠি তৈরি করতে আমি যতটা সম্ভব সাহায্য চাই। আমি আমার রাতের অর্ধেকেরও বেশি সময় ধরে মদ্যপান করি। প্রায় এক বছর আগে হ্যাংওভা"&amp;"রের সময় মদ্যপান শুরু করেছিলাম। আমি কাঁপি না - কেবল তীব্র হ্যাংওভারে ভুগছি। আমার অবচেতন মনকে আমার সচেতন মনের সাথে তাল মিলিয়ে চলতে সাহায্য করার জন্য আমি বারবার ""কুইট লিট"" বই পড়ছি। তাছাড়া, আমি কেবল জানতে চাইছি যে আমার ডাক্তার কি আমাকে দুই সপ্তাহ পার হত"&amp;"ে সাহায্য করতে পারেন? এমন কোন ওষুধ আছে কি যা তৃষ্ণা নিবারণ করতে পারে? অথবা এমন একটি বড়ি যা পান করলে আপনাকে অসুস্থ করে তোলে? কেউ কি এটি খেয়েছে? অথবা হয়তো ডাক্তার ২০ বছর ধরে অতিরিক্ত মদ্যপানের পর আমার লিভার পরীক্ষা করতে চাইবেন। আমার অস্ত্রাগার পূরণ করার "&amp;"চেষ্টা করছেন।")</f>
        <v>"প্রতিদিন" মদ্যপানকারী না হলে ডাক্তার দেখানোর কি কোন মানে আছে, যদি আপনি ঋতুস্রাবের সময় মদ্যপানের অভিজ্ঞতা না পেতেন? এই প্রথম দিনের কাঠি তৈরি করতে আমি যতটা সম্ভব সাহায্য চাই। আমি আমার রাতের অর্ধেকেরও বেশি সময় ধরে মদ্যপান করি। প্রায় এক বছর আগে হ্যাংওভারের সময় মদ্যপান শুরু করেছিলাম। আমি কাঁপি না - কেবল তীব্র হ্যাংওভারে ভুগছি। আমার অবচেতন মনকে আমার সচেতন মনের সাথে তাল মিলিয়ে চলতে সাহায্য করার জন্য আমি বারবার "কুইট লিট" বই পড়ছি। তাছাড়া, আমি কেবল জানতে চাইছি যে আমার ডাক্তার কি আমাকে দুই সপ্তাহ পার হতে সাহায্য করতে পারেন? এমন কোন ওষুধ আছে কি যা তৃষ্ণা নিবারণ করতে পারে? অথবা এমন একটি বড়ি যা পান করলে আপনাকে অসুস্থ করে তোলে? কেউ কি এটি খেয়েছে? অথবা হয়তো ডাক্তার ২০ বছর ধরে অতিরিক্ত মদ্যপানের পর আমার লিভার পরীক্ষা করতে চাইবেন। আমার অস্ত্রাগার পূরণ করার চেষ্টা করছেন।</v>
      </c>
    </row>
    <row r="1626" spans="1:3" ht="15" x14ac:dyDescent="0.25">
      <c r="A1626" s="3" t="s">
        <v>1620</v>
      </c>
      <c r="B1626" s="3" t="s">
        <v>997</v>
      </c>
      <c r="C1626" s="4" t="str">
        <f ca="1">IFERROR(__xludf.DUMMYFUNCTION("GOOGLETRANSLATE(A1626, ""auto"", ""bn"")"),"আমি কীভাবে এই অবস্থায় পড়লাম? আমার মা ছিলেন আমার কিন্ডারগার্টেনের শিক্ষক। আমার বাবা আমাকে নিজের চেয়েও বেশি ভালোবাসেন। এই রোগে যখন আমি শেষ পর্যন্ত মারা যাই, তখন আমার শেষকৃত্যে আমার বোনেরা আসবে, তা কল্পনাও করতে পারি না। বিপর্যয়। আমি আর কখনও আমার ভাগ্নী ব"&amp;"া ভাগ্নেদের বড় হতে দেখব না। এই ঘটনার জন্য আমি নিজেকে ছাড়া আর কাউকে দোষ দিতে পারি না। তাছাড়া, আমার একটি প্রেমময় পরিবার আছে এবং আমি এখনও একজন POS।")</f>
        <v>আমি কীভাবে এই অবস্থায় পড়লাম? আমার মা ছিলেন আমার কিন্ডারগার্টেনের শিক্ষক। আমার বাবা আমাকে নিজের চেয়েও বেশি ভালোবাসেন। এই রোগে যখন আমি শেষ পর্যন্ত মারা যাই, তখন আমার শেষকৃত্যে আমার বোনেরা আসবে, তা কল্পনাও করতে পারি না। বিপর্যয়। আমি আর কখনও আমার ভাগ্নী বা ভাগ্নেদের বড় হতে দেখব না। এই ঘটনার জন্য আমি নিজেকে ছাড়া আর কাউকে দোষ দিতে পারি না। তাছাড়া, আমার একটি প্রেমময় পরিবার আছে এবং আমি এখনও একজন POS।</v>
      </c>
    </row>
    <row r="1627" spans="1:3" ht="15" x14ac:dyDescent="0.25">
      <c r="A1627" s="3" t="s">
        <v>1621</v>
      </c>
      <c r="B1627" s="3" t="s">
        <v>997</v>
      </c>
      <c r="C1627" s="4" t="str">
        <f ca="1">IFERROR(__xludf.DUMMYFUNCTION("GOOGLETRANSLATE(A1627, ""auto"", ""bn"")"),"রবিবার থেকে আমার এক মাস ধরে সোবার চলছে, যা একটা বিরাট সাফল্য। আমি ইতিমধ্যেই এর সুবিধাগুলি দেখতে পাচ্ছি, বিশেষ করে যখন থেকে আমি প্রায় দুই সপ্তাহ ধরে ব্যায়াম শুরু করেছি এবং স্বাস্থ্যকর খাবার খাচ্ছি। সমস্যাটি তখনই আসে যখন আমার মাথার ""দ্য ভয়েস"" আমাকে ""ম"&amp;"ডারেশন"" করার চেষ্টা করতে শুরু করে। আমি নিজেকে যথেষ্ট ভালো করেই জানি যে আমি কোনও খারাপ জিনিসের জন্য মডারেশন করতে পারি না, এবং আমি খুশি যে আমি অবশেষে এটি বুঝতে পেরেছি, কিন্তু এটি কোনও সহজ করে না। বিশেষ করে সপ্তাহান্তে, বিশেষ করে শুক্রবার এবং শনিবার। আমার প"&amp;"্রশ্ন হল, সময়ের সাথে সাথে কি এটা আরও সহজ হয়ে যায় নাকি কণ্ঠস্বর উপেক্ষা করা কিছুটা সহজ হয়ে যায় যত আমি এগিয়ে যাই? আমি আশা করেছিলাম এটি কঠিন হবে, কিন্তু বুঝতে পারিনি যে সপ্তাহান্তে প্রচুর পরিমাণে মদ্যপানের ফলে আমি আমার মস্তিষ্ককে এতটা প্রশিক্ষণ দিয়েছি"&amp;" যে সপ্তাহান্ত আসার সাথে সাথে এটি স্বয়ংক্রিয়ভাবে মদ্যপানের কথা ভাববে।")</f>
        <v>রবিবার থেকে আমার এক মাস ধরে সোবার চলছে, যা একটা বিরাট সাফল্য। আমি ইতিমধ্যেই এর সুবিধাগুলি দেখতে পাচ্ছি, বিশেষ করে যখন থেকে আমি প্রায় দুই সপ্তাহ ধরে ব্যায়াম শুরু করেছি এবং স্বাস্থ্যকর খাবার খাচ্ছি। সমস্যাটি তখনই আসে যখন আমার মাথার "দ্য ভয়েস" আমাকে "মডারেশন" করার চেষ্টা করতে শুরু করে। আমি নিজেকে যথেষ্ট ভালো করেই জানি যে আমি কোনও খারাপ জিনিসের জন্য মডারেশন করতে পারি না, এবং আমি খুশি যে আমি অবশেষে এটি বুঝতে পেরেছি, কিন্তু এটি কোনও সহজ করে না। বিশেষ করে সপ্তাহান্তে, বিশেষ করে শুক্রবার এবং শনিবার। আমার প্রশ্ন হল, সময়ের সাথে সাথে কি এটা আরও সহজ হয়ে যায় নাকি কণ্ঠস্বর উপেক্ষা করা কিছুটা সহজ হয়ে যায় যত আমি এগিয়ে যাই? আমি আশা করেছিলাম এটি কঠিন হবে, কিন্তু বুঝতে পারিনি যে সপ্তাহান্তে প্রচুর পরিমাণে মদ্যপানের ফলে আমি আমার মস্তিষ্ককে এতটা প্রশিক্ষণ দিয়েছি যে সপ্তাহান্ত আসার সাথে সাথে এটি স্বয়ংক্রিয়ভাবে মদ্যপানের কথা ভাববে।</v>
      </c>
    </row>
    <row r="1628" spans="1:3" ht="15" x14ac:dyDescent="0.25">
      <c r="A1628" s="3" t="s">
        <v>1622</v>
      </c>
      <c r="B1628" s="3" t="s">
        <v>997</v>
      </c>
      <c r="C1628" s="4" t="str">
        <f ca="1">IFERROR(__xludf.DUMMYFUNCTION("GOOGLETRANSLATE(A1628, ""auto"", ""bn"")"),"আমি খুব একাকী, ঠান্ডা এবং দূরে সরে যাই, যাদের সাথে প্রায় প্রতি রাতে মদ্যপান করার সময় কথা বলতাম। তুমি কীভাবে এটা সামলাও? হঠাৎ করেই আমি শুধু আমার খেলার দিকে মনোযোগ দেই এবং নিদ্রাহীন অবস্থায় কারো সাথে কথা বলতে ইচ্ছে করে না। এটা নিয়ে কিছুটা খারাপ লাগছে, কিন্"&amp;"তু এই মদ্যপানের অভ্যাসে আমি ক্লান্ত।")</f>
        <v>আমি খুব একাকী, ঠান্ডা এবং দূরে সরে যাই, যাদের সাথে প্রায় প্রতি রাতে মদ্যপান করার সময় কথা বলতাম। তুমি কীভাবে এটা সামলাও? হঠাৎ করেই আমি শুধু আমার খেলার দিকে মনোযোগ দেই এবং নিদ্রাহীন অবস্থায় কারো সাথে কথা বলতে ইচ্ছে করে না। এটা নিয়ে কিছুটা খারাপ লাগছে, কিন্তু এই মদ্যপানের অভ্যাসে আমি ক্লান্ত।</v>
      </c>
    </row>
    <row r="1629" spans="1:3" ht="15" x14ac:dyDescent="0.25">
      <c r="A1629" s="3" t="s">
        <v>1623</v>
      </c>
      <c r="B1629" s="3" t="s">
        <v>997</v>
      </c>
      <c r="C1629" s="4" t="str">
        <f ca="1">IFERROR(__xludf.DUMMYFUNCTION("GOOGLETRANSLATE(A1629, ""auto"", ""bn"")"),"টাকা তোলার জন্য আমি খুব কষ্ট পাচ্ছিলাম। খালি ১২ প্যাকেট আমার জিনিসপত্রে ছিটিয়ে ছিল, আমি ফুলে উঠেছিলাম, দাড়ি কামানো ছিল না, মুখ জ্বলে গিয়েছিল, মদ আর বিষ্ঠার মতো গন্ধ পাচ্ছিলাম। আমার মনে হয়েছিল আমি অপূরণীয়ভাবে ভেঙে পড়েছি, আর আমি আর ফিরে আসব না। ২২ দিন"&amp;" পর আমার ভালো লাগছে, আমার জায়গা পরিষ্কার, দেখতে সুন্দর এবং গন্ধও ভালো। আমি এক পা অন্য পায়ের সামনে রাখি। পান করার সুযোগ আসে-যায়। আমি হার মানি না। আমি ভেঙে পড়া মানুষ নই।")</f>
        <v>টাকা তোলার জন্য আমি খুব কষ্ট পাচ্ছিলাম। খালি ১২ প্যাকেট আমার জিনিসপত্রে ছিটিয়ে ছিল, আমি ফুলে উঠেছিলাম, দাড়ি কামানো ছিল না, মুখ জ্বলে গিয়েছিল, মদ আর বিষ্ঠার মতো গন্ধ পাচ্ছিলাম। আমার মনে হয়েছিল আমি অপূরণীয়ভাবে ভেঙে পড়েছি, আর আমি আর ফিরে আসব না। ২২ দিন পর আমার ভালো লাগছে, আমার জায়গা পরিষ্কার, দেখতে সুন্দর এবং গন্ধও ভালো। আমি এক পা অন্য পায়ের সামনে রাখি। পান করার সুযোগ আসে-যায়। আমি হার মানি না। আমি ভেঙে পড়া মানুষ নই।</v>
      </c>
    </row>
    <row r="1630" spans="1:3" ht="15" x14ac:dyDescent="0.25">
      <c r="A1630" s="3" t="s">
        <v>1624</v>
      </c>
      <c r="B1630" s="3" t="s">
        <v>997</v>
      </c>
      <c r="C1630" s="4" t="str">
        <f ca="1">IFERROR(__xludf.DUMMYFUNCTION("GOOGLETRANSLATE(A1630, ""auto"", ""bn"")"),"আমি ৮ বছর ধরে জোলফট সেবন করছিলাম, এতে আমার অ্যালকোহলের প্রতি আকাঙ্ক্ষা আরও বেড়ে গেল। জোলফটের আগে আমি মাঝেমধ্যে মদ্যপান করতাম। জোলফটের সময় টেবিলের নিচে একজন ভারী লোকের মতো পান করতে পারতাম! গত কয়েক বছর ধরে আমার মাত্রা কমে যাচ্ছে এবং এখন ৪ মিলিগ্রামে নেমে"&amp;" এসেছে। যদি আমার দুর্বল উদ্বেগ না থাকত, তাহলে আমি ইতিমধ্যেই তা কমিয়ে দিতাম। ডোজ কমানোর পর থেকে, আমার অ্যালকোহলের প্রতি প্রায় সম্পূর্ণ বিতৃষ্ণা তৈরি হয়েছে। আর কারো কি মনে হয় দুটোই একসাথে কাজ করছে?")</f>
        <v>আমি ৮ বছর ধরে জোলফট সেবন করছিলাম, এতে আমার অ্যালকোহলের প্রতি আকাঙ্ক্ষা আরও বেড়ে গেল। জোলফটের আগে আমি মাঝেমধ্যে মদ্যপান করতাম। জোলফটের সময় টেবিলের নিচে একজন ভারী লোকের মতো পান করতে পারতাম! গত কয়েক বছর ধরে আমার মাত্রা কমে যাচ্ছে এবং এখন ৪ মিলিগ্রামে নেমে এসেছে। যদি আমার দুর্বল উদ্বেগ না থাকত, তাহলে আমি ইতিমধ্যেই তা কমিয়ে দিতাম। ডোজ কমানোর পর থেকে, আমার অ্যালকোহলের প্রতি প্রায় সম্পূর্ণ বিতৃষ্ণা তৈরি হয়েছে। আর কারো কি মনে হয় দুটোই একসাথে কাজ করছে?</v>
      </c>
    </row>
    <row r="1631" spans="1:3" ht="15" x14ac:dyDescent="0.25">
      <c r="A1631" s="3" t="s">
        <v>1625</v>
      </c>
      <c r="B1631" s="3" t="s">
        <v>997</v>
      </c>
      <c r="C1631" s="4" t="str">
        <f ca="1">IFERROR(__xludf.DUMMYFUNCTION("GOOGLETRANSLATE(A1631, ""auto"", ""bn"")"),"তাই আমি ২০ বছরেরও বেশি সময় ধরে মদ্যপান করছি। অতীতে আমিও এমন বোকামি করেছি এবং বলেছি যে, যারা কখনও পানীয় পান করেছে। আমি বছরের পর বছর ধরে বলে আসছি যে বিভিন্ন ধরণের মদ্যপ থাকে। আমি বোতল নিয়ে ঘুম থেকে উঠি না এবং রোস্টিংয়ের মধ্যে দিন কাটাতে কোনও সমস্যা হয় "&amp;"না। বছরের পর বছর ধরে আমি নিজেকে মাতাল বলেছি কারণ আমার এমনই অনুভূতি হয়। আমি একজন অতিরিক্ত মদ্যপানকারী। আমি দিন কাটাই না, তারপর সারা রাত রাগ করি এবং পরের দিন আমি সম্পূর্ণ ক্লান্ত হয়ে পড়ি এবং বিছানা থেকে আর উঠতে পারি না। তাছাড়া, আমি কখনও আমার মদ্যপান গোপন"&amp;" করিনি। এটি আমাকে সেই লোকদের দিকে নিয়ে যায় যারা প্রতিদিন মদ্যপান করে এবং তাদের মদ্যপান লুকিয়ে রাখে। আমি ভাবছি যে এই দুই ধরণের মদ্যপ এক এবং একই রকম নাকি তারা কোনওভাবে আলাদা। আমি আরও অনেক ধরণের মদ্যপানকারীর কথা বাদ দিয়েছি কিন্তু আমরা কি সবাই একই নাকি আম"&amp;"রা কি আলাদা?")</f>
        <v>তাই আমি ২০ বছরেরও বেশি সময় ধরে মদ্যপান করছি। অতীতে আমিও এমন বোকামি করেছি এবং বলেছি যে, যারা কখনও পানীয় পান করেছে। আমি বছরের পর বছর ধরে বলে আসছি যে বিভিন্ন ধরণের মদ্যপ থাকে। আমি বোতল নিয়ে ঘুম থেকে উঠি না এবং রোস্টিংয়ের মধ্যে দিন কাটাতে কোনও সমস্যা হয় না। বছরের পর বছর ধরে আমি নিজেকে মাতাল বলেছি কারণ আমার এমনই অনুভূতি হয়। আমি একজন অতিরিক্ত মদ্যপানকারী। আমি দিন কাটাই না, তারপর সারা রাত রাগ করি এবং পরের দিন আমি সম্পূর্ণ ক্লান্ত হয়ে পড়ি এবং বিছানা থেকে আর উঠতে পারি না। তাছাড়া, আমি কখনও আমার মদ্যপান গোপন করিনি। এটি আমাকে সেই লোকদের দিকে নিয়ে যায় যারা প্রতিদিন মদ্যপান করে এবং তাদের মদ্যপান লুকিয়ে রাখে। আমি ভাবছি যে এই দুই ধরণের মদ্যপ এক এবং একই রকম নাকি তারা কোনওভাবে আলাদা। আমি আরও অনেক ধরণের মদ্যপানকারীর কথা বাদ দিয়েছি কিন্তু আমরা কি সবাই একই নাকি আমরা কি আলাদা?</v>
      </c>
    </row>
    <row r="1632" spans="1:3" ht="15" x14ac:dyDescent="0.25">
      <c r="A1632" s="3" t="s">
        <v>1626</v>
      </c>
      <c r="B1632" s="3" t="s">
        <v>997</v>
      </c>
      <c r="C1632" s="4" t="str">
        <f ca="1">IFERROR(__xludf.DUMMYFUNCTION("GOOGLETRANSLATE(A1632, ""auto"", ""bn"")"),"আমি আমার অন্য অ্যাকাউন্টে এই সাব-এর উপর অনেক দিন ধরে লুকিয়ে আছি, যদিও আমি এই স্বীকারোক্তিটি সেখানে রাখতে চাই না। আমি মদ্যপানে অসুস্থ, আমি একেবারে ১০০% অ্যালকোহল নির্ভর। তাছাড়া, আমি খাই না, ভোরের আলো ফোটার সাথে সাথে ঘাম ঝরতে এবং কাঁপতে ঘুম থেকে উঠি। তাছা"&amp;"ড়া, আমি নিজের যত্ন নিই না, আমার ফ্ল্যাটটি পরিষ্কার করার কথা ভাবি না, আমার আর কোনও বন্ধু নেই, আমি পাগলাটে হওয়ার কারণে। সবচেয়ে খারাপ কথা হল আমার বান্ধবী (যার সাথে আমি থাকি না) আমাকে ভয় পায় এবং আমার বাচ্চারাও। স্পষ্টতই আমি যেকোনো ছোটখাটো বিষয়েই হাতল ছেড়"&amp;"ে দেই। এটা আমার হৃদয় ভেঙে দিচ্ছে। আমার লিভার খারাপ। আমার বয়স ৩৮ এবং আমার বয়স ৬০। কিন্তু আমি একবারের জন্য এটি সমাধান করার সিদ্ধান্ত নিয়েছি। তারা বলে যে আপনি যদি ১০০% প্রস্তুত না হন তবে আপনি সর্বদা পুনরায় এই রোগে আক্রান্ত হবেন, এবং এই প্রথমবার আমি ১০০%"&amp;" প্রস্তুত হয়েছি। আমার লিভারের কার্যকারিতার জন্য রক্ত ​​পরীক্ষা করা হয়েছে এবং ফলাফলের জন্য অপেক্ষা করছি, যদিও ৬ মাস আগে আমার শেষ পরীক্ষাটি ভালো ছিল না। ফলাফল আসার সাথে সাথেই তারা আমাকে একটি ডিটক্স সুবিধায় বুক করবে এবং বলবে যে আমার সিস্টেম পরিষ্কার করতে "&amp;"৭-১০ দিন সময় লাগবে। তারপর আমার সহায়তা গোষ্ঠী এবং একজন নিবেদিতপ্রাণ সহায়তা কর্মী থাকবে যার সাথে আমি যখনই প্রয়োজন তখন যোগাযোগ করতে পারব। আমি আর এটা করতে পারছি না। এটা এই, নাহলে আমি এক বছরের মধ্যে আত্মহত্যা করব।")</f>
        <v>আমি আমার অন্য অ্যাকাউন্টে এই সাব-এর উপর অনেক দিন ধরে লুকিয়ে আছি, যদিও আমি এই স্বীকারোক্তিটি সেখানে রাখতে চাই না। আমি মদ্যপানে অসুস্থ, আমি একেবারে ১০০% অ্যালকোহল নির্ভর। তাছাড়া, আমি খাই না, ভোরের আলো ফোটার সাথে সাথে ঘাম ঝরতে এবং কাঁপতে ঘুম থেকে উঠি। তাছাড়া, আমি নিজের যত্ন নিই না, আমার ফ্ল্যাটটি পরিষ্কার করার কথা ভাবি না, আমার আর কোনও বন্ধু নেই, আমি পাগলাটে হওয়ার কারণে। সবচেয়ে খারাপ কথা হল আমার বান্ধবী (যার সাথে আমি থাকি না) আমাকে ভয় পায় এবং আমার বাচ্চারাও। স্পষ্টতই আমি যেকোনো ছোটখাটো বিষয়েই হাতল ছেড়ে দেই। এটা আমার হৃদয় ভেঙে দিচ্ছে। আমার লিভার খারাপ। আমার বয়স ৩৮ এবং আমার বয়স ৬০। কিন্তু আমি একবারের জন্য এটি সমাধান করার সিদ্ধান্ত নিয়েছি। তারা বলে যে আপনি যদি ১০০% প্রস্তুত না হন তবে আপনি সর্বদা পুনরায় এই রোগে আক্রান্ত হবেন, এবং এই প্রথমবার আমি ১০০% প্রস্তুত হয়েছি। আমার লিভারের কার্যকারিতার জন্য রক্ত ​​পরীক্ষা করা হয়েছে এবং ফলাফলের জন্য অপেক্ষা করছি, যদিও ৬ মাস আগে আমার শেষ পরীক্ষাটি ভালো ছিল না। ফলাফল আসার সাথে সাথেই তারা আমাকে একটি ডিটক্স সুবিধায় বুক করবে এবং বলবে যে আমার সিস্টেম পরিষ্কার করতে ৭-১০ দিন সময় লাগবে। তারপর আমার সহায়তা গোষ্ঠী এবং একজন নিবেদিতপ্রাণ সহায়তা কর্মী থাকবে যার সাথে আমি যখনই প্রয়োজন তখন যোগাযোগ করতে পারব। আমি আর এটা করতে পারছি না। এটা এই, নাহলে আমি এক বছরের মধ্যে আত্মহত্যা করব।</v>
      </c>
    </row>
    <row r="1633" spans="1:3" ht="15" x14ac:dyDescent="0.25">
      <c r="A1633" s="3" t="s">
        <v>1627</v>
      </c>
      <c r="B1633" s="3" t="s">
        <v>997</v>
      </c>
      <c r="C1633" s="4" t="str">
        <f ca="1">IFERROR(__xludf.DUMMYFUNCTION("GOOGLETRANSLATE(A1633, ""auto"", ""bn"")"),"সাধারণত তাড়াতাড়ি সুস্থ হয়ে ওঠার পর আমি কেবল চাপ এড়িয়ে চলি এবং শুধু কাজ করা, বাড়ি ফেরা, নেটফ্লিক্স দেখা - এই একটা রুটিন তৈরি করি। যতটা সম্ভব চাপমুক্ত থাকতে এটা সত্যিই সাহায্য করে। তবে, এবার আমি চাপ এড়াতে পারছি না। আমি এখন অতিরিক্ত চাপে ভুগছি। আর আমি"&amp;" শুধু একা থাকতে চাই, কিন্তু পালাতে পারছি না। তাই আমি শুধু মুখ খুলছি। ক) আমার চাকরির জায়গায় হঠাৎ করেই কিছু পরিবর্তন এসেছে, তাই এখন আমি আমার চাকরির জায়গায় কাজ করছি, কোনও সাহায্য ছাড়াই এবং নতুন লোকদের প্রশিক্ষণ দিচ্ছি (নতুন লোকদের প্রশিক্ষণ দেওয়া আমার একেবার"&amp;"েই অপছন্দ) কারণ আমার ম্যানেজার মাতৃত্বকালীন ছুটিতে আছেন। এখন আমাকে সপ্তাহে ৫০-৬৫ ঘন্টা কাজ করতে হচ্ছে। খ) আমি আমার সবচেয়ে ভালো বন্ধুর বিয়েতে দাঁড়িয়ে আছি এবং শহরের বাইরে থেকে আমার ৫ জন বন্ধু আমার সাথে আছে।")</f>
        <v>সাধারণত তাড়াতাড়ি সুস্থ হয়ে ওঠার পর আমি কেবল চাপ এড়িয়ে চলি এবং শুধু কাজ করা, বাড়ি ফেরা, নেটফ্লিক্স দেখা - এই একটা রুটিন তৈরি করি। যতটা সম্ভব চাপমুক্ত থাকতে এটা সত্যিই সাহায্য করে। তবে, এবার আমি চাপ এড়াতে পারছি না। আমি এখন অতিরিক্ত চাপে ভুগছি। আর আমি শুধু একা থাকতে চাই, কিন্তু পালাতে পারছি না। তাই আমি শুধু মুখ খুলছি। ক) আমার চাকরির জায়গায় হঠাৎ করেই কিছু পরিবর্তন এসেছে, তাই এখন আমি আমার চাকরির জায়গায় কাজ করছি, কোনও সাহায্য ছাড়াই এবং নতুন লোকদের প্রশিক্ষণ দিচ্ছি (নতুন লোকদের প্রশিক্ষণ দেওয়া আমার একেবারেই অপছন্দ) কারণ আমার ম্যানেজার মাতৃত্বকালীন ছুটিতে আছেন। এখন আমাকে সপ্তাহে ৫০-৬৫ ঘন্টা কাজ করতে হচ্ছে। খ) আমি আমার সবচেয়ে ভালো বন্ধুর বিয়েতে দাঁড়িয়ে আছি এবং শহরের বাইরে থেকে আমার ৫ জন বন্ধু আমার সাথে আছে।</v>
      </c>
    </row>
    <row r="1634" spans="1:3" ht="15" x14ac:dyDescent="0.25">
      <c r="A1634" s="3" t="s">
        <v>1628</v>
      </c>
      <c r="B1634" s="3" t="s">
        <v>997</v>
      </c>
      <c r="C1634" s="4" t="str">
        <f ca="1">IFERROR(__xludf.DUMMYFUNCTION("GOOGLETRANSLATE(A1634, ""auto"", ""bn"")"),"দিনটা ভালোই কাটছে। ইউক্রেন নিয়ে এখনও চিন্তিত। পিভিসি নিয়ে এখনও চিন্তিত। ঘুম এখনও ঠিক আছে। আমার ""ক্ষুধা"" আসছে -- আরও ""কি যদি... আমার মনে হচ্ছে অন্তত সাময়িকভাবে দুশ্চিন্তা থেকে মুক্তি পেতে মদ্যপ বোধ করা ভালো হবে... একটু মাতাল হয়ে ভিডিও গেম খেলুন, পাল"&amp;"িয়ে যান... ভালো হবে। কিন্তু আমি অবশ্যই করব না।")</f>
        <v>দিনটা ভালোই কাটছে। ইউক্রেন নিয়ে এখনও চিন্তিত। পিভিসি নিয়ে এখনও চিন্তিত। ঘুম এখনও ঠিক আছে। আমার "ক্ষুধা" আসছে -- আরও "কি যদি... আমার মনে হচ্ছে অন্তত সাময়িকভাবে দুশ্চিন্তা থেকে মুক্তি পেতে মদ্যপ বোধ করা ভালো হবে... একটু মাতাল হয়ে ভিডিও গেম খেলুন, পালিয়ে যান... ভালো হবে। কিন্তু আমি অবশ্যই করব না।</v>
      </c>
    </row>
    <row r="1635" spans="1:3" ht="15" x14ac:dyDescent="0.25">
      <c r="A1635" s="3" t="s">
        <v>1629</v>
      </c>
      <c r="B1635" s="3" t="s">
        <v>997</v>
      </c>
      <c r="C1635" s="4" t="str">
        <f ca="1">IFERROR(__xludf.DUMMYFUNCTION("GOOGLETRANSLATE(A1635, ""auto"", ""bn"")"),"আমি এটা করেছি। অবশেষে আমি এটা করেছি। আমি এক মাসের জন্য সুস্থ হয়েছি। এই যাত্রায় আমাকে সাহায্য করার জন্য এই সম্প্রদায়ের সকলকে ধন্যবাদ। ছয় মাস আগেও আমি কখনও ভাবিনি যে এটা সম্ভব। এমনকি এক মাস আগেও আমি কখনও ভাবিনি যে এটা সম্ভব। আমি হতবাক, অভিভূত, এবং নিজেক"&amp;"ে নিয়ে খুব গর্বিত। আজ আমার এক মাসের চিপটি নিতে যাচ্ছি।")</f>
        <v>আমি এটা করেছি। অবশেষে আমি এটা করেছি। আমি এক মাসের জন্য সুস্থ হয়েছি। এই যাত্রায় আমাকে সাহায্য করার জন্য এই সম্প্রদায়ের সকলকে ধন্যবাদ। ছয় মাস আগেও আমি কখনও ভাবিনি যে এটা সম্ভব। এমনকি এক মাস আগেও আমি কখনও ভাবিনি যে এটা সম্ভব। আমি হতবাক, অভিভূত, এবং নিজেকে নিয়ে খুব গর্বিত। আজ আমার এক মাসের চিপটি নিতে যাচ্ছি।</v>
      </c>
    </row>
    <row r="1636" spans="1:3" ht="15" x14ac:dyDescent="0.25">
      <c r="A1636" s="3" t="s">
        <v>1630</v>
      </c>
      <c r="B1636" s="3" t="s">
        <v>997</v>
      </c>
      <c r="C1636" s="4" t="str">
        <f ca="1">IFERROR(__xludf.DUMMYFUNCTION("GOOGLETRANSLATE(A1636, ""auto"", ""bn"")"),"আমি মাসে আক্ষরিক অর্থেই তিনবার ব্যায়াম করি কারণ আমার সবসময় ক্ষুধার্ত থাকে অথবা ফাস্ট ফুড খাওয়ার ফলে আমার ক্ষুধা নিবারণের সমস্যা থাকে। আমি আনন্দের সাথে বলতে পারি যে গত রাতে আমি ঘুমাতে গিয়েছিলাম এবং ঘুম থেকে উঠে নিজেকে ৩০ মিনিটের ওয়ার্কআউট করতে বাধ্য করেছি"&amp;"লাম। এটা খুবই ক্লান্তিকর এবং কঠিন ছিল, কিন্তু আমি তা কাটিয়ে উঠেছি। যদি আপনি ক্রমাগত ক্ষুধার্ত না থাকেন তবে আপনি কী করতে পারেন তা আশ্চর্যজনক। আমার মদ্যপানের আগে আমি প্রায় প্রতিদিনই ব্যায়াম করতাম।")</f>
        <v>আমি মাসে আক্ষরিক অর্থেই তিনবার ব্যায়াম করি কারণ আমার সবসময় ক্ষুধার্ত থাকে অথবা ফাস্ট ফুড খাওয়ার ফলে আমার ক্ষুধা নিবারণের সমস্যা থাকে। আমি আনন্দের সাথে বলতে পারি যে গত রাতে আমি ঘুমাতে গিয়েছিলাম এবং ঘুম থেকে উঠে নিজেকে ৩০ মিনিটের ওয়ার্কআউট করতে বাধ্য করেছিলাম। এটা খুবই ক্লান্তিকর এবং কঠিন ছিল, কিন্তু আমি তা কাটিয়ে উঠেছি। যদি আপনি ক্রমাগত ক্ষুধার্ত না থাকেন তবে আপনি কী করতে পারেন তা আশ্চর্যজনক। আমার মদ্যপানের আগে আমি প্রায় প্রতিদিনই ব্যায়াম করতাম।</v>
      </c>
    </row>
    <row r="1637" spans="1:3" ht="15" x14ac:dyDescent="0.25">
      <c r="A1637" s="3" t="s">
        <v>1631</v>
      </c>
      <c r="B1637" s="3" t="s">
        <v>997</v>
      </c>
      <c r="C1637" s="4" t="str">
        <f ca="1">IFERROR(__xludf.DUMMYFUNCTION("GOOGLETRANSLATE(A1637, ""auto"", ""bn"")"),"আমাদের পরিবারে নতুন যোগ হওয়ার জন্য শহরে পরিবার। আমি পারিবারিক মানে পার্টির সময় কাটাতে অভ্যস্ত, আর আমি অনেক বেশি মদ্যপান করি। বাবা আমাকে বলেছিলেন যে আমার যথেষ্ট হয়ে গেছে। হয়তো এটা তুচ্ছ মনে হচ্ছে, কিন্তু আমি বলতে পারি যে তিনি একজন স্বামী এবং বাবা হিসেবে আম"&amp;"ার পারফর্মেন্স নিয়ে চিন্তিত ছিলেন। আমি কেবল আশা করতে পারি যে এটাই আমার কাজকে টিকিয়ে রাখবে। যদিও মূল্যহীন বোধ করা কঠিন।")</f>
        <v>আমাদের পরিবারে নতুন যোগ হওয়ার জন্য শহরে পরিবার। আমি পারিবারিক মানে পার্টির সময় কাটাতে অভ্যস্ত, আর আমি অনেক বেশি মদ্যপান করি। বাবা আমাকে বলেছিলেন যে আমার যথেষ্ট হয়ে গেছে। হয়তো এটা তুচ্ছ মনে হচ্ছে, কিন্তু আমি বলতে পারি যে তিনি একজন স্বামী এবং বাবা হিসেবে আমার পারফর্মেন্স নিয়ে চিন্তিত ছিলেন। আমি কেবল আশা করতে পারি যে এটাই আমার কাজকে টিকিয়ে রাখবে। যদিও মূল্যহীন বোধ করা কঠিন।</v>
      </c>
    </row>
    <row r="1638" spans="1:3" ht="15" x14ac:dyDescent="0.25">
      <c r="A1638" s="3" t="s">
        <v>1632</v>
      </c>
      <c r="B1638" s="3" t="s">
        <v>997</v>
      </c>
      <c r="C1638" s="4" t="str">
        <f ca="1">IFERROR(__xludf.DUMMYFUNCTION("GOOGLETRANSLATE(A1638, ""auto"", ""bn"")"),"১২ বছর ধরে আমি সংযত ছিলাম, সেটা হারিয়ে ফেলেছি এবং আরও ২৫ বছর ধরে সংগ্রাম করেছি। উফ, সেই অনুশোচনা, সেই মদের প্রতি ভালোবাসা। এটা ভাবাও অনেক বেশি। কিন্তু এক বছর আগে, এই উপায় আমাকে অবশেষে জেগে উঠতে সাহায্য করেছিল। আমি আমার স্বাস্থ্য নিয়ে বেঁচে গেছি এবং আমার "&amp;"২৫ বছর বয়সী মেয়ে যখন বড়দিনে আমার সাথে কৃতজ্ঞতার অশ্রু ঝরিয়েছিল, তখন আমি অনেক আনন্দ অনুভব করেছি। অনেক কিছু হারিয়েছি, কিন্তু অনেক কিছু অর্জন করেছি? ৬১ বছর বয়সেও এখনও বেড়ে উঠছি এবং বিকশিত হচ্ছি। সূর্যের চারপাশে এক অসাধারণ শান্ত ভ্রমণ।")</f>
        <v>১২ বছর ধরে আমি সংযত ছিলাম, সেটা হারিয়ে ফেলেছি এবং আরও ২৫ বছর ধরে সংগ্রাম করেছি। উফ, সেই অনুশোচনা, সেই মদের প্রতি ভালোবাসা। এটা ভাবাও অনেক বেশি। কিন্তু এক বছর আগে, এই উপায় আমাকে অবশেষে জেগে উঠতে সাহায্য করেছিল। আমি আমার স্বাস্থ্য নিয়ে বেঁচে গেছি এবং আমার ২৫ বছর বয়সী মেয়ে যখন বড়দিনে আমার সাথে কৃতজ্ঞতার অশ্রু ঝরিয়েছিল, তখন আমি অনেক আনন্দ অনুভব করেছি। অনেক কিছু হারিয়েছি, কিন্তু অনেক কিছু অর্জন করেছি? ৬১ বছর বয়সেও এখনও বেড়ে উঠছি এবং বিকশিত হচ্ছি। সূর্যের চারপাশে এক অসাধারণ শান্ত ভ্রমণ।</v>
      </c>
    </row>
    <row r="1639" spans="1:3" ht="15" x14ac:dyDescent="0.25">
      <c r="A1639" s="3" t="s">
        <v>1633</v>
      </c>
      <c r="B1639" s="3" t="s">
        <v>997</v>
      </c>
      <c r="C1639" s="4" t="str">
        <f ca="1">IFERROR(__xludf.DUMMYFUNCTION("GOOGLETRANSLATE(A1639, ""auto"", ""bn"")"),"শিরোনামে যেমন বলা আছে, আমি আসলে এখানে থাকতে চাই না, কিন্তু আশা করছি অন্তত এতে সাহায্য হবে। আমি খুব কার্যকরী মদ্যপ, আমি আধা বোতল হুইস্কি পান করতে পারি এবং ঠিকঠাক বোধ করি। গত ২-৩ বছর ধরে আমি প্রতি রাতে প্রায় আধা বোতল পান করে আসছি এবং আমার স্ত্রী এখনও পান ক"&amp;"রেনি। আমি কয়েক সপ্তাহ আগে পর্যন্ত মদ্যপান করে আসছিলাম, যখন আমাদের মধ্যে ঝগড়া হয় এবং আমি তাকে বলেছিলাম যে আমি কতটা মদ্যপান করেছি। তাছাড়া, আমি প্রতিদিন মদ্যপান করি না বা বেন্ডারে যাই না, কখনও ডিইউআই বা এরকম কিছু হয়নি, তবে সম্প্রতি আমাদের প্রথম সন্তান হয"&amp;"়েছে এবং আমার পরিবারকে আরও ভালোভাবে সহায়তা করার জন্য আমাকে মদ্যপান বন্ধ করতে হবে। এই সাবরেডিটে থাকার মাধ্যমে কী আশা করা যায় তা সত্যিই নিশ্চিত নই তবে পোস্টগুলি স্ক্রোল করার এবং আপনাদের কারো কারো সাথে দেখা করার জন্য অধীর আগ্রহে অপেক্ষা করছি।")</f>
        <v>শিরোনামে যেমন বলা আছে, আমি আসলে এখানে থাকতে চাই না, কিন্তু আশা করছি অন্তত এতে সাহায্য হবে। আমি খুব কার্যকরী মদ্যপ, আমি আধা বোতল হুইস্কি পান করতে পারি এবং ঠিকঠাক বোধ করি। গত ২-৩ বছর ধরে আমি প্রতি রাতে প্রায় আধা বোতল পান করে আসছি এবং আমার স্ত্রী এখনও পান করেনি। আমি কয়েক সপ্তাহ আগে পর্যন্ত মদ্যপান করে আসছিলাম, যখন আমাদের মধ্যে ঝগড়া হয় এবং আমি তাকে বলেছিলাম যে আমি কতটা মদ্যপান করেছি। তাছাড়া, আমি প্রতিদিন মদ্যপান করি না বা বেন্ডারে যাই না, কখনও ডিইউআই বা এরকম কিছু হয়নি, তবে সম্প্রতি আমাদের প্রথম সন্তান হয়েছে এবং আমার পরিবারকে আরও ভালোভাবে সহায়তা করার জন্য আমাকে মদ্যপান বন্ধ করতে হবে। এই সাবরেডিটে থাকার মাধ্যমে কী আশা করা যায় তা সত্যিই নিশ্চিত নই তবে পোস্টগুলি স্ক্রোল করার এবং আপনাদের কারো কারো সাথে দেখা করার জন্য অধীর আগ্রহে অপেক্ষা করছি।</v>
      </c>
    </row>
    <row r="1640" spans="1:3" ht="15" x14ac:dyDescent="0.25">
      <c r="A1640" s="3" t="s">
        <v>1634</v>
      </c>
      <c r="B1640" s="3" t="s">
        <v>997</v>
      </c>
      <c r="C1640" s="4" t="str">
        <f ca="1">IFERROR(__xludf.DUMMYFUNCTION("GOOGLETRANSLATE(A1640, ""auto"", ""bn"")"),"আজ আনুষ্ঠানিকভাবে কমা ক্লাবে প্রবেশ করলাম! এক হাজার দিন ধরে একটানা সংযম! এই সম্প্রদায়টি আমার যাত্রার একটি বড় অংশ। যারা এই সম্প্রদায়ে পোস্ট, মন্তব্য এবং অবদান রাখেন তাদের সকলকে ধন্যবাদ! আমি জানি আজ আমার জীবনে কোনও পানীয় কখনও সাহায্য করতে পারে না। এটি ক"&amp;"িছুটা সাময়িক স্বস্তি দিতে পারে, কিন্তু তা কমে যায় এবং সমস্যাগুলি থেকে যায়। আমার এখনও উত্থান-পতন, উত্থান-পতন আছে কিন্তু মদ ছাড়া আমার জীবন অনেক বেশি পরিচালনাযোগ্য। আমি আজ তোমার সাথে পান করব না!")</f>
        <v>আজ আনুষ্ঠানিকভাবে কমা ক্লাবে প্রবেশ করলাম! এক হাজার দিন ধরে একটানা সংযম! এই সম্প্রদায়টি আমার যাত্রার একটি বড় অংশ। যারা এই সম্প্রদায়ে পোস্ট, মন্তব্য এবং অবদান রাখেন তাদের সকলকে ধন্যবাদ! আমি জানি আজ আমার জীবনে কোনও পানীয় কখনও সাহায্য করতে পারে না। এটি কিছুটা সাময়িক স্বস্তি দিতে পারে, কিন্তু তা কমে যায় এবং সমস্যাগুলি থেকে যায়। আমার এখনও উত্থান-পতন, উত্থান-পতন আছে কিন্তু মদ ছাড়া আমার জীবন অনেক বেশি পরিচালনাযোগ্য। আমি আজ তোমার সাথে পান করব না!</v>
      </c>
    </row>
    <row r="1641" spans="1:3" ht="15" x14ac:dyDescent="0.25">
      <c r="A1641" s="3" t="s">
        <v>1635</v>
      </c>
      <c r="B1641" s="3" t="s">
        <v>997</v>
      </c>
      <c r="C1641" s="4" t="str">
        <f ca="1">IFERROR(__xludf.DUMMYFUNCTION("GOOGLETRANSLATE(A1641, ""auto"", ""bn"")"),"১১৫৫ দিন ধরে মদ্যপান বন্ধ করে দিচ্ছি, আজই আমার মদ্যপান করতে ইচ্ছে করছে, কিন্তু আমি তা করবো না। ব্যথা (বিষণ্ণতা এবং উদ্বেগ) কমানোর জন্য আমার প্রায়শই এটি একটি বিশাল আকাঙ্ক্ষা হয়, কিন্তু এটা কি পরিস্থিতি আরও খারাপ করে তুলবে? অ্যালকোহলের সাথে খারাপ সময়গুলি"&amp;" মনে করতে পারছি এবং অনেক কিছু ঘটেছে, আমার মনে হয় এই আকাঙ্ক্ষা আমার বাকি জীবন ধরে থাকবে, কিন্তু এটি কেটে যাবে।")</f>
        <v>১১৫৫ দিন ধরে মদ্যপান বন্ধ করে দিচ্ছি, আজই আমার মদ্যপান করতে ইচ্ছে করছে, কিন্তু আমি তা করবো না। ব্যথা (বিষণ্ণতা এবং উদ্বেগ) কমানোর জন্য আমার প্রায়শই এটি একটি বিশাল আকাঙ্ক্ষা হয়, কিন্তু এটা কি পরিস্থিতি আরও খারাপ করে তুলবে? অ্যালকোহলের সাথে খারাপ সময়গুলি মনে করতে পারছি এবং অনেক কিছু ঘটেছে, আমার মনে হয় এই আকাঙ্ক্ষা আমার বাকি জীবন ধরে থাকবে, কিন্তু এটি কেটে যাবে।</v>
      </c>
    </row>
    <row r="1642" spans="1:3" ht="15" x14ac:dyDescent="0.25">
      <c r="A1642" s="3" t="s">
        <v>1636</v>
      </c>
      <c r="B1642" s="3" t="s">
        <v>997</v>
      </c>
      <c r="C1642" s="4" t="str">
        <f ca="1">IFERROR(__xludf.DUMMYFUNCTION("GOOGLETRANSLATE(A1642, ""auto"", ""bn"")"),"আগামীকাল হবে ৩য় দিন। সাধারণত ৩য় দিন পর্যন্ত আমি আমার উন্নতি দেখতে পাই। ৫ম দিন সবচেয়ে খারাপ। সমস্যা হলো, আগামীকাল আমাকে কাজের জন্য পারফর্ম করতে হবে। আমাকে কাজ সেরে ফেলতে হবে। আমি একটি উচ্চ ঝুঁকিপূর্ণ উচ্চ পুরষ্কারের চাকরিতে আছি। মদ্যপানকে উৎসাহিত করা হয়, "&amp;"কিন্তু আমি দেখেছি যে কোনও পরিমাণে অ্যালকোহল গ্রহণ করলে আমি এই ভূমিকায় সফল হতে পারব না। মস্তিষ্কের কুয়াশা দূর করার জন্য কারও কাছে কোন টিপস আছে? মানে, মনে হচ্ছে যেন আমার মাথার খুলির ভেতরে একটা বিশাল মেঘ বসে আছে। আমি পাগলের মতো পানি পান করছি। তাছাড়া, আমি "&amp;"এখনও ব্যায়াম করার সাহস পাচ্ছি না। আমি ভাবছি ভোর ৫টায় ঘুম থেকে উঠে হয়তো মাথার জায়গা পরিষ্কার করার জন্য ব্যায়াম করব। তাছাড়া, আমাকে আগামীকালই পারফর্ম করতে হবে।")</f>
        <v>আগামীকাল হবে ৩য় দিন। সাধারণত ৩য় দিন পর্যন্ত আমি আমার উন্নতি দেখতে পাই। ৫ম দিন সবচেয়ে খারাপ। সমস্যা হলো, আগামীকাল আমাকে কাজের জন্য পারফর্ম করতে হবে। আমাকে কাজ সেরে ফেলতে হবে। আমি একটি উচ্চ ঝুঁকিপূর্ণ উচ্চ পুরষ্কারের চাকরিতে আছি। মদ্যপানকে উৎসাহিত করা হয়, কিন্তু আমি দেখেছি যে কোনও পরিমাণে অ্যালকোহল গ্রহণ করলে আমি এই ভূমিকায় সফল হতে পারব না। মস্তিষ্কের কুয়াশা দূর করার জন্য কারও কাছে কোন টিপস আছে? মানে, মনে হচ্ছে যেন আমার মাথার খুলির ভেতরে একটা বিশাল মেঘ বসে আছে। আমি পাগলের মতো পানি পান করছি। তাছাড়া, আমি এখনও ব্যায়াম করার সাহস পাচ্ছি না। আমি ভাবছি ভোর ৫টায় ঘুম থেকে উঠে হয়তো মাথার জায়গা পরিষ্কার করার জন্য ব্যায়াম করব। তাছাড়া, আমাকে আগামীকালই পারফর্ম করতে হবে।</v>
      </c>
    </row>
    <row r="1643" spans="1:3" ht="15" x14ac:dyDescent="0.25">
      <c r="A1643" s="3" t="s">
        <v>1637</v>
      </c>
      <c r="B1643" s="3" t="s">
        <v>997</v>
      </c>
      <c r="C1643" s="4" t="str">
        <f ca="1">IFERROR(__xludf.DUMMYFUNCTION("GOOGLETRANSLATE(A1643, ""auto"", ""bn"")"),"এটা অবাস্তব। আমি কখনোই এত উদ্যমী এবং এত খামখেয়াল ছিলাম না। আমি নিজেকে আমার ঘর থেকে বের হতে বাধা দেওয়ার জন্য এটা লিখছি। তাছাড়া, আমার ঘরে সবসময় ওয়াইন থাকে কিন্তু আমি কখনোই এর প্রতি প্রলুব্ধ হই না। ভদকা আমার বিষ। আসলে, আমার সমস্যা সম্পর্কে আমি এতটা অস্বীক"&amp;"ার করার কারণ হল, আমি অর্ধ বছর ধরে ঘরে বিয়ার খেয়েছি এবং অন্য কিছু না থাকলে আমি তা পানও করি না। আমি ৪ বছর ধরে বারবার মদ্যপান করে আসছি। আমার মা মারা যাওয়ার পর থেকেই এটি শুরু হয়েছিল। আমি এই স্পেকট্রামের মধ্যে আছি এবং যে দুটি আবেগ প্রকাশ করা আমার কাছে কঠিন"&amp;" তা হল দুঃখ এবং রাগ। যারা শোকের স্তর সম্পর্কে জানেন তারা জানেন যে এই অনুভূতিগুলিতে অভিভূত হওয়া কতটা অবাস্তব। মদ্যপান আমার মনে করিয়ে দিয়েছিল যে আমি এটিকে ডুবিয়ে দিতে পারি। কিন্তু এটি কেবল নিম্ন স্তরকে নীচে নামিয়ে দিয়েছে। এখন আমি কেবল ভদকা কেন তা বের "&amp;"করার চেষ্টা করছি? আমাদের এখানে অন্য সবকিছু আছে, কিন্তু আমি এটি স্পর্শ করব না। আমি কেন কেবল ভদকা কামনা করি? (মোবাইল) কথাবার্তার জন্য দুঃখিত, কিন্তু রাতের বেলায় দামি মদের দোকানে যাওয়ার চেয়ে এটা ভালো।")</f>
        <v>এটা অবাস্তব। আমি কখনোই এত উদ্যমী এবং এত খামখেয়াল ছিলাম না। আমি নিজেকে আমার ঘর থেকে বের হতে বাধা দেওয়ার জন্য এটা লিখছি। তাছাড়া, আমার ঘরে সবসময় ওয়াইন থাকে কিন্তু আমি কখনোই এর প্রতি প্রলুব্ধ হই না। ভদকা আমার বিষ। আসলে, আমার সমস্যা সম্পর্কে আমি এতটা অস্বীকার করার কারণ হল, আমি অর্ধ বছর ধরে ঘরে বিয়ার খেয়েছি এবং অন্য কিছু না থাকলে আমি তা পানও করি না। আমি ৪ বছর ধরে বারবার মদ্যপান করে আসছি। আমার মা মারা যাওয়ার পর থেকেই এটি শুরু হয়েছিল। আমি এই স্পেকট্রামের মধ্যে আছি এবং যে দুটি আবেগ প্রকাশ করা আমার কাছে কঠিন তা হল দুঃখ এবং রাগ। যারা শোকের স্তর সম্পর্কে জানেন তারা জানেন যে এই অনুভূতিগুলিতে অভিভূত হওয়া কতটা অবাস্তব। মদ্যপান আমার মনে করিয়ে দিয়েছিল যে আমি এটিকে ডুবিয়ে দিতে পারি। কিন্তু এটি কেবল নিম্ন স্তরকে নীচে নামিয়ে দিয়েছে। এখন আমি কেবল ভদকা কেন তা বের করার চেষ্টা করছি? আমাদের এখানে অন্য সবকিছু আছে, কিন্তু আমি এটি স্পর্শ করব না। আমি কেন কেবল ভদকা কামনা করি? (মোবাইল) কথাবার্তার জন্য দুঃখিত, কিন্তু রাতের বেলায় দামি মদের দোকানে যাওয়ার চেয়ে এটা ভালো।</v>
      </c>
    </row>
    <row r="1644" spans="1:3" ht="15" x14ac:dyDescent="0.25">
      <c r="A1644" s="3" t="s">
        <v>1638</v>
      </c>
      <c r="B1644" s="3" t="s">
        <v>997</v>
      </c>
      <c r="C1644" s="4" t="str">
        <f ca="1">IFERROR(__xludf.DUMMYFUNCTION("GOOGLETRANSLATE(A1644, ""auto"", ""bn"")"),"গত কয়েকদিন ধরে আমি এই সাব-টি পড়ছি এবং এবার তা ছেড়ে দিতে সত্যিই উৎসাহিত বোধ করছি। তোমার সব পোস্ট এবং মন্তব্য পড়ে আমার খুব ভালো লাগছে। আমার মনে হচ্ছে আমি বাড়িতে মদ্যপান করে খুশি - শুক্রবার আমি এক গ্লাস ওয়াইন ঢেলে শেষও করিনি। কিন্তু সামাজিকভাবে, আমি সবসময়ই এ"&amp;"টা বেশি করে ফেলি। যদি আমি ""শুভ রাত্রি"" কাটি? তাহলে আমি এটা মনে রাখব এবং শুধু ক্ষুধার্ত থাকব, কিন্তু প্রায়শই আমার দুই দিনের হ্যাংওভার থাকে, পোস্টটি পঙ্গু করে দেওয়া উদ্বেগকে দূর করে দেয় যে আমি খারাপ কিছু বলেছি/কাউকে বিরক্ত করেছি/আমার সমস্ত বন্ধুদের হারি"&amp;"য়েছি এবং আমার সমস্ত সম্পর্ক নষ্ট করেছি। আমার সকালের তুলনায় বেশি সময় টয়লেটে কাটানো হয়েছে, অসাধারণভাবে আমি মদ্যপান ছেড়ে দিয়েছি এবং আর কখনও নিজেকে বলতে চাই না যে এটা ঠিক আছে, আমি ডেট নাইটে ওয়াইন সামলাতে পারি যাতে পরের সপ্তাহান্তে বারে আরও ভালো করতে পারি। আ"&amp;"মাকে শুধু একটা বড় পানির বোতল আনতে হবে, পর্যাপ্ত খাবার খাওয়া নিশ্চিত করতে হবে, আমার পানীয় গুনে দেখতে হবে ইত্যাদি। শনিবার আমি যা করেছি তার সবই এখনও অজ্ঞান, কেঁদেছি, বন্ধুদের কাছে কী বলেছি কে জানে এবং আমার দীর্ঘ সপ্তাহান্তের বাকি সময়টা শারীরিক ও মানসিকভাবে "&amp;"ক্লান্তি নিয়ে কাটিয়েছি।")</f>
        <v>গত কয়েকদিন ধরে আমি এই সাব-টি পড়ছি এবং এবার তা ছেড়ে দিতে সত্যিই উৎসাহিত বোধ করছি। তোমার সব পোস্ট এবং মন্তব্য পড়ে আমার খুব ভালো লাগছে। আমার মনে হচ্ছে আমি বাড়িতে মদ্যপান করে খুশি - শুক্রবার আমি এক গ্লাস ওয়াইন ঢেলে শেষও করিনি। কিন্তু সামাজিকভাবে, আমি সবসময়ই এটা বেশি করে ফেলি। যদি আমি "শুভ রাত্রি" কাটি? তাহলে আমি এটা মনে রাখব এবং শুধু ক্ষুধার্ত থাকব, কিন্তু প্রায়শই আমার দুই দিনের হ্যাংওভার থাকে, পোস্টটি পঙ্গু করে দেওয়া উদ্বেগকে দূর করে দেয় যে আমি খারাপ কিছু বলেছি/কাউকে বিরক্ত করেছি/আমার সমস্ত বন্ধুদের হারিয়েছি এবং আমার সমস্ত সম্পর্ক নষ্ট করেছি। আমার সকালের তুলনায় বেশি সময় টয়লেটে কাটানো হয়েছে, অসাধারণভাবে আমি মদ্যপান ছেড়ে দিয়েছি এবং আর কখনও নিজেকে বলতে চাই না যে এটা ঠিক আছে, আমি ডেট নাইটে ওয়াইন সামলাতে পারি যাতে পরের সপ্তাহান্তে বারে আরও ভালো করতে পারি। আমাকে শুধু একটা বড় পানির বোতল আনতে হবে, পর্যাপ্ত খাবার খাওয়া নিশ্চিত করতে হবে, আমার পানীয় গুনে দেখতে হবে ইত্যাদি। শনিবার আমি যা করেছি তার সবই এখনও অজ্ঞান, কেঁদেছি, বন্ধুদের কাছে কী বলেছি কে জানে এবং আমার দীর্ঘ সপ্তাহান্তের বাকি সময়টা শারীরিক ও মানসিকভাবে ক্লান্তি নিয়ে কাটিয়েছি।</v>
      </c>
    </row>
    <row r="1645" spans="1:3" ht="15" x14ac:dyDescent="0.25">
      <c r="A1645" s="3" t="s">
        <v>1639</v>
      </c>
      <c r="B1645" s="3" t="s">
        <v>997</v>
      </c>
      <c r="C1645" s="4" t="str">
        <f ca="1">IFERROR(__xludf.DUMMYFUNCTION("GOOGLETRANSLATE(A1645, ""auto"", ""bn"")"),"আমি এখন এক মাসেরও বেশি সময় ধরে সুস্থ, ক্লান্তি পুরোপুরি কেটে গেছে, আমার অবিশ্বাস্য লাগছে এবং আজ আবার জিম শুরু করেছি। ইতিবাচক লাগছে। শুধু জানতে চাই যে এই মুহূর্তে কেউ কি এখনও উদ্বেগ অনুভব করেছেন। এখন আমার যে উদ্বেগ ছিল তা হল ঘুমাতে যাওয়ার সময় আমি প্রায়"&amp;" 30 মিনিট পরে আতঙ্কের সাথে জেগে উঠি, হৃদস্পন্দন বেড়ে যায়, নার্ভাস বোধ করি। যদিও এটি দুবার ঘটেছে, আমি জানতে চাই যে কারও কোন অভিজ্ঞতা হয়েছে। গত রাতে আমি ঘুম থেকে উঠে আমার বাহুতে শুয়ে ছিলাম যার ফলে এটি অসাড় হয়ে গিয়েছিল, ভাবছিলাম যে আমি কি ঘুম থেকে উঠে"&amp;" বুঝতে পেরেছিলাম যে বাম হাত অসাড় হয়ে গেছে এবং ভেবেছিলাম আমার হার্ট অ্যাটাক হচ্ছে, সম্ভবত আমি আতঙ্কে পড়ে গেছি? চিন্তা?। এই পর্বগুলি প্রায় 5 মিনিট স্থায়ী হয় এবং আমি সরাসরি ঘুমিয়ে পড়ি।")</f>
        <v>আমি এখন এক মাসেরও বেশি সময় ধরে সুস্থ, ক্লান্তি পুরোপুরি কেটে গেছে, আমার অবিশ্বাস্য লাগছে এবং আজ আবার জিম শুরু করেছি। ইতিবাচক লাগছে। শুধু জানতে চাই যে এই মুহূর্তে কেউ কি এখনও উদ্বেগ অনুভব করেছেন। এখন আমার যে উদ্বেগ ছিল তা হল ঘুমাতে যাওয়ার সময় আমি প্রায় 30 মিনিট পরে আতঙ্কের সাথে জেগে উঠি, হৃদস্পন্দন বেড়ে যায়, নার্ভাস বোধ করি। যদিও এটি দুবার ঘটেছে, আমি জানতে চাই যে কারও কোন অভিজ্ঞতা হয়েছে। গত রাতে আমি ঘুম থেকে উঠে আমার বাহুতে শুয়ে ছিলাম যার ফলে এটি অসাড় হয়ে গিয়েছিল, ভাবছিলাম যে আমি কি ঘুম থেকে উঠে বুঝতে পেরেছিলাম যে বাম হাত অসাড় হয়ে গেছে এবং ভেবেছিলাম আমার হার্ট অ্যাটাক হচ্ছে, সম্ভবত আমি আতঙ্কে পড়ে গেছি? চিন্তা?। এই পর্বগুলি প্রায় 5 মিনিট স্থায়ী হয় এবং আমি সরাসরি ঘুমিয়ে পড়ি।</v>
      </c>
    </row>
    <row r="1646" spans="1:3" ht="15" x14ac:dyDescent="0.25">
      <c r="A1646" s="3" t="s">
        <v>1640</v>
      </c>
      <c r="B1646" s="3" t="s">
        <v>997</v>
      </c>
      <c r="C1646" s="4" t="str">
        <f ca="1">IFERROR(__xludf.DUMMYFUNCTION("GOOGLETRANSLATE(A1646, ""auto"", ""bn"")"),"এটা আমার প্রথম চাকরি, এবং আমি কেন শুরু থেকেই প্রচুর পরিমাণে মদ্যপান শুরু করেছি তার পেছনে এটি একটি বড় কারণ। সহকর্মীদের সাথে আনন্দের সময়, বিয়ার বা ওয়াইন দিয়ে মধ্যাহ্নভোজ, ছুটির আগের দিনগুলিতে মিমোসা বা স্ক্রু ড্রাইভারের সাথে ব্রাঞ্চ। এটি এমন একটি সংস্ক"&amp;"ৃতি ছিল যেখানে আপনি খোলাখুলিভাবে কাজের পরে এক গ্লাস ওয়াইন খাওয়ার কথা বলতেন - যে দিনগুলিতে কাজটি কঠিন ছিল এবং যে দিনগুলিতে সবকিছু ঠিকঠাক ছিল। আমরা একটি অফিসে শুরু করেছিলাম এবং তারপরে মহামারীর প্রায় এক বছর আগে দূরবর্তী স্থানে গিয়েছিলাম, তাই বিকেল ৩টায় "&amp;"বাড়িতে ওয়াইন পান করা বা টিম মিটিংয়ের জন্য সকালের কফিতে একটু বেইলি পান করা সম্পূর্ণরূপে গ্রহণযোগ্য ছিল। প্রায় এক বছর আগে আমি পুরোপুরি বুঝতে পারিনি যে মদ্যপানের অনেক ট্রিগারের মধ্যে একটি হল আমার কাজ। এখন যেহেতু আমি সুস্থ, তাই অ্যালকোহল এখনও সর্বত্রই রয়"&amp;"েছে তা নয়, বরং অনেক কিছুর মতো, মহামারীতে এটি এত বিচ্ছিন্ন হয়ে পড়েছে।")</f>
        <v>এটা আমার প্রথম চাকরি, এবং আমি কেন শুরু থেকেই প্রচুর পরিমাণে মদ্যপান শুরু করেছি তার পেছনে এটি একটি বড় কারণ। সহকর্মীদের সাথে আনন্দের সময়, বিয়ার বা ওয়াইন দিয়ে মধ্যাহ্নভোজ, ছুটির আগের দিনগুলিতে মিমোসা বা স্ক্রু ড্রাইভারের সাথে ব্রাঞ্চ। এটি এমন একটি সংস্কৃতি ছিল যেখানে আপনি খোলাখুলিভাবে কাজের পরে এক গ্লাস ওয়াইন খাওয়ার কথা বলতেন - যে দিনগুলিতে কাজটি কঠিন ছিল এবং যে দিনগুলিতে সবকিছু ঠিকঠাক ছিল। আমরা একটি অফিসে শুরু করেছিলাম এবং তারপরে মহামারীর প্রায় এক বছর আগে দূরবর্তী স্থানে গিয়েছিলাম, তাই বিকেল ৩টায় বাড়িতে ওয়াইন পান করা বা টিম মিটিংয়ের জন্য সকালের কফিতে একটু বেইলি পান করা সম্পূর্ণরূপে গ্রহণযোগ্য ছিল। প্রায় এক বছর আগে আমি পুরোপুরি বুঝতে পারিনি যে মদ্যপানের অনেক ট্রিগারের মধ্যে একটি হল আমার কাজ। এখন যেহেতু আমি সুস্থ, তাই অ্যালকোহল এখনও সর্বত্রই রয়েছে তা নয়, বরং অনেক কিছুর মতো, মহামারীতে এটি এত বিচ্ছিন্ন হয়ে পড়েছে।</v>
      </c>
    </row>
    <row r="1647" spans="1:3" ht="15" x14ac:dyDescent="0.25">
      <c r="A1647" s="3" t="s">
        <v>1641</v>
      </c>
      <c r="B1647" s="3" t="s">
        <v>997</v>
      </c>
      <c r="C1647" s="4" t="str">
        <f ca="1">IFERROR(__xludf.DUMMYFUNCTION("GOOGLETRANSLATE(A1647, ""auto"", ""bn"")"),"বৃহস্পতিবার মদ্যপানের পর এখন আমার মানসিক ও শারীরিক অবস্থা খুবই খারাপ। আমার বয়স ৩৪ বছর, আর আমার শরীর স্পষ্ট করে দিচ্ছে যে এই সময়টা কোনও মজার সময় নয় কারণ আমি প্রায় ৩ দিন ধরে ক্রমাগত উদ্বেগ এবং শারীরিক ব্যথার মধ্যে আছি। এমনকি এখনই এটি টাইপ করা আমার সমস্"&amp;"ত শক্তি ব্যয় করছে, তবে এটি নিজেকে প্রকাশ করার মতো। যদিও আমি শারীরিক ও মানসিকভাবে একটি খারাপ অবস্থানে আছি, আমি এর জন্য অদ্ভুতভাবে কৃতজ্ঞ কারণ আমি জানি এটি সত্যিই নিজের যত্ন নেওয়ার এবং ছেড়ে দেওয়ার জন্য একটি মোড়। এটি কেবল মদ্যপান নয় কারণ আমি আসলে খুব ব"&amp;"েশি পান করি না, তবে এটি আমাকে এত অন্ধকারে ফেলে দেয় এবং জীবনের অন্যান্য ক্ষেত্রে আমার যে কোনও অগ্রগতি নষ্ট করে দেয়। আমি চাই এই মুহূর্তে আরও টাইপ করার শক্তি থাকত কিন্তু এতদূর পৌঁছানো আমার জন্য সংগ্রাম ছিল। আমি সত্যিই সম্প্রদায়ের এবং মানুষের প্রয়োজনের সম"&amp;"য় এটি যে সমস্ত ভালোবাসা দেয় তার জন্য কৃতজ্ঞ কারণ সামান্য ভালোবাসা অনেক দূর এগিয়ে যায়।")</f>
        <v>বৃহস্পতিবার মদ্যপানের পর এখন আমার মানসিক ও শারীরিক অবস্থা খুবই খারাপ। আমার বয়স ৩৪ বছর, আর আমার শরীর স্পষ্ট করে দিচ্ছে যে এই সময়টা কোনও মজার সময় নয় কারণ আমি প্রায় ৩ দিন ধরে ক্রমাগত উদ্বেগ এবং শারীরিক ব্যথার মধ্যে আছি। এমনকি এখনই এটি টাইপ করা আমার সমস্ত শক্তি ব্যয় করছে, তবে এটি নিজেকে প্রকাশ করার মতো। যদিও আমি শারীরিক ও মানসিকভাবে একটি খারাপ অবস্থানে আছি, আমি এর জন্য অদ্ভুতভাবে কৃতজ্ঞ কারণ আমি জানি এটি সত্যিই নিজের যত্ন নেওয়ার এবং ছেড়ে দেওয়ার জন্য একটি মোড়। এটি কেবল মদ্যপান নয় কারণ আমি আসলে খুব বেশি পান করি না, তবে এটি আমাকে এত অন্ধকারে ফেলে দেয় এবং জীবনের অন্যান্য ক্ষেত্রে আমার যে কোনও অগ্রগতি নষ্ট করে দেয়। আমি চাই এই মুহূর্তে আরও টাইপ করার শক্তি থাকত কিন্তু এতদূর পৌঁছানো আমার জন্য সংগ্রাম ছিল। আমি সত্যিই সম্প্রদায়ের এবং মানুষের প্রয়োজনের সময় এটি যে সমস্ত ভালোবাসা দেয় তার জন্য কৃতজ্ঞ কারণ সামান্য ভালোবাসা অনেক দূর এগিয়ে যায়।</v>
      </c>
    </row>
    <row r="1648" spans="1:3" ht="15" x14ac:dyDescent="0.25">
      <c r="A1648" s="3" t="s">
        <v>1642</v>
      </c>
      <c r="B1648" s="3" t="s">
        <v>997</v>
      </c>
      <c r="C1648" s="4" t="str">
        <f ca="1">IFERROR(__xludf.DUMMYFUNCTION("GOOGLETRANSLATE(A1648, ""auto"", ""bn"")"),"২০১৪ সালে আমার বিয়ের পরের দিনই, প্রথমবার যখন আমি সিদ্ধান্ত নিলাম যে আমি মদ খাওয়া বন্ধ করে দেব। প্রায় ৪ বছর ধরে আমি মদ্যপান বন্ধ করেছিলাম এবং এমন এক জীবন গড়ে তুলেছিলাম যা আমার মাতাল বছরগুলিতে কল্পনাতীত ছিল। আমি মদ্যপান করেছি এবং এক বছর ধরে এটি নিয়ন্ত্রণে"&amp;" রেখেছিলাম, তারপর আমরা সবাই জানি, দ্রুত তা বেড়ে গেছে, তারপর আবার মদ্যপান বন্ধ করার চেষ্টার পর চেষ্টা করা হয়েছিল। আমি সপ্তাহ পার করেছি, ৩ মাস পার করেছি, কিন্তু সম্প্রতি আমার বয়স ১৫ দিন। আমি এখন চিরকালের জন্য মদ্যপান বন্ধ করতে এবং প্রথমবারের মতো ডিসালফিউ"&amp;"রিক গ্রহণ করতে খুব মরিয়া। এখানে থাকার জন্য ধন্যবাদ, আমার ব্যাজ রিসেট করতে হবে কিন্তু আমি ৩০ দিনে এটি করতে যাচ্ছি কোনো লক্ষ্যের জন্য।")</f>
        <v>২০১৪ সালে আমার বিয়ের পরের দিনই, প্রথমবার যখন আমি সিদ্ধান্ত নিলাম যে আমি মদ খাওয়া বন্ধ করে দেব। প্রায় ৪ বছর ধরে আমি মদ্যপান বন্ধ করেছিলাম এবং এমন এক জীবন গড়ে তুলেছিলাম যা আমার মাতাল বছরগুলিতে কল্পনাতীত ছিল। আমি মদ্যপান করেছি এবং এক বছর ধরে এটি নিয়ন্ত্রণে রেখেছিলাম, তারপর আমরা সবাই জানি, দ্রুত তা বেড়ে গেছে, তারপর আবার মদ্যপান বন্ধ করার চেষ্টার পর চেষ্টা করা হয়েছিল। আমি সপ্তাহ পার করেছি, ৩ মাস পার করেছি, কিন্তু সম্প্রতি আমার বয়স ১৫ দিন। আমি এখন চিরকালের জন্য মদ্যপান বন্ধ করতে এবং প্রথমবারের মতো ডিসালফিউরিক গ্রহণ করতে খুব মরিয়া। এখানে থাকার জন্য ধন্যবাদ, আমার ব্যাজ রিসেট করতে হবে কিন্তু আমি ৩০ দিনে এটি করতে যাচ্ছি কোনো লক্ষ্যের জন্য।</v>
      </c>
    </row>
    <row r="1649" spans="1:3" ht="15" x14ac:dyDescent="0.25">
      <c r="A1649" s="3" t="s">
        <v>1643</v>
      </c>
      <c r="B1649" s="3" t="s">
        <v>997</v>
      </c>
      <c r="C1649" s="4" t="str">
        <f ca="1">IFERROR(__xludf.DUMMYFUNCTION("GOOGLETRANSLATE(A1649, ""auto"", ""bn"")"),"আমার শান্ত বন্ধুরা সবসময় অভিনব নন-অ্যালকোহলযুক্ত পানীয় তৈরি করে প্রমাণ করার চেষ্টা করে যে এই ধরণের আনন্দ উপভোগ করার জন্য আমার অ্যালকোহলের প্রয়োজন নেই। দুর্ভাগ্যবশত, তারা তা পায় না। ? মকটেল? শুধু আমার জন্য এটি করে না, এবং আমি সাধারণত শেষ পর্যন্ত কামনা "&amp;"করি যে এতে কোনওভাবেই মদ থাকুক। কারো কি কোন পরামর্শ আছে যা তাদের আবেগ থেকে মনোযোগ সরিয়ে রাখতে সাহায্য করেছে? পানীয়, কার্যকলাপ, এমন কিছু যা আমার মনকে খারাপ জিনিস থেকে দূরে রাখে এবং সেই মুহূর্তগুলিতে নিজেকে বিনোদন দেয়?")</f>
        <v>আমার শান্ত বন্ধুরা সবসময় অভিনব নন-অ্যালকোহলযুক্ত পানীয় তৈরি করে প্রমাণ করার চেষ্টা করে যে এই ধরণের আনন্দ উপভোগ করার জন্য আমার অ্যালকোহলের প্রয়োজন নেই। দুর্ভাগ্যবশত, তারা তা পায় না। ? মকটেল? শুধু আমার জন্য এটি করে না, এবং আমি সাধারণত শেষ পর্যন্ত কামনা করি যে এতে কোনওভাবেই মদ থাকুক। কারো কি কোন পরামর্শ আছে যা তাদের আবেগ থেকে মনোযোগ সরিয়ে রাখতে সাহায্য করেছে? পানীয়, কার্যকলাপ, এমন কিছু যা আমার মনকে খারাপ জিনিস থেকে দূরে রাখে এবং সেই মুহূর্তগুলিতে নিজেকে বিনোদন দেয়?</v>
      </c>
    </row>
    <row r="1650" spans="1:3" ht="15" x14ac:dyDescent="0.25">
      <c r="A1650" s="3" t="s">
        <v>1644</v>
      </c>
      <c r="B1650" s="3" t="s">
        <v>997</v>
      </c>
      <c r="C1650" s="4" t="str">
        <f ca="1">IFERROR(__xludf.DUMMYFUNCTION("GOOGLETRANSLATE(A1650, ""auto"", ""bn"")"),"মনে হচ্ছে যখনই আমি শান্ত পথে চলি, জীবন আমার সামনে মদ্যপানের এক নিখুঁত সুযোগ নিয়ে আসে। এটা যেন এক মহাজাগতিক উত্তেজনা। ""এই নাও, এটা তোমার জন্য ঠিক আছে, তোমাকে কিছুই করতে হবে না?"" - এই একটা পরীক্ষা, যার ফলে হাল ছেড়ে দেওয়া এত সহজ হয়ে যায়। কিন্তু আমি কর"&amp;"িনি। আমি সত্যিই সংগ্রাম করছি, তাই আমি এখানে এসেছি। আমার মস্তিষ্কের চিৎকার এবং চারপাশের প্রলোভন সত্ত্বেও, আমি আজই এটি কাটিয়ে উঠতে চাই এবং আমার পুরষ্কার পেতে চাই। আজ, আমি তোমাদের সবার সাথে মদ্যপান করব না।")</f>
        <v>মনে হচ্ছে যখনই আমি শান্ত পথে চলি, জীবন আমার সামনে মদ্যপানের এক নিখুঁত সুযোগ নিয়ে আসে। এটা যেন এক মহাজাগতিক উত্তেজনা। "এই নাও, এটা তোমার জন্য ঠিক আছে, তোমাকে কিছুই করতে হবে না?" - এই একটা পরীক্ষা, যার ফলে হাল ছেড়ে দেওয়া এত সহজ হয়ে যায়। কিন্তু আমি করিনি। আমি সত্যিই সংগ্রাম করছি, তাই আমি এখানে এসেছি। আমার মস্তিষ্কের চিৎকার এবং চারপাশের প্রলোভন সত্ত্বেও, আমি আজই এটি কাটিয়ে উঠতে চাই এবং আমার পুরষ্কার পেতে চাই। আজ, আমি তোমাদের সবার সাথে মদ্যপান করব না।</v>
      </c>
    </row>
    <row r="1651" spans="1:3" ht="15" x14ac:dyDescent="0.25">
      <c r="A1651" s="3" t="s">
        <v>1645</v>
      </c>
      <c r="B1651" s="3" t="s">
        <v>997</v>
      </c>
      <c r="C1651" s="4" t="str">
        <f ca="1">IFERROR(__xludf.DUMMYFUNCTION("GOOGLETRANSLATE(A1651, ""auto"", ""bn"")"),"আমার সঙ্গী যখন আমাকে জিজ্ঞাসা করেছিলাম যে আমি মদ্যপান ছেড়ে দেওয়ার পর থেকে সে কি কোনও পার্থক্য দেখতে পাবে কিনা, তখন সে এটাই বলেছিল। যথা, আমার মেজাজ এবং উদ্বেগ এবং আমি কীভাবে সেগুলি সামলাচ্ছি তা এখন অনেক ভালো। আমি যখন প্রতিদিন মাতাল ছিলাম তখন এটি অনেক কঠি"&amp;"ন ছিল। সবকিছুই অনেক কঠিন ছিল। এমন অনেক কিছু আছে যা আমাকে ছেড়ে দেওয়ার জন্য মূল্যবান করে তুলেছে। তাকে বলতে শুনেছি যে এটি একটি বিশাল অভিজ্ঞতা। আমার পাশে থাকার জন্য আপনাকে ধন্যবাদ, এসডি সম্প্রদায়।")</f>
        <v>আমার সঙ্গী যখন আমাকে জিজ্ঞাসা করেছিলাম যে আমি মদ্যপান ছেড়ে দেওয়ার পর থেকে সে কি কোনও পার্থক্য দেখতে পাবে কিনা, তখন সে এটাই বলেছিল। যথা, আমার মেজাজ এবং উদ্বেগ এবং আমি কীভাবে সেগুলি সামলাচ্ছি তা এখন অনেক ভালো। আমি যখন প্রতিদিন মাতাল ছিলাম তখন এটি অনেক কঠিন ছিল। সবকিছুই অনেক কঠিন ছিল। এমন অনেক কিছু আছে যা আমাকে ছেড়ে দেওয়ার জন্য মূল্যবান করে তুলেছে। তাকে বলতে শুনেছি যে এটি একটি বিশাল অভিজ্ঞতা। আমার পাশে থাকার জন্য আপনাকে ধন্যবাদ, এসডি সম্প্রদায়।</v>
      </c>
    </row>
    <row r="1652" spans="1:3" ht="15" x14ac:dyDescent="0.25">
      <c r="A1652" s="3" t="s">
        <v>1646</v>
      </c>
      <c r="B1652" s="3" t="s">
        <v>997</v>
      </c>
      <c r="C1652" s="4" t="str">
        <f ca="1">IFERROR(__xludf.DUMMYFUNCTION("GOOGLETRANSLATE(A1652, ""auto"", ""bn"")"),"গত মঙ্গলবার পর্যন্ত প্রায় অর্ধেক বছর ধরে প্রতিদিন পাঁচবারের বেশি পান করেছি। জরুরি বিভাগে গিয়েছিলাম, আশা করেছিলাম তারা আমাকে কমিট করবে এবং ওষুধ দেবে। না। আমাকে IV-এর মাধ্যমে কিছু লোরাজেপাম দিল, TWELVE Librium-এর জন্য একটি স্ক্রিপ্ট, এবং আমাকে পাথর ছুঁড়ে ম"&amp;"ারতে বলল। শুধু তাই নয়। তারা আমাকে পরের দিন একটি ডিটক্স সেন্টারে যাওয়ার নির্দেশ দিয়েছিল, তাই আমিও তাই করেছি। তারা বলেছিল যত তাড়াতাড়ি তারা আমাকে সুপারিশকৃত ডাক্তারের কাছে নিয়ে যেতে পারে, এপ্রিলে। যেমন ততক্ষণ পর্যন্ত আমার কী করা উচিত, শুধু আমার জীবন নষ"&amp;"্ট করে দাও? আমি অন্য একজন ডাক্তারের কাছে চেয়েছিলাম, এবং তারা আমাকে এক সপ্তাহের জন্য অ্যাপয়েন্টমেন্ট দিয়েছিল। আমার প্রেসক্রিপশনে বলা হয়েছিল যে প্রয়োজন অনুসারে প্রতিদিন চারটি বড়ি খেতে হবে। তাই আমি করেছি। কিন্তু যখন আমি রিফিল নিতে গেলাম, তারা বলল যে তা"&amp;"রা পারবে না কারণ ""এটি একটি শক্তিশালী সিডেটিভ""। স্পষ্টতই ডাক্তার আমাকে বলতে অবহেলা করেছিলেন যে আমাকে বড়িগুলি টেপার করতে হবে। আমি ভেবেছিলাম যে আমি ভর্তি না হওয়া পর্যন্ত তাদের আমাকে আটকে রাখার কথা ছিল।")</f>
        <v>গত মঙ্গলবার পর্যন্ত প্রায় অর্ধেক বছর ধরে প্রতিদিন পাঁচবারের বেশি পান করেছি। জরুরি বিভাগে গিয়েছিলাম, আশা করেছিলাম তারা আমাকে কমিট করবে এবং ওষুধ দেবে। না। আমাকে IV-এর মাধ্যমে কিছু লোরাজেপাম দিল, TWELVE Librium-এর জন্য একটি স্ক্রিপ্ট, এবং আমাকে পাথর ছুঁড়ে মারতে বলল। শুধু তাই নয়। তারা আমাকে পরের দিন একটি ডিটক্স সেন্টারে যাওয়ার নির্দেশ দিয়েছিল, তাই আমিও তাই করেছি। তারা বলেছিল যত তাড়াতাড়ি তারা আমাকে সুপারিশকৃত ডাক্তারের কাছে নিয়ে যেতে পারে, এপ্রিলে। যেমন ততক্ষণ পর্যন্ত আমার কী করা উচিত, শুধু আমার জীবন নষ্ট করে দাও? আমি অন্য একজন ডাক্তারের কাছে চেয়েছিলাম, এবং তারা আমাকে এক সপ্তাহের জন্য অ্যাপয়েন্টমেন্ট দিয়েছিল। আমার প্রেসক্রিপশনে বলা হয়েছিল যে প্রয়োজন অনুসারে প্রতিদিন চারটি বড়ি খেতে হবে। তাই আমি করেছি। কিন্তু যখন আমি রিফিল নিতে গেলাম, তারা বলল যে তারা পারবে না কারণ "এটি একটি শক্তিশালী সিডেটিভ"। স্পষ্টতই ডাক্তার আমাকে বলতে অবহেলা করেছিলেন যে আমাকে বড়িগুলি টেপার করতে হবে। আমি ভেবেছিলাম যে আমি ভর্তি না হওয়া পর্যন্ত তাদের আমাকে আটকে রাখার কথা ছিল।</v>
      </c>
    </row>
    <row r="1653" spans="1:3" ht="15" x14ac:dyDescent="0.25">
      <c r="A1653" s="3" t="s">
        <v>1647</v>
      </c>
      <c r="B1653" s="3" t="s">
        <v>997</v>
      </c>
      <c r="C1653" s="4" t="str">
        <f ca="1">IFERROR(__xludf.DUMMYFUNCTION("GOOGLETRANSLATE(A1653, ""auto"", ""bn"")"),"পনেরো দিন ধরে এখানে আছি এবং বেশ ভালো লাগছে। বিয়ারের পেট কমানোর চেষ্টা করছি। কোন নির্দিষ্ট ব্যায়ামের জন্য কোন পরামর্শ আছে যা সাহায্য করতে পারে? আর কখন আমার ঘুম স্বাভাবিক হবে? আমি প্রায় প্রতি ঘন্টায় ঘুম থেকে উঠি। আমি সাধারণত আবার ঘুমিয়ে পড়তে পারি, এতে"&amp;" আমার ক্লান্তি বোধ হয়। এটা কি স্বাভাবিক? স্বাভাবিকের চেয়ে অনেক বেশি কফি পান করছি, কিন্তু আমার মনে হয় এটা ঠিক আছে। এবং এই সাব-এর সকলকে ধন্যবাদ যে এটি প্রশংসাযোগ্য সমর্থনের জন্য।")</f>
        <v>পনেরো দিন ধরে এখানে আছি এবং বেশ ভালো লাগছে। বিয়ারের পেট কমানোর চেষ্টা করছি। কোন নির্দিষ্ট ব্যায়ামের জন্য কোন পরামর্শ আছে যা সাহায্য করতে পারে? আর কখন আমার ঘুম স্বাভাবিক হবে? আমি প্রায় প্রতি ঘন্টায় ঘুম থেকে উঠি। আমি সাধারণত আবার ঘুমিয়ে পড়তে পারি, এতে আমার ক্লান্তি বোধ হয়। এটা কি স্বাভাবিক? স্বাভাবিকের চেয়ে অনেক বেশি কফি পান করছি, কিন্তু আমার মনে হয় এটা ঠিক আছে। এবং এই সাব-এর সকলকে ধন্যবাদ যে এটি প্রশংসাযোগ্য সমর্থনের জন্য।</v>
      </c>
    </row>
    <row r="1654" spans="1:3" ht="15" x14ac:dyDescent="0.25">
      <c r="A1654" s="3" t="s">
        <v>1648</v>
      </c>
      <c r="B1654" s="3" t="s">
        <v>997</v>
      </c>
      <c r="C1654" s="4" t="str">
        <f ca="1">IFERROR(__xludf.DUMMYFUNCTION("GOOGLETRANSLATE(A1654, ""auto"", ""bn"")"),"৮ ঘন্টার একটা লম্বা কাজ হবে। গত রাতে আমি দুই ঘন্টা ""ঘুম"" পেয়েছি। ঘুমের ধরণ যেখানে তুমি জেগে উঠলে মনে হয় সময় কেটে গেছে, কিন্তু তুমি আসলে ঘুমাওনি। আমি মিথ্যা বলব না, এটা ৬+ ঘন্টার বেশি মাতাল ঘুমের চেয়ে ভালো মনে হয় না। এর অর্থ এই নয় যে এটি অপ্রয়োজনী"&amp;"য়, এর লক্ষ লক্ষ কারণ আছে যে এটি এখনও মূল্যবান। আমাকে নিজেকে মিথ্যা বলতে হবে না এবং বলতে হবে না যে আমি এখন মদ্যপানের চেয়ে ভালো বোধ করছি। এটি দ্বিতীয় দিনের শুরু... আমি আশা করি এটিই। আমি আশা করছি আমি ছুটি নিতে পারতাম। হয়তো আমি এক বা দুই ঘন্টা সময় ধরে ঘু"&amp;"মানোর জন্য কোনও অজুহাত খুঁজে বের করার চেষ্টা করব। আসলে কয়েক মাস ধরে আমাকে ছুটি নিতে হয়নি, তাই হয়তো এটি এত বড় ব্যাপার হবে না।")</f>
        <v>৮ ঘন্টার একটা লম্বা কাজ হবে। গত রাতে আমি দুই ঘন্টা "ঘুম" পেয়েছি। ঘুমের ধরণ যেখানে তুমি জেগে উঠলে মনে হয় সময় কেটে গেছে, কিন্তু তুমি আসলে ঘুমাওনি। আমি মিথ্যা বলব না, এটা ৬+ ঘন্টার বেশি মাতাল ঘুমের চেয়ে ভালো মনে হয় না। এর অর্থ এই নয় যে এটি অপ্রয়োজনীয়, এর লক্ষ লক্ষ কারণ আছে যে এটি এখনও মূল্যবান। আমাকে নিজেকে মিথ্যা বলতে হবে না এবং বলতে হবে না যে আমি এখন মদ্যপানের চেয়ে ভালো বোধ করছি। এটি দ্বিতীয় দিনের শুরু... আমি আশা করি এটিই। আমি আশা করছি আমি ছুটি নিতে পারতাম। হয়তো আমি এক বা দুই ঘন্টা সময় ধরে ঘুমানোর জন্য কোনও অজুহাত খুঁজে বের করার চেষ্টা করব। আসলে কয়েক মাস ধরে আমাকে ছুটি নিতে হয়নি, তাই হয়তো এটি এত বড় ব্যাপার হবে না।</v>
      </c>
    </row>
    <row r="1655" spans="1:3" ht="15" x14ac:dyDescent="0.25">
      <c r="A1655" s="3" t="s">
        <v>1649</v>
      </c>
      <c r="B1655" s="3" t="s">
        <v>997</v>
      </c>
      <c r="C1655" s="4" t="str">
        <f ca="1">IFERROR(__xludf.DUMMYFUNCTION("GOOGLETRANSLATE(A1655, ""auto"", ""bn"")"),"আমি ২০ বছর বয়সী একজন মহিলা। আমি মদ্যপদের একটি দীর্ঘ সারির মানুষ, এবং দুর্ভাগ্যবশত এটি আমার মধ্যেও আছে। প্রায় এক মাস আগে আমার মায়ের সাথে দীর্ঘক্ষণ কথা হয়েছিল যেখানে তিনি আমাকে থামতে অনুরোধ করেছিলেন। এবং আমি প্রায় এক সপ্তাহ ধরে তা করেছিলাম। এই সপ্তাহান"&amp;"্তে আমার চাচা আমাকে থামতে অনুরোধ করেছিলেন এবং কোনও কারণে এটি কার্যকর হয়েছিল। সাহায্য, টিপস এবং কৌশলের পাশাপাশি কেবল সমর্থনের জন্য অপেক্ষা করছি। আমি জবাবদিহি করতে চাই এবং কিছু লোকের সাহায্য পেতে চাই! এটি বর্তমানে আমার জন্য দ্বিতীয় দিন।")</f>
        <v>আমি ২০ বছর বয়সী একজন মহিলা। আমি মদ্যপদের একটি দীর্ঘ সারির মানুষ, এবং দুর্ভাগ্যবশত এটি আমার মধ্যেও আছে। প্রায় এক মাস আগে আমার মায়ের সাথে দীর্ঘক্ষণ কথা হয়েছিল যেখানে তিনি আমাকে থামতে অনুরোধ করেছিলেন। এবং আমি প্রায় এক সপ্তাহ ধরে তা করেছিলাম। এই সপ্তাহান্তে আমার চাচা আমাকে থামতে অনুরোধ করেছিলেন এবং কোনও কারণে এটি কার্যকর হয়েছিল। সাহায্য, টিপস এবং কৌশলের পাশাপাশি কেবল সমর্থনের জন্য অপেক্ষা করছি। আমি জবাবদিহি করতে চাই এবং কিছু লোকের সাহায্য পেতে চাই! এটি বর্তমানে আমার জন্য দ্বিতীয় দিন।</v>
      </c>
    </row>
    <row r="1656" spans="1:3" ht="15" x14ac:dyDescent="0.25">
      <c r="A1656" s="3" t="s">
        <v>1650</v>
      </c>
      <c r="B1656" s="3" t="s">
        <v>997</v>
      </c>
      <c r="C1656" s="4" t="str">
        <f ca="1">IFERROR(__xludf.DUMMYFUNCTION("GOOGLETRANSLATE(A1656, ""auto"", ""bn"")"),"আমি আর সে প্রায় ৩ মাস ধরে ডেটিং করছিলাম। আমরা ভেঙে পড়ি কারণ আমি মজা করে বলেছিলাম যে আমি হ্যানসনের কভার ব্যান্ডে যাচ্ছি যখন আমি সিনেমা দেখতে যেতাম এবং তার বিশ্বাস ভঙ্গ করে তাকে প্রতারণা করার জন্য মুখিয়ে পড়তাম। সে ক্ষমা চাইছিল যা আমি করতে পারিনি কারণ এটা এত"&amp;"টাই নিরীহ ছিল যে আমি বুঝতে পারছিলাম না যে কেন সে এমন অনুভব করছে। অবশেষে আমরা সিদ্ধান্ত নিলাম যে আমরা সামঞ্জস্যপূর্ণ নই এবং সম্পর্ক ভেঙে ফেলব। আমি কখনোই কয়েক মাসের বেশি সম্পর্ক টিকিয়ে রাখতে পারব না। আমার বয়স ৩০ এর কোঠায়। তাছাড়া, এখন আমি নিজেকে ঘৃণায় ভরে"&amp;" গেছি। আমি শুধু কয়েকদিন ধরে নেশাগ্রস্ত থাকতে চাই। কিছু মানুষের সাথে কথা বলতে পারব।")</f>
        <v>আমি আর সে প্রায় ৩ মাস ধরে ডেটিং করছিলাম। আমরা ভেঙে পড়ি কারণ আমি মজা করে বলেছিলাম যে আমি হ্যানসনের কভার ব্যান্ডে যাচ্ছি যখন আমি সিনেমা দেখতে যেতাম এবং তার বিশ্বাস ভঙ্গ করে তাকে প্রতারণা করার জন্য মুখিয়ে পড়তাম। সে ক্ষমা চাইছিল যা আমি করতে পারিনি কারণ এটা এতটাই নিরীহ ছিল যে আমি বুঝতে পারছিলাম না যে কেন সে এমন অনুভব করছে। অবশেষে আমরা সিদ্ধান্ত নিলাম যে আমরা সামঞ্জস্যপূর্ণ নই এবং সম্পর্ক ভেঙে ফেলব। আমি কখনোই কয়েক মাসের বেশি সম্পর্ক টিকিয়ে রাখতে পারব না। আমার বয়স ৩০ এর কোঠায়। তাছাড়া, এখন আমি নিজেকে ঘৃণায় ভরে গেছি। আমি শুধু কয়েকদিন ধরে নেশাগ্রস্ত থাকতে চাই। কিছু মানুষের সাথে কথা বলতে পারব।</v>
      </c>
    </row>
    <row r="1657" spans="1:3" ht="15" x14ac:dyDescent="0.25">
      <c r="A1657" s="3" t="s">
        <v>1651</v>
      </c>
      <c r="B1657" s="3" t="s">
        <v>997</v>
      </c>
      <c r="C1657" s="4" t="str">
        <f ca="1">IFERROR(__xludf.DUMMYFUNCTION("GOOGLETRANSLATE(A1657, ""auto"", ""bn"")"),"আমি এখন পর্যন্ত ভালোই করছি, কিন্তু কি আমি তীব্র উদ্বেগের সাথে লড়াই করছি? আমার অ্যালকোহল খাওয়ার ইচ্ছা নেই, কিন্তু আজকের মতো দিনগুলিতে এটি যে প্রশান্তি দেয় তা আমি চাই। তাছাড়া, আমি জানি এটি কোনও সমাধান করবে না, তাই আমি INDY, কিন্তু আজ আমি মানসিকভাবে খুব "&amp;"কষ্ট পাচ্ছি। তোমরা সবাই কীভাবে লজ্জা এবং অপরাধবোধের সাথে মোকাবিলা করো যা তোমাদের পরিবারকে সহ্য করতে বাধ্য করেছে? আজ আমি এটা নিয়ে ভাবতে থামাতে পারছি না।")</f>
        <v>আমি এখন পর্যন্ত ভালোই করছি, কিন্তু কি আমি তীব্র উদ্বেগের সাথে লড়াই করছি? আমার অ্যালকোহল খাওয়ার ইচ্ছা নেই, কিন্তু আজকের মতো দিনগুলিতে এটি যে প্রশান্তি দেয় তা আমি চাই। তাছাড়া, আমি জানি এটি কোনও সমাধান করবে না, তাই আমি INDY, কিন্তু আজ আমি মানসিকভাবে খুব কষ্ট পাচ্ছি। তোমরা সবাই কীভাবে লজ্জা এবং অপরাধবোধের সাথে মোকাবিলা করো যা তোমাদের পরিবারকে সহ্য করতে বাধ্য করেছে? আজ আমি এটা নিয়ে ভাবতে থামাতে পারছি না।</v>
      </c>
    </row>
    <row r="1658" spans="1:3" ht="15" x14ac:dyDescent="0.25">
      <c r="A1658" s="3" t="s">
        <v>1652</v>
      </c>
      <c r="B1658" s="3" t="s">
        <v>997</v>
      </c>
      <c r="C1658" s="4" t="str">
        <f ca="1">IFERROR(__xludf.DUMMYFUNCTION("GOOGLETRANSLATE(A1658, ""auto"", ""bn"")"),"পাঁচ বছর আগে আমি এই কমিউনিটিতে যোগদানের উদ্দেশ্যে আমার প্রথম রেডডিট অ্যাকাউন্ট তৈরি করেছিলাম। এখানকার সহায়তা এবং বাস্তব জীবনের পরিবর্তনের মাধ্যমে আমি মদ্যপানের অপব্যবহার নিয়ন্ত্রণ করতে পেরেছি। সম্প্রতি এটি পরিবর্তিত হয়েছে। আমি সত্যিই জানি না কোথা থেকে "&amp;"এই স্বীকারোক্তি দিয়ে শুরু করব। মদ্যপান আমার জীবনে ফিরে এসেছে, বেশিরভাগ ক্ষেত্রেই কোনও বড় পরিণতি ছাড়াই। আমার স্ত্রী কখনও আমার সাথে একমত হননি যে আমার মদ্যপানের সমস্যা আছে। আমি যে থেরাপিস্টের সাথে কাজ করছিলাম তিনি কখনই নেতিবাচক প্রতিক্রিয়া দেখাননি যখন আম"&amp;"ি তাকে বলেছিলাম যে আমি আবার মদ্যপান শুরু করেছি। তিনি বলেছিলেন যতক্ষণ আমি পরীক্ষা করেছিলাম যে আমি কেন এটি খুঁজছি এবং কারণগুলি খারাপ ছিল না, ততক্ষণ ঠিক আছে। আমার মনে হয় তিনি চেয়েছিলেন যে আমি আমার অপরাধবোধ থেকে মুক্তি পাই। গতকাল একটি সুন্দর ""মিথ্যা বসন্ত"&amp;""" ছিল? আমি যেখানে থাকি সেই দিনটি। আমি দুপুরের খাবারের পরে মার্গারিটা খাওয়ার সিদ্ধান্ত নিয়েছিলাম, সাবধানে 3.5 আউন্স টাকিলা পরিমাপ করেছিলাম যাতে আমি দায়ী হতে পারি। এটি আমাকে সত্যিই খুব আঘাত করেছিল। এতটাই কঠিন যে আমি আরও একটির জন্য ফিরে গিয়েছিলাম। এবং আ"&amp;"মি কেবল দুটি পানীয়তেই থেমে গিয়েছিলাম। সমস্যা হল মধ্যরাতে আমি বুঝতে পারি যে আমি অজ্ঞান হয়ে পড়েছি এবং এটি সম্পর্কে কিছুই জানতাম না। মনে হচ্ছে আমি রাতের খাবার তৈরির মাঝখানে বাইরে গিয়েছিলাম এবং প্রায় এক ঘন্টা পরে ফিরে এসেছিলাম। আমি আবর্জনা পরীক্ষা করেছি"&amp;"লাম যে আমি আসলে আমার উভয় বাচ্চাদের জন্য খাবার তৈরি করেছি। আমার মনে নেই এটি তৈরি করা। তাছাড়া, আমার মনে আছে কাউন্টারে একটি বাটি বসে ভাবছিলাম, অথবা হয়তো জোরে জোরে বলেছিলাম, আরও একটি বাটি। তাছাড়া, আমার মনে আছে আমি আমার বাচ্চাদের ডেকেছিলাম এবং আমার ছেলের স"&amp;"াথে হেসেছিলাম কারণ সে সারাদিন বাইরে থাকার কারণে খুব ক্লান্ত ছিল। ""বাচ্চারা ঠিক তাই করে!"" আমার মনে আছে আমি তাকে বলেছিলাম। আমার বাচ্চাদের খাওয়া বা থালাগুলি সরিয়ে রাখার কথা মনে নেই। তাছাড়া, আমি জানি আমি আমার অন্য বাচ্চাকে বাইরে কাপ নিতে এবং তাদের স্নান "&amp;"করতে বলেছিলাম। তাছাড়া, আমি জানি না আমরা কী নিয়ে কথা বলেছিলাম বা আমি আদৌ কথা বলেছিলাম কিনা। এই মুহূর্তে মনে হয়েছিল যেন আমি সারাদিন স্বাভাবিক ছিলাম। আমি সম্পূর্ণরূপে নিজের মনে ফিরে এসেছি যখন আমার স্বামী বাড়িতে এসে দাঁত ব্রাশ করতে উঠেছিল শুনে আমি সোফায় "&amp;"শুয়েছিলাম। বাকি রাত আমার মনে আছে। মাঝরাতে কাঁপতে কাঁপতে ঘুম থেকে ওঠার পরই বুঝতে পারলাম যে আমি রান্না মনে করতে পারছি না। যাই হোক। আমি এটা অনেকবার করেছি, তাই আমি জানি যে এর কোনও পরিবর্তন হবে না এবং আমি যা করতে পারি তা হল এগিয়ে যাওয়া এবং আরও ভালো হওয়া। এ"&amp;"খন আমার আবার সংযমের প্রতি প্রতিশ্রুতিবদ্ধ হওয়ার সময়। আজ আমি তোমার সাথে মদ্যপান করব না।")</f>
        <v>পাঁচ বছর আগে আমি এই কমিউনিটিতে যোগদানের উদ্দেশ্যে আমার প্রথম রেডডিট অ্যাকাউন্ট তৈরি করেছিলাম। এখানকার সহায়তা এবং বাস্তব জীবনের পরিবর্তনের মাধ্যমে আমি মদ্যপানের অপব্যবহার নিয়ন্ত্রণ করতে পেরেছি। সম্প্রতি এটি পরিবর্তিত হয়েছে। আমি সত্যিই জানি না কোথা থেকে এই স্বীকারোক্তি দিয়ে শুরু করব। মদ্যপান আমার জীবনে ফিরে এসেছে, বেশিরভাগ ক্ষেত্রেই কোনও বড় পরিণতি ছাড়াই। আমার স্ত্রী কখনও আমার সাথে একমত হননি যে আমার মদ্যপানের সমস্যা আছে। আমি যে থেরাপিস্টের সাথে কাজ করছিলাম তিনি কখনই নেতিবাচক প্রতিক্রিয়া দেখাননি যখন আমি তাকে বলেছিলাম যে আমি আবার মদ্যপান শুরু করেছি। তিনি বলেছিলেন যতক্ষণ আমি পরীক্ষা করেছিলাম যে আমি কেন এটি খুঁজছি এবং কারণগুলি খারাপ ছিল না, ততক্ষণ ঠিক আছে। আমার মনে হয় তিনি চেয়েছিলেন যে আমি আমার অপরাধবোধ থেকে মুক্তি পাই। গতকাল একটি সুন্দর "মিথ্যা বসন্ত" ছিল? আমি যেখানে থাকি সেই দিনটি। আমি দুপুরের খাবারের পরে মার্গারিটা খাওয়ার সিদ্ধান্ত নিয়েছিলাম, সাবধানে 3.5 আউন্স টাকিলা পরিমাপ করেছিলাম যাতে আমি দায়ী হতে পারি। এটি আমাকে সত্যিই খুব আঘাত করেছিল। এতটাই কঠিন যে আমি আরও একটির জন্য ফিরে গিয়েছিলাম। এবং আমি কেবল দুটি পানীয়তেই থেমে গিয়েছিলাম। সমস্যা হল মধ্যরাতে আমি বুঝতে পারি যে আমি অজ্ঞান হয়ে পড়েছি এবং এটি সম্পর্কে কিছুই জানতাম না। মনে হচ্ছে আমি রাতের খাবার তৈরির মাঝখানে বাইরে গিয়েছিলাম এবং প্রায় এক ঘন্টা পরে ফিরে এসেছিলাম। আমি আবর্জনা পরীক্ষা করেছিলাম যে আমি আসলে আমার উভয় বাচ্চাদের জন্য খাবার তৈরি করেছি। আমার মনে নেই এটি তৈরি করা। তাছাড়া, আমার মনে আছে কাউন্টারে একটি বাটি বসে ভাবছিলাম, অথবা হয়তো জোরে জোরে বলেছিলাম, আরও একটি বাটি। তাছাড়া, আমার মনে আছে আমি আমার বাচ্চাদের ডেকেছিলাম এবং আমার ছেলের সাথে হেসেছিলাম কারণ সে সারাদিন বাইরে থাকার কারণে খুব ক্লান্ত ছিল। "বাচ্চারা ঠিক তাই করে!" আমার মনে আছে আমি তাকে বলেছিলাম। আমার বাচ্চাদের খাওয়া বা থালাগুলি সরিয়ে রাখার কথা মনে নেই। তাছাড়া, আমি জানি আমি আমার অন্য বাচ্চাকে বাইরে কাপ নিতে এবং তাদের স্নান করতে বলেছিলাম। তাছাড়া, আমি জানি না আমরা কী নিয়ে কথা বলেছিলাম বা আমি আদৌ কথা বলেছিলাম কিনা। এই মুহূর্তে মনে হয়েছিল যেন আমি সারাদিন স্বাভাবিক ছিলাম। আমি সম্পূর্ণরূপে নিজের মনে ফিরে এসেছি যখন আমার স্বামী বাড়িতে এসে দাঁত ব্রাশ করতে উঠেছিল শুনে আমি সোফায় শুয়েছিলাম। বাকি রাত আমার মনে আছে। মাঝরাতে কাঁপতে কাঁপতে ঘুম থেকে ওঠার পরই বুঝতে পারলাম যে আমি রান্না মনে করতে পারছি না। যাই হোক। আমি এটা অনেকবার করেছি, তাই আমি জানি যে এর কোনও পরিবর্তন হবে না এবং আমি যা করতে পারি তা হল এগিয়ে যাওয়া এবং আরও ভালো হওয়া। এখন আমার আবার সংযমের প্রতি প্রতিশ্রুতিবদ্ধ হওয়ার সময়। আজ আমি তোমার সাথে মদ্যপান করব না।</v>
      </c>
    </row>
    <row r="1659" spans="1:3" ht="15" x14ac:dyDescent="0.25">
      <c r="A1659" s="3" t="s">
        <v>1653</v>
      </c>
      <c r="B1659" s="3" t="s">
        <v>997</v>
      </c>
      <c r="C1659" s="4" t="str">
        <f ca="1">IFERROR(__xludf.DUMMYFUNCTION("GOOGLETRANSLATE(A1659, ""auto"", ""bn"")"),"তোমরা সবাই, আমরা ২-৩ দিন তুষারপাতের আশা করছি, আর আমাকে হিসেব করতে হয়নি যে তুষারপাতের জন্য আমার কতটা মদ লাগবে। আমি কিছু ঝলমলে জল পেয়েছি, কিন্তু সেগুলো মদের দামের একটি অংশ এবং আমি পরিমাণের তুলনায় অনেক কম পান করি। আমার মনে আছে তুষার ঝড়ের শুরুতে আরও মদ পে"&amp;"তে আমি ১/২ মাইল দূরে (যখন গুঞ্জন চলছিল) দোকানে দৌড়ে গিয়েছিলাম (গাড়ি চালিয়ে) এবং কোনওভাবে বরফ ঢাকা পাহাড়ে উঠতে হয়েছিল। খুবই বিপজ্জনক! সত্যিই বোকা। আমি যদি সুস্থ থাকতাম তবে আমি কখনই এটা করতাম না। এখন যেহেতু আমি সুস্থ, তাই এই ধরনের পরিস্থিতিতে ডুব দেওয"&amp;"়ার কোনও উপায় নেই।")</f>
        <v>তোমরা সবাই, আমরা ২-৩ দিন তুষারপাতের আশা করছি, আর আমাকে হিসেব করতে হয়নি যে তুষারপাতের জন্য আমার কতটা মদ লাগবে। আমি কিছু ঝলমলে জল পেয়েছি, কিন্তু সেগুলো মদের দামের একটি অংশ এবং আমি পরিমাণের তুলনায় অনেক কম পান করি। আমার মনে আছে তুষার ঝড়ের শুরুতে আরও মদ পেতে আমি ১/২ মাইল দূরে (যখন গুঞ্জন চলছিল) দোকানে দৌড়ে গিয়েছিলাম (গাড়ি চালিয়ে) এবং কোনওভাবে বরফ ঢাকা পাহাড়ে উঠতে হয়েছিল। খুবই বিপজ্জনক! সত্যিই বোকা। আমি যদি সুস্থ থাকতাম তবে আমি কখনই এটা করতাম না। এখন যেহেতু আমি সুস্থ, তাই এই ধরনের পরিস্থিতিতে ডুব দেওয়ার কোনও উপায় নেই।</v>
      </c>
    </row>
    <row r="1660" spans="1:3" ht="15" x14ac:dyDescent="0.25">
      <c r="A1660" s="3" t="s">
        <v>1654</v>
      </c>
      <c r="B1660" s="3" t="s">
        <v>997</v>
      </c>
      <c r="C1660" s="4" t="str">
        <f ca="1">IFERROR(__xludf.DUMMYFUNCTION("GOOGLETRANSLATE(A1660, ""auto"", ""bn"")"),"গতকাল আমি মদ্যপান করেছি। পড়ে গিয়েছিলাম কিন্তু আজ সকালে আবার উঠেছি। যতক্ষণ আমরা শ্বাস নিচ্ছি, আমরা হাল ছাড়ি না। আবার চেষ্টা করে দেখি।")</f>
        <v>গতকাল আমি মদ্যপান করেছি। পড়ে গিয়েছিলাম কিন্তু আজ সকালে আবার উঠেছি। যতক্ষণ আমরা শ্বাস নিচ্ছি, আমরা হাল ছাড়ি না। আবার চেষ্টা করে দেখি।</v>
      </c>
    </row>
    <row r="1661" spans="1:3" ht="15" x14ac:dyDescent="0.25">
      <c r="A1661" s="3" t="s">
        <v>1655</v>
      </c>
      <c r="B1661" s="3" t="s">
        <v>997</v>
      </c>
      <c r="C1661" s="4" t="str">
        <f ca="1">IFERROR(__xludf.DUMMYFUNCTION("GOOGLETRANSLATE(A1661, ""auto"", ""bn"")"),"প্রতিটি দিনই নতুন দিন, নতুন শুরু। কাগজে কলমে সব উজ্জ্বল এবং গৌরবময় মনে হয়। না, এটা সেই দিনের কথা নয়। প্রতিবার যখন আমি কোনও মাইলফলক স্পর্শ করি তখনই এই বিরক্তি আসে। ""হ্যাঁ, আমি এটা করেছি!"" এবং তারপর আমি অজানা অঞ্চলে। ৬৯ বছর বয়সের পর এই সময়টা আমি আগেও করেছ"&amp;"ি। কিন্তু এর চেয়েও অনেক বেশি... আমার সেরাটা ছিল গত বছর ৭৮ দিন। পরের সপ্তাহে আমার ছুটি আছে, তাই আমি ৯০ এবং ১০০ দিনের জন্য মোটামুটি নিরাপদ। কিন্তু। তখন কেমন বোধ করব সেই চিন্তা। ""এখন কী?"" এই পুনরুদ্ধার, অন্তত, এখন পর্যন্ত সবচেয়ে সহজ ছিল। দুই পুনরুদ্ধার আ"&amp;"গে, আমি এখনও ""কীভাবে পুনরুদ্ধার করব"" কৌশল তৈরি করছিলাম। শেষ পুনরুদ্ধারে, আমাকে সেই ধীরে ধীরে তৈরি হওয়া অভ্যাসগুলিতে ফিরে যাওয়ার চেষ্টা করা হয়েছিল। এবং এই পুনরুদ্ধার, এটি সেই সাফল্যের উপর ভিত্তি করে তৈরি হচ্ছে। কিন্তু এখন, আমি নিশ্চিত নই কোথায় যাব। ম"&amp;"িথ্যা বলব না, আমার অবশ্যই ""বেঁচে থাকার অর্থ কী"" ফিসফিসানি আছে। ""আমি কোথায় যাচ্ছি?"" ""আচ্ছা, যদি আমি এটা সামলাতে না পারি, তাহলে আমি সবসময় নিজেকেই বাঁচাতে পারি।"" আমার বিষণ্ণতা পঙ্গু করে দিচ্ছে না, তবে আমি সবসময় অনধিকারমূলক চিন্তাভাবনার সন্ধানে থাকি।"&amp;" (যদি বলা হয়, পেরি ভদকা থাকাকালীন আমার বিষণ্ণতা অনেক বেশি ছিল। আমি এখন প্রায় মানসিকভাবে স্থিতিশীল!) আমার কোনও আকাঙ্ক্ষা নেই। কিন্তু শেষবারের মতো রিল্যাপসের আগেও আমার কোনও আকাঙ্ক্ষা ছিল না। যতক্ষণ না আমার আকাঙ্ক্ষা ছিল। আমি জানতাম এটি একটি অতিরিক্ত মাত্র"&amp;"ায় হবে, সেই এক শট মানে এক ডজন, কিন্তু আমি তা করেছিলাম। তাই যদি আমি একজোড়া 'শূন্যতা'র মতো শোনাই তবে আমাকে ক্ষমা করুন। আমি জানি ডে কাউন্টস ভীতিকর হতে পারে, তবে আমি সামগ্রিকভাবে মনে করি এখানে কোনও গেটকিপিং নেই। মনে রাখবেন, অভিজ্ঞ সমারসল্ট এবং যারা শান্ত কৌ"&amp;"তূহলী: আমরা সবাই একই ভাগ্য থেকে এক শট দূরে।")</f>
        <v>প্রতিটি দিনই নতুন দিন, নতুন শুরু। কাগজে কলমে সব উজ্জ্বল এবং গৌরবময় মনে হয়। না, এটা সেই দিনের কথা নয়। প্রতিবার যখন আমি কোনও মাইলফলক স্পর্শ করি তখনই এই বিরক্তি আসে। "হ্যাঁ, আমি এটা করেছি!" এবং তারপর আমি অজানা অঞ্চলে। ৬৯ বছর বয়সের পর এই সময়টা আমি আগেও করেছি। কিন্তু এর চেয়েও অনেক বেশি... আমার সেরাটা ছিল গত বছর ৭৮ দিন। পরের সপ্তাহে আমার ছুটি আছে, তাই আমি ৯০ এবং ১০০ দিনের জন্য মোটামুটি নিরাপদ। কিন্তু। তখন কেমন বোধ করব সেই চিন্তা। "এখন কী?" এই পুনরুদ্ধার, অন্তত, এখন পর্যন্ত সবচেয়ে সহজ ছিল। দুই পুনরুদ্ধার আগে, আমি এখনও "কীভাবে পুনরুদ্ধার করব" কৌশল তৈরি করছিলাম। শেষ পুনরুদ্ধারে, আমাকে সেই ধীরে ধীরে তৈরি হওয়া অভ্যাসগুলিতে ফিরে যাওয়ার চেষ্টা করা হয়েছিল। এবং এই পুনরুদ্ধার, এটি সেই সাফল্যের উপর ভিত্তি করে তৈরি হচ্ছে। কিন্তু এখন, আমি নিশ্চিত নই কোথায় যাব। মিথ্যা বলব না, আমার অবশ্যই "বেঁচে থাকার অর্থ কী" ফিসফিসানি আছে। "আমি কোথায় যাচ্ছি?" "আচ্ছা, যদি আমি এটা সামলাতে না পারি, তাহলে আমি সবসময় নিজেকেই বাঁচাতে পারি।" আমার বিষণ্ণতা পঙ্গু করে দিচ্ছে না, তবে আমি সবসময় অনধিকারমূলক চিন্তাভাবনার সন্ধানে থাকি। (যদি বলা হয়, পেরি ভদকা থাকাকালীন আমার বিষণ্ণতা অনেক বেশি ছিল। আমি এখন প্রায় মানসিকভাবে স্থিতিশীল!) আমার কোনও আকাঙ্ক্ষা নেই। কিন্তু শেষবারের মতো রিল্যাপসের আগেও আমার কোনও আকাঙ্ক্ষা ছিল না। যতক্ষণ না আমার আকাঙ্ক্ষা ছিল। আমি জানতাম এটি একটি অতিরিক্ত মাত্রায় হবে, সেই এক শট মানে এক ডজন, কিন্তু আমি তা করেছিলাম। তাই যদি আমি একজোড়া 'শূন্যতা'র মতো শোনাই তবে আমাকে ক্ষমা করুন। আমি জানি ডে কাউন্টস ভীতিকর হতে পারে, তবে আমি সামগ্রিকভাবে মনে করি এখানে কোনও গেটকিপিং নেই। মনে রাখবেন, অভিজ্ঞ সমারসল্ট এবং যারা শান্ত কৌতূহলী: আমরা সবাই একই ভাগ্য থেকে এক শট দূরে।</v>
      </c>
    </row>
    <row r="1662" spans="1:3" ht="15" x14ac:dyDescent="0.25">
      <c r="A1662" s="3" t="s">
        <v>1656</v>
      </c>
      <c r="B1662" s="3" t="s">
        <v>997</v>
      </c>
      <c r="C1662" s="4" t="str">
        <f ca="1">IFERROR(__xludf.DUMMYFUNCTION("GOOGLETRANSLATE(A1662, ""auto"", ""bn"")"),"গতকাল একজন মাদকাসক্তি পরামর্শদাতার সাথে আমার প্রথম সেশন হয়েছিল এবং আমার মনে হয় এটি বেশ ভালোই হয়েছে! আমি নালট্রেক্সোন শুরু করছি এবং ধীরে ধীরে আমার মদ্যপান কমিয়ে আনব। তাছাড়া, আগামী সপ্তাহে আমার আরেকটি অ্যাপয়েন্টমেন্ট আছে। আমি একজন সাইকোথেরাপিস্ট এবং এক"&amp;"জন নতুন মনোরোগ বিশেষজ্ঞের খোঁজেও ব্যস্ত। আমার জীবনকে একত্রিত করতে শুরু করতে পেরে আমি সত্যিই খুব উত্তেজিত!!")</f>
        <v>গতকাল একজন মাদকাসক্তি পরামর্শদাতার সাথে আমার প্রথম সেশন হয়েছিল এবং আমার মনে হয় এটি বেশ ভালোই হয়েছে! আমি নালট্রেক্সোন শুরু করছি এবং ধীরে ধীরে আমার মদ্যপান কমিয়ে আনব। তাছাড়া, আগামী সপ্তাহে আমার আরেকটি অ্যাপয়েন্টমেন্ট আছে। আমি একজন সাইকোথেরাপিস্ট এবং একজন নতুন মনোরোগ বিশেষজ্ঞের খোঁজেও ব্যস্ত। আমার জীবনকে একত্রিত করতে শুরু করতে পেরে আমি সত্যিই খুব উত্তেজিত!!</v>
      </c>
    </row>
    <row r="1663" spans="1:3" ht="15" x14ac:dyDescent="0.25">
      <c r="A1663" s="3" t="s">
        <v>1657</v>
      </c>
      <c r="B1663" s="3" t="s">
        <v>997</v>
      </c>
      <c r="C1663" s="4" t="str">
        <f ca="1">IFERROR(__xludf.DUMMYFUNCTION("GOOGLETRANSLATE(A1663, ""auto"", ""bn"")"),"বছরের পর বছর ধরে আমার কোনও সমস্যা নেই বলে যুক্তি দেখানোর পর, অবশেষে আমি সংযম অবলম্বন করার চেষ্টা করব বলে মনে হচ্ছে। রবিবার সন্ধ্যা ৭টায় আমি ঘুম থেকে উঠে ঘুমিয়ে পড়েছিলাম এবং সন্ধ্যার বাকি সময়টা আর মনে নেই। তাছাড়া, আমার খুব খারাপ লাগছে। শহরে আমাদের সঙ্"&amp;"গ ছিল এবং আমি তাদের সব সময়ই ঘুম থেকে তুলেছিলাম। আমার মনে হয় এটাই আমার ঘুম ভাঙানোর জন্য প্রয়োজনীয় ডাক? প্রথম কয়েক সপ্তাহের জন্য কোন পরামর্শ?")</f>
        <v>বছরের পর বছর ধরে আমার কোনও সমস্যা নেই বলে যুক্তি দেখানোর পর, অবশেষে আমি সংযম অবলম্বন করার চেষ্টা করব বলে মনে হচ্ছে। রবিবার সন্ধ্যা ৭টায় আমি ঘুম থেকে উঠে ঘুমিয়ে পড়েছিলাম এবং সন্ধ্যার বাকি সময়টা আর মনে নেই। তাছাড়া, আমার খুব খারাপ লাগছে। শহরে আমাদের সঙ্গ ছিল এবং আমি তাদের সব সময়ই ঘুম থেকে তুলেছিলাম। আমার মনে হয় এটাই আমার ঘুম ভাঙানোর জন্য প্রয়োজনীয় ডাক? প্রথম কয়েক সপ্তাহের জন্য কোন পরামর্শ?</v>
      </c>
    </row>
    <row r="1664" spans="1:3" ht="15" x14ac:dyDescent="0.25">
      <c r="A1664" s="3" t="s">
        <v>1658</v>
      </c>
      <c r="B1664" s="3" t="s">
        <v>997</v>
      </c>
      <c r="C1664" s="4" t="str">
        <f ca="1">IFERROR(__xludf.DUMMYFUNCTION("GOOGLETRANSLATE(A1664, ""auto"", ""bn"")"),"যদি অ্যালকোহল এতই ভক্ত-প্রেমী হয়, তাহলে আমাদের অনেকেই কেন এখানে ফিরে আসে? স্পষ্টতই আমরা সেখানে আমাদের চাহিদা পূরণ করছি না। তবুও আমাদের মধ্যে কেউ কেউ এখনও মনে করে যে আমরা মিস করছি। আমি আবার ""প্রথম দিন"" দেখছি? আজকের পোস্ট - আমি আমাদের বেশিরভাগের জন্যই বে"&amp;"শ কিছু লেখার জন্য অর্থ ব্যয় করতাম। আমার নিজেকে মনে করিয়ে দেওয়া উচিত যে আমি যদি সত্যিই মিস করি তবে কেন আমি এখানে ফিরে আসি। আমি যখন মদ্যপান করিনি তখন আমার সবচেয়ে ভালো অনুভূতি হয়েছিল। নিজের উপর গর্ব করা যেকোনো পানীয়ের প্রস্তাবের চেয়ে ভালো।")</f>
        <v>যদি অ্যালকোহল এতই ভক্ত-প্রেমী হয়, তাহলে আমাদের অনেকেই কেন এখানে ফিরে আসে? স্পষ্টতই আমরা সেখানে আমাদের চাহিদা পূরণ করছি না। তবুও আমাদের মধ্যে কেউ কেউ এখনও মনে করে যে আমরা মিস করছি। আমি আবার "প্রথম দিন" দেখছি? আজকের পোস্ট - আমি আমাদের বেশিরভাগের জন্যই বেশ কিছু লেখার জন্য অর্থ ব্যয় করতাম। আমার নিজেকে মনে করিয়ে দেওয়া উচিত যে আমি যদি সত্যিই মিস করি তবে কেন আমি এখানে ফিরে আসি। আমি যখন মদ্যপান করিনি তখন আমার সবচেয়ে ভালো অনুভূতি হয়েছিল। নিজের উপর গর্ব করা যেকোনো পানীয়ের প্রস্তাবের চেয়ে ভালো।</v>
      </c>
    </row>
    <row r="1665" spans="1:3" ht="15" x14ac:dyDescent="0.25">
      <c r="A1665" s="3" t="s">
        <v>1659</v>
      </c>
      <c r="B1665" s="3" t="s">
        <v>997</v>
      </c>
      <c r="C1665" s="4" t="str">
        <f ca="1">IFERROR(__xludf.DUMMYFUNCTION("GOOGLETRANSLATE(A1665, ""auto"", ""bn"")"),"এটার কোন মূল্য নেই। আমি জানি না কেন আমার কখনো এমনটা মনে হয়েছিল। আমি জানি না কেন কয়েকদিন পান না করার পর আমার মস্তিষ্ক মনে করে যে পান করলে সবকিছু এত ""মজাদার"" হয়ে যাবে? এবং দারুন। তা নয়। গত কয়েক সপ্তাহ ধরে, প্রতি সোমবার আমি কাজে যাই, বিশেষ করে রবিবার "&amp;"রাত থেকে ক্লান্ত, আমার মনে হয়, আমি চাই না আমার সকালটা আর এমন হোক। গত সপ্তাহে আমি ৪-৫ দিন ধরে কোনও মদ্যপান করিনি, ভ্যালেন্টাইনে এক বোতল ওয়াইন এবং কিছু পান করেছি, পরের দিন খুব খারাপ অনুভূতি নিয়ে কাজে গিয়েছিলাম। সিদ্ধান্ত নিয়েছিলাম যে তখনও তাই। রাষ্ট্রপ"&amp;"তি দিবস পর্যন্ত এক সপ্তাহ কেটে গেছে, অনেক বিয়ার খেয়েছি, এবং এখন আমি এখানে। ক্লান্ত, ক্লান্ত, অস্থির, অপ্রস্তুত, আমি অপ্রস্তুত বোধ করছি। এবং আমি আমার নিতম্বকে কাজে টেনে নিয়ে যাব যেখানে আমাকে পড়াতে হবে (দিনটি কাটানোর চেষ্টা করে কোথাও কফি নিয়ে বসে থাকা "&amp;"যাবে না, না, আমি শত শত ছাত্রের সামনে ""চালু"" এবং উদ্যমী থাকব যখন আমি মৃত্যুর মতো অনুভব করব)। আমি স্পষ্ট করে বলছি যে আর এটা করতে চাই না।")</f>
        <v>এটার কোন মূল্য নেই। আমি জানি না কেন আমার কখনো এমনটা মনে হয়েছিল। আমি জানি না কেন কয়েকদিন পান না করার পর আমার মস্তিষ্ক মনে করে যে পান করলে সবকিছু এত "মজাদার" হয়ে যাবে? এবং দারুন। তা নয়। গত কয়েক সপ্তাহ ধরে, প্রতি সোমবার আমি কাজে যাই, বিশেষ করে রবিবার রাত থেকে ক্লান্ত, আমার মনে হয়, আমি চাই না আমার সকালটা আর এমন হোক। গত সপ্তাহে আমি ৪-৫ দিন ধরে কোনও মদ্যপান করিনি, ভ্যালেন্টাইনে এক বোতল ওয়াইন এবং কিছু পান করেছি, পরের দিন খুব খারাপ অনুভূতি নিয়ে কাজে গিয়েছিলাম। সিদ্ধান্ত নিয়েছিলাম যে তখনও তাই। রাষ্ট্রপতি দিবস পর্যন্ত এক সপ্তাহ কেটে গেছে, অনেক বিয়ার খেয়েছি, এবং এখন আমি এখানে। ক্লান্ত, ক্লান্ত, অস্থির, অপ্রস্তুত, আমি অপ্রস্তুত বোধ করছি। এবং আমি আমার নিতম্বকে কাজে টেনে নিয়ে যাব যেখানে আমাকে পড়াতে হবে (দিনটি কাটানোর চেষ্টা করে কোথাও কফি নিয়ে বসে থাকা যাবে না, না, আমি শত শত ছাত্রের সামনে "চালু" এবং উদ্যমী থাকব যখন আমি মৃত্যুর মতো অনুভব করব)। আমি স্পষ্ট করে বলছি যে আর এটা করতে চাই না।</v>
      </c>
    </row>
    <row r="1666" spans="1:3" ht="15" x14ac:dyDescent="0.25">
      <c r="A1666" s="3" t="s">
        <v>1660</v>
      </c>
      <c r="B1666" s="3" t="s">
        <v>997</v>
      </c>
      <c r="C1666" s="4" t="str">
        <f ca="1">IFERROR(__xludf.DUMMYFUNCTION("GOOGLETRANSLATE(A1666, ""auto"", ""bn"")"),"আমি এমন একটি শহরে থাকি যেখানে প্যাটিওতে মদ্যপান/ব্রঞ্চ একটি বড় অনুষ্ঠান এবং আমি অনেক বছর ধরে মাতাল হয়ে খারাপ সিদ্ধান্ত নেওয়ার জন্য এটিকে আরেকটি অজুহাত হিসেবে ব্যবহার করে আসছি। এখানে একটি উষ্ণ সপ্তাহ, এবং আমি এমন একটি পাড়ায় থাকি যেখানে প্যাটিও এবং রেস"&amp;"্তোরাঁয় ভরা ছিল এবং টেবিলগুলি রবিবারের এই সপ্তাহান্তে লোকেদের দ্বারা পরিপূর্ণ ছিল, যারা আন্তরিকভাবে হাসছিল, তাদের গ্লাস ঝাঁকছিল এবং রোদ উপভোগ করছিল। এবং আমি তোমাদের সকলকে ঈর্ষা করছিলাম। ১৫ জানুয়ারী মদ্যপান ছেড়ে দেওয়ার পর প্রথমবারের মতো আমি কেবল ""eff "&amp;"it"" বলতে, আমার স্বামীর সাথে একটি টেবিল ধরতে এবং মজাতে যোগ দিতে এতটাই লোভিত হয়েছিলাম! কিন্তু আমি এখানে অনেকবার পড়েছি বলে আমি ""টেপটি এগিয়ে দিয়েছি""। আমার রবিবার রাতের অনুষ্ঠান দেখার জন্য বাড়ি ফেরার পথে আমি কীভাবে থামতে এবং চ্যাম্পের আরও একটি বোতল নিত"&amp;"ে চাই। আমি কীভাবে আবর্জনার মতো ঘুমাবো। এই সপ্তাহে কর্মক্ষেত্রে আমার কেমন লাগবে। আমি যে বন্যের ডাকে নতি স্বীকার করেছি তা আমার কতটা ঘৃণা হবে। সংযত হওয়া আমাকে আবার ভাবতে বাধ্য করছে যে আমি কার সাথে সময় কাটিয়েছি, আমরা কখনই মদ্যপান ছাড়া কিছুই করতাম না, প্রতি রব"&amp;"িবার যে টাকাগুলো আমি নষ্ট করে দিতাম, তার সবই নষ্ট হয়ে যেত, মানে এটা আমাদের পরিচয়েরই অংশ ছিল। আমার পুরনো ফেসবুক পোস্টগুলো পড়ে দেখি, আমার ""বন্ধুদের"" সাথে সবসময় হাতে একটা পানীয় থাকতো। অনিবার্যভাবে কেউ একজন পুরুষের জন্য কাঁদতো। একবার আমি দেখলাম একজন পরিচিত"&amp;" ব্যক্তি জনসমক্ষে তার বাচ্চাদের উপর চিৎকার করছে এবং তার প্রাক্তন স্বামীকে তাদের তুলে নিতে ডাকতে হচ্ছে - তারা কাঁদছিল, তাদের মাকে মদ্যপান বন্ধ করার জন্য অনুরোধ করছিল। এটা খুবই দুঃখজনক ছিল। কিন্তু আমরা কখনও মদ্যপানকে দোষারোপ করিনি। ওহ, না, তুমি সেখানে যেতে "&amp;"পারো না। তার শুধু নিজেকে সামলাতে শেখার দরকার ছিল। আরেকবার রবিবারের দিন আমি রেস্তোরাঁর বাথরুমে সমস্ত মিমোসা ভেঙে অসুস্থ হয়ে পড়ার পর টাকিলা খেয়েছিলাম। উত্কৃষ্ট। আর একবার আমি বুদ্ধিমানের মতো সিদ্ধান্ত নিলাম যে আমার FWB-এর সাথে ব্রাঞ্চে মাতাল হয়ে যাই, বারে"&amp;" কারো বাচ্চাকে তুলে নিই, তাকে আমাকে সেখানে রেখে দেই (শিশুটিকে না, হা হা) এবং তাকে অবিরাম মেসেজ করে বিনা আমন্ত্রণে তার বাড়িতে হাজির হই। তার রুমমেটরা আমাকে ক্যাব ডেকে আমাকে চলে যেতে বলে। এরপর আমাকে সর্বত্র ব্লক করা হয়েছিল। রবিবারে মাতাল হয়ে নিজেকে যে বোকা"&amp;"মি করে বিব্রত করেছিলাম তার কথা ভাবলে এখনও আমার কান্না আসে। কিন্তু এই সপ্তাহান্তে আমি সত্যিই এটা করতে চেয়েছিলাম। আমি খুশি যে আমি তা করিনি।")</f>
        <v>আমি এমন একটি শহরে থাকি যেখানে প্যাটিওতে মদ্যপান/ব্রঞ্চ একটি বড় অনুষ্ঠান এবং আমি অনেক বছর ধরে মাতাল হয়ে খারাপ সিদ্ধান্ত নেওয়ার জন্য এটিকে আরেকটি অজুহাত হিসেবে ব্যবহার করে আসছি। এখানে একটি উষ্ণ সপ্তাহ, এবং আমি এমন একটি পাড়ায় থাকি যেখানে প্যাটিও এবং রেস্তোরাঁয় ভরা ছিল এবং টেবিলগুলি রবিবারের এই সপ্তাহান্তে লোকেদের দ্বারা পরিপূর্ণ ছিল, যারা আন্তরিকভাবে হাসছিল, তাদের গ্লাস ঝাঁকছিল এবং রোদ উপভোগ করছিল। এবং আমি তোমাদের সকলকে ঈর্ষা করছিলাম। ১৫ জানুয়ারী মদ্যপান ছেড়ে দেওয়ার পর প্রথমবারের মতো আমি কেবল "eff it" বলতে, আমার স্বামীর সাথে একটি টেবিল ধরতে এবং মজাতে যোগ দিতে এতটাই লোভিত হয়েছিলাম! কিন্তু আমি এখানে অনেকবার পড়েছি বলে আমি "টেপটি এগিয়ে দিয়েছি"। আমার রবিবার রাতের অনুষ্ঠান দেখার জন্য বাড়ি ফেরার পথে আমি কীভাবে থামতে এবং চ্যাম্পের আরও একটি বোতল নিতে চাই। আমি কীভাবে আবর্জনার মতো ঘুমাবো। এই সপ্তাহে কর্মক্ষেত্রে আমার কেমন লাগবে। আমি যে বন্যের ডাকে নতি স্বীকার করেছি তা আমার কতটা ঘৃণা হবে। সংযত হওয়া আমাকে আবার ভাবতে বাধ্য করছে যে আমি কার সাথে সময় কাটিয়েছি, আমরা কখনই মদ্যপান ছাড়া কিছুই করতাম না, প্রতি রবিবার যে টাকাগুলো আমি নষ্ট করে দিতাম, তার সবই নষ্ট হয়ে যেত, মানে এটা আমাদের পরিচয়েরই অংশ ছিল। আমার পুরনো ফেসবুক পোস্টগুলো পড়ে দেখি, আমার "বন্ধুদের" সাথে সবসময় হাতে একটা পানীয় থাকতো। অনিবার্যভাবে কেউ একজন পুরুষের জন্য কাঁদতো। একবার আমি দেখলাম একজন পরিচিত ব্যক্তি জনসমক্ষে তার বাচ্চাদের উপর চিৎকার করছে এবং তার প্রাক্তন স্বামীকে তাদের তুলে নিতে ডাকতে হচ্ছে - তারা কাঁদছিল, তাদের মাকে মদ্যপান বন্ধ করার জন্য অনুরোধ করছিল। এটা খুবই দুঃখজনক ছিল। কিন্তু আমরা কখনও মদ্যপানকে দোষারোপ করিনি। ওহ, না, তুমি সেখানে যেতে পারো না। তার শুধু নিজেকে সামলাতে শেখার দরকার ছিল। আরেকবার রবিবারের দিন আমি রেস্তোরাঁর বাথরুমে সমস্ত মিমোসা ভেঙে অসুস্থ হয়ে পড়ার পর টাকিলা খেয়েছিলাম। উত্কৃষ্ট। আর একবার আমি বুদ্ধিমানের মতো সিদ্ধান্ত নিলাম যে আমার FWB-এর সাথে ব্রাঞ্চে মাতাল হয়ে যাই, বারে কারো বাচ্চাকে তুলে নিই, তাকে আমাকে সেখানে রেখে দেই (শিশুটিকে না, হা হা) এবং তাকে অবিরাম মেসেজ করে বিনা আমন্ত্রণে তার বাড়িতে হাজির হই। তার রুমমেটরা আমাকে ক্যাব ডেকে আমাকে চলে যেতে বলে। এরপর আমাকে সর্বত্র ব্লক করা হয়েছিল। রবিবারে মাতাল হয়ে নিজেকে যে বোকামি করে বিব্রত করেছিলাম তার কথা ভাবলে এখনও আমার কান্না আসে। কিন্তু এই সপ্তাহান্তে আমি সত্যিই এটা করতে চেয়েছিলাম। আমি খুশি যে আমি তা করিনি।</v>
      </c>
    </row>
    <row r="1667" spans="1:3" ht="15" x14ac:dyDescent="0.25">
      <c r="A1667" s="3" t="s">
        <v>1661</v>
      </c>
      <c r="B1667" s="3" t="s">
        <v>997</v>
      </c>
      <c r="C1667" s="4" t="str">
        <f ca="1">IFERROR(__xludf.DUMMYFUNCTION("GOOGLETRANSLATE(A1667, ""auto"", ""bn"")"),"গতকাল আমি এক বন্ধুর সাথে ডিনারে গিয়েছিলাম। আমি কয়েক গ্লাস ওয়াইন খেয়েছিলাম। তাছাড়া, আমি বাড়িতে ফিরে এসে স্কাইরিমের আমার ৬৭৮তম নতুন নাটক শুরু করে ঘুমাতে গেলাম। তাছাড়া, আমি মাতাল হইনি। তাছাড়া, আমি ক্ষুধার্ত নই। তাছাড়া, আমি স্বাভাবিকভাবে যেমন করি, বা"&amp;"ড়িতে 'পার্টি চালিয়ে যাওয়ার' জন্য আরও ওয়াইন সংগ্রহ করার জন্য আমার উবারকে মদের দোকানে ঘুরিয়ে দেইনি। তাছাড়া, আমি নিজেকে নিয়ে সত্যিই গর্বিত। তাছাড়া, আমি এটাও জানি যে পরের বার আমরা কোনও থাই জায়গায় যাচ্ছি, তাই আমি আর ওয়াইন অর্ডার করব না। তাছাড়া, আমি"&amp;" এবার শক্তিশালী ছিলাম, কিন্তু আমি আবার নিজেকে পরীক্ষা করতে চাই না। তাছাড়া, আমি এমনকি নিয়ন্ত্রণ করার চেষ্টাও করব না কারণ আমি ইতিমধ্যেই জানি যে আমি পারব না। তাছাড়া, আমি সত্যিই খুশি যে আমি মাতাল হইনি। তাছাড়া, আমি সত্যিই খুশি যে আমি বুঝতে পেরেছি যে এর অর্"&amp;"থ এই নয় যে আমি এটি চালিয়ে যেতে পারব। তাই, আমি করব না।")</f>
        <v>গতকাল আমি এক বন্ধুর সাথে ডিনারে গিয়েছিলাম। আমি কয়েক গ্লাস ওয়াইন খেয়েছিলাম। তাছাড়া, আমি বাড়িতে ফিরে এসে স্কাইরিমের আমার ৬৭৮তম নতুন নাটক শুরু করে ঘুমাতে গেলাম। তাছাড়া, আমি মাতাল হইনি। তাছাড়া, আমি ক্ষুধার্ত নই। তাছাড়া, আমি স্বাভাবিকভাবে যেমন করি, বাড়িতে 'পার্টি চালিয়ে যাওয়ার' জন্য আরও ওয়াইন সংগ্রহ করার জন্য আমার উবারকে মদের দোকানে ঘুরিয়ে দেইনি। তাছাড়া, আমি নিজেকে নিয়ে সত্যিই গর্বিত। তাছাড়া, আমি এটাও জানি যে পরের বার আমরা কোনও থাই জায়গায় যাচ্ছি, তাই আমি আর ওয়াইন অর্ডার করব না। তাছাড়া, আমি এবার শক্তিশালী ছিলাম, কিন্তু আমি আবার নিজেকে পরীক্ষা করতে চাই না। তাছাড়া, আমি এমনকি নিয়ন্ত্রণ করার চেষ্টাও করব না কারণ আমি ইতিমধ্যেই জানি যে আমি পারব না। তাছাড়া, আমি সত্যিই খুশি যে আমি মাতাল হইনি। তাছাড়া, আমি সত্যিই খুশি যে আমি বুঝতে পেরেছি যে এর অর্থ এই নয় যে আমি এটি চালিয়ে যেতে পারব। তাই, আমি করব না।</v>
      </c>
    </row>
    <row r="1668" spans="1:3" ht="15" x14ac:dyDescent="0.25">
      <c r="A1668" s="3" t="s">
        <v>1662</v>
      </c>
      <c r="B1668" s="3" t="s">
        <v>997</v>
      </c>
      <c r="C1668" s="4" t="str">
        <f ca="1">IFERROR(__xludf.DUMMYFUNCTION("GOOGLETRANSLATE(A1668, ""auto"", ""bn"")"),"শেষ ছাড়া দৌড় আইসিং ছাড়া কেক আইসিং ছাড়া কনসার্ট ফাইনাল ছাড়া আমি আসলে মডারেশনের হাত ধরে একটু চুমু খেতে চাই, হাত ধরে থাকতে পছন্দ করি বলে নয়। আমি একটা পানীয় খেতে পছন্দ করতাম, কিন্তু এখন আমি বোতল পছন্দ করি।")</f>
        <v>শেষ ছাড়া দৌড় আইসিং ছাড়া কেক আইসিং ছাড়া কনসার্ট ফাইনাল ছাড়া আমি আসলে মডারেশনের হাত ধরে একটু চুমু খেতে চাই, হাত ধরে থাকতে পছন্দ করি বলে নয়। আমি একটা পানীয় খেতে পছন্দ করতাম, কিন্তু এখন আমি বোতল পছন্দ করি।</v>
      </c>
    </row>
    <row r="1669" spans="1:3" ht="15" x14ac:dyDescent="0.25">
      <c r="A1669" s="3" t="s">
        <v>1663</v>
      </c>
      <c r="B1669" s="3" t="s">
        <v>997</v>
      </c>
      <c r="C1669" s="4" t="str">
        <f ca="1">IFERROR(__xludf.DUMMYFUNCTION("GOOGLETRANSLATE(A1669, ""auto"", ""bn"")"),"আমি ইতিমধ্যেই যথেষ্ট ঘুমাচ্ছি, হাইড্রেট করছি, এবং জরুরি, সুপার গ্রিনস (প্রোবায়োটিকস, স্পিরুলিনা, এবং ফল/সবজির মিশ্রণ) এবং কফি খেয়েছি। ক্লান্তি এবং চিনির আকাঙ্ক্ষা মেটাতে আমি আর কি করতে পারি? আমি খুব ক্লান্ত। আর গতকাল আমি নুটেলা দিয়ে দুটি বড় রুটির টুকর"&amp;"ো, দুটি চকোলেটে ঢাকা কলা, একটি ক্যাডবেরি ডিম এবং মিকি ডি'স থেকে একটি মোচা ফ্র্যাপে খেয়েছি। তারপর আমি রাত একটায় ঘুম থেকে উঠে আরও একটি বড় রুটির টুকরো খেয়েছি যাতে প্রচুর পরিমাণে নুটেলা মেশানো আছে। ক্লান্তি এবং চিনির আকাঙ্ক্ষা কি কিছুতেই দূর হবে? আর যদি ন"&amp;"া হয় তাহলে কতক্ষণ স্থায়ী হবে?")</f>
        <v>আমি ইতিমধ্যেই যথেষ্ট ঘুমাচ্ছি, হাইড্রেট করছি, এবং জরুরি, সুপার গ্রিনস (প্রোবায়োটিকস, স্পিরুলিনা, এবং ফল/সবজির মিশ্রণ) এবং কফি খেয়েছি। ক্লান্তি এবং চিনির আকাঙ্ক্ষা মেটাতে আমি আর কি করতে পারি? আমি খুব ক্লান্ত। আর গতকাল আমি নুটেলা দিয়ে দুটি বড় রুটির টুকরো, দুটি চকোলেটে ঢাকা কলা, একটি ক্যাডবেরি ডিম এবং মিকি ডি'স থেকে একটি মোচা ফ্র্যাপে খেয়েছি। তারপর আমি রাত একটায় ঘুম থেকে উঠে আরও একটি বড় রুটির টুকরো খেয়েছি যাতে প্রচুর পরিমাণে নুটেলা মেশানো আছে। ক্লান্তি এবং চিনির আকাঙ্ক্ষা কি কিছুতেই দূর হবে? আর যদি না হয় তাহলে কতক্ষণ স্থায়ী হবে?</v>
      </c>
    </row>
    <row r="1670" spans="1:3" ht="15" x14ac:dyDescent="0.25">
      <c r="A1670" s="3" t="s">
        <v>1664</v>
      </c>
      <c r="B1670" s="3" t="s">
        <v>997</v>
      </c>
      <c r="C1670" s="4" t="str">
        <f ca="1">IFERROR(__xludf.DUMMYFUNCTION("GOOGLETRANSLATE(A1670, ""auto"", ""bn"")"),"অ্যালকোহলের পরিবর্তে আমি প্রতিদিন কাজের পর বিভিন্ন স্বাদের কম্বুচা খেয়েছি এবং পরিষ্কার এবং স্বাস্থ্যকর খাবার খাচ্ছি। কিছুদিনের মধ্যেই আমার প্রথম ফলপ্রসূ সকাল হয়েছে। আমি ভাগ্যবান যে আমি কাজ করি এবং দ্বীপে থাকি। তাই কাজ মাত্র ৫ মিনিটের হাঁটা। এই কারণেই আম"&amp;"ি সকাল ৮টায় ঘুম থেকে উঠি এবং ৮:৩০ এ কাজে যাই। আসলে ""সকাল"" নেই, বরং ঠিক দিনের শুরু করি। গত রাতে আমি ৬:৩০ এর জন্য অ্যালার্ম সেট করেছিলাম, অ্যালার্ম বাজানোর ১০ মিনিট আগে ঘুম থেকে উঠেছিলাম। মিথ্যা বলব না, আমি রেডিট এবং ইউটিউবে এক ঘন্টা বিছানায় শুয়েছিলাম "&amp;"এবং আমার কুকুরকে কাছের পুকুরে একটি সুন্দর সকালের হাঁটার জন্য নিয়ে গিয়েছিলাম। ফিরে এসে চা এবং ডিম বানালাম এবং তারপর কাজে চলে গেলাম। এই দিনটি এখন পর্যন্ত ভালো কেটেছে, এবং আমি এর জন্য আগে ঘুম থেকে উঠে দিনটি তাড়াতাড়ি শুরু করার জন্য দায়ী। আগের রাতে যদি আম"&amp;"ি মদ পান করতাম তবে এটি কখনও ঘটত না। আমি খুব ক্লান্ত থাকতাম হা হা। একটু তাড়াতাড়ি কাজ করতে হয়েছিল এবং সারাদিন কাজ শেষ করেছিলাম। আশা করি সবাই আবহাওয়া উপভোগ করছেন।")</f>
        <v>অ্যালকোহলের পরিবর্তে আমি প্রতিদিন কাজের পর বিভিন্ন স্বাদের কম্বুচা খেয়েছি এবং পরিষ্কার এবং স্বাস্থ্যকর খাবার খাচ্ছি। কিছুদিনের মধ্যেই আমার প্রথম ফলপ্রসূ সকাল হয়েছে। আমি ভাগ্যবান যে আমি কাজ করি এবং দ্বীপে থাকি। তাই কাজ মাত্র ৫ মিনিটের হাঁটা। এই কারণেই আমি সকাল ৮টায় ঘুম থেকে উঠি এবং ৮:৩০ এ কাজে যাই। আসলে "সকাল" নেই, বরং ঠিক দিনের শুরু করি। গত রাতে আমি ৬:৩০ এর জন্য অ্যালার্ম সেট করেছিলাম, অ্যালার্ম বাজানোর ১০ মিনিট আগে ঘুম থেকে উঠেছিলাম। মিথ্যা বলব না, আমি রেডিট এবং ইউটিউবে এক ঘন্টা বিছানায় শুয়েছিলাম এবং আমার কুকুরকে কাছের পুকুরে একটি সুন্দর সকালের হাঁটার জন্য নিয়ে গিয়েছিলাম। ফিরে এসে চা এবং ডিম বানালাম এবং তারপর কাজে চলে গেলাম। এই দিনটি এখন পর্যন্ত ভালো কেটেছে, এবং আমি এর জন্য আগে ঘুম থেকে উঠে দিনটি তাড়াতাড়ি শুরু করার জন্য দায়ী। আগের রাতে যদি আমি মদ পান করতাম তবে এটি কখনও ঘটত না। আমি খুব ক্লান্ত থাকতাম হা হা। একটু তাড়াতাড়ি কাজ করতে হয়েছিল এবং সারাদিন কাজ শেষ করেছিলাম। আশা করি সবাই আবহাওয়া উপভোগ করছেন।</v>
      </c>
    </row>
    <row r="1671" spans="1:3" ht="15" x14ac:dyDescent="0.25">
      <c r="A1671" s="3" t="s">
        <v>1665</v>
      </c>
      <c r="B1671" s="3" t="s">
        <v>997</v>
      </c>
      <c r="C1671" s="4" t="str">
        <f ca="1">IFERROR(__xludf.DUMMYFUNCTION("GOOGLETRANSLATE(A1671, ""auto"", ""bn"")"),"দেখা গেল আমার খিদে পেয়েছে। এটা বুঝতে পেরে, আমি কিছু লিটল সিজার গলায় ভরে দিলাম (আমার বিচার করো না XD)। বাকি রাতটা মদের কথা ভাবিনি। যেমনটা বলা হয়েছে, স্থবিরতার কারণেই প্রলোভন দেখা দেয়। ক্ষুধার্ত, রাগান্বিত, একাকী, ক্লান্ত। ৩৫তম দিনে এখানে ভালো লাগছে এবং হ্"&amp;"যাংওভারমুক্ত। কখনও ভাবিনি এতদূর আসতে পারব।")</f>
        <v>দেখা গেল আমার খিদে পেয়েছে। এটা বুঝতে পেরে, আমি কিছু লিটল সিজার গলায় ভরে দিলাম (আমার বিচার করো না XD)। বাকি রাতটা মদের কথা ভাবিনি। যেমনটা বলা হয়েছে, স্থবিরতার কারণেই প্রলোভন দেখা দেয়। ক্ষুধার্ত, রাগান্বিত, একাকী, ক্লান্ত। ৩৫তম দিনে এখানে ভালো লাগছে এবং হ্যাংওভারমুক্ত। কখনও ভাবিনি এতদূর আসতে পারব।</v>
      </c>
    </row>
    <row r="1672" spans="1:3" ht="15" x14ac:dyDescent="0.25">
      <c r="A1672" s="3" t="s">
        <v>1666</v>
      </c>
      <c r="B1672" s="3" t="s">
        <v>997</v>
      </c>
      <c r="C1672" s="4" t="str">
        <f ca="1">IFERROR(__xludf.DUMMYFUNCTION("GOOGLETRANSLATE(A1672, ""auto"", ""bn"")"),"শূন্যতা কী? আমি বলব যে প্রতিটি আসক্তের ভেতরেই একটা শূন্যতা থাকে। এমন কিছু যা আমাদের সকলের নিজস্ব উপায়ে যত্ন নেওয়া উচিত। অনেক কিছুই আমার সন্দেহ করা শূন্যতা তৈরি করতে পারে। আমার জন্য, আমি নিশ্চিত নই যে এটি কী, অবশ্যই আমার সন্দেহ আছে, তবে এটি অন্য সময়ের জ"&amp;"ন্য। এই আলোচনার জন্য, এটি প্রাসঙ্গিক নয়। কেউ কেউ তাদের শূন্যতা চিনতে পারে না, তবে সহজাতভাবে তা পূরণ করতে শুরু করে। আমি ২০২০ সালের সেপ্টেম্বরের দিকে কোথাও মদ্যপান ছেড়ে দিয়েছি। আমি যে বিষয়টির সাথে একমত হয়েছি তা হল আমার একটি ভঙ্গুর মন আছে এবং এটিকে আরও "&amp;"ভালভাবে ধরে রাখা আমার দায়িত্ব। আমি কোনও সংযত তারিখ রাখি না কারণ আমি এটি আমার মনে হতে দেব না। আমি এটি নিয়ে ভাবতে চাই না। আমি প্রথমে যে জিনিসটি লক্ষ্য করেছি তা হল আমার শূন্যতা ডাকছে। আমি নিজের মতো অনুভব করছিলাম না, আমি খালি ছিলাম; এবং আমার মন সর্বদা ভাবছি"&amp;"ল যে এটি কী আমাকে সম্পূর্ণ করবে? মদ্যপান।")</f>
        <v>শূন্যতা কী? আমি বলব যে প্রতিটি আসক্তের ভেতরেই একটা শূন্যতা থাকে। এমন কিছু যা আমাদের সকলের নিজস্ব উপায়ে যত্ন নেওয়া উচিত। অনেক কিছুই আমার সন্দেহ করা শূন্যতা তৈরি করতে পারে। আমার জন্য, আমি নিশ্চিত নই যে এটি কী, অবশ্যই আমার সন্দেহ আছে, তবে এটি অন্য সময়ের জন্য। এই আলোচনার জন্য, এটি প্রাসঙ্গিক নয়। কেউ কেউ তাদের শূন্যতা চিনতে পারে না, তবে সহজাতভাবে তা পূরণ করতে শুরু করে। আমি ২০২০ সালের সেপ্টেম্বরের দিকে কোথাও মদ্যপান ছেড়ে দিয়েছি। আমি যে বিষয়টির সাথে একমত হয়েছি তা হল আমার একটি ভঙ্গুর মন আছে এবং এটিকে আরও ভালভাবে ধরে রাখা আমার দায়িত্ব। আমি কোনও সংযত তারিখ রাখি না কারণ আমি এটি আমার মনে হতে দেব না। আমি এটি নিয়ে ভাবতে চাই না। আমি প্রথমে যে জিনিসটি লক্ষ্য করেছি তা হল আমার শূন্যতা ডাকছে। আমি নিজের মতো অনুভব করছিলাম না, আমি খালি ছিলাম; এবং আমার মন সর্বদা ভাবছিল যে এটি কী আমাকে সম্পূর্ণ করবে? মদ্যপান।</v>
      </c>
    </row>
    <row r="1673" spans="1:3" ht="15" x14ac:dyDescent="0.25">
      <c r="A1673" s="3" t="s">
        <v>1667</v>
      </c>
      <c r="B1673" s="3" t="s">
        <v>997</v>
      </c>
      <c r="C1673" s="4" t="str">
        <f ca="1">IFERROR(__xludf.DUMMYFUNCTION("GOOGLETRANSLATE(A1673, ""auto"", ""bn"")"),"তাই আমি শুক্রবার থেকে বাড়িতে আছি, কয়েক সপ্তাহ ধরে একটা কাজে বাইরে থাকার পর। সপ্তাহান্তে অ্যাপার্টমেন্টটা আস্তে আস্তে ঠিক করার জন্য আমি কাটিয়েছি। সেও একজন মদ্যপ এবং অ্যাপার্টমেন্টটা জৈবিকভাবে ঝুঁকিপূর্ণ ছিল, অন্তত বলতে গেলে। যদি পরিচ্ছন্নতাকর্মীরা এসে থ"&amp;"াকে, তাহলে খুব খারাপ হতো। গত মাসে আমার হাসপাতালের অভিজ্ঞতার পর, যেখানে আমি অসুস্থ হয়ে পড়েছিলাম এবং জরুরি বিভাগে গিয়েছিলাম, গতকাল আমি ডাক্তারের সাথে দেখা করার জন্য অ্যাপয়েন্টমেন্ট করেছিলাম। রক্ত ​​পরীক্ষা করাতে চেয়েছিলাম এবং নিশ্চিত করতে চেয়েছিলাম যে"&amp;" আমার স্থায়ী ক্ষতি হচ্ছে না। আচ্ছা, পাওয়ার স্টিয়ারিং ধীরগতির মনে হচ্ছে। তাই গাড়ি চালাচ্ছি? আমি এতে কোনও সমস্যা লক্ষ্য করিনি? মনে হচ্ছে পাওয়ার স্টিয়ারিং তরল প্রায় খালি?। উফ, SO-এর গাড়ি ধার করে ল্যাবের ফলাফলের জন্য আমার অ্যাপয়েন্টমেন্ট করা হয়েছিল,"&amp;" কিন্তু GP বললেন যে তিনি চিন্তিত নন। SO মাঝরাতে গাড়িতে অ্যালকোহল আছে কিনা তা দেখতে যায়, যখন আমরা জানতে পারি যে আমাদের অ্যাপার্টমেন্টে গাড়িটি টো করা হয়েছে কারণ তাদের দেওয়া পার্কিং পারমিটের মেয়াদ ইতিমধ্যেই শেষ হয়ে গেছে। আরও কয়েক ঘন্টার জন্য এ বিষয়ে"&amp;" কিছু করতে পারছি না। কিন্তু তারপর আমার SO-এর সাথে কথা বলতে হল যে তরল কম থাকাকালীন তাদের গাড়ি চালানো উচিত নয় এবং কাজে যাওয়ার পথে টো প্লেসে থামিয়ে গাড়ি তুলে নেওয়া উচিত। যখন তারা মাতাল থাকে তখন কেবল যুক্তিযুক্ত কথা বলার চেষ্টা করা কিন্তু আসলে তারা মনে "&amp;"করে না যে তারা বিরক্তিকর এবং ঈশ্বর, আমি ঘুম থেকে ওঠার আগে খুব ভালো ঘুমাচ্ছিলাম। এখন আমার সবকিছু চিৎকার করছে আমি একটা পানীয় চাই এবং আমি জানি যে এতে কিছুই ঠিক হবে না এবং আমি আমার গাড়ির যত্ন নেব না এবং সবকিছু আরও নিয়ন্ত্রণের বাইরে চলে যাবে। মনে হচ্ছে যেন "&amp;"কিছু দিন সবকিছু আমার বিরুদ্ধে স্তূপীকৃত।")</f>
        <v>তাই আমি শুক্রবার থেকে বাড়িতে আছি, কয়েক সপ্তাহ ধরে একটা কাজে বাইরে থাকার পর। সপ্তাহান্তে অ্যাপার্টমেন্টটা আস্তে আস্তে ঠিক করার জন্য আমি কাটিয়েছি। সেও একজন মদ্যপ এবং অ্যাপার্টমেন্টটা জৈবিকভাবে ঝুঁকিপূর্ণ ছিল, অন্তত বলতে গেলে। যদি পরিচ্ছন্নতাকর্মীরা এসে থাকে, তাহলে খুব খারাপ হতো। গত মাসে আমার হাসপাতালের অভিজ্ঞতার পর, যেখানে আমি অসুস্থ হয়ে পড়েছিলাম এবং জরুরি বিভাগে গিয়েছিলাম, গতকাল আমি ডাক্তারের সাথে দেখা করার জন্য অ্যাপয়েন্টমেন্ট করেছিলাম। রক্ত ​​পরীক্ষা করাতে চেয়েছিলাম এবং নিশ্চিত করতে চেয়েছিলাম যে আমার স্থায়ী ক্ষতি হচ্ছে না। আচ্ছা, পাওয়ার স্টিয়ারিং ধীরগতির মনে হচ্ছে। তাই গাড়ি চালাচ্ছি? আমি এতে কোনও সমস্যা লক্ষ্য করিনি? মনে হচ্ছে পাওয়ার স্টিয়ারিং তরল প্রায় খালি?। উফ, SO-এর গাড়ি ধার করে ল্যাবের ফলাফলের জন্য আমার অ্যাপয়েন্টমেন্ট করা হয়েছিল, কিন্তু GP বললেন যে তিনি চিন্তিত নন। SO মাঝরাতে গাড়িতে অ্যালকোহল আছে কিনা তা দেখতে যায়, যখন আমরা জানতে পারি যে আমাদের অ্যাপার্টমেন্টে গাড়িটি টো করা হয়েছে কারণ তাদের দেওয়া পার্কিং পারমিটের মেয়াদ ইতিমধ্যেই শেষ হয়ে গেছে। আরও কয়েক ঘন্টার জন্য এ বিষয়ে কিছু করতে পারছি না। কিন্তু তারপর আমার SO-এর সাথে কথা বলতে হল যে তরল কম থাকাকালীন তাদের গাড়ি চালানো উচিত নয় এবং কাজে যাওয়ার পথে টো প্লেসে থামিয়ে গাড়ি তুলে নেওয়া উচিত। যখন তারা মাতাল থাকে তখন কেবল যুক্তিযুক্ত কথা বলার চেষ্টা করা কিন্তু আসলে তারা মনে করে না যে তারা বিরক্তিকর এবং ঈশ্বর, আমি ঘুম থেকে ওঠার আগে খুব ভালো ঘুমাচ্ছিলাম। এখন আমার সবকিছু চিৎকার করছে আমি একটা পানীয় চাই এবং আমি জানি যে এতে কিছুই ঠিক হবে না এবং আমি আমার গাড়ির যত্ন নেব না এবং সবকিছু আরও নিয়ন্ত্রণের বাইরে চলে যাবে। মনে হচ্ছে যেন কিছু দিন সবকিছু আমার বিরুদ্ধে স্তূপীকৃত।</v>
      </c>
    </row>
    <row r="1674" spans="1:3" ht="15" x14ac:dyDescent="0.25">
      <c r="A1674" s="3" t="s">
        <v>1668</v>
      </c>
      <c r="B1674" s="3" t="s">
        <v>997</v>
      </c>
      <c r="C1674" s="4" t="str">
        <f ca="1">IFERROR(__xludf.DUMMYFUNCTION("GOOGLETRANSLATE(A1674, ""auto"", ""bn"")"),"আমি আগেও এখানে সক্রিয় ছিলাম, এবং এটি আমার জীবন রক্ষাকারী ছিল। আমি তোমাদের সকলের সাথে কথা বলতে, শুনতে এবং সমবেদনা জানাতে পেরেছিলাম, এবং এটি আমার পুনরুদ্ধারে অনেক সাহায্য করেছিল। দুর্ভাগ্যবশত, আমি নিশ্চিত যে তোমরা সকলেই দেখেছ, অভিজ্ঞতা অর্জন করেছ এবং টিকে "&amp;"আছো, আমার পরিশ্রম কমে গেছে এবং আমি 'জীবন' নিয়ে ব্যস্ত হয়ে পড়েছি। কাজ, বাচ্চারা, স্ত্রী, আরও কাজ, এটি ছিল ধোয়া এবং পুনরাবৃত্তির এক অন্তহীন চক্র। আমি দৃঢ় থাকতে পারিনি, আমি দ্বিধাগ্রস্ত হয়ে পড়েছিলাম এবং আমি মদ্যপানে ডুবে গিয়েছিলাম। আমি শান্ত থাকতে পছ"&amp;"ন্দ করি, আমি তোমাদের সকলের সাথে এখানে থাকতে, তোমাদের গল্প, তোমাদের সংগ্রাম, তোমাদের অর্জন পড়তে ভালোবাসি! তাছাড়া, তোমাদের উপর এবং আমাদের একসাথে এই আশ্চর্যজনক যাত্রার জন্য আমি নিজেকে গর্বিত বোধ করি।")</f>
        <v>আমি আগেও এখানে সক্রিয় ছিলাম, এবং এটি আমার জীবন রক্ষাকারী ছিল। আমি তোমাদের সকলের সাথে কথা বলতে, শুনতে এবং সমবেদনা জানাতে পেরেছিলাম, এবং এটি আমার পুনরুদ্ধারে অনেক সাহায্য করেছিল। দুর্ভাগ্যবশত, আমি নিশ্চিত যে তোমরা সকলেই দেখেছ, অভিজ্ঞতা অর্জন করেছ এবং টিকে আছো, আমার পরিশ্রম কমে গেছে এবং আমি 'জীবন' নিয়ে ব্যস্ত হয়ে পড়েছি। কাজ, বাচ্চারা, স্ত্রী, আরও কাজ, এটি ছিল ধোয়া এবং পুনরাবৃত্তির এক অন্তহীন চক্র। আমি দৃঢ় থাকতে পারিনি, আমি দ্বিধাগ্রস্ত হয়ে পড়েছিলাম এবং আমি মদ্যপানে ডুবে গিয়েছিলাম। আমি শান্ত থাকতে পছন্দ করি, আমি তোমাদের সকলের সাথে এখানে থাকতে, তোমাদের গল্প, তোমাদের সংগ্রাম, তোমাদের অর্জন পড়তে ভালোবাসি! তাছাড়া, তোমাদের উপর এবং আমাদের একসাথে এই আশ্চর্যজনক যাত্রার জন্য আমি নিজেকে গর্বিত বোধ করি।</v>
      </c>
    </row>
    <row r="1675" spans="1:3" ht="15" x14ac:dyDescent="0.25">
      <c r="A1675" s="3" t="s">
        <v>1669</v>
      </c>
      <c r="B1675" s="3" t="s">
        <v>997</v>
      </c>
      <c r="C1675" s="4" t="str">
        <f ca="1">IFERROR(__xludf.DUMMYFUNCTION("GOOGLETRANSLATE(A1675, ""auto"", ""bn"")"),"এটা সম্পর্কে পড়ছিলাম এবং ভাবছিলাম কারো কি এই পদ্ধতিতে কাজ করার অভিজ্ঞতা আছে? সিনক্লেয়ার পদ্ধতি হলো রোগী মদ্যপানের আগে নালট্রেক্সোন (মাতাল ""গুঞ্জন"" ব্লক করে) গ্রহণ করেন। দাবি করা হয়েছে যে কয়েক মাস পর আপনার মস্তিষ্ক ডোপামিন পুরষ্কারের সাথে অ্যালকোহলকে যুক"&amp;"্ত করা বন্ধ করে দেয় এবং তৃষ্ণা চলে যায়। আমি যে সমালোচনাটি পড়েছি তা হল আপনি ""ড্রাই ড্রাঙ্ক"" হতে পারেন অথবা যদি আপনি প্রথমবার নালট্রেক্সোন ছাড়া মাতাল হন তবে আপনার ডোপামিন ক্ষুধার্ত মস্তিষ্কে বিশাল ডোপামিন আঘাত লাগে। সিনক্লেয়ার পদ্ধতি ব্যবহার করে কেউ সফল"&amp;" হয়েছে কিনা জানতে আগ্রহী?")</f>
        <v>এটা সম্পর্কে পড়ছিলাম এবং ভাবছিলাম কারো কি এই পদ্ধতিতে কাজ করার অভিজ্ঞতা আছে? সিনক্লেয়ার পদ্ধতি হলো রোগী মদ্যপানের আগে নালট্রেক্সোন (মাতাল "গুঞ্জন" ব্লক করে) গ্রহণ করেন। দাবি করা হয়েছে যে কয়েক মাস পর আপনার মস্তিষ্ক ডোপামিন পুরষ্কারের সাথে অ্যালকোহলকে যুক্ত করা বন্ধ করে দেয় এবং তৃষ্ণা চলে যায়। আমি যে সমালোচনাটি পড়েছি তা হল আপনি "ড্রাই ড্রাঙ্ক" হতে পারেন অথবা যদি আপনি প্রথমবার নালট্রেক্সোন ছাড়া মাতাল হন তবে আপনার ডোপামিন ক্ষুধার্ত মস্তিষ্কে বিশাল ডোপামিন আঘাত লাগে। সিনক্লেয়ার পদ্ধতি ব্যবহার করে কেউ সফল হয়েছে কিনা জানতে আগ্রহী?</v>
      </c>
    </row>
    <row r="1676" spans="1:3" ht="15" x14ac:dyDescent="0.25">
      <c r="A1676" s="3" t="s">
        <v>1670</v>
      </c>
      <c r="B1676" s="3" t="s">
        <v>997</v>
      </c>
      <c r="C1676" s="4" t="str">
        <f ca="1">IFERROR(__xludf.DUMMYFUNCTION("GOOGLETRANSLATE(A1676, ""auto"", ""bn"")"),"তো, মদ্যপান বন্ধ করার পর থেকে এই প্রথম আমি বাড়িতে এসেছি। সাধারণত আমি আমার বাচ্চাদের দিকে নজর রাখি, আর আমার স্ত্রী যখন কাজে চলে যায় তখনই আমার স্বাভাবিক অভ্যাস হলো বিয়ার ফাটিয়ে দেওয়া। এই সপ্তাহান্তে, যখন আমি তাকে চলে যেতে দেখলাম, তখনই আমার মনে হল ""ঠিক"&amp;" আছে, রাস্তার পাশে গ্যাস পাম্পে গিয়ে শুরু করার সময়।"" এটা আরও অবাক করার মতো ছিল, কারণ প্রতিদিন সকালে ঘুম থেকে উঠে আমি ইচ্ছাকৃতভাবে বলি ""আমি আজ মদ্যপান করব না""। এটা ভাবার সাথে সাথেই আমি থামলাম এবং আমার মন্ত্রটি কয়েকবার পুনরাবৃত্তি করলাম যতক্ষণ না আমার"&amp;" মনে হল আমার ইচ্ছাটা চলে গেছে, কিন্তু গত ১১ বছর ধরে অতিরিক্ত মদ্যপানের পর আমার অভ্যাস কতটা তীব্র তা আমার কাছে এখনও এতটাই পাগলের মতো মনে হয়। অন্য কেউ কি তাদের তৈরি অভ্যাস থেকে মদ্যপানের প্রলোভন অনুভব করেছে?")</f>
        <v>তো, মদ্যপান বন্ধ করার পর থেকে এই প্রথম আমি বাড়িতে এসেছি। সাধারণত আমি আমার বাচ্চাদের দিকে নজর রাখি, আর আমার স্ত্রী যখন কাজে চলে যায় তখনই আমার স্বাভাবিক অভ্যাস হলো বিয়ার ফাটিয়ে দেওয়া। এই সপ্তাহান্তে, যখন আমি তাকে চলে যেতে দেখলাম, তখনই আমার মনে হল "ঠিক আছে, রাস্তার পাশে গ্যাস পাম্পে গিয়ে শুরু করার সময়।" এটা আরও অবাক করার মতো ছিল, কারণ প্রতিদিন সকালে ঘুম থেকে উঠে আমি ইচ্ছাকৃতভাবে বলি "আমি আজ মদ্যপান করব না"। এটা ভাবার সাথে সাথেই আমি থামলাম এবং আমার মন্ত্রটি কয়েকবার পুনরাবৃত্তি করলাম যতক্ষণ না আমার মনে হল আমার ইচ্ছাটা চলে গেছে, কিন্তু গত ১১ বছর ধরে অতিরিক্ত মদ্যপানের পর আমার অভ্যাস কতটা তীব্র তা আমার কাছে এখনও এতটাই পাগলের মতো মনে হয়। অন্য কেউ কি তাদের তৈরি অভ্যাস থেকে মদ্যপানের প্রলোভন অনুভব করেছে?</v>
      </c>
    </row>
    <row r="1677" spans="1:3" ht="15" x14ac:dyDescent="0.25">
      <c r="A1677" s="3" t="s">
        <v>1671</v>
      </c>
      <c r="B1677" s="3" t="s">
        <v>997</v>
      </c>
      <c r="C1677" s="4" t="str">
        <f ca="1">IFERROR(__xludf.DUMMYFUNCTION("GOOGLETRANSLATE(A1677, ""auto"", ""bn"")"),"আমার এই শান্ত পথে চলার পথে আমাকে অনেক সত্য শিখতে হয়েছে। আমি একজন উচ্চ সম্পদের অধিকারী এবং সন্তান চেয়েছিলাম এমন একজন মহিলার সাথে ডেটিং করছিলাম। যখন আমি মদ্যপান করতাম, তখন আমার মনে হতো আরও সন্তান চাই। মদ্যপান ছেড়ে দেওয়ার সাথে সাথে আমি বুঝতে পারলাম যে আম"&amp;"ি আর সন্তান চাই না। আমি এই সত্যটি মেনে নিয়েছি এবং সম্পর্ক ছিন্ন করেছি। এটা কঠিন ছিল। আমার নিজেকে দোষী মনে হচ্ছিল। আমি সহানুভূতি খুঁজছি না.....এটা একেবারে বিপরীত। তাছাড়া, সম্পর্কের সময় এই বিষয়ে উল্টোপাল্টা কথা বলা আমার জন্য খারাপ। আমার মদ্যপান করার মন "&amp;"এমন কিছু করতে দেয় যা আমার শান্ত মন কখনও করবে না। আমার অনেক কাজ করার আছে। আপনার সপ্তাহের শুভকামনা!")</f>
        <v>আমার এই শান্ত পথে চলার পথে আমাকে অনেক সত্য শিখতে হয়েছে। আমি একজন উচ্চ সম্পদের অধিকারী এবং সন্তান চেয়েছিলাম এমন একজন মহিলার সাথে ডেটিং করছিলাম। যখন আমি মদ্যপান করতাম, তখন আমার মনে হতো আরও সন্তান চাই। মদ্যপান ছেড়ে দেওয়ার সাথে সাথে আমি বুঝতে পারলাম যে আমি আর সন্তান চাই না। আমি এই সত্যটি মেনে নিয়েছি এবং সম্পর্ক ছিন্ন করেছি। এটা কঠিন ছিল। আমার নিজেকে দোষী মনে হচ্ছিল। আমি সহানুভূতি খুঁজছি না.....এটা একেবারে বিপরীত। তাছাড়া, সম্পর্কের সময় এই বিষয়ে উল্টোপাল্টা কথা বলা আমার জন্য খারাপ। আমার মদ্যপান করার মন এমন কিছু করতে দেয় যা আমার শান্ত মন কখনও করবে না। আমার অনেক কাজ করার আছে। আপনার সপ্তাহের শুভকামনা!</v>
      </c>
    </row>
    <row r="1678" spans="1:3" ht="15" x14ac:dyDescent="0.25">
      <c r="A1678" s="3" t="s">
        <v>1672</v>
      </c>
      <c r="B1678" s="3" t="s">
        <v>997</v>
      </c>
      <c r="C1678" s="4" t="str">
        <f ca="1">IFERROR(__xludf.DUMMYFUNCTION("GOOGLETRANSLATE(A1678, ""auto"", ""bn"")"),"এই বছরের ১লা জানুয়ারী থেকে আমি অস্থির, মাত্র কয়েকবারই তীব্র ক্ষুধা অনুভব করেছি এবং আমি দ্বিধাগ্রস্ত যে এটা স্বাভাবিক কিনা? মদ্যপানের কারণে আমার কোনও বড় সমস্যা হয়নি, যদিও আমার রক্তের মাত্রা কিছুটা খারাপ ছিল, কিন্তু জিপি যা বলেছে তা তিন মাস অস্থির থাকার"&amp;" পরেও ঠিক হবে না। যেমন, ৩ মাস আগে আমি ঘুম থেকে ওঠার পর থেকে রাতের বেলায় অজ্ঞান হয়ে যাওয়ার আগ পর্যন্ত কেবল মাতাল থাকতাম, এবং সম্ভবত পুরো সময়টাই আমি ঘুমিয়ে থাকতাম। এবং আমি সব স্বাভাবিক অজুহাত তৈরি করতাম, পরিকল্পনা করতাম যে পরিমিতভাবে দিন কাটাবো এবং এমন"&amp;" দিন ছুটি নেব যা কখনই কার্যকর হবে না। সম্ভবত ২৭ বছর বয়সী একজন মহিলা হিসেবে দিনে ২৫-৩০টি স্ট্যান্ডার্ড পানীয় পান করবো। আমার মনে হয়, অন্য কারো কি হাল ছেড়ে দেওয়ার এই অভিজ্ঞতা হয়েছে এবং তারপর প্রায় এমন হয়ে গেছে যে ""ওহ, হয়তো আমার এতটা প্রয়োজন ছিল না"&amp;"?"" আমার পেট ভরে যায় না এবং ওজনও কমেনি, কিন্তু এখন আমি সন্দেহ করতে শুরু করেছি যে আমি মদ্যপ কিনা নাকি আমি যা সহজ তা নিয়েই আচ্ছন্ন হয়ে পড়ি। যেন আমি এখনই এক বোতল বুদবুদ পান করতে পারি, কিন্তু আমি চাই না? আমি বোধহয় বিভ্রান্ত।")</f>
        <v>এই বছরের ১লা জানুয়ারী থেকে আমি অস্থির, মাত্র কয়েকবারই তীব্র ক্ষুধা অনুভব করেছি এবং আমি দ্বিধাগ্রস্ত যে এটা স্বাভাবিক কিনা? মদ্যপানের কারণে আমার কোনও বড় সমস্যা হয়নি, যদিও আমার রক্তের মাত্রা কিছুটা খারাপ ছিল, কিন্তু জিপি যা বলেছে তা তিন মাস অস্থির থাকার পরেও ঠিক হবে না। যেমন, ৩ মাস আগে আমি ঘুম থেকে ওঠার পর থেকে রাতের বেলায় অজ্ঞান হয়ে যাওয়ার আগ পর্যন্ত কেবল মাতাল থাকতাম, এবং সম্ভবত পুরো সময়টাই আমি ঘুমিয়ে থাকতাম। এবং আমি সব স্বাভাবিক অজুহাত তৈরি করতাম, পরিকল্পনা করতাম যে পরিমিতভাবে দিন কাটাবো এবং এমন দিন ছুটি নেব যা কখনই কার্যকর হবে না। সম্ভবত ২৭ বছর বয়সী একজন মহিলা হিসেবে দিনে ২৫-৩০টি স্ট্যান্ডার্ড পানীয় পান করবো। আমার মনে হয়, অন্য কারো কি হাল ছেড়ে দেওয়ার এই অভিজ্ঞতা হয়েছে এবং তারপর প্রায় এমন হয়ে গেছে যে "ওহ, হয়তো আমার এতটা প্রয়োজন ছিল না?" আমার পেট ভরে যায় না এবং ওজনও কমেনি, কিন্তু এখন আমি সন্দেহ করতে শুরু করেছি যে আমি মদ্যপ কিনা নাকি আমি যা সহজ তা নিয়েই আচ্ছন্ন হয়ে পড়ি। যেন আমি এখনই এক বোতল বুদবুদ পান করতে পারি, কিন্তু আমি চাই না? আমি বোধহয় বিভ্রান্ত।</v>
      </c>
    </row>
    <row r="1679" spans="1:3" ht="15" x14ac:dyDescent="0.25">
      <c r="A1679" s="3" t="s">
        <v>1673</v>
      </c>
      <c r="B1679" s="3" t="s">
        <v>997</v>
      </c>
      <c r="C1679" s="4" t="str">
        <f ca="1">IFERROR(__xludf.DUMMYFUNCTION("GOOGLETRANSLATE(A1679, ""auto"", ""bn"")"),"আমি বুঝতে পারি যে অনেকেই ধর্মীয় দিক ছাড়াও AA ব্যবহার করেছেন, কিন্তু আমি ভাবছিলাম যে AA পরিস্থিতির বাইরে কারো কাছে কি অন্য কোনও সাহায্য বা পরামর্শ আছে? বিশেষ করে, সামরিক এবং/অথবা প্রবীণদের জন্য উদ্বেগ, বিষণ্ণতা এবং PTSD মোকাবেলা করা। আমার সঙ্গীর জন্য কিছু"&amp;" নিরাপদ সম্পদ একত্রিত করার চেষ্টা করছি, যিনি এখন বলেছেন যে তিনি মদ্যপান বন্ধ করতে চান। আমি তাকে বলেছিলাম যে কেবল এটি করার অর্থ হল তার সফল হওয়ার সম্ভাবনা কম (যেমন অতীতে কখনও হয়নি) কিন্তু সে তার সমস্যাগুলি নিয়ে কথা বলার জন্য বড় দলগুলির জন্য উন্মুক্ত নয়"&amp;"। চিন্তাভাবনা? সম্পদ? আমি UCLA-তে Wounded Warrior org এবং তাদের সংশ্লিষ্ট প্রোগ্রাম সম্পর্কে জানি। আমি তাকে এটি পরামর্শ দিতে যাচ্ছি, কিন্তু সে দুই সপ্তাহের জন্য কোনও প্রোগ্রামে যেতে পুরোপুরি প্রস্তুত নয়। তাছাড়া, আমি মনে করি এটি সত্যিই সহায়ক হবে... কিন্"&amp;"তু সে নিশ্চিত নয় যে এটিই সাহায্য করবে বা তার যা প্রয়োজন।")</f>
        <v>আমি বুঝতে পারি যে অনেকেই ধর্মীয় দিক ছাড়াও AA ব্যবহার করেছেন, কিন্তু আমি ভাবছিলাম যে AA পরিস্থিতির বাইরে কারো কাছে কি অন্য কোনও সাহায্য বা পরামর্শ আছে? বিশেষ করে, সামরিক এবং/অথবা প্রবীণদের জন্য উদ্বেগ, বিষণ্ণতা এবং PTSD মোকাবেলা করা। আমার সঙ্গীর জন্য কিছু নিরাপদ সম্পদ একত্রিত করার চেষ্টা করছি, যিনি এখন বলেছেন যে তিনি মদ্যপান বন্ধ করতে চান। আমি তাকে বলেছিলাম যে কেবল এটি করার অর্থ হল তার সফল হওয়ার সম্ভাবনা কম (যেমন অতীতে কখনও হয়নি) কিন্তু সে তার সমস্যাগুলি নিয়ে কথা বলার জন্য বড় দলগুলির জন্য উন্মুক্ত নয়। চিন্তাভাবনা? সম্পদ? আমি UCLA-তে Wounded Warrior org এবং তাদের সংশ্লিষ্ট প্রোগ্রাম সম্পর্কে জানি। আমি তাকে এটি পরামর্শ দিতে যাচ্ছি, কিন্তু সে দুই সপ্তাহের জন্য কোনও প্রোগ্রামে যেতে পুরোপুরি প্রস্তুত নয়। তাছাড়া, আমি মনে করি এটি সত্যিই সহায়ক হবে... কিন্তু সে নিশ্চিত নয় যে এটিই সাহায্য করবে বা তার যা প্রয়োজন।</v>
      </c>
    </row>
    <row r="1680" spans="1:3" ht="15" x14ac:dyDescent="0.25">
      <c r="A1680" s="3" t="s">
        <v>1674</v>
      </c>
      <c r="B1680" s="3" t="s">
        <v>997</v>
      </c>
      <c r="C1680" s="4" t="str">
        <f ca="1">IFERROR(__xludf.DUMMYFUNCTION("GOOGLETRANSLATE(A1680, ""auto"", ""bn"")"),"আমি খুব বেশি বিস্তারিত বলতে পারছি না, তবে মূলত আমি আমার ছেলেকে ১২ বছর ধরে নরক জীবনযাপনের (তার বাবা তাকে অপহরণ করেছিলেন) পর আমার জীবনে ফিরিয়ে আনার জন্য লড়াই করতে যাচ্ছি। এই বছরের ২৫শে এপ্রিল আমি এক বছর ধরে সুস্থ এবং আবার লড়াই করার জন্য যথেষ্ট প্রস্তুত এ"&amp;"বং শক্তিশালী বোধ করছি। তাছাড়া, গতবার আমাকে আদালতে নিজেকে উপস্থাপন করতে হয়েছিল এবং এবার আমি নিজেকে একজন সলিসিটর হিসেবে বেছে নিতে যাচ্ছি, আমার অনেক সমর্থন আছে, পেশাগতভাবে এবং আমার পাশে কিছু অসাধারণ বন্ধু থাকায়। আপনারা সবাই আমাকে অনুপ্রাণিত করেন এবং এই সাই"&amp;"টটি ঈশ্বরের আশীর্বাদ।")</f>
        <v>আমি খুব বেশি বিস্তারিত বলতে পারছি না, তবে মূলত আমি আমার ছেলেকে ১২ বছর ধরে নরক জীবনযাপনের (তার বাবা তাকে অপহরণ করেছিলেন) পর আমার জীবনে ফিরিয়ে আনার জন্য লড়াই করতে যাচ্ছি। এই বছরের ২৫শে এপ্রিল আমি এক বছর ধরে সুস্থ এবং আবার লড়াই করার জন্য যথেষ্ট প্রস্তুত এবং শক্তিশালী বোধ করছি। তাছাড়া, গতবার আমাকে আদালতে নিজেকে উপস্থাপন করতে হয়েছিল এবং এবার আমি নিজেকে একজন সলিসিটর হিসেবে বেছে নিতে যাচ্ছি, আমার অনেক সমর্থন আছে, পেশাগতভাবে এবং আমার পাশে কিছু অসাধারণ বন্ধু থাকায়। আপনারা সবাই আমাকে অনুপ্রাণিত করেন এবং এই সাইটটি ঈশ্বরের আশীর্বাদ।</v>
      </c>
    </row>
    <row r="1681" spans="1:3" ht="15" x14ac:dyDescent="0.25">
      <c r="A1681" s="3" t="s">
        <v>1675</v>
      </c>
      <c r="B1681" s="3" t="s">
        <v>997</v>
      </c>
      <c r="C1681" s="4" t="str">
        <f ca="1">IFERROR(__xludf.DUMMYFUNCTION("GOOGLETRANSLATE(A1681, ""auto"", ""bn"")"),"এবার আমি আবার শুরু করতে প্রস্তুত। আমি কেবল এই উদ্বেগ থেকে মুক্তি পেতে চাই। এটা নিষ্ঠুর কিন্তু আমি জানি আজ যদি পার করতে পারি, তাহলে আগামীকাল অনেক সহজ হবে। গত রাতে আমার ঘুম ভাঙেনি, তাই আমি এই সাব-টাতে সময় কাটিয়েছি। আমি অনেক ভালো টিপস এবং অনুপ্রেরণা পেয়েছ"&amp;"ি। তাছাড়া, আমার মনে হচ্ছে এবার আমি এটা করতে পারব।")</f>
        <v>এবার আমি আবার শুরু করতে প্রস্তুত। আমি কেবল এই উদ্বেগ থেকে মুক্তি পেতে চাই। এটা নিষ্ঠুর কিন্তু আমি জানি আজ যদি পার করতে পারি, তাহলে আগামীকাল অনেক সহজ হবে। গত রাতে আমার ঘুম ভাঙেনি, তাই আমি এই সাব-টাতে সময় কাটিয়েছি। আমি অনেক ভালো টিপস এবং অনুপ্রেরণা পেয়েছি। তাছাড়া, আমার মনে হচ্ছে এবার আমি এটা করতে পারব।</v>
      </c>
    </row>
    <row r="1682" spans="1:3" ht="15" x14ac:dyDescent="0.25">
      <c r="A1682" s="3" t="s">
        <v>1676</v>
      </c>
      <c r="B1682" s="3" t="s">
        <v>997</v>
      </c>
      <c r="C1682" s="4" t="str">
        <f ca="1">IFERROR(__xludf.DUMMYFUNCTION("GOOGLETRANSLATE(A1682, ""auto"", ""bn"")"),"৬ মাস থেকে একদিন দূরে। গত ৪ দিন ধরে আমি ছুটিতে আছি, মেক্সিকোর একটি সর্বজনীন রিসোর্টে। আজ আমার বন্ধুর বিয়ে, আগামীকাল আমি ৬ মাস ধরে সুস্থ অবস্থায় বাড়ি যাব। মদ্যপানে মত্ত থাকা সহজ ছিল না, মাঝে মাঝে এটি অত্যন্ত কঠিন হয়ে পড়ে। শেষ দিনটিতে পৌঁছানোর এবং আমার"&amp;" ছুটি পুরোপুরি উপভোগ করার জন্য আমি নিজেকে নিয়ে গর্বিত। আমি ৬ মাস উদযাপন করতে প্রস্তুত!")</f>
        <v>৬ মাস থেকে একদিন দূরে। গত ৪ দিন ধরে আমি ছুটিতে আছি, মেক্সিকোর একটি সর্বজনীন রিসোর্টে। আজ আমার বন্ধুর বিয়ে, আগামীকাল আমি ৬ মাস ধরে সুস্থ অবস্থায় বাড়ি যাব। মদ্যপানে মত্ত থাকা সহজ ছিল না, মাঝে মাঝে এটি অত্যন্ত কঠিন হয়ে পড়ে। শেষ দিনটিতে পৌঁছানোর এবং আমার ছুটি পুরোপুরি উপভোগ করার জন্য আমি নিজেকে নিয়ে গর্বিত। আমি ৬ মাস উদযাপন করতে প্রস্তুত!</v>
      </c>
    </row>
    <row r="1683" spans="1:3" ht="15" x14ac:dyDescent="0.25">
      <c r="A1683" s="3" t="s">
        <v>1677</v>
      </c>
      <c r="B1683" s="3" t="s">
        <v>997</v>
      </c>
      <c r="C1683" s="4" t="str">
        <f ca="1">IFERROR(__xludf.DUMMYFUNCTION("GOOGLETRANSLATE(A1683, ""auto"", ""bn"")"),"আমি এখানে যে সমস্ত পোস্ট দেখছি যেখানে লোকেরা প্রথম দিন বা সবেমাত্র শুরু করছে, সেগুলি ছেড়ে দিচ্ছি? আপনি কি কম মদ্যপান করছেন নাকি কেবল ঠান্ডা হয়ে যাচ্ছেন? আপনি কত পরিমাণে মদ্যপান করেছিলেন?")</f>
        <v>আমি এখানে যে সমস্ত পোস্ট দেখছি যেখানে লোকেরা প্রথম দিন বা সবেমাত্র শুরু করছে, সেগুলি ছেড়ে দিচ্ছি? আপনি কি কম মদ্যপান করছেন নাকি কেবল ঠান্ডা হয়ে যাচ্ছেন? আপনি কত পরিমাণে মদ্যপান করেছিলেন?</v>
      </c>
    </row>
    <row r="1684" spans="1:3" ht="15" x14ac:dyDescent="0.25">
      <c r="A1684" s="3" t="s">
        <v>1678</v>
      </c>
      <c r="B1684" s="3" t="s">
        <v>997</v>
      </c>
      <c r="C1684" s="4" t="str">
        <f ca="1">IFERROR(__xludf.DUMMYFUNCTION("GOOGLETRANSLATE(A1684, ""auto"", ""bn"")"),"আমার ভালো বোধ করা উচিত, তাই না!? আমি দশম দিনে আছি। আমার মাথাব্যথা তখনই শুরু হয় যখন আমি সাধারণত মদ্যপান শুরু করি (সন্ধ্যা ৬টা) এবং আমি ক্লান্ত হয়ে পড়ি। আর কেন ওহ, আমি এত শুষ্ক কেন? আমার মুখ, আমার চোখ?। শুধু শুষ্ক! আমি পানি খাচ্ছি, আর মদ্যপান করলে কি আমা"&amp;"র ভালো বোধ করা উচিত নয়?")</f>
        <v>আমার ভালো বোধ করা উচিত, তাই না!? আমি দশম দিনে আছি। আমার মাথাব্যথা তখনই শুরু হয় যখন আমি সাধারণত মদ্যপান শুরু করি (সন্ধ্যা ৬টা) এবং আমি ক্লান্ত হয়ে পড়ি। আর কেন ওহ, আমি এত শুষ্ক কেন? আমার মুখ, আমার চোখ?। শুধু শুষ্ক! আমি পানি খাচ্ছি, আর মদ্যপান করলে কি আমার ভালো বোধ করা উচিত নয়?</v>
      </c>
    </row>
    <row r="1685" spans="1:3" ht="15" x14ac:dyDescent="0.25">
      <c r="A1685" s="3" t="s">
        <v>1679</v>
      </c>
      <c r="B1685" s="3" t="s">
        <v>997</v>
      </c>
      <c r="C1685" s="4" t="str">
        <f ca="1">IFERROR(__xludf.DUMMYFUNCTION("GOOGLETRANSLATE(A1685, ""auto"", ""bn"")"),"আমি বর্তমানে SMART Recovery টুলস, মাইন্ডফুলনেস, মেডিটেশন এবং শেষ অবলম্বন হিসেবে আমার ক্ষুধা নিয়ন্ত্রণের জন্য ওষুধের মিশ্রণ ব্যবহার করছি। এখন পর্যন্ত এগুলো আমাকে কেন্দ্রীভূত রাখতে এবং পুনরায় ক্ষয়ক্ষতি এড়াতে সত্যিই ভালোভাবে কাজ করছে। আমার প্রশ্ন হল, যখন"&amp;" এই ক্ষুধাগুলি আসে তখন কি আমি আমার সঙ্গীর সাথে শেয়ার করব? এটি এমন কিছু নয় যার সাথে আমি খুব বেশি পরিচিত যে এটি কীভাবে আমার উপকারে আসতে পারে - হয়তো এটি এমন একটি প্রশ্ন যা তার পুনরুদ্ধার দলকে জিজ্ঞাসা করা উচিত? আমার পক্ষ থেকে, আমার মনে হয় আমি বছরের পর বছ"&amp;"র ধরে তাকে যথেষ্ট কষ্ট দিয়েছি। কিন্তু অন্যদিকে, তার কাছ থেকে এটি লুকানো আমার লজ্জাকে আরও শক্তিশালী করতে পারে এবং সম্ভবত এটিকে শক্তিশালী করতে পারে। এই বিষয়ে কিছু অন্যান্য মতামত এবং দৃষ্টিভঙ্গি জানতে চেয়েছিলাম।")</f>
        <v>আমি বর্তমানে SMART Recovery টুলস, মাইন্ডফুলনেস, মেডিটেশন এবং শেষ অবলম্বন হিসেবে আমার ক্ষুধা নিয়ন্ত্রণের জন্য ওষুধের মিশ্রণ ব্যবহার করছি। এখন পর্যন্ত এগুলো আমাকে কেন্দ্রীভূত রাখতে এবং পুনরায় ক্ষয়ক্ষতি এড়াতে সত্যিই ভালোভাবে কাজ করছে। আমার প্রশ্ন হল, যখন এই ক্ষুধাগুলি আসে তখন কি আমি আমার সঙ্গীর সাথে শেয়ার করব? এটি এমন কিছু নয় যার সাথে আমি খুব বেশি পরিচিত যে এটি কীভাবে আমার উপকারে আসতে পারে - হয়তো এটি এমন একটি প্রশ্ন যা তার পুনরুদ্ধার দলকে জিজ্ঞাসা করা উচিত? আমার পক্ষ থেকে, আমার মনে হয় আমি বছরের পর বছর ধরে তাকে যথেষ্ট কষ্ট দিয়েছি। কিন্তু অন্যদিকে, তার কাছ থেকে এটি লুকানো আমার লজ্জাকে আরও শক্তিশালী করতে পারে এবং সম্ভবত এটিকে শক্তিশালী করতে পারে। এই বিষয়ে কিছু অন্যান্য মতামত এবং দৃষ্টিভঙ্গি জানতে চেয়েছিলাম।</v>
      </c>
    </row>
    <row r="1686" spans="1:3" ht="15" x14ac:dyDescent="0.25">
      <c r="A1686" s="3" t="s">
        <v>1680</v>
      </c>
      <c r="B1686" s="3" t="s">
        <v>997</v>
      </c>
      <c r="C1686" s="4" t="str">
        <f ca="1">IFERROR(__xludf.DUMMYFUNCTION("GOOGLETRANSLATE(A1686, ""auto"", ""bn"")"),"আমার কাছে এটা এতটাই ভণ্ডামিপূর্ণ মনে হয় যে, মানুষ বিভিন্ন ধরণের অ্যালকোহল নিয়ে যেভাবে কথা বলে। যেন তারা এক বোতল ওয়াইন কিনতেই যুগ যুগ ধরে সময় কাটাবে, যা প্রথম দুই গ্লাসের পরে স্বাদের দিক থেকে তেমন গুরুত্বপূর্ণ নয়। ভদকা এবং স্পিরিটগুলির ক্ষেত্রেও একই ক"&amp;"থা। এটা খুবই বিরক্তিকর এবং আমার কাছে এখন কেবল অভাব ঢাকতে একটি অজুহাত? অ্যালকোহল, যা সমস্ত অ্যালকোহলযুক্ত পানীয়ের জন্য সম্পূর্ণরূপে সর্বজনীন।")</f>
        <v>আমার কাছে এটা এতটাই ভণ্ডামিপূর্ণ মনে হয় যে, মানুষ বিভিন্ন ধরণের অ্যালকোহল নিয়ে যেভাবে কথা বলে। যেন তারা এক বোতল ওয়াইন কিনতেই যুগ যুগ ধরে সময় কাটাবে, যা প্রথম দুই গ্লাসের পরে স্বাদের দিক থেকে তেমন গুরুত্বপূর্ণ নয়। ভদকা এবং স্পিরিটগুলির ক্ষেত্রেও একই কথা। এটা খুবই বিরক্তিকর এবং আমার কাছে এখন কেবল অভাব ঢাকতে একটি অজুহাত? অ্যালকোহল, যা সমস্ত অ্যালকোহলযুক্ত পানীয়ের জন্য সম্পূর্ণরূপে সর্বজনীন।</v>
      </c>
    </row>
    <row r="1687" spans="1:3" ht="15" x14ac:dyDescent="0.25">
      <c r="A1687" s="3" t="s">
        <v>1681</v>
      </c>
      <c r="B1687" s="3" t="s">
        <v>997</v>
      </c>
      <c r="C1687" s="4" t="str">
        <f ca="1">IFERROR(__xludf.DUMMYFUNCTION("GOOGLETRANSLATE(A1687, ""auto"", ""bn"")"),"আবার আমার ব্যাজ রিসেট করো! প্রায় ৩ বছর আগে আমি ৬ মাস ধরে মদ্যপান বন্ধ করতে পেরেছিলাম, আর মনে আছে নিজেকে অনেকবার বলেছিলাম যে সবকিছু ঠিকঠাক হয়ে গেছে, সবকিছু ঠিকঠাক হয়ে গেছে! আমার মনে আছে আবার মদ্যপান শুরু করতে ভয় পেয়েছিলাম, কিন্তু আমি ভয় পেয়েছিলাম। তাছাড়া,"&amp;" আমি যদি বলতে পারতাম যে আমি চিরতরে ত্যাগ করার জন্য সম্পূর্ণরূপে প্রতিশ্রুতিবদ্ধ, কিন্তু আমি এটা এতবার করেছি যে আমি জানি এটা কীভাবে চলবে। শুধু যদি বলতে পারতাম যে আমি চিরতরে ত্যাগ করছি।")</f>
        <v>আবার আমার ব্যাজ রিসেট করো! প্রায় ৩ বছর আগে আমি ৬ মাস ধরে মদ্যপান বন্ধ করতে পেরেছিলাম, আর মনে আছে নিজেকে অনেকবার বলেছিলাম যে সবকিছু ঠিকঠাক হয়ে গেছে, সবকিছু ঠিকঠাক হয়ে গেছে! আমার মনে আছে আবার মদ্যপান শুরু করতে ভয় পেয়েছিলাম, কিন্তু আমি ভয় পেয়েছিলাম। তাছাড়া, আমি যদি বলতে পারতাম যে আমি চিরতরে ত্যাগ করার জন্য সম্পূর্ণরূপে প্রতিশ্রুতিবদ্ধ, কিন্তু আমি এটা এতবার করেছি যে আমি জানি এটা কীভাবে চলবে। শুধু যদি বলতে পারতাম যে আমি চিরতরে ত্যাগ করছি।</v>
      </c>
    </row>
    <row r="1688" spans="1:3" ht="15" x14ac:dyDescent="0.25">
      <c r="A1688" s="3" t="s">
        <v>1682</v>
      </c>
      <c r="B1688" s="3" t="s">
        <v>997</v>
      </c>
      <c r="C1688" s="4" t="str">
        <f ca="1">IFERROR(__xludf.DUMMYFUNCTION("GOOGLETRANSLATE(A1688, ""auto"", ""bn"")"),"খুব ভালো লাগলো, কিন্তু কিছু বিয়ার সরাসরি বিয়ার ড্রপ করে নিলাম। আমি কিন্ডলিং সম্পর্কে জানি, কিন্তু আমার মনে হয় আমার রিজার্ভেশন ছিল। কিছুক্ষণের জন্য বাইরে থেকে পোস্ট করিনি কারণ সুস্থ থাকার জন্য। হৃদস্পন্দন এবং বমি খুব খারাপ। ডাক্তাররা বলেছেন যে আমার কেটো"&amp;"অ্যাসিডোসিস হয়েছে যা আপনি যখন পান করেন এবং না খান তখন ঘটে, এবং আপনি আপনার গ্লুকোজ নিঃশেষ করে দেন এবং কিটোন তৈরি করেন। এটি খুব বিপজ্জনক হতে পারে। আমি IV এর বিভিন্ন ওষুধ এবং Librium পেয়েছি। আমি খুব খুশি যে আমি সাহায্য চেয়েছিলাম। আমার শেষ ঠান্ডা টার্কি 4 "&amp;"দিনে সর্বোচ্চে পৌঁছেছিল। সমস্যা হল আমার পরিবার আমার দীর্ঘমেয়াদী সংযম নিয়ে সন্দেহ করছে। আমি আশা করি এই স্বাস্থ্যের ভয় যথেষ্ট। অন্যান্য ঘর থেকে আসা রিচিং শব্দ এই রোগে ভুগছে। আমি তোমাদের খুব মিস করেছি -- তোমরা প্রমাণ দাও যে আরোগ্য সম্ভব। আমি আজ সন্ধ্যায় "&amp;"বাড়ি ফিরেছি, পরিষ্কার এবং ভ্যাকুয়াম করা হয়েছে, ঝাঁকুনি কমে গেছে। ঘাম বন্ধ হলে আগামীকাল গোসলের জন্য অপেক্ষা করব। কিটোএসিডোসিস সম্পর্কে একটি সতর্কতা এবং যখন আপনি তরল পদার্থ ধরে রাখতে পারবেন না এবং ফলের ঘামের গন্ধ পান, তখন দয়া করে ডাক্তারের সাথে পরামর্শ "&amp;"করুন। আশা করি এটি কখনও ঘটবে না, কিন্তু আমি যতটা ভেবেছিলাম তার চেয়েও বেশি অসুস্থ ছিলাম। সকালে আপনার সাথে দেখা করব!")</f>
        <v>খুব ভালো লাগলো, কিন্তু কিছু বিয়ার সরাসরি বিয়ার ড্রপ করে নিলাম। আমি কিন্ডলিং সম্পর্কে জানি, কিন্তু আমার মনে হয় আমার রিজার্ভেশন ছিল। কিছুক্ষণের জন্য বাইরে থেকে পোস্ট করিনি কারণ সুস্থ থাকার জন্য। হৃদস্পন্দন এবং বমি খুব খারাপ। ডাক্তাররা বলেছেন যে আমার কেটোঅ্যাসিডোসিস হয়েছে যা আপনি যখন পান করেন এবং না খান তখন ঘটে, এবং আপনি আপনার গ্লুকোজ নিঃশেষ করে দেন এবং কিটোন তৈরি করেন। এটি খুব বিপজ্জনক হতে পারে। আমি IV এর বিভিন্ন ওষুধ এবং Librium পেয়েছি। আমি খুব খুশি যে আমি সাহায্য চেয়েছিলাম। আমার শেষ ঠান্ডা টার্কি 4 দিনে সর্বোচ্চে পৌঁছেছিল। সমস্যা হল আমার পরিবার আমার দীর্ঘমেয়াদী সংযম নিয়ে সন্দেহ করছে। আমি আশা করি এই স্বাস্থ্যের ভয় যথেষ্ট। অন্যান্য ঘর থেকে আসা রিচিং শব্দ এই রোগে ভুগছে। আমি তোমাদের খুব মিস করেছি -- তোমরা প্রমাণ দাও যে আরোগ্য সম্ভব। আমি আজ সন্ধ্যায় বাড়ি ফিরেছি, পরিষ্কার এবং ভ্যাকুয়াম করা হয়েছে, ঝাঁকুনি কমে গেছে। ঘাম বন্ধ হলে আগামীকাল গোসলের জন্য অপেক্ষা করব। কিটোএসিডোসিস সম্পর্কে একটি সতর্কতা এবং যখন আপনি তরল পদার্থ ধরে রাখতে পারবেন না এবং ফলের ঘামের গন্ধ পান, তখন দয়া করে ডাক্তারের সাথে পরামর্শ করুন। আশা করি এটি কখনও ঘটবে না, কিন্তু আমি যতটা ভেবেছিলাম তার চেয়েও বেশি অসুস্থ ছিলাম। সকালে আপনার সাথে দেখা করব!</v>
      </c>
    </row>
    <row r="1689" spans="1:3" ht="15" x14ac:dyDescent="0.25">
      <c r="A1689" s="3" t="s">
        <v>1683</v>
      </c>
      <c r="B1689" s="3" t="s">
        <v>997</v>
      </c>
      <c r="C1689" s="4" t="str">
        <f ca="1">IFERROR(__xludf.DUMMYFUNCTION("GOOGLETRANSLATE(A1689, ""auto"", ""bn"")"),"আজ একটা অদ্ভুত ব্যাপার নিয়ে আমার মন খারাপ হয়ে গেল, আর আমি ভাবছিলাম, হয়তো কেউ বুঝতে পারবে কি, হঠাৎ কেন এত বিরক্ত হয়ে গেলাম। আজ ৫১ দিন ধরে আমি সুস্থ, আর মদ্যপান আমার জীবনের অনেক দিকই ধ্বংস করে দিয়েছে, আমি বিস্তারিত বলছি না, তবে আমি অন্যান্য পোস্টে এই বিষয়"&amp;"ে কথা বলেছি। এখানে অনেকের মতো, আমারও মদের প্রতি একটা তীব্র আসক্তি ছিল, আর মদ্যপান ছেড়ে দেওয়ার পর থেকে আমার মনে হচ্ছে নিজেকে পুরোপুরি নতুন করে ভাবতে হচ্ছে। আমার একজন বন্ধু/সহকর্মী আছে, আমরা তাকে জো বলে ডাকি, আর সে এখন পর্যন্ত আমার যাত্রায় বেশ সহায়তা করেছে।"&amp;" বাইরে বেরোনোর ​​সময়, আমি জানি সে বুঝতে পারবে যে আমি অনেক মদ্যপান করেছি, আর যেহেতু আমরা সপ্তাহান্তে বাইরে যেতাম, সে ছিল প্রথম যাদের সাথে আমি কথা বলার সিদ্ধান্ত নিয়েছিলাম যাতে সে না ভাবে যে আমি তার উপর রাগ করছি।")</f>
        <v>আজ একটা অদ্ভুত ব্যাপার নিয়ে আমার মন খারাপ হয়ে গেল, আর আমি ভাবছিলাম, হয়তো কেউ বুঝতে পারবে কি, হঠাৎ কেন এত বিরক্ত হয়ে গেলাম। আজ ৫১ দিন ধরে আমি সুস্থ, আর মদ্যপান আমার জীবনের অনেক দিকই ধ্বংস করে দিয়েছে, আমি বিস্তারিত বলছি না, তবে আমি অন্যান্য পোস্টে এই বিষয়ে কথা বলেছি। এখানে অনেকের মতো, আমারও মদের প্রতি একটা তীব্র আসক্তি ছিল, আর মদ্যপান ছেড়ে দেওয়ার পর থেকে আমার মনে হচ্ছে নিজেকে পুরোপুরি নতুন করে ভাবতে হচ্ছে। আমার একজন বন্ধু/সহকর্মী আছে, আমরা তাকে জো বলে ডাকি, আর সে এখন পর্যন্ত আমার যাত্রায় বেশ সহায়তা করেছে। বাইরে বেরোনোর ​​সময়, আমি জানি সে বুঝতে পারবে যে আমি অনেক মদ্যপান করেছি, আর যেহেতু আমরা সপ্তাহান্তে বাইরে যেতাম, সে ছিল প্রথম যাদের সাথে আমি কথা বলার সিদ্ধান্ত নিয়েছিলাম যাতে সে না ভাবে যে আমি তার উপর রাগ করছি।</v>
      </c>
    </row>
    <row r="1690" spans="1:3" ht="15" x14ac:dyDescent="0.25">
      <c r="A1690" s="3" t="s">
        <v>1684</v>
      </c>
      <c r="B1690" s="3" t="s">
        <v>997</v>
      </c>
      <c r="C1690" s="4" t="str">
        <f ca="1">IFERROR(__xludf.DUMMYFUNCTION("GOOGLETRANSLATE(A1690, ""auto"", ""bn"")"),"আজ আমি থামছি। গত কয়েক বছর ধরে আমি নিজেকে বোঝানোর চেষ্টা করছি যে এটা খারাপ নয়, আমি আমার বাবার মতো মদ্যপ নই (তিনি সবেমাত্র তার সংযমের প্রথম বছর পার করেছেন), আমারও সব ঠিক হয়ে গেছে কিন্তু, টানা তৃতীয় দিন মাতাল হয়ে ঘুম থেকে ওঠার পর, অবশেষে আমি বলতে প্রস্ত"&amp;"ুত যে আমার একটা সমস্যা আছে এবং আমাকে থামাতে হবে। আমি আমার মধ্যাহ্নভোজের বিরতিতে থেরাপির জন্য যে জায়গায় যাই সেখানে ফোন করছি। তাছাড়া, আমি যখন সেখানে ছিলাম তখন আমার অবস্থা ভালো ছিল, যদিও আমি তাকে কতটা মদ্যপান করেছি সে সম্পর্কে মিথ্যা বলেছিলাম। তাকে অবশ্যই "&amp;"জানা উচিত ছিল; শেষবার যখন আমি গিয়েছিলাম, তখনও আমি আগের রাতের থেকে মাতাল ছিলাম, এবং আমি নিশ্চিত যে আমার স্কচের গন্ধ পেয়েছি। আমি জানি না কেন এই সময়টা আলাদা। আমি প্রায় দশ বছর ধরে একই চক্রে আছি, কিন্তু আসলে এই প্রথমবার আমি? থামতে চেয়েছিলাম। আমি আগেও ছেড়"&amp;"ে দিয়েছি; সেখানে এক সপ্তাহ, সেখানে এক মাস, কিন্তু আমি সবসময় জানতাম যে আমি আবার মদ্যপান করব। এবার, আমি আর চাই না। আমার বাচ্চারা ছোট (ঈশ্বর, আমি গতকাল তাদের প্রি-স্কুলেও নিয়ে যাইনি কারণ আমি পান করতে চেয়েছিলাম, এবং আমি জানতাম যে আমাকে তাদের আনতে হবে।), আ"&amp;"মার স্ত্রী আমাকে ভালোবাসে (যদিও আমি বলতে পারি যে আমি কতটা পান করি তা সে ঘৃণা করে। যখন সে আমাকে সোফা থেকে জাগিয়ে তোলে তখন তার মুখ আসলে যা বলে তার চেয়ে বেশি বলে), এবং জীবন সামগ্রিকভাবে ভালো। আমার সন্তুষ্ট থাকা উচিত, কিন্তু আমি কেবল বোতলের জন্য হাত বাড়িয়"&amp;"ে নিজের জীবনকে আরও খারাপ করে তুলছি। দুঃখিত যে আমি এলোমেলো করছিলাম। আমি জানি যে এই জায়গাটিই এর জন্য কিন্তু আমি কেবল, প্রথমবারের মতো, প্রস্তুত। এবং আমি এটি ভাগ করে নিতে চেয়েছিলাম।")</f>
        <v>আজ আমি থামছি। গত কয়েক বছর ধরে আমি নিজেকে বোঝানোর চেষ্টা করছি যে এটা খারাপ নয়, আমি আমার বাবার মতো মদ্যপ নই (তিনি সবেমাত্র তার সংযমের প্রথম বছর পার করেছেন), আমারও সব ঠিক হয়ে গেছে কিন্তু, টানা তৃতীয় দিন মাতাল হয়ে ঘুম থেকে ওঠার পর, অবশেষে আমি বলতে প্রস্তুত যে আমার একটা সমস্যা আছে এবং আমাকে থামাতে হবে। আমি আমার মধ্যাহ্নভোজের বিরতিতে থেরাপির জন্য যে জায়গায় যাই সেখানে ফোন করছি। তাছাড়া, আমি যখন সেখানে ছিলাম তখন আমার অবস্থা ভালো ছিল, যদিও আমি তাকে কতটা মদ্যপান করেছি সে সম্পর্কে মিথ্যা বলেছিলাম। তাকে অবশ্যই জানা উচিত ছিল; শেষবার যখন আমি গিয়েছিলাম, তখনও আমি আগের রাতের থেকে মাতাল ছিলাম, এবং আমি নিশ্চিত যে আমার স্কচের গন্ধ পেয়েছি। আমি জানি না কেন এই সময়টা আলাদা। আমি প্রায় দশ বছর ধরে একই চক্রে আছি, কিন্তু আসলে এই প্রথমবার আমি? থামতে চেয়েছিলাম। আমি আগেও ছেড়ে দিয়েছি; সেখানে এক সপ্তাহ, সেখানে এক মাস, কিন্তু আমি সবসময় জানতাম যে আমি আবার মদ্যপান করব। এবার, আমি আর চাই না। আমার বাচ্চারা ছোট (ঈশ্বর, আমি গতকাল তাদের প্রি-স্কুলেও নিয়ে যাইনি কারণ আমি পান করতে চেয়েছিলাম, এবং আমি জানতাম যে আমাকে তাদের আনতে হবে।), আমার স্ত্রী আমাকে ভালোবাসে (যদিও আমি বলতে পারি যে আমি কতটা পান করি তা সে ঘৃণা করে। যখন সে আমাকে সোফা থেকে জাগিয়ে তোলে তখন তার মুখ আসলে যা বলে তার চেয়ে বেশি বলে), এবং জীবন সামগ্রিকভাবে ভালো। আমার সন্তুষ্ট থাকা উচিত, কিন্তু আমি কেবল বোতলের জন্য হাত বাড়িয়ে নিজের জীবনকে আরও খারাপ করে তুলছি। দুঃখিত যে আমি এলোমেলো করছিলাম। আমি জানি যে এই জায়গাটিই এর জন্য কিন্তু আমি কেবল, প্রথমবারের মতো, প্রস্তুত। এবং আমি এটি ভাগ করে নিতে চেয়েছিলাম।</v>
      </c>
    </row>
    <row r="1691" spans="1:3" ht="15" x14ac:dyDescent="0.25">
      <c r="A1691" s="3" t="s">
        <v>1685</v>
      </c>
      <c r="B1691" s="3" t="s">
        <v>997</v>
      </c>
      <c r="C1691" s="4" t="str">
        <f ca="1">IFERROR(__xludf.DUMMYFUNCTION("GOOGLETRANSLATE(A1691, ""auto"", ""bn"")"),"অবশেষে প্রতিটি ক্ষেত্রে স্বাভাবিকতার কিছুটা আভাস পাচ্ছি?.: এটি একটি শিক্ষা হতে দিন যে মাত্র এক বিকেলে মদ্যপান এতটাই বিপর্যয় ডেকে আনে যে স্বাভাবিকতা ফিরে পেতে আক্ষরিক অর্থেই ৬ দিন সময় লাগে?.. কেন আমরা এটি করি?")</f>
        <v>অবশেষে প্রতিটি ক্ষেত্রে স্বাভাবিকতার কিছুটা আভাস পাচ্ছি?.: এটি একটি শিক্ষা হতে দিন যে মাত্র এক বিকেলে মদ্যপান এতটাই বিপর্যয় ডেকে আনে যে স্বাভাবিকতা ফিরে পেতে আক্ষরিক অর্থেই ৬ দিন সময় লাগে?.. কেন আমরা এটি করি?</v>
      </c>
    </row>
    <row r="1692" spans="1:3" ht="15" x14ac:dyDescent="0.25">
      <c r="A1692" s="3" t="s">
        <v>1686</v>
      </c>
      <c r="B1692" s="3" t="s">
        <v>997</v>
      </c>
      <c r="C1692" s="4" t="str">
        <f ca="1">IFERROR(__xludf.DUMMYFUNCTION("GOOGLETRANSLATE(A1692, ""auto"", ""bn"")"),"আমি ধীরে ধীরে মদ্যপান কমিয়ে দিচ্ছি, এবং আমি সফলভাবে প্রতি রাতে ৫ ক্যানে নেমে এসেছি। এখনও অনেক শোনাচ্ছে কিন্তু যখন আমার স্বাভাবিক পরিমাণ ৯ বা ১০ হতে পারে, তখন আমি এটিকে কিছুটা অগ্রগতি বলে মনে করি। এবং আমি দিনে মোটেও মদ্যপান করি না, যা একটি বিশাল সমস্যা হয"&amp;"়ে দাঁড়িয়েছিল। আমার পরিকল্পনা হল সপ্তাহে সপ্তাহে প্রতি রাতে এক ক্যানে মদ্যপান কমানো। এই সপ্তাহে রাতে ৫ ক্যান, পরের সপ্তাহে ৪ ক্যান হবে, ইত্যাদি। আমি নির্দ্বিধায় দুটি জিনিস স্বীকার করব: আমি সত্যিই ঘুম থেকে উঠে বিয়ারের জন্য আগ্রহী। আমার মন বিভিন্ন উপায়"&amp;"ে এটিকে ন্যায্যতা দেওয়ার চেষ্টা করছে (আমি একবার ভুলতে পারি, আগামীকাল আবার সঠিক পথে ফিরে আসতে পারি/আমি অগ্রগতির জন্য একটি ট্রিট প্রাপ্য)। আমি আজ এই আকাঙ্ক্ষাগুলি ছেড়ে দিতে রাজি নই, আমি ঘন্টার পর ঘন্টা এটি গ্রহণ করব। কিন্তু তারা সেখানে আছে এবং এটি কঠিন। আ"&amp;"মিও কিছুটা... অ্যালকোহল ছাড়া জীবন উপভোগ করতে ভয় পাচ্ছি? এর কি কোনও অর্থ হয়? বছরের পর বছর ধরে এটি আমার জীবনের একটি বিশাল অংশ, এমনকি যদি আমি এটি ছেড়ে দিতে চাই।")</f>
        <v>আমি ধীরে ধীরে মদ্যপান কমিয়ে দিচ্ছি, এবং আমি সফলভাবে প্রতি রাতে ৫ ক্যানে নেমে এসেছি। এখনও অনেক শোনাচ্ছে কিন্তু যখন আমার স্বাভাবিক পরিমাণ ৯ বা ১০ হতে পারে, তখন আমি এটিকে কিছুটা অগ্রগতি বলে মনে করি। এবং আমি দিনে মোটেও মদ্যপান করি না, যা একটি বিশাল সমস্যা হয়ে দাঁড়িয়েছিল। আমার পরিকল্পনা হল সপ্তাহে সপ্তাহে প্রতি রাতে এক ক্যানে মদ্যপান কমানো। এই সপ্তাহে রাতে ৫ ক্যান, পরের সপ্তাহে ৪ ক্যান হবে, ইত্যাদি। আমি নির্দ্বিধায় দুটি জিনিস স্বীকার করব: আমি সত্যিই ঘুম থেকে উঠে বিয়ারের জন্য আগ্রহী। আমার মন বিভিন্ন উপায়ে এটিকে ন্যায্যতা দেওয়ার চেষ্টা করছে (আমি একবার ভুলতে পারি, আগামীকাল আবার সঠিক পথে ফিরে আসতে পারি/আমি অগ্রগতির জন্য একটি ট্রিট প্রাপ্য)। আমি আজ এই আকাঙ্ক্ষাগুলি ছেড়ে দিতে রাজি নই, আমি ঘন্টার পর ঘন্টা এটি গ্রহণ করব। কিন্তু তারা সেখানে আছে এবং এটি কঠিন। আমিও কিছুটা... অ্যালকোহল ছাড়া জীবন উপভোগ করতে ভয় পাচ্ছি? এর কি কোনও অর্থ হয়? বছরের পর বছর ধরে এটি আমার জীবনের একটি বিশাল অংশ, এমনকি যদি আমি এটি ছেড়ে দিতে চাই।</v>
      </c>
    </row>
    <row r="1693" spans="1:3" ht="15" x14ac:dyDescent="0.25">
      <c r="A1693" s="3" t="s">
        <v>1687</v>
      </c>
      <c r="B1693" s="3" t="s">
        <v>997</v>
      </c>
      <c r="C1693" s="4" t="str">
        <f ca="1">IFERROR(__xludf.DUMMYFUNCTION("GOOGLETRANSLATE(A1693, ""auto"", ""bn"")"),"আজ আমি এক বছর মদ্যপানমুক্ত থাকার উদযাপন করছি (আমার জীবনের প্রথম বছর) এবং এখানেই এটি উদযাপন করতে চাই কারণ আমি যা করছি তাতে আমি গর্বিত। যদিও আমি কখনও প্রতিদিন মদ্যপান করতাম না - আমি প্রতি সপ্তাহান্তে মদ্যপান করতাম এবং এর ফলে যে সমস্যাগুলি দেখা দেয় তার সাথে"&amp;" মোকাবিলা করতে অনেক সময় এবং শক্তি নষ্ট করতাম। এখন আমি শারীরিক এবং মানসিকভাবে অনেক ভালো বোধ করছি এবং গুরুত্বপূর্ণ বিষয় হল, পেটুকতার প্রতি আমার ক্রমাগত নিবেদনের সময় আমার কাছে অতিরিক্ত ""যোগ্য ক্যালোরি"" রয়েছে যা উপভোগ করার জন্য আমার হাতে রয়েছে। কেউ যদি"&amp;" কোনও কৌশল বা পরামর্শ চায় তবে আমি সর্বদা কান দিচ্ছি - আমি যদি বলি যে এটি সহজ ছিল তবে আমি মিথ্যা বলব, তবে আমি আত্মবিশ্বাসের সাথে বলতে পারি যে এটি প্রতিদিন সহজ হয়ে উঠছে। এটি কঠিন তবে সম্পূর্ণ মূল্যবান। এছাড়াও, মাতাল হয়ে আমি কিছুটা বোকা হতে পারি...")</f>
        <v>আজ আমি এক বছর মদ্যপানমুক্ত থাকার উদযাপন করছি (আমার জীবনের প্রথম বছর) এবং এখানেই এটি উদযাপন করতে চাই কারণ আমি যা করছি তাতে আমি গর্বিত। যদিও আমি কখনও প্রতিদিন মদ্যপান করতাম না - আমি প্রতি সপ্তাহান্তে মদ্যপান করতাম এবং এর ফলে যে সমস্যাগুলি দেখা দেয় তার সাথে মোকাবিলা করতে অনেক সময় এবং শক্তি নষ্ট করতাম। এখন আমি শারীরিক এবং মানসিকভাবে অনেক ভালো বোধ করছি এবং গুরুত্বপূর্ণ বিষয় হল, পেটুকতার প্রতি আমার ক্রমাগত নিবেদনের সময় আমার কাছে অতিরিক্ত "যোগ্য ক্যালোরি" রয়েছে যা উপভোগ করার জন্য আমার হাতে রয়েছে। কেউ যদি কোনও কৌশল বা পরামর্শ চায় তবে আমি সর্বদা কান দিচ্ছি - আমি যদি বলি যে এটি সহজ ছিল তবে আমি মিথ্যা বলব, তবে আমি আত্মবিশ্বাসের সাথে বলতে পারি যে এটি প্রতিদিন সহজ হয়ে উঠছে। এটি কঠিন তবে সম্পূর্ণ মূল্যবান। এছাড়াও, মাতাল হয়ে আমি কিছুটা বোকা হতে পারি...</v>
      </c>
    </row>
    <row r="1694" spans="1:3" ht="15" x14ac:dyDescent="0.25">
      <c r="A1694" s="3" t="s">
        <v>1688</v>
      </c>
      <c r="B1694" s="3" t="s">
        <v>997</v>
      </c>
      <c r="C1694" s="4" t="str">
        <f ca="1">IFERROR(__xludf.DUMMYFUNCTION("GOOGLETRANSLATE(A1694, ""auto"", ""bn"")"),"৪ মাস ধরে আমি সুস্থ। আমি এমন একটা হোটেলে একা, যেখানে আমার পরিচিত কেউ নেই। এখানে একটা বার আছে। খুব শীঘ্রই শুভ আওয়ার আসছে। আমি একাকী এবং বিষণ্ণ বোধ করছি এবং মদ্যপান করতে চাই। বাহ, এটুকুই। আমার মনে হয় বিছানায় শুয়ে টিভি দেখব। আজ রাতে মদ্যপান করলে আগামীকাল"&amp;" আমার যে ৮ ঘন্টা গাড়ি চালানোর দরকার, তা আর করতে চাইব না। আর সত্যি বলতে, এখনই মদ্যপান থেকে বিরত থাকার জন্য এটাই যথেষ্ট, কিন্তু আমার মনে হয় না যে কোনও কারণই যথেষ্ট।")</f>
        <v>৪ মাস ধরে আমি সুস্থ। আমি এমন একটা হোটেলে একা, যেখানে আমার পরিচিত কেউ নেই। এখানে একটা বার আছে। খুব শীঘ্রই শুভ আওয়ার আসছে। আমি একাকী এবং বিষণ্ণ বোধ করছি এবং মদ্যপান করতে চাই। বাহ, এটুকুই। আমার মনে হয় বিছানায় শুয়ে টিভি দেখব। আজ রাতে মদ্যপান করলে আগামীকাল আমার যে ৮ ঘন্টা গাড়ি চালানোর দরকার, তা আর করতে চাইব না। আর সত্যি বলতে, এখনই মদ্যপান থেকে বিরত থাকার জন্য এটাই যথেষ্ট, কিন্তু আমার মনে হয় না যে কোনও কারণই যথেষ্ট।</v>
      </c>
    </row>
    <row r="1695" spans="1:3" ht="15" x14ac:dyDescent="0.25">
      <c r="A1695" s="3" t="s">
        <v>1689</v>
      </c>
      <c r="B1695" s="3" t="s">
        <v>997</v>
      </c>
      <c r="C1695" s="4" t="str">
        <f ca="1">IFERROR(__xludf.DUMMYFUNCTION("GOOGLETRANSLATE(A1695, ""auto"", ""bn"")"),"আমি এক দশক ধরে মদ্যপান করছি। মাতাল অবস্থায় আমি নিজেকে কষ্ট দিয়েছি, অন্যদের কষ্ট দিয়েছি, নিজেকে বিব্রত করেছি, মাতাল অবস্থায় কাজে গিয়েছি, এমন কিছু করেছি যার জন্য আমি গর্বিত নই। তাছাড়া, আমি যখন মদ্যপান করি তখন আমি কে তা ঘৃণা করি কারণ যখন আমি মদ্যপান কর"&amp;"ি তখন তা অযৌক্তিক। তাছাড়া, আমি ৮/১০ বার মদ্যপান করি যা ব্ল্যাক আউটের পর্যায়ে চলে যায়। আমি কতটা এবং কতবার মদ্যপান করি তা নিয়ে মিথ্যা বলেছি। আমি গোপনে মদ্যপান রেখেছি এবং মদ্যপান না করার বিষয়ে মিথ্যা বলেছি। আমার সাথে এমন কিছু ঘটেছে যা আমি যদি ব্ল্যাক আউ"&amp;"ট না করতাম তবে ঘটত না। আমি অনেকবার ত্যাগ করার চেষ্টা করেছি কিন্তু মাত্র এক মাস ধরে মদ্যপান না করে হাল ছেড়ে দিয়েছি। আমার মনে হয় আমি অবশেষে প্রতিশ্রুতিবদ্ধ হতে প্রস্তুত। আমি মদ্যপান করতে চাই না। তাছাড়া, আমি সেই ভয়ঙ্কর ব্যক্তি হতে চাই না যা আমি পরিণত হই"&amp;"। তাছাড়া, মদ্যপান থেকে আমার কিছুই লাভ হয় না এবং আমি সচেতন কিন্তু এটি থামানো সত্যিই খুব কঠিন। আমি এই পোস্টগুলির কয়েকটি পড়েছি এবং আমি আরও উৎসাহিত বোধ করছি এবং নিজের মধ্যে আশা জাগিয়েছি। তাছাড়া, আমি এই নতুন পথে প্রতিশ্রুতিবদ্ধ হওয়ার জন্য যথাসাধ্য চেষ্টা"&amp;" করব")</f>
        <v>আমি এক দশক ধরে মদ্যপান করছি। মাতাল অবস্থায় আমি নিজেকে কষ্ট দিয়েছি, অন্যদের কষ্ট দিয়েছি, নিজেকে বিব্রত করেছি, মাতাল অবস্থায় কাজে গিয়েছি, এমন কিছু করেছি যার জন্য আমি গর্বিত নই। তাছাড়া, আমি যখন মদ্যপান করি তখন আমি কে তা ঘৃণা করি কারণ যখন আমি মদ্যপান করি তখন তা অযৌক্তিক। তাছাড়া, আমি ৮/১০ বার মদ্যপান করি যা ব্ল্যাক আউটের পর্যায়ে চলে যায়। আমি কতটা এবং কতবার মদ্যপান করি তা নিয়ে মিথ্যা বলেছি। আমি গোপনে মদ্যপান রেখেছি এবং মদ্যপান না করার বিষয়ে মিথ্যা বলেছি। আমার সাথে এমন কিছু ঘটেছে যা আমি যদি ব্ল্যাক আউট না করতাম তবে ঘটত না। আমি অনেকবার ত্যাগ করার চেষ্টা করেছি কিন্তু মাত্র এক মাস ধরে মদ্যপান না করে হাল ছেড়ে দিয়েছি। আমার মনে হয় আমি অবশেষে প্রতিশ্রুতিবদ্ধ হতে প্রস্তুত। আমি মদ্যপান করতে চাই না। তাছাড়া, আমি সেই ভয়ঙ্কর ব্যক্তি হতে চাই না যা আমি পরিণত হই। তাছাড়া, মদ্যপান থেকে আমার কিছুই লাভ হয় না এবং আমি সচেতন কিন্তু এটি থামানো সত্যিই খুব কঠিন। আমি এই পোস্টগুলির কয়েকটি পড়েছি এবং আমি আরও উৎসাহিত বোধ করছি এবং নিজের মধ্যে আশা জাগিয়েছি। তাছাড়া, আমি এই নতুন পথে প্রতিশ্রুতিবদ্ধ হওয়ার জন্য যথাসাধ্য চেষ্টা করব</v>
      </c>
    </row>
    <row r="1696" spans="1:3" ht="15" x14ac:dyDescent="0.25">
      <c r="A1696" s="3" t="s">
        <v>1690</v>
      </c>
      <c r="B1696" s="3" t="s">
        <v>997</v>
      </c>
      <c r="C1696" s="4" t="str">
        <f ca="1">IFERROR(__xludf.DUMMYFUNCTION("GOOGLETRANSLATE(A1696, ""auto"", ""bn"")"),"আমি জানি না কেন সারাজীবনের জন্য সংযত থাকার কথা ভাবলে আমার মনে ""আমি এটা করতে পারব না"" এই অনুভূতির তীব্র ঢেউ আসে। আমি সত্যিই চেষ্টা করছি নিজেকে আজকের জন্য সংযত থাকার কথা মনে করিয়ে দিতে। একদিন পর পর। এখন পর্যন্ত এটাই কাজ করছে, কিন্তু আমার জীবনে অ্যালকোহলে"&amp;"র কোনও স্থান নেই তার কিছু অনুস্মারক আমি সত্যিই ব্যবহার করতে পারি। আমি অনুভব করতে পারছি যে আমার মস্তিষ্ক আমাকে ""সংযত হওয়া সম্ভব হতে পারে"" বলে আবার প্ররোচিত করার চেষ্টা করছে এবং আমি ভীত। জীবন এখন আমার জন্য সত্যিই ভালো যাচ্ছে এবং এই কারণেই আমি এই অনুভূতিগ"&amp;"ুলি অনুভব করছি, কিন্তু আমি জানি না (AA ছাড়া) কীভাবে এগুলি বন্ধ করব।")</f>
        <v>আমি জানি না কেন সারাজীবনের জন্য সংযত থাকার কথা ভাবলে আমার মনে "আমি এটা করতে পারব না" এই অনুভূতির তীব্র ঢেউ আসে। আমি সত্যিই চেষ্টা করছি নিজেকে আজকের জন্য সংযত থাকার কথা মনে করিয়ে দিতে। একদিন পর পর। এখন পর্যন্ত এটাই কাজ করছে, কিন্তু আমার জীবনে অ্যালকোহলের কোনও স্থান নেই তার কিছু অনুস্মারক আমি সত্যিই ব্যবহার করতে পারি। আমি অনুভব করতে পারছি যে আমার মস্তিষ্ক আমাকে "সংযত হওয়া সম্ভব হতে পারে" বলে আবার প্ররোচিত করার চেষ্টা করছে এবং আমি ভীত। জীবন এখন আমার জন্য সত্যিই ভালো যাচ্ছে এবং এই কারণেই আমি এই অনুভূতিগুলি অনুভব করছি, কিন্তু আমি জানি না (AA ছাড়া) কীভাবে এগুলি বন্ধ করব।</v>
      </c>
    </row>
    <row r="1697" spans="1:3" ht="15" x14ac:dyDescent="0.25">
      <c r="A1697" s="3" t="s">
        <v>1691</v>
      </c>
      <c r="B1697" s="3" t="s">
        <v>997</v>
      </c>
      <c r="C1697" s="4" t="str">
        <f ca="1">IFERROR(__xludf.DUMMYFUNCTION("GOOGLETRANSLATE(A1697, ""auto"", ""bn"")"),"আজ সকালে ঘুম থেকে উঠে আমি জেনেছিলাম যে আজ আমি মদ্যপান করব না। আমি অবশ্যই বলব, আমার মদ্যপানের কোনও তাড়না নেই কিন্তু আমি প্রচুর পরিমাণে এলোমেলো জিনিস খাচ্ছি এবং সোডা পান করছি। আমার বয়স ৩২, এবং ৩ দিন আগে, আমি দুপুর ১টা থেকে রাত ৯টার মধ্যে ২ বোতল সাদা ওয়াই"&amp;"ন খেতাম। এটি তখনই শুরু হয়েছিল যখন পুরো কাজটি বাড়ি থেকে শুরু হয়েছিল। কোভিডের আগে অফিস থেকে সন্ধ্যা ৭টার দিকে যখন আমি বাড়ি ফিরতাম তখন কাজ শেষে একদিন এক বোতল ছিল। আমার এখনও দুটি চুক্তিবদ্ধ গিগ আছে যা আমি সপ্তাহে ৭ দিন কাজ করি এবং সর্বদা দলের যে কাউকে ছাড"&amp;"়িয়ে যাই। এখন আমি আমার স্বাস্থ্যের জন্য এবং অর্থ সাশ্রয়ের জন্য মদ্যপান ছেড়ে দিতে চাই। আমি কাজ করার সময় প্রতিদিন ২ বোতলের জন্য ৩৪ ডলার এবং দুটি সিগারের জন্য প্রতিদিন ৪০ ডলার খরচ করতাম। এখানে কঠিন অংশটি হল, এই অ-মদ্যপান ধারা বজায় রাখার জন্য কাজের পরে আ"&amp;"মার বিকল্পের অপেক্ষায় থাকার প্রয়োজন। আমার চাচাতো ভাই এবং তার স্ত্রী, যারা আমার বয়সী, খুব কমই মদ্যপান করে, কিন্তু তারা প্রচুর পরিমাণে গাঁজা ধূমপান করে। আমার রাজ্যে এটি বৈধ এবং আমি আগেও এটি চেষ্টা করে দেখেছি কিন্তু এটি আমার খুব অলস বোধ করায় সত্যিই পছন্দ"&amp;" হয়নি। কেউ কি এতে সফল হয়েছেন? আমি ম্যাজিক মাশরুমের সাথে মাইক্রো ডোজিং সম্পর্কেও পড়ছি যা আমার প্রাথমিক বছরগুলিতে আমার পরামর্শ অনুশীলন গড়ে তুলতে সাহায্য করেছিল।")</f>
        <v>আজ সকালে ঘুম থেকে উঠে আমি জেনেছিলাম যে আজ আমি মদ্যপান করব না। আমি অবশ্যই বলব, আমার মদ্যপানের কোনও তাড়না নেই কিন্তু আমি প্রচুর পরিমাণে এলোমেলো জিনিস খাচ্ছি এবং সোডা পান করছি। আমার বয়স ৩২, এবং ৩ দিন আগে, আমি দুপুর ১টা থেকে রাত ৯টার মধ্যে ২ বোতল সাদা ওয়াইন খেতাম। এটি তখনই শুরু হয়েছিল যখন পুরো কাজটি বাড়ি থেকে শুরু হয়েছিল। কোভিডের আগে অফিস থেকে সন্ধ্যা ৭টার দিকে যখন আমি বাড়ি ফিরতাম তখন কাজ শেষে একদিন এক বোতল ছিল। আমার এখনও দুটি চুক্তিবদ্ধ গিগ আছে যা আমি সপ্তাহে ৭ দিন কাজ করি এবং সর্বদা দলের যে কাউকে ছাড়িয়ে যাই। এখন আমি আমার স্বাস্থ্যের জন্য এবং অর্থ সাশ্রয়ের জন্য মদ্যপান ছেড়ে দিতে চাই। আমি কাজ করার সময় প্রতিদিন ২ বোতলের জন্য ৩৪ ডলার এবং দুটি সিগারের জন্য প্রতিদিন ৪০ ডলার খরচ করতাম। এখানে কঠিন অংশটি হল, এই অ-মদ্যপান ধারা বজায় রাখার জন্য কাজের পরে আমার বিকল্পের অপেক্ষায় থাকার প্রয়োজন। আমার চাচাতো ভাই এবং তার স্ত্রী, যারা আমার বয়সী, খুব কমই মদ্যপান করে, কিন্তু তারা প্রচুর পরিমাণে গাঁজা ধূমপান করে। আমার রাজ্যে এটি বৈধ এবং আমি আগেও এটি চেষ্টা করে দেখেছি কিন্তু এটি আমার খুব অলস বোধ করায় সত্যিই পছন্দ হয়নি। কেউ কি এতে সফল হয়েছেন? আমি ম্যাজিক মাশরুমের সাথে মাইক্রো ডোজিং সম্পর্কেও পড়ছি যা আমার প্রাথমিক বছরগুলিতে আমার পরামর্শ অনুশীলন গড়ে তুলতে সাহায্য করেছিল।</v>
      </c>
    </row>
    <row r="1698" spans="1:3" ht="15" x14ac:dyDescent="0.25">
      <c r="A1698" s="3" t="s">
        <v>1692</v>
      </c>
      <c r="B1698" s="3" t="s">
        <v>997</v>
      </c>
      <c r="C1698" s="4" t="str">
        <f ca="1">IFERROR(__xludf.DUMMYFUNCTION("GOOGLETRANSLATE(A1698, ""auto"", ""bn"")"),"আমি ১২ জুলাই, ২০২০ তারিখে ছেড়ে দিয়েছি এবং বেশিরভাগ সময়ই বেশ শক্তিশালী বোধ করছি। সম্প্রতি আমি এতটাই চাপে ছিলাম যে মাঝে মাঝে মদ্যপান করার কথা ভাবছিলাম, শুধুমাত্র বিশেষ অনুষ্ঠানে। যদিও আমি কখনও তা করি না, এবং আমার মনে হয় না আমি করব, তবে মাঝে মাঝে এটি বিব"&amp;"েচনা করা আমার জন্য উদ্বেগের। তোমাদের কি মাঝে মাঝে এই চিন্তাগুলো আসে? আমার এখনও অ্যালকোহলের প্রতি তীব্র ঘৃণা আছে, আমি সবসময় কল্পনা করি যদি আমি একবারও পান করি তবে নিজেকে বিব্রত করব। আমি ভয় পাই যে এই চিন্তাগুলো আমাকে পাগল করে দেবে।")</f>
        <v>আমি ১২ জুলাই, ২০২০ তারিখে ছেড়ে দিয়েছি এবং বেশিরভাগ সময়ই বেশ শক্তিশালী বোধ করছি। সম্প্রতি আমি এতটাই চাপে ছিলাম যে মাঝে মাঝে মদ্যপান করার কথা ভাবছিলাম, শুধুমাত্র বিশেষ অনুষ্ঠানে। যদিও আমি কখনও তা করি না, এবং আমার মনে হয় না আমি করব, তবে মাঝে মাঝে এটি বিবেচনা করা আমার জন্য উদ্বেগের। তোমাদের কি মাঝে মাঝে এই চিন্তাগুলো আসে? আমার এখনও অ্যালকোহলের প্রতি তীব্র ঘৃণা আছে, আমি সবসময় কল্পনা করি যদি আমি একবারও পান করি তবে নিজেকে বিব্রত করব। আমি ভয় পাই যে এই চিন্তাগুলো আমাকে পাগল করে দেবে।</v>
      </c>
    </row>
    <row r="1699" spans="1:3" ht="15" x14ac:dyDescent="0.25">
      <c r="A1699" s="3" t="s">
        <v>1693</v>
      </c>
      <c r="B1699" s="3" t="s">
        <v>997</v>
      </c>
      <c r="C1699" s="4" t="str">
        <f ca="1">IFERROR(__xludf.DUMMYFUNCTION("GOOGLETRANSLATE(A1699, ""auto"", ""bn"")"),"আমি ৪৪/৪৫ দিন ধরে মদ্যপান করছি। এই মেয়েটি আমাকে সমর্থন করতে এবং আমার সাথে মদ্যপান না করতে রাজি হয়েছে। আমি তাকে বিশেষভাবে অনুরোধ করেছিলাম যে এটি না পড়তে কারণ আমার আগের সম্পর্কের সময় এটি ঘটেছিল যা অত্যন্ত বিষাক্ত ছিল। আমি জানি না কেমন অনুভব করব। তাছাড়া"&amp;", আমি কাজ থেকে বাড়ি ফেরার পথে ছক্কা মারার কথা ভাবছিলাম। তাছাড়া, আমি রাগ এবং কষ্ট পেয়েছি। সে আসলে সেখানে পড়া জিনিসগুলির জন্য আমার উপর রেগে আছে। আমি বুঝতে পারি যে এই সম্পর্কটি অত্যন্ত অস্বাস্থ্যকর শোনাচ্ছে। আমি সিদ্ধান্ত নিয়েছি যে আমার এই বিষয়ে ঘুমানো"&amp;" উচিত। তাছাড়া, আমি সম্ভবত মদ্যপান করব না, তবে আপনার দুর্দান্ত মানুষদের যে কোনও পরামর্শ আমি গ্রহণ করব। তাছাড়া, আমার সম্ভবত কিছু বিষয় স্পষ্ট করার প্রয়োজন, কিন্তু আমি কর্মক্ষেত্রে আছি এবং আমার ফোনটি দূরে রাখতে হবে।")</f>
        <v>আমি ৪৪/৪৫ দিন ধরে মদ্যপান করছি। এই মেয়েটি আমাকে সমর্থন করতে এবং আমার সাথে মদ্যপান না করতে রাজি হয়েছে। আমি তাকে বিশেষভাবে অনুরোধ করেছিলাম যে এটি না পড়তে কারণ আমার আগের সম্পর্কের সময় এটি ঘটেছিল যা অত্যন্ত বিষাক্ত ছিল। আমি জানি না কেমন অনুভব করব। তাছাড়া, আমি কাজ থেকে বাড়ি ফেরার পথে ছক্কা মারার কথা ভাবছিলাম। তাছাড়া, আমি রাগ এবং কষ্ট পেয়েছি। সে আসলে সেখানে পড়া জিনিসগুলির জন্য আমার উপর রেগে আছে। আমি বুঝতে পারি যে এই সম্পর্কটি অত্যন্ত অস্বাস্থ্যকর শোনাচ্ছে। আমি সিদ্ধান্ত নিয়েছি যে আমার এই বিষয়ে ঘুমানো উচিত। তাছাড়া, আমি সম্ভবত মদ্যপান করব না, তবে আপনার দুর্দান্ত মানুষদের যে কোনও পরামর্শ আমি গ্রহণ করব। তাছাড়া, আমার সম্ভবত কিছু বিষয় স্পষ্ট করার প্রয়োজন, কিন্তু আমি কর্মক্ষেত্রে আছি এবং আমার ফোনটি দূরে রাখতে হবে।</v>
      </c>
    </row>
    <row r="1700" spans="1:3" ht="15" x14ac:dyDescent="0.25">
      <c r="A1700" s="3" t="s">
        <v>1694</v>
      </c>
      <c r="B1700" s="3" t="s">
        <v>997</v>
      </c>
      <c r="C1700" s="4" t="str">
        <f ca="1">IFERROR(__xludf.DUMMYFUNCTION("GOOGLETRANSLATE(A1700, ""auto"", ""bn"")"),"৩০ বছর ধরে মদ্যপানের পর (প্রথমে এখানে-সেখানে কয়েকবার, তারপর প্রতিদিন কাজ শুরু করে) এখন অবশেষে লক্ষ্য করছি যত কম পান করতাম, তত দ্রুত আমি নেশাগ্রস্ত হয়ে পড়ছিলাম। এই উক্তিটি এখানেই আসে? প্রথমে লোকটি পান করে; তারপর পানীয়টি পান করে; তারপর পানীয়টি একজন মানু"&amp;"ষকে কেড়ে নেয়? প্রথম কয়েক দিন ছিল ভয়াবহ, বিষণ্ণতা উদ্বেগ ঘাম, আত্ম-বিদ্বেষ এবং মাইগ্রেন ইত্যাদি। অবশেষে, পঞ্চম দিনে আমি ঘুরে দাঁড়াতে শুরু করি। ঘুম থেকে উঠে সূর্যোদয় দেখার জন্য এক কাপ গরম কফির সাথে এবং সকালে সমস্ত ভয়ঙ্কর প্রথম জিনিস যেমন আমার ফোনের দ"&amp;"িকে তাকানো (আমি কাকে ফোন করেছি, টেক্সট করেছি বা কিছু কিনেছি) বা বাড়িতে আমি কী করেছি (বোতল লুকিয়ে রেখেছি) এবং উদ্বেগ আত্ম-বিদ্বেষ এবং হতাশাকে পিছনে ফেলে। আমি প্রতিদিন শান্ত দিন কাটাব!")</f>
        <v>৩০ বছর ধরে মদ্যপানের পর (প্রথমে এখানে-সেখানে কয়েকবার, তারপর প্রতিদিন কাজ শুরু করে) এখন অবশেষে লক্ষ্য করছি যত কম পান করতাম, তত দ্রুত আমি নেশাগ্রস্ত হয়ে পড়ছিলাম। এই উক্তিটি এখানেই আসে? প্রথমে লোকটি পান করে; তারপর পানীয়টি পান করে; তারপর পানীয়টি একজন মানুষকে কেড়ে নেয়? প্রথম কয়েক দিন ছিল ভয়াবহ, বিষণ্ণতা উদ্বেগ ঘাম, আত্ম-বিদ্বেষ এবং মাইগ্রেন ইত্যাদি। অবশেষে, পঞ্চম দিনে আমি ঘুরে দাঁড়াতে শুরু করি। ঘুম থেকে উঠে সূর্যোদয় দেখার জন্য এক কাপ গরম কফির সাথে এবং সকালে সমস্ত ভয়ঙ্কর প্রথম জিনিস যেমন আমার ফোনের দিকে তাকানো (আমি কাকে ফোন করেছি, টেক্সট করেছি বা কিছু কিনেছি) বা বাড়িতে আমি কী করেছি (বোতল লুকিয়ে রেখেছি) এবং উদ্বেগ আত্ম-বিদ্বেষ এবং হতাশাকে পিছনে ফেলে। আমি প্রতিদিন শান্ত দিন কাটাব!</v>
      </c>
    </row>
    <row r="1701" spans="1:3" ht="15" x14ac:dyDescent="0.25">
      <c r="A1701" s="3" t="s">
        <v>1695</v>
      </c>
      <c r="B1701" s="3" t="s">
        <v>997</v>
      </c>
      <c r="C1701" s="4" t="str">
        <f ca="1">IFERROR(__xludf.DUMMYFUNCTION("GOOGLETRANSLATE(A1701, ""auto"", ""bn"")"),"এখন পর্যন্ত আমি ঘুমানোর জন্য নিজেকে পান করেছি, এমনকি কাজের দিনগুলিতেও। সকালে আমার একটু ক্ষুধার্ত লাগত, কিন্তু ঘুম আসে না। এখন যেহেতু আমি আর পান করি না, তাই আমার ঘুমের অবস্থা খারাপ। আমি জানি আমি ঘুমাই, কিন্তু আমার কাছে মনে হয় আমি সারা রাত জেগে থাকি, শুধু "&amp;"ঘুরপাক খাই এবং তারপর সকাল হয়ে যায়। আমি কখনও বিশ্রাম অনুভব করি না, সারাদিন আমি ক্লান্ত বোধ করি, এবং তারপর রাতেও একই ঘটনা ঘটে। তাছাড়া, আমি মেলাটোনিন এবং কিছু ঘুমের বড়ি খেয়েছি। তাছাড়া, আমি আরও ভালো ঘুমাবো, কিন্তু যতক্ষণ না ভোর ৩-৪ টায় সেগুলো শেষ হয়ে যা"&amp;"য়, এবং তারপর আমি ঘুম থেকে উঠে আর ঘুমাতে পারি না। এতে আমি সকালে আরও ক্লান্ত হয়ে পড়ি। যদি আমি ৩-৪ টায় আরেকটি বড়ি খাই তাহলে সকালে ঘুম থেকে ওঠা প্রায় অসম্ভব এবং সারা দিন আমি হতবুদ্ধি থাকি। মদ্যপান বন্ধ করার পর কি এটা স্বাভাবিক? শরীর কি অবশেষে অ্যালকোহল "&amp;"ছাড়া ঘুমানোর সাথে মানিয়ে নেবে?")</f>
        <v>এখন পর্যন্ত আমি ঘুমানোর জন্য নিজেকে পান করেছি, এমনকি কাজের দিনগুলিতেও। সকালে আমার একটু ক্ষুধার্ত লাগত, কিন্তু ঘুম আসে না। এখন যেহেতু আমি আর পান করি না, তাই আমার ঘুমের অবস্থা খারাপ। আমি জানি আমি ঘুমাই, কিন্তু আমার কাছে মনে হয় আমি সারা রাত জেগে থাকি, শুধু ঘুরপাক খাই এবং তারপর সকাল হয়ে যায়। আমি কখনও বিশ্রাম অনুভব করি না, সারাদিন আমি ক্লান্ত বোধ করি, এবং তারপর রাতেও একই ঘটনা ঘটে। তাছাড়া, আমি মেলাটোনিন এবং কিছু ঘুমের বড়ি খেয়েছি। তাছাড়া, আমি আরও ভালো ঘুমাবো, কিন্তু যতক্ষণ না ভোর ৩-৪ টায় সেগুলো শেষ হয়ে যায়, এবং তারপর আমি ঘুম থেকে উঠে আর ঘুমাতে পারি না। এতে আমি সকালে আরও ক্লান্ত হয়ে পড়ি। যদি আমি ৩-৪ টায় আরেকটি বড়ি খাই তাহলে সকালে ঘুম থেকে ওঠা প্রায় অসম্ভব এবং সারা দিন আমি হতবুদ্ধি থাকি। মদ্যপান বন্ধ করার পর কি এটা স্বাভাবিক? শরীর কি অবশেষে অ্যালকোহল ছাড়া ঘুমানোর সাথে মানিয়ে নেবে?</v>
      </c>
    </row>
    <row r="1702" spans="1:3" ht="15" x14ac:dyDescent="0.25">
      <c r="A1702" s="3" t="s">
        <v>1696</v>
      </c>
      <c r="B1702" s="3" t="s">
        <v>997</v>
      </c>
      <c r="C1702" s="4" t="str">
        <f ca="1">IFERROR(__xludf.DUMMYFUNCTION("GOOGLETRANSLATE(A1702, ""auto"", ""bn"")"),"আজকের প্রতিদিনের চেক-ইন-এ আমি আগের রাতে আমার ঘুমের ব্যাঘাতের কথা উল্লেখ করেছি (অবিবেচক প্রতিবেশীদের কারণে) এবং কর্মক্ষেত্রে একটি কঠিন এবং প্রাণবন্ত দিন কাটাতে হয়েছিল। আমি বিরক্ত এবং বিরক্ত বোধ করছিলাম, কিন্তু আজকের জন্য মদ্যপান না করার জন্য দৃঢ়প্রতিজ্ঞ "&amp;"ছিলাম। তাছাড়া, আমি বিছানা থেকে নেমে একটি বৈধ পাওয়ার ওয়াক করেছি, প্রতিটি পদক্ষেপে কাঁদছি, কিন্তু সকালটা পার করতে পেরেছি। কর্মক্ষেত্রে চেক-ইন করার পর, আমি জিমে গিয়ে অবশিষ্ট শক্তি পুড়িয়ে ফেলেছি। আমি আনন্দের সাথে বলতে চাই যে আমি আজকের কঠিন কাজের কাজটি সফ"&amp;"লভাবে সম্পন্ন করেছি, এবং আমি মদ্যপান করিনি। হ্যাঁ। বইয়ের আরেকটি শান্ত দিন, এসডি। এত আশ্চর্যজনক, সহানুভূতিশীল এবং সম্পূর্ণরূপে খারাপ লোকদের দল হওয়ার জন্য তোমাদের সবাইকে ধন্যবাদ। আমি সত্যিই কৃতজ্ঞ।")</f>
        <v>আজকের প্রতিদিনের চেক-ইন-এ আমি আগের রাতে আমার ঘুমের ব্যাঘাতের কথা উল্লেখ করেছি (অবিবেচক প্রতিবেশীদের কারণে) এবং কর্মক্ষেত্রে একটি কঠিন এবং প্রাণবন্ত দিন কাটাতে হয়েছিল। আমি বিরক্ত এবং বিরক্ত বোধ করছিলাম, কিন্তু আজকের জন্য মদ্যপান না করার জন্য দৃঢ়প্রতিজ্ঞ ছিলাম। তাছাড়া, আমি বিছানা থেকে নেমে একটি বৈধ পাওয়ার ওয়াক করেছি, প্রতিটি পদক্ষেপে কাঁদছি, কিন্তু সকালটা পার করতে পেরেছি। কর্মক্ষেত্রে চেক-ইন করার পর, আমি জিমে গিয়ে অবশিষ্ট শক্তি পুড়িয়ে ফেলেছি। আমি আনন্দের সাথে বলতে চাই যে আমি আজকের কঠিন কাজের কাজটি সফলভাবে সম্পন্ন করেছি, এবং আমি মদ্যপান করিনি। হ্যাঁ। বইয়ের আরেকটি শান্ত দিন, এসডি। এত আশ্চর্যজনক, সহানুভূতিশীল এবং সম্পূর্ণরূপে খারাপ লোকদের দল হওয়ার জন্য তোমাদের সবাইকে ধন্যবাদ। আমি সত্যিই কৃতজ্ঞ।</v>
      </c>
    </row>
    <row r="1703" spans="1:3" ht="15" x14ac:dyDescent="0.25">
      <c r="A1703" s="3" t="s">
        <v>1697</v>
      </c>
      <c r="B1703" s="3" t="s">
        <v>997</v>
      </c>
      <c r="C1703" s="4" t="str">
        <f ca="1">IFERROR(__xludf.DUMMYFUNCTION("GOOGLETRANSLATE(A1703, ""auto"", ""bn"")"),"আর অ্যালকোহলের কারণে নয়। আমি খারাপ মুরগি বা অন্য কিছু রান্না করেছি এবং গত কয়েক ঘন্টা ধরে বমি করছি। এটি যতই খারাপ হোক না কেন, অন্তত এর জন্য লজ্জার একমাত্র কারণ হল আমার রান্নার দক্ষতা।")</f>
        <v>আর অ্যালকোহলের কারণে নয়। আমি খারাপ মুরগি বা অন্য কিছু রান্না করেছি এবং গত কয়েক ঘন্টা ধরে বমি করছি। এটি যতই খারাপ হোক না কেন, অন্তত এর জন্য লজ্জার একমাত্র কারণ হল আমার রান্নার দক্ষতা।</v>
      </c>
    </row>
    <row r="1704" spans="1:3" ht="15" x14ac:dyDescent="0.25">
      <c r="A1704" s="3" t="s">
        <v>1698</v>
      </c>
      <c r="B1704" s="3" t="s">
        <v>997</v>
      </c>
      <c r="C1704" s="4" t="str">
        <f ca="1">IFERROR(__xludf.DUMMYFUNCTION("GOOGLETRANSLATE(A1704, ""auto"", ""bn"")"),"আমি আতঙ্কিত না হওয়ার চেষ্টা করছি। আমি ১২ বছর ধরে মাঝে মাঝে মদ্যপান করে আসছি। যখন আমি নেশা করি, তখন আমি খুব নেশাগ্রস্ত থাকি। আমি সারাদিন মদ্যপান করি না, কিন্তু যতক্ষণ না আমি অজ্ঞান হয়ে যাই ততক্ষণ পর্যন্ত পান করি। বছরের পর বছর ধরে আমি ক্রমশ কমিয়েছি। আমি "&amp;"চিকিৎসার পরামর্শ নিচ্ছি না। শুধু আরাম খুঁজছি। আমি খুব সক্রিয় এবং একটি দুর্দান্ত ডায়েট অনুসরণ করি। কিন্তু পান করার সময় আমার মুখ এবং বুকে যে লাল দাগ পড়ে তা আমাকে ভয় দেখিয়েছে। আমি দ্বিতীয় দিনে আছি। আমি চিন্তিত যে আমার সিরোসিস আছে। তাছাড়া, আমার মনে হয"&amp;"় এটি সবচেয়ে খারাপ পরিস্থিতি। তাছাড়া, আমার অন্য কোনও লক্ষণ নেই। কোনও ব্যথা নেই, কোনও কাঁপুনি নেই, বা অন্য কিছু নয়। কেবল আমার ত্বকের এই ভয়াবহ লাল দাগগুলি দেখা যাচ্ছে। আমি কয়েক সপ্তাহের মধ্যে আমার ডাক্তারের কাছে যাচ্ছি। আমার মনে হয় আমি এখানে কিছুটা আর"&amp;"াম খুঁজছি। আমি সম্পূর্ণ আতঙ্কিত না হওয়ার চেষ্টা করছি। তোমরা কীভাবে জানলে যে তোমার সিরোসিস হয়েছে?")</f>
        <v>আমি আতঙ্কিত না হওয়ার চেষ্টা করছি। আমি ১২ বছর ধরে মাঝে মাঝে মদ্যপান করে আসছি। যখন আমি নেশা করি, তখন আমি খুব নেশাগ্রস্ত থাকি। আমি সারাদিন মদ্যপান করি না, কিন্তু যতক্ষণ না আমি অজ্ঞান হয়ে যাই ততক্ষণ পর্যন্ত পান করি। বছরের পর বছর ধরে আমি ক্রমশ কমিয়েছি। আমি চিকিৎসার পরামর্শ নিচ্ছি না। শুধু আরাম খুঁজছি। আমি খুব সক্রিয় এবং একটি দুর্দান্ত ডায়েট অনুসরণ করি। কিন্তু পান করার সময় আমার মুখ এবং বুকে যে লাল দাগ পড়ে তা আমাকে ভয় দেখিয়েছে। আমি দ্বিতীয় দিনে আছি। আমি চিন্তিত যে আমার সিরোসিস আছে। তাছাড়া, আমার মনে হয় এটি সবচেয়ে খারাপ পরিস্থিতি। তাছাড়া, আমার অন্য কোনও লক্ষণ নেই। কোনও ব্যথা নেই, কোনও কাঁপুনি নেই, বা অন্য কিছু নয়। কেবল আমার ত্বকের এই ভয়াবহ লাল দাগগুলি দেখা যাচ্ছে। আমি কয়েক সপ্তাহের মধ্যে আমার ডাক্তারের কাছে যাচ্ছি। আমার মনে হয় আমি এখানে কিছুটা আরাম খুঁজছি। আমি সম্পূর্ণ আতঙ্কিত না হওয়ার চেষ্টা করছি। তোমরা কীভাবে জানলে যে তোমার সিরোসিস হয়েছে?</v>
      </c>
    </row>
    <row r="1705" spans="1:3" ht="15" x14ac:dyDescent="0.25">
      <c r="A1705" s="3" t="s">
        <v>1699</v>
      </c>
      <c r="B1705" s="3" t="s">
        <v>997</v>
      </c>
      <c r="C1705" s="4" t="str">
        <f ca="1">IFERROR(__xludf.DUMMYFUNCTION("GOOGLETRANSLATE(A1705, ""auto"", ""bn"")"),"আমি ঢেউয়ের সাথে তাল মিলিয়ে টেপ বাজাতে পড়েছি, ইত্যাদি। এই আকাঙ্ক্ষা ২ মিনিট, অথবা ২০ মিনিট পর্যন্ত থাকে। কিন্তু একবার শুরু হলে আমার আকাঙ্ক্ষা দিনের বাকি সময় ধরে অবিরাম থাকে। এতটাই রাগ যে আমি এত বেশি মদ্যপান করছি, রাগে আমি পান করতে পারছি না। রাগে আমি পান কর"&amp;"তে চাই। এটা পুরো দিনের ব্যাপার এবং শেষ পর্যন্ত আমি বলি? আমি এভাবে বাঁচতে পারব না? আর হাল ছেড়ে দেই। একমাত্র জিনিস যা সাময়িকভাবে আমার মস্তিষ্ককে তা থেকে মুক্ত করে তা হল গাঁজা ধূমপান, কিন্তু একবার যখন আকাঙ্ক্ষা কমে যায় তখন আকাঙ্ক্ষা ফিরে আসে। আমি চাই এটি "&amp;"টিকে থাকুক, আমি সত্যিই তা করি। ২/২২/২২ তারিখের নতুন শুরু এবং এই সমস্ত কিছুর জন্য কিছু আধ্যাত্মিক তাৎপর্য থাকার কথা, তাই আমি আমার উদ্দেশ্যগুলি প্রকাশ করছি।")</f>
        <v>আমি ঢেউয়ের সাথে তাল মিলিয়ে টেপ বাজাতে পড়েছি, ইত্যাদি। এই আকাঙ্ক্ষা ২ মিনিট, অথবা ২০ মিনিট পর্যন্ত থাকে। কিন্তু একবার শুরু হলে আমার আকাঙ্ক্ষা দিনের বাকি সময় ধরে অবিরাম থাকে। এতটাই রাগ যে আমি এত বেশি মদ্যপান করছি, রাগে আমি পান করতে পারছি না। রাগে আমি পান করতে চাই। এটা পুরো দিনের ব্যাপার এবং শেষ পর্যন্ত আমি বলি? আমি এভাবে বাঁচতে পারব না? আর হাল ছেড়ে দেই। একমাত্র জিনিস যা সাময়িকভাবে আমার মস্তিষ্ককে তা থেকে মুক্ত করে তা হল গাঁজা ধূমপান, কিন্তু একবার যখন আকাঙ্ক্ষা কমে যায় তখন আকাঙ্ক্ষা ফিরে আসে। আমি চাই এটি টিকে থাকুক, আমি সত্যিই তা করি। ২/২২/২২ তারিখের নতুন শুরু এবং এই সমস্ত কিছুর জন্য কিছু আধ্যাত্মিক তাৎপর্য থাকার কথা, তাই আমি আমার উদ্দেশ্যগুলি প্রকাশ করছি।</v>
      </c>
    </row>
    <row r="1706" spans="1:3" ht="15" x14ac:dyDescent="0.25">
      <c r="A1706" s="3" t="s">
        <v>1700</v>
      </c>
      <c r="B1706" s="3" t="s">
        <v>997</v>
      </c>
      <c r="C1706" s="4" t="str">
        <f ca="1">IFERROR(__xludf.DUMMYFUNCTION("GOOGLETRANSLATE(A1706, ""auto"", ""bn"")"),"আমি মদ্যপান বন্ধ করার নবম দিনে এসেছি এবং প্রায় দুই দিন ধরে আমার লিভারে কোনও ব্যথা হয়নি। কোনও প্রত্যাহারের লক্ষণ বা চুলকানিও নেই। এই নিয়ে আমি খুবই খুশি কারণ প্রথম দিনে ঘুম থেকে ওঠার পর, যখন আমি সমস্ত প্রত্যাহারের লক্ষণ, উল্লেখযোগ্য লিভারে ব্যথা এবং উন্ম"&amp;"াদ চুলকানি নিয়ে ঘুম থেকে উঠি, তখন আমি সত্যিই ভেবেছিলাম যে এটাই শেষ। যারা শুনতে পারেন তাদের কাছে প্রার্থনা করেছি যে যদি তারা আমাকে বাঁচতে দেয় তবে আমি আর কখনও মদ্যপান করব না। আমি এই মাসের শেষের দিকে ডাক্তারের কাছে যাচ্ছি কিন্তু আমি খুব খুশি যে এটি সিরোসিস"&amp;" বা হেপাটাইটিসের মতো কিছু হওয়ার সম্ভাবনা খুব কম, বিশেষ করে গত বছর আমার সিএ অভ্যাসের পরে। ওহ, অবশ্যই এখন আমাকে মদ্যপান না করার প্রতিশ্রুতি পালন করতে হবে, তবে বিকল্পের চেয়ে ভালো।")</f>
        <v>আমি মদ্যপান বন্ধ করার নবম দিনে এসেছি এবং প্রায় দুই দিন ধরে আমার লিভারে কোনও ব্যথা হয়নি। কোনও প্রত্যাহারের লক্ষণ বা চুলকানিও নেই। এই নিয়ে আমি খুবই খুশি কারণ প্রথম দিনে ঘুম থেকে ওঠার পর, যখন আমি সমস্ত প্রত্যাহারের লক্ষণ, উল্লেখযোগ্য লিভারে ব্যথা এবং উন্মাদ চুলকানি নিয়ে ঘুম থেকে উঠি, তখন আমি সত্যিই ভেবেছিলাম যে এটাই শেষ। যারা শুনতে পারেন তাদের কাছে প্রার্থনা করেছি যে যদি তারা আমাকে বাঁচতে দেয় তবে আমি আর কখনও মদ্যপান করব না। আমি এই মাসের শেষের দিকে ডাক্তারের কাছে যাচ্ছি কিন্তু আমি খুব খুশি যে এটি সিরোসিস বা হেপাটাইটিসের মতো কিছু হওয়ার সম্ভাবনা খুব কম, বিশেষ করে গত বছর আমার সিএ অভ্যাসের পরে। ওহ, অবশ্যই এখন আমাকে মদ্যপান না করার প্রতিশ্রুতি পালন করতে হবে, তবে বিকল্পের চেয়ে ভালো।</v>
      </c>
    </row>
    <row r="1707" spans="1:3" ht="15" x14ac:dyDescent="0.25">
      <c r="A1707" s="3" t="s">
        <v>1701</v>
      </c>
      <c r="B1707" s="3" t="s">
        <v>997</v>
      </c>
      <c r="C1707" s="4" t="str">
        <f ca="1">IFERROR(__xludf.DUMMYFUNCTION("GOOGLETRANSLATE(A1707, ""auto"", ""bn"")"),"আমি ২৫৩ দিন ধরে সুস্থ আছি। মদ্যপান শুরু করার পর থেকে এটাই সবচেয়ে বেশি। আমি নিজেকে নিয়ে খুব খুশি এবং গর্বিত। আমি সত্যিই সৎ হয়ে উঠছি এবং বুঝতে পারছি যে আমার সমস্যা কতটা ছিল। তাছাড়া, আমি আমার মদ্যপানকে ন্যায্যতা দিয়েছি, জরিপে ফাঁক খুঁজে পেয়েছি (? তুমি "&amp;"কি মনে করো যে তুমি শুরু করার পরে মদ্যপান বন্ধ করতে পারবে না?? অবশ্যই না, আমি সারা রাত মদ্যপানের পরিকল্পনা করেছিলাম!), আমার মদ্যপান লুকিয়ে রেখেছি এবং বেশ ভালোভাবে কাজ করেছি। আমি ৯০ দিন (যা প্রায় ১০০ দিন ধরে) বিরতি নিয়ে পুনরায় সেট করার জন্য ছেড়ে দিয়েছ"&amp;"ি, তারপর মাঝে মাঝে মদ্যপান শুরু করেছি? তারপর ঘন ঘন? তারপর প্রতিদিন। আবার। এক বিব্রতকর রাত এবং হ্যাংওভারের পর, আমি ছেড়ে দিয়েছি। আমি বলেছিলাম যে আমি এক বছরের জন্য ছেড়ে দিচ্ছি, কিন্তু আমি চিরতরে জন্যই চেয়েছিলাম। ব্যাপারটা হল, আমি বুঝতে পারছি যে আমি বলতে "&amp;"দ্বিধা করছি যে আমি চিরতরে ছেড়ে দিয়েছি বা স্বীকার করছি যে আমার মদ্যপান কতটা গুরুতর ছিল? কারণ এটি চিরতরে দরজা বন্ধ করে দেয়। তারপর, যদি আমি আবার পান করি তবে এটি একটি পুনরুত্থান, কেবল আমার ছোট্ট পরীক্ষার শেষ নয়। আমার মদ্যপানের কোন ইচ্ছা নেই এবং আমি আসলে ক"&amp;"ল্পনাও করতে পারছি না কেন আমি করবো, কিন্তু এখন যখন আমি নিজের কাছে স্বীকার করছি যে আমার বছরের পর বছর ধরে মদ্যপানের একটি গুরুতর সমস্যা ছিল এবং অবশেষে আমি সুস্থ হয়ে উঠলাম? আমি এটাকে চুরি করতে ভয় পাচ্ছি। একদিকে আমি আমার ঘনিষ্ঠ বন্ধুদের/পরিবারকে বলতে চাই যে আ"&amp;"মি কতটা সফল বোধ করছি, অন্যদিকে যদি আমি ভুল করি তবে আমি এতটাই উন্মুক্ত বোধ করব।")</f>
        <v>আমি ২৫৩ দিন ধরে সুস্থ আছি। মদ্যপান শুরু করার পর থেকে এটাই সবচেয়ে বেশি। আমি নিজেকে নিয়ে খুব খুশি এবং গর্বিত। আমি সত্যিই সৎ হয়ে উঠছি এবং বুঝতে পারছি যে আমার সমস্যা কতটা ছিল। তাছাড়া, আমি আমার মদ্যপানকে ন্যায্যতা দিয়েছি, জরিপে ফাঁক খুঁজে পেয়েছি (? তুমি কি মনে করো যে তুমি শুরু করার পরে মদ্যপান বন্ধ করতে পারবে না?? অবশ্যই না, আমি সারা রাত মদ্যপানের পরিকল্পনা করেছিলাম!), আমার মদ্যপান লুকিয়ে রেখেছি এবং বেশ ভালোভাবে কাজ করেছি। আমি ৯০ দিন (যা প্রায় ১০০ দিন ধরে) বিরতি নিয়ে পুনরায় সেট করার জন্য ছেড়ে দিয়েছি, তারপর মাঝে মাঝে মদ্যপান শুরু করেছি? তারপর ঘন ঘন? তারপর প্রতিদিন। আবার। এক বিব্রতকর রাত এবং হ্যাংওভারের পর, আমি ছেড়ে দিয়েছি। আমি বলেছিলাম যে আমি এক বছরের জন্য ছেড়ে দিচ্ছি, কিন্তু আমি চিরতরে জন্যই চেয়েছিলাম। ব্যাপারটা হল, আমি বুঝতে পারছি যে আমি বলতে দ্বিধা করছি যে আমি চিরতরে ছেড়ে দিয়েছি বা স্বীকার করছি যে আমার মদ্যপান কতটা গুরুতর ছিল? কারণ এটি চিরতরে দরজা বন্ধ করে দেয়। তারপর, যদি আমি আবার পান করি তবে এটি একটি পুনরুত্থান, কেবল আমার ছোট্ট পরীক্ষার শেষ নয়। আমার মদ্যপানের কোন ইচ্ছা নেই এবং আমি আসলে কল্পনাও করতে পারছি না কেন আমি করবো, কিন্তু এখন যখন আমি নিজের কাছে স্বীকার করছি যে আমার বছরের পর বছর ধরে মদ্যপানের একটি গুরুতর সমস্যা ছিল এবং অবশেষে আমি সুস্থ হয়ে উঠলাম? আমি এটাকে চুরি করতে ভয় পাচ্ছি। একদিকে আমি আমার ঘনিষ্ঠ বন্ধুদের/পরিবারকে বলতে চাই যে আমি কতটা সফল বোধ করছি, অন্যদিকে যদি আমি ভুল করি তবে আমি এতটাই উন্মুক্ত বোধ করব।</v>
      </c>
    </row>
    <row r="1708" spans="1:3" ht="15" x14ac:dyDescent="0.25">
      <c r="A1708" s="3" t="s">
        <v>1702</v>
      </c>
      <c r="B1708" s="3" t="s">
        <v>997</v>
      </c>
      <c r="C1708" s="4" t="str">
        <f ca="1">IFERROR(__xludf.DUMMYFUNCTION("GOOGLETRANSLATE(A1708, ""auto"", ""bn"")"),"আজ আমি আরেকটি মাইলফলক স্পর্শ করেছি। আমার ৫০তম দিন। আমি বিশ্বাস করতে পারছি না। এই সাব আমার জীবনকে আক্ষরিক অর্থেই বদলে দিয়েছে। আমি সপ্তাহে প্রতিদিন ৬-১০টি বিয়ার পান করেছিলাম এবং সপ্তাহান্তে অতিরিক্ত মদ্যপান করেছিলাম। ৫০ দিন অ্যালকোহল ছাড়াই। এখন আমি আমার "&amp;"স্বাস্থ্যের দিকে মনোযোগ দিচ্ছি এবং ১৫ পাউন্ড ওজন কমেছে, আমার পেট ফুলে ওঠেনি এবং আসলে ফুলে ওঠা এবং সেলুলাইটে ভরা থাকার পরিবর্তে সমতল এবং পেশীবহুল দেখাচ্ছে। আমার স্ত্রী আমাকে অন্যরকমভাবে দেখে এবং আমার বাচ্চারা আমাকে আগের চেয়েও বেশি ভালোবাসে। আমার মেয়ে (৫ "&amp;"বছর) আমাকে বলেছিল যে সে আমাকে মদ্যপান না করতে পছন্দ করে কারণ? আমি আর মায়ের সাথে ঝগড়া করি না?? কয়েক দশকের মধ্যে প্রথমবারের মতো আমার রক্তচাপ স্বাভাবিক হওয়ার সাথে সাথে আমার স্বাস্থ্য অবশেষে সঠিক দিকে এগিয়ে যাচ্ছে। আমি মাউন্টেন বাইকিংয়ের প্রতি আমার ভালো"&amp;"বাসা পুনরায় আবিষ্কার করেছি এবং এমনকি আমার শখকে ঘিরে একটি পোশাকের ব্র্যান্ড (@azmtbco) শুরু করেছি। আমার একজন আজীবন বন্ধুও আমার উদাহরণ অনুসরণ করেছে এবং এখন সেও মদ্যপান বন্ধ করার চেষ্টা করছে। তাছাড়া, যদি আমি এখনও বোতলের দাস হতাম, তাহলে আমি কখনই এইরকম অনুভব "&amp;"করতে পারতাম না বা এই জিনিসগুলি করতে পারতাম না। এই সাব আমাকে যে সমস্ত সমর্থন এবং জ্ঞান দিয়েছে তার জন্য সকলকে ধন্যবাদ!")</f>
        <v>আজ আমি আরেকটি মাইলফলক স্পর্শ করেছি। আমার ৫০তম দিন। আমি বিশ্বাস করতে পারছি না। এই সাব আমার জীবনকে আক্ষরিক অর্থেই বদলে দিয়েছে। আমি সপ্তাহে প্রতিদিন ৬-১০টি বিয়ার পান করেছিলাম এবং সপ্তাহান্তে অতিরিক্ত মদ্যপান করেছিলাম। ৫০ দিন অ্যালকোহল ছাড়াই। এখন আমি আমার স্বাস্থ্যের দিকে মনোযোগ দিচ্ছি এবং ১৫ পাউন্ড ওজন কমেছে, আমার পেট ফুলে ওঠেনি এবং আসলে ফুলে ওঠা এবং সেলুলাইটে ভরা থাকার পরিবর্তে সমতল এবং পেশীবহুল দেখাচ্ছে। আমার স্ত্রী আমাকে অন্যরকমভাবে দেখে এবং আমার বাচ্চারা আমাকে আগের চেয়েও বেশি ভালোবাসে। আমার মেয়ে (৫ বছর) আমাকে বলেছিল যে সে আমাকে মদ্যপান না করতে পছন্দ করে কারণ? আমি আর মায়ের সাথে ঝগড়া করি না?? কয়েক দশকের মধ্যে প্রথমবারের মতো আমার রক্তচাপ স্বাভাবিক হওয়ার সাথে সাথে আমার স্বাস্থ্য অবশেষে সঠিক দিকে এগিয়ে যাচ্ছে। আমি মাউন্টেন বাইকিংয়ের প্রতি আমার ভালোবাসা পুনরায় আবিষ্কার করেছি এবং এমনকি আমার শখকে ঘিরে একটি পোশাকের ব্র্যান্ড (@azmtbco) শুরু করেছি। আমার একজন আজীবন বন্ধুও আমার উদাহরণ অনুসরণ করেছে এবং এখন সেও মদ্যপান বন্ধ করার চেষ্টা করছে। তাছাড়া, যদি আমি এখনও বোতলের দাস হতাম, তাহলে আমি কখনই এইরকম অনুভব করতে পারতাম না বা এই জিনিসগুলি করতে পারতাম না। এই সাব আমাকে যে সমস্ত সমর্থন এবং জ্ঞান দিয়েছে তার জন্য সকলকে ধন্যবাদ!</v>
      </c>
    </row>
    <row r="1709" spans="1:3" ht="15" x14ac:dyDescent="0.25">
      <c r="A1709" s="3" t="s">
        <v>1703</v>
      </c>
      <c r="B1709" s="3" t="s">
        <v>997</v>
      </c>
      <c r="C1709" s="4" t="str">
        <f ca="1">IFERROR(__xludf.DUMMYFUNCTION("GOOGLETRANSLATE(A1709, ""auto"", ""bn"")"),"টানা তিন দিন ধরে অপেক্ষা করার পর একগাদা ওয়াইন পান করলাম। কোন বোকা লোকের উপর পান করলাম এবং ঘুম থেকে জেগে উঠলাম এবং অবিশ্বাস্যভাবে অপরাধবোধে ভুগলাম। আমি বুঝতে না পেরে ক্রাইসিস হটলাইনে টেক্সট করলাম। আমি সত্যিই লজ্জিত কিন্তু আমি যা করতে পারি তা হল নতুন করে শ"&amp;"ুরু করা। আমি এত সংবেদনশীল কেন? ঈশ্বরের কসম, যখনই আমার পুরুষদের সাথে সমস্যা হয় তখনই আমি কেবল কাঁদি, কাঁদি, আর থামতে পারি না। আমি সত্যিই শিশুর মতো অনুভব করি। তাছাড়া, আমার যত তাড়াতাড়ি সম্ভব থেরাপির প্রয়োজন।")</f>
        <v>টানা তিন দিন ধরে অপেক্ষা করার পর একগাদা ওয়াইন পান করলাম। কোন বোকা লোকের উপর পান করলাম এবং ঘুম থেকে জেগে উঠলাম এবং অবিশ্বাস্যভাবে অপরাধবোধে ভুগলাম। আমি বুঝতে না পেরে ক্রাইসিস হটলাইনে টেক্সট করলাম। আমি সত্যিই লজ্জিত কিন্তু আমি যা করতে পারি তা হল নতুন করে শুরু করা। আমি এত সংবেদনশীল কেন? ঈশ্বরের কসম, যখনই আমার পুরুষদের সাথে সমস্যা হয় তখনই আমি কেবল কাঁদি, কাঁদি, আর থামতে পারি না। আমি সত্যিই শিশুর মতো অনুভব করি। তাছাড়া, আমার যত তাড়াতাড়ি সম্ভব থেরাপির প্রয়োজন।</v>
      </c>
    </row>
    <row r="1710" spans="1:3" ht="15" x14ac:dyDescent="0.25">
      <c r="A1710" s="3" t="s">
        <v>1704</v>
      </c>
      <c r="B1710" s="3" t="s">
        <v>997</v>
      </c>
      <c r="C1710" s="4" t="str">
        <f ca="1">IFERROR(__xludf.DUMMYFUNCTION("GOOGLETRANSLATE(A1710, ""auto"", ""bn"")"),"আমি দেখতে পাচ্ছি যে এখানে পোস্ট করা জবাবদিহিতার জন্য একটি অসাধারণ সাহায্য। আর এখানে প্রতিদিন লেখার মাধ্যমে আমার উদ্দেশ্য স্থির করার মধ্যে কিছু শক্তিশালী জিনিস আছে বলে মনে হচ্ছে। আজ এক সপ্তাহ ধরে সুস্থ। আমি ওয়াইন এবং জিনের পরিবর্তে চা এবং জিম খাব। এখানেই "&amp;"ভালো শারীরিক এবং মানসিক স্বাস্থ্য।")</f>
        <v>আমি দেখতে পাচ্ছি যে এখানে পোস্ট করা জবাবদিহিতার জন্য একটি অসাধারণ সাহায্য। আর এখানে প্রতিদিন লেখার মাধ্যমে আমার উদ্দেশ্য স্থির করার মধ্যে কিছু শক্তিশালী জিনিস আছে বলে মনে হচ্ছে। আজ এক সপ্তাহ ধরে সুস্থ। আমি ওয়াইন এবং জিনের পরিবর্তে চা এবং জিম খাব। এখানেই ভালো শারীরিক এবং মানসিক স্বাস্থ্য।</v>
      </c>
    </row>
    <row r="1711" spans="1:3" ht="15" x14ac:dyDescent="0.25">
      <c r="A1711" s="3" t="s">
        <v>1705</v>
      </c>
      <c r="B1711" s="3" t="s">
        <v>997</v>
      </c>
      <c r="C1711" s="4" t="str">
        <f ca="1">IFERROR(__xludf.DUMMYFUNCTION("GOOGLETRANSLATE(A1711, ""auto"", ""bn"")"),"আমার মদ্যপানের সমস্যা আছে এবং আমার আর্থিক জীবন ধ্বংসের মুখে, আমার স্বাস্থ্য বিপর্যস্ত, সমাজে আমি আমার মর্যাদা সম্পূর্ণরূপে হারিয়ে ফেলছি, আমার পরিবার আমাকে দূরে ঠেলে দিচ্ছে, এবং সুন্দর মানুষের সাথে আমার অনেক ভালো সম্পর্ক নষ্ট হয়ে গেছে। আমি আমার জীবনের সব"&amp;"চেয়ে বড় লক্ষ্য এবং আকাঙ্ক্ষার সব ধরণের সুযোগ স্থায়ীভাবে নষ্ট করে দিয়েছি। তাছাড়া, আমি জানি না যে আমি এত বেশি পরিমাণে মদ্যপান করি যে টাকা তোলার জন্য টাকা তুলতে পারি, নাকি দীর্ঘ সময় ধরে রাখি। অথবা, যদি চাই, আমি জানি না যে সেগুলি বিপজ্জনক হবে কিনা। স্বীক"&amp;"ার করতেই হবে, সেই সময়ে কী হতে হবে তা আমি কিছুই জানি না। আমি আগামীকাল আমার ডাক্তারের সাথে কথা বলব, এবং আমি আশা করি তিনি এই বিষয়ে কিছু আলোকপাত করতে পারবেন। যদি আমাকে ডিটক্স এবং/অথবা পুনর্বাসনে যেতে হয়, আমার মনে হয় আমি আমার চাকরি হারাবো এবং দ্রুত গৃহহীন "&amp;"হয়ে যাব - যা আমি ঠিকই বলছি, কারণ আমি আমার সমস্ত অর্থ অ্যালকোহল এবং মাদকের পিছনে ব্যয় করি - এবং আমি কাজ থেকে কোনও সময় ছুটি নিতে পারি না। মাতাল/অলস অবস্থায় আসার জন্য, এবং অনেক সময় ফোন করে/ঘরে তাড়াতাড়ি যাওয়ার জন্য আমি ইতিমধ্যেই সেখানে বিরক্ত। তাই আমি"&amp;" আশা করছি যে আমি ডিটক্স/পুনর্বাসন ছাড়াই এটি করতে পারব। আমি জানি আপনি এই Subreddit-এ আমাকে এই বিষয়ে পরামর্শ দিতে পারবেন না, এবং আমি নিশ্চিত নই যে আমি এমন কোনও পরামর্শ পাব যেখানে আমি এটি পেতে পারি কিনা। আমি এখানে পরিস্থিতি প্রকাশ করছি। আমি আমার দিনের প্রধ"&amp;"ান বিষয় হয়ে ওঠা মদ্যপান করতে করতে ক্লান্ত। এবং আমি মদ্যপান করতে করতে ক্লান্ত হয়ে পড়েছি যা আমার জীবন, মেজাজ, সামগ্রিক সুখ, জীবনের সাফল্য, শারীরিক ও মানসিক স্বাস্থ্য, সম্পর্ক এবং সবকিছু নষ্ট করে। আমার জীবনে সমর্থন খুব, খুব কম। সর্বাধিক কয়েকজন বন্ধু। এব"&amp;"ং তারপরে প্রায় ২০-৩০ জন লোক যারা সক্রিয়ভাবে সমস্যাটিকে আরও খারাপ করে তোলে, হা হা। আমি ১০০% শান্ত এবং পরিষ্কার হতে চাই, আমি কেবল এটুকুই জানি। আমি নিরাময় করতে চাই, আমার জীবন ঠিক করতে চাই এবং নিজের একটি ভাল সংস্করণ হতে চাই। এবং আমি জানি কেন। আমি কেবল আশা "&amp;"করি বেঁচে থাকার জন্য এটি যথেষ্ট। এবং যখন সেই অন্য লোকটি আসে যে মদ্যপান করতে পছন্দ করে? আমি আশা করি আমি নিজেকে বোঝার ক্ষমতা এবং পরিস্থিতি সম্পর্কে সচেতনতার মাধ্যমে তাকে ধারাবাহিকভাবে পরাজিত করতে পারব। কিন্তু এটা আমাকে ভয় পায়, কারণ ধারাবাহিকতা আমার শক্তি নয়"&amp;"। আমি শুধু চাই আমার আঙুলগুলো ঝাঁকিয়ে নিয়ন্ত্রণে থাকতে এবং আমার জীবনকে ঠিক করতে। কিন্তু আমি জানি যে সেই বিন্দুতে পৌঁছানোর জন্য আমাকে অনেক যন্ত্রণাদায়ক নরকের মধ্য দিয়ে হেঁটে যেতে হবে। এবং এটা আমাকে ভয় পায়। আমি আশা করি আমি যা-ই হোক না কেন তার জন্য প্রস্তুত।")</f>
        <v>আমার মদ্যপানের সমস্যা আছে এবং আমার আর্থিক জীবন ধ্বংসের মুখে, আমার স্বাস্থ্য বিপর্যস্ত, সমাজে আমি আমার মর্যাদা সম্পূর্ণরূপে হারিয়ে ফেলছি, আমার পরিবার আমাকে দূরে ঠেলে দিচ্ছে, এবং সুন্দর মানুষের সাথে আমার অনেক ভালো সম্পর্ক নষ্ট হয়ে গেছে। আমি আমার জীবনের সবচেয়ে বড় লক্ষ্য এবং আকাঙ্ক্ষার সব ধরণের সুযোগ স্থায়ীভাবে নষ্ট করে দিয়েছি। তাছাড়া, আমি জানি না যে আমি এত বেশি পরিমাণে মদ্যপান করি যে টাকা তোলার জন্য টাকা তুলতে পারি, নাকি দীর্ঘ সময় ধরে রাখি। অথবা, যদি চাই, আমি জানি না যে সেগুলি বিপজ্জনক হবে কিনা। স্বীকার করতেই হবে, সেই সময়ে কী হতে হবে তা আমি কিছুই জানি না। আমি আগামীকাল আমার ডাক্তারের সাথে কথা বলব, এবং আমি আশা করি তিনি এই বিষয়ে কিছু আলোকপাত করতে পারবেন। যদি আমাকে ডিটক্স এবং/অথবা পুনর্বাসনে যেতে হয়, আমার মনে হয় আমি আমার চাকরি হারাবো এবং দ্রুত গৃহহীন হয়ে যাব - যা আমি ঠিকই বলছি, কারণ আমি আমার সমস্ত অর্থ অ্যালকোহল এবং মাদকের পিছনে ব্যয় করি - এবং আমি কাজ থেকে কোনও সময় ছুটি নিতে পারি না। মাতাল/অলস অবস্থায় আসার জন্য, এবং অনেক সময় ফোন করে/ঘরে তাড়াতাড়ি যাওয়ার জন্য আমি ইতিমধ্যেই সেখানে বিরক্ত। তাই আমি আশা করছি যে আমি ডিটক্স/পুনর্বাসন ছাড়াই এটি করতে পারব। আমি জানি আপনি এই Subreddit-এ আমাকে এই বিষয়ে পরামর্শ দিতে পারবেন না, এবং আমি নিশ্চিত নই যে আমি এমন কোনও পরামর্শ পাব যেখানে আমি এটি পেতে পারি কিনা। আমি এখানে পরিস্থিতি প্রকাশ করছি। আমি আমার দিনের প্রধান বিষয় হয়ে ওঠা মদ্যপান করতে করতে ক্লান্ত। এবং আমি মদ্যপান করতে করতে ক্লান্ত হয়ে পড়েছি যা আমার জীবন, মেজাজ, সামগ্রিক সুখ, জীবনের সাফল্য, শারীরিক ও মানসিক স্বাস্থ্য, সম্পর্ক এবং সবকিছু নষ্ট করে। আমার জীবনে সমর্থন খুব, খুব কম। সর্বাধিক কয়েকজন বন্ধু। এবং তারপরে প্রায় ২০-৩০ জন লোক যারা সক্রিয়ভাবে সমস্যাটিকে আরও খারাপ করে তোলে, হা হা। আমি ১০০% শান্ত এবং পরিষ্কার হতে চাই, আমি কেবল এটুকুই জানি। আমি নিরাময় করতে চাই, আমার জীবন ঠিক করতে চাই এবং নিজের একটি ভাল সংস্করণ হতে চাই। এবং আমি জানি কেন। আমি কেবল আশা করি বেঁচে থাকার জন্য এটি যথেষ্ট। এবং যখন সেই অন্য লোকটি আসে যে মদ্যপান করতে পছন্দ করে? আমি আশা করি আমি নিজেকে বোঝার ক্ষমতা এবং পরিস্থিতি সম্পর্কে সচেতনতার মাধ্যমে তাকে ধারাবাহিকভাবে পরাজিত করতে পারব। কিন্তু এটা আমাকে ভয় পায়, কারণ ধারাবাহিকতা আমার শক্তি নয়। আমি শুধু চাই আমার আঙুলগুলো ঝাঁকিয়ে নিয়ন্ত্রণে থাকতে এবং আমার জীবনকে ঠিক করতে। কিন্তু আমি জানি যে সেই বিন্দুতে পৌঁছানোর জন্য আমাকে অনেক যন্ত্রণাদায়ক নরকের মধ্য দিয়ে হেঁটে যেতে হবে। এবং এটা আমাকে ভয় পায়। আমি আশা করি আমি যা-ই হোক না কেন তার জন্য প্রস্তুত।</v>
      </c>
    </row>
    <row r="1712" spans="1:3" ht="15" x14ac:dyDescent="0.25">
      <c r="A1712" s="3" t="s">
        <v>1706</v>
      </c>
      <c r="B1712" s="3" t="s">
        <v>997</v>
      </c>
      <c r="C1712" s="4" t="str">
        <f ca="1">IFERROR(__xludf.DUMMYFUNCTION("GOOGLETRANSLATE(A1712, ""auto"", ""bn"")"),"আমি আরও ৬ জন মিলে একটি ইউনিভার্সিটি ডর্মে থাকি। ঘুম থেকে ওঠার পর থেকেই আমি গোপনে মদ্যপান করছি যাতে আমার ঘর থেকে বেরিয়ে আসার সাহস সঞ্চয় করতে পারি এবং আসলে মেলামেশা করতে পারি এবং মজা করতে পারি। দিনের শেষে সাধারণত ৬০০-৭০০ মিলি সোজা ভদকা পান করতে হত কারণ আম"&amp;"ি আমার ঘরে চুপিচুপি কয়েকটা চুমুক খেতে যেতাম। গত কয়েক মাস ধরে আমি এমনকি সামলাতেও এর উপর অনেক বেশি নির্ভরশীল। বেশিরভাগ সকালে ঘুম থেকে ওঠার সময় রাতের শেষের দিকে না জেনে তীব্র ঝাঁকুনি এবং বমি বমি ভাব একটি ভয়াবহ অনুভূতি এবং সেই সাথে আমি বিশেষভাবে বহির্মুখী"&amp;" হওয়ার জন্য বেশ খ্যাতি অর্জন করেছি যদিও আমি খারাপ সামাজিক উদ্বেগের সাথে লড়াই করি। আমি করোনাভাইরাস থাকার ভান করার সিদ্ধান্ত নিয়েছিলাম যাতে আমি ডিটক্স করার চেষ্টায় আমার ঘরে নিজেকে বিচ্ছিন্ন করতে পারি। আমি খাবার এবং তরল মজুত করেছিলাম, এবং এখন আমি চতুর্থ "&amp;"দিনে ৫ম দিনে চলে যাচ্ছি। পরিস্থিতি কিছুটা পরিষ্কার হতে শুরু করেছে। আমার ঝাঁকুনি এখনও আছে, এবং আমি এখনও খুব উদ্বিগ্ন, বিশেষ করে জোরে শব্দের জন্য, কিন্তু আমি দেখেছি যে আমার শরীরে কিছু প্রাকৃতিক চিনি এবং কিছু সুস্বাদু খাবার অনেক সাহায্য করে। আশা করি বাকি সবা"&amp;"ই ঠিক আছেন।")</f>
        <v>আমি আরও ৬ জন মিলে একটি ইউনিভার্সিটি ডর্মে থাকি। ঘুম থেকে ওঠার পর থেকেই আমি গোপনে মদ্যপান করছি যাতে আমার ঘর থেকে বেরিয়ে আসার সাহস সঞ্চয় করতে পারি এবং আসলে মেলামেশা করতে পারি এবং মজা করতে পারি। দিনের শেষে সাধারণত ৬০০-৭০০ মিলি সোজা ভদকা পান করতে হত কারণ আমি আমার ঘরে চুপিচুপি কয়েকটা চুমুক খেতে যেতাম। গত কয়েক মাস ধরে আমি এমনকি সামলাতেও এর উপর অনেক বেশি নির্ভরশীল। বেশিরভাগ সকালে ঘুম থেকে ওঠার সময় রাতের শেষের দিকে না জেনে তীব্র ঝাঁকুনি এবং বমি বমি ভাব একটি ভয়াবহ অনুভূতি এবং সেই সাথে আমি বিশেষভাবে বহির্মুখী হওয়ার জন্য বেশ খ্যাতি অর্জন করেছি যদিও আমি খারাপ সামাজিক উদ্বেগের সাথে লড়াই করি। আমি করোনাভাইরাস থাকার ভান করার সিদ্ধান্ত নিয়েছিলাম যাতে আমি ডিটক্স করার চেষ্টায় আমার ঘরে নিজেকে বিচ্ছিন্ন করতে পারি। আমি খাবার এবং তরল মজুত করেছিলাম, এবং এখন আমি চতুর্থ দিনে ৫ম দিনে চলে যাচ্ছি। পরিস্থিতি কিছুটা পরিষ্কার হতে শুরু করেছে। আমার ঝাঁকুনি এখনও আছে, এবং আমি এখনও খুব উদ্বিগ্ন, বিশেষ করে জোরে শব্দের জন্য, কিন্তু আমি দেখেছি যে আমার শরীরে কিছু প্রাকৃতিক চিনি এবং কিছু সুস্বাদু খাবার অনেক সাহায্য করে। আশা করি বাকি সবাই ঠিক আছেন।</v>
      </c>
    </row>
    <row r="1713" spans="1:3" ht="15" x14ac:dyDescent="0.25">
      <c r="A1713" s="3" t="s">
        <v>1707</v>
      </c>
      <c r="B1713" s="3" t="s">
        <v>997</v>
      </c>
      <c r="C1713" s="4" t="str">
        <f ca="1">IFERROR(__xludf.DUMMYFUNCTION("GOOGLETRANSLATE(A1713, ""auto"", ""bn"")"),"পানীয় ছাড়া। ১০ ঘন্টা পর আমি বললাম? যদি আমি মদ্যপান করতাম, তাহলে আজ একটা বিপর্যয় হত।? আমার স্ত্রী হেসে বলল? এটা অন্যভাবেও যেতে পারত।? আমাকে সন্দেহের কিছুটা সুবিধা দিয়ে। আমি বললাম? না, এটা হতে পারে না, এটা একটা দুঃস্বপ্ন হত।? তারপর সে হেসে স্বীকার করে বললো?"&amp;" এটা না হওয়া পর্যন্ত দারুন হত।? শান্ত থাকায়, যেকোনো অপ্রত্যাশিত বিপত্তি সমাধান হয়ে যায় এবং বিলীন হয়। দীর্ঘ কোস্টার লাইন বেছে নেওয়ার কারণে অ্যালকোহলজনিত কোনও বিরক্তি নেই, আমরা কেবল অপেক্ষা করি। ফোনের রস ফুরিয়ে যাচ্ছে, সমাধান খুঁজে বের করুন। কোনও দোষ নেই। "&amp;"মদ্যপান একটি দোষ প্রস্তুতকারক। আমি শুধু এটি উচ্চারণ করে বিরক্ত। তাই আমি পরের দিন জেগে আছি এবং ব্যথা করছি, আমার পরিবার নাক ডাকছে এবং আমাদের অন্ধকার হোটেল রুমে সন্তুষ্ট। আমার বাচ্চাদের তাদের ডিজনি স্মৃতিগুলিকে কলঙ্কিত করার জন্য ঝগড়ার স্মৃতি থাকবে না। শুধু "&amp;"তাদের বাবা, তার বাছুরের কাছে মোজা টানা, খাবার, জলের বোতল এবং জ্যাকেট টেনে আনা, এবং কান থেকে কানে একটি হাসি।")</f>
        <v>পানীয় ছাড়া। ১০ ঘন্টা পর আমি বললাম? যদি আমি মদ্যপান করতাম, তাহলে আজ একটা বিপর্যয় হত।? আমার স্ত্রী হেসে বলল? এটা অন্যভাবেও যেতে পারত।? আমাকে সন্দেহের কিছুটা সুবিধা দিয়ে। আমি বললাম? না, এটা হতে পারে না, এটা একটা দুঃস্বপ্ন হত।? তারপর সে হেসে স্বীকার করে বললো? এটা না হওয়া পর্যন্ত দারুন হত।? শান্ত থাকায়, যেকোনো অপ্রত্যাশিত বিপত্তি সমাধান হয়ে যায় এবং বিলীন হয়। দীর্ঘ কোস্টার লাইন বেছে নেওয়ার কারণে অ্যালকোহলজনিত কোনও বিরক্তি নেই, আমরা কেবল অপেক্ষা করি। ফোনের রস ফুরিয়ে যাচ্ছে, সমাধান খুঁজে বের করুন। কোনও দোষ নেই। মদ্যপান একটি দোষ প্রস্তুতকারক। আমি শুধু এটি উচ্চারণ করে বিরক্ত। তাই আমি পরের দিন জেগে আছি এবং ব্যথা করছি, আমার পরিবার নাক ডাকছে এবং আমাদের অন্ধকার হোটেল রুমে সন্তুষ্ট। আমার বাচ্চাদের তাদের ডিজনি স্মৃতিগুলিকে কলঙ্কিত করার জন্য ঝগড়ার স্মৃতি থাকবে না। শুধু তাদের বাবা, তার বাছুরের কাছে মোজা টানা, খাবার, জলের বোতল এবং জ্যাকেট টেনে আনা, এবং কান থেকে কানে একটি হাসি।</v>
      </c>
    </row>
    <row r="1714" spans="1:3" ht="15" x14ac:dyDescent="0.25">
      <c r="A1714" s="3" t="s">
        <v>1708</v>
      </c>
      <c r="B1714" s="3" t="s">
        <v>997</v>
      </c>
      <c r="C1714" s="4" t="str">
        <f ca="1">IFERROR(__xludf.DUMMYFUNCTION("GOOGLETRANSLATE(A1714, ""auto"", ""bn"")"),"২ সপ্তাহের ভয়াবহ ব্যথার পর ৩য় দিন। চোখ এখনও কিছুটা হলুদ এবং লাল এবং এখনও কাঁপছে এবং উদ্বিগ্ন, কিন্তু গত দুই দিনের মতো আর কিছু নেই। আমি জরুরি বিভাগে ভর্তি হয়েছিলাম এবং আমার শরীরের যে ক্ষতি হয়েছে তা আমি অনুভব করতে পারছি। এবার আমার সবকিছু প্রায় হারিয়ে ফেল"&amp;"েছি। তাছাড়া, এবার আমি নিজেকে সুস্থ করে তুলতে যাচ্ছি। সম্পূর্ণ সুস্থ। আশা করি শেষ নিদ্রাহীন রাত এবং একটি পরিষ্কার ভবিষ্যতের জন্য আমার শুভকামনা। এটিই ইয়েলে আমার কাছ থেকে শেষ শোনা হবে না।")</f>
        <v>২ সপ্তাহের ভয়াবহ ব্যথার পর ৩য় দিন। চোখ এখনও কিছুটা হলুদ এবং লাল এবং এখনও কাঁপছে এবং উদ্বিগ্ন, কিন্তু গত দুই দিনের মতো আর কিছু নেই। আমি জরুরি বিভাগে ভর্তি হয়েছিলাম এবং আমার শরীরের যে ক্ষতি হয়েছে তা আমি অনুভব করতে পারছি। এবার আমার সবকিছু প্রায় হারিয়ে ফেলেছি। তাছাড়া, এবার আমি নিজেকে সুস্থ করে তুলতে যাচ্ছি। সম্পূর্ণ সুস্থ। আশা করি শেষ নিদ্রাহীন রাত এবং একটি পরিষ্কার ভবিষ্যতের জন্য আমার শুভকামনা। এটিই ইয়েলে আমার কাছ থেকে শেষ শোনা হবে না।</v>
      </c>
    </row>
    <row r="1715" spans="1:3" ht="15" x14ac:dyDescent="0.25">
      <c r="A1715" s="3" t="s">
        <v>1709</v>
      </c>
      <c r="B1715" s="3" t="s">
        <v>997</v>
      </c>
      <c r="C1715" s="4" t="str">
        <f ca="1">IFERROR(__xludf.DUMMYFUNCTION("GOOGLETRANSLATE(A1715, ""auto"", ""bn"")"),"৪০ বছর পর, বেশ কিছুদিন ধরেই আমি অ্যালকোহলের সাথে আমার সম্পর্ক নিয়ে ভাবছি। শনিবার রাতে সংযত থাকার ইচ্ছায় একটা মিলনমেলায় গিয়েছিলাম। সেভাবে কাজ হয়নি। বাড়ি হেঁটে গিয়েছিলাম, হাঁটার কথা মনে নেই। রান্নাঘরে আমার ছেলের সাথে একটা কথোপকথন হয়েছিল যা সে আমাকে "&amp;"বলতে বাধ্য হয়েছিল কারণ সেই রাতে তার সাথে কথা বলেছিলাম বলে আমার মনে নেই। আমার মনে আছে আমার অফিসে গাড়ি চালিয়ে বেরিয়ে যাওয়ার আগে সূর্য উঠলে হামাগুড়ি দিয়ে ঘুমাতে যাওয়ার কথা। আজ আমার খাবারে কেউ এই সাবের কথা উল্লেখ করেছে। শুভ কাকতালীয় নাকি বার্তা?")</f>
        <v>৪০ বছর পর, বেশ কিছুদিন ধরেই আমি অ্যালকোহলের সাথে আমার সম্পর্ক নিয়ে ভাবছি। শনিবার রাতে সংযত থাকার ইচ্ছায় একটা মিলনমেলায় গিয়েছিলাম। সেভাবে কাজ হয়নি। বাড়ি হেঁটে গিয়েছিলাম, হাঁটার কথা মনে নেই। রান্নাঘরে আমার ছেলের সাথে একটা কথোপকথন হয়েছিল যা সে আমাকে বলতে বাধ্য হয়েছিল কারণ সেই রাতে তার সাথে কথা বলেছিলাম বলে আমার মনে নেই। আমার মনে আছে আমার অফিসে গাড়ি চালিয়ে বেরিয়ে যাওয়ার আগে সূর্য উঠলে হামাগুড়ি দিয়ে ঘুমাতে যাওয়ার কথা। আজ আমার খাবারে কেউ এই সাবের কথা উল্লেখ করেছে। শুভ কাকতালীয় নাকি বার্তা?</v>
      </c>
    </row>
    <row r="1716" spans="1:3" ht="15" x14ac:dyDescent="0.25">
      <c r="A1716" s="3" t="s">
        <v>1710</v>
      </c>
      <c r="B1716" s="3" t="s">
        <v>997</v>
      </c>
      <c r="C1716" s="4" t="str">
        <f ca="1">IFERROR(__xludf.DUMMYFUNCTION("GOOGLETRANSLATE(A1716, ""auto"", ""bn"")"),"আমার বয়স ৪৩ বছর এবং প্রায় ৮ বছর ধরে এনজাইমের মাত্রা বৃদ্ধি পায়নি। কোভিড-১৯ এর প্রাক-ভ্যাকসিন, উদ্বেগ, মানসিক চাপের কারণে, দেড় বছর ধরে বাসা থেকে কাজ করার পর, কিন্ত হাসপাতালে ভর্তি হওয়ার পর আমি ১ ডিসেম্বর মদ্যপান ত্যাগ করেছি। আমার আর স্কোপ পদ্ধতির প্রয়োজন"&amp;" নেই এবং আমার পরবর্তী রিটার্ন চেক-ইন ফলো-আপ প্রতি ৪ সপ্তাহে ৩ মাস পর। তাছাড়া, আমি ১৫ বছর বয়স থেকেই মদ্যপান করছি এবং আমি যা জানতাম তার বেশিরভাগই নিজেকে খুঁজে পেতে সম্পূর্ণরূপে অশিক্ষিত থাকতে হয়েছে। আমার জীবনের এত কিছু? শারীরিক, মানসিক, চাপ, সম্পর্ক, আবেগ"&amp;", জ্ঞানীয় কার্যকারিতা উন্নত হয়েছে? এছাড়াও ২০ পাউন্ড ওজন কমিয়েছি কারণ ভবিষ্যতে আমি স্বাস্থ্যের অন্যান্য ক্ষেত্রগুলিকে উন্নত করার চেষ্টা করছি। আমি আর নিজেকে বিষক্রিয়া করছি না এবং মনে হচ্ছে আমি সময়মতো সুস্থ হতে এবং একটি মানসম্পন্ন জীবনযাপন করতে সক্ষম হব?"&amp;" এবং আশা করি আমার দুই ছেলের জন্য একজন ভালো রোল মডেল হয়ে প্রজন্ম থেকে প্রজন্মে অ্যালকোহলের সমস্যা দূর করতে সাহায্য করব। আমার বড় ছেলের জন্মের সময়ের তুলনায় আমি এখন ভালো বোধ করছি। এখানে থাকার জন্য এবং অংশগ্রহণকারী এবং অবদানকারী সকলকে ধন্যবাদ। আমার এখনও অনেক প"&amp;"থ পাড়ি দিতে হবে এবং আজ থেকে তোমাদের কারো সাথেই মদ্যপান করব না।")</f>
        <v>আমার বয়স ৪৩ বছর এবং প্রায় ৮ বছর ধরে এনজাইমের মাত্রা বৃদ্ধি পায়নি। কোভিড-১৯ এর প্রাক-ভ্যাকসিন, উদ্বেগ, মানসিক চাপের কারণে, দেড় বছর ধরে বাসা থেকে কাজ করার পর, কিন্ত হাসপাতালে ভর্তি হওয়ার পর আমি ১ ডিসেম্বর মদ্যপান ত্যাগ করেছি। আমার আর স্কোপ পদ্ধতির প্রয়োজন নেই এবং আমার পরবর্তী রিটার্ন চেক-ইন ফলো-আপ প্রতি ৪ সপ্তাহে ৩ মাস পর। তাছাড়া, আমি ১৫ বছর বয়স থেকেই মদ্যপান করছি এবং আমি যা জানতাম তার বেশিরভাগই নিজেকে খুঁজে পেতে সম্পূর্ণরূপে অশিক্ষিত থাকতে হয়েছে। আমার জীবনের এত কিছু? শারীরিক, মানসিক, চাপ, সম্পর্ক, আবেগ, জ্ঞানীয় কার্যকারিতা উন্নত হয়েছে? এছাড়াও ২০ পাউন্ড ওজন কমিয়েছি কারণ ভবিষ্যতে আমি স্বাস্থ্যের অন্যান্য ক্ষেত্রগুলিকে উন্নত করার চেষ্টা করছি। আমি আর নিজেকে বিষক্রিয়া করছি না এবং মনে হচ্ছে আমি সময়মতো সুস্থ হতে এবং একটি মানসম্পন্ন জীবনযাপন করতে সক্ষম হব? এবং আশা করি আমার দুই ছেলের জন্য একজন ভালো রোল মডেল হয়ে প্রজন্ম থেকে প্রজন্মে অ্যালকোহলের সমস্যা দূর করতে সাহায্য করব। আমার বড় ছেলের জন্মের সময়ের তুলনায় আমি এখন ভালো বোধ করছি। এখানে থাকার জন্য এবং অংশগ্রহণকারী এবং অবদানকারী সকলকে ধন্যবাদ। আমার এখনও অনেক পথ পাড়ি দিতে হবে এবং আজ থেকে তোমাদের কারো সাথেই মদ্যপান করব না।</v>
      </c>
    </row>
    <row r="1717" spans="1:3" ht="15" x14ac:dyDescent="0.25">
      <c r="A1717" s="3" t="s">
        <v>1711</v>
      </c>
      <c r="B1717" s="3" t="s">
        <v>997</v>
      </c>
      <c r="C1717" s="4" t="str">
        <f ca="1">IFERROR(__xludf.DUMMYFUNCTION("GOOGLETRANSLATE(A1717, ""auto"", ""bn"")"),"এই সপ্তাহান্তে আমি একটা পরীক্ষা করে দেখলাম আবার একটা পানীয় পান করতে পারি কিনা। মাত্র ছয় মাস ধরে আমি শান্ত ছিলাম। শনিবার আমি ডিনারে একটা মার্গারিটা খেয়েছিলাম আর এটুকুই। রবিবার আমি বন্ধুদের সাথে বাইরে গিয়েছিলাম এবং ৬টি লম্বা দ্বীপ উপভোগ করেছি। সত্যি বলত"&amp;"ে, আমি খুব ভালো সময় কাটিয়েছি, এক বা দুটি বেশি খেয়েছি এবং ঘুম থেকে উঠে আমার খারাপ অনুভূতি হচ্ছে। বিছানায় শুয়ে শুয়ে সেই পুরনো অনুভূতি অনুভব করছি যা আমরা সবাই খুব ভালো করেই জানি। আমি সেখানে শুয়ে ভাবলাম যে মজা করার জন্য আমার পান করার দরকার নেই। তাই আমি"&amp;" সংযমের প্রতি আমার প্রতিশ্রুতি আবার বাড়িয়ে দিচ্ছি। আমার একটা অংশ বিরক্ত, আমি আমার ধারাবাহিকতা হারিয়ে ফেলেছি, কিন্তু আমি জানি আমি আমার অগ্রগতি হারাতে পারিনি। শোনার জন্য সবাইকে ধন্যবাদ এবং যদি আপনি আবার মদ্যপানের কথা ভাবছেন, তাহলে আগামীকালের জন্য এটি খেল"&amp;"ুন।")</f>
        <v>এই সপ্তাহান্তে আমি একটা পরীক্ষা করে দেখলাম আবার একটা পানীয় পান করতে পারি কিনা। মাত্র ছয় মাস ধরে আমি শান্ত ছিলাম। শনিবার আমি ডিনারে একটা মার্গারিটা খেয়েছিলাম আর এটুকুই। রবিবার আমি বন্ধুদের সাথে বাইরে গিয়েছিলাম এবং ৬টি লম্বা দ্বীপ উপভোগ করেছি। সত্যি বলতে, আমি খুব ভালো সময় কাটিয়েছি, এক বা দুটি বেশি খেয়েছি এবং ঘুম থেকে উঠে আমার খারাপ অনুভূতি হচ্ছে। বিছানায় শুয়ে শুয়ে সেই পুরনো অনুভূতি অনুভব করছি যা আমরা সবাই খুব ভালো করেই জানি। আমি সেখানে শুয়ে ভাবলাম যে মজা করার জন্য আমার পান করার দরকার নেই। তাই আমি সংযমের প্রতি আমার প্রতিশ্রুতি আবার বাড়িয়ে দিচ্ছি। আমার একটা অংশ বিরক্ত, আমি আমার ধারাবাহিকতা হারিয়ে ফেলেছি, কিন্তু আমি জানি আমি আমার অগ্রগতি হারাতে পারিনি। শোনার জন্য সবাইকে ধন্যবাদ এবং যদি আপনি আবার মদ্যপানের কথা ভাবছেন, তাহলে আগামীকালের জন্য এটি খেলুন।</v>
      </c>
    </row>
    <row r="1718" spans="1:3" ht="15" x14ac:dyDescent="0.25">
      <c r="A1718" s="3" t="s">
        <v>1712</v>
      </c>
      <c r="B1718" s="3" t="s">
        <v>997</v>
      </c>
      <c r="C1718" s="4" t="str">
        <f ca="1">IFERROR(__xludf.DUMMYFUNCTION("GOOGLETRANSLATE(A1718, ""auto"", ""bn"")"),"এটা কঠিন ছিল, কিন্তু আমি এখন ভালো বোধ করছি এবং আমার ত্বক আর সেই ক্রিপ্ট রক্ষকের মতো দেখাচ্ছে না। মহামারী শুরু হওয়ার পর থেকে আমি প্রায় প্রতিদিন মদ্যপান করে ফেলেছি। বছরের পর বছর ধরে আমি মদ্যপান ছাড়া সবচেয়ে বেশি সময় কাটিয়েছি (২০১৬ সালে ২ বছর ধরে ছেড়ে "&amp;"দিয়েছিলাম এবং সত্যিই আমার মলমূত্র জমতে শুরু করেছে)। এই নগ্ন মন পুনরায় পড়া। কোন বই/কার্যকলাপ/শখ আপনাকে সাহায্য করছে?")</f>
        <v>এটা কঠিন ছিল, কিন্তু আমি এখন ভালো বোধ করছি এবং আমার ত্বক আর সেই ক্রিপ্ট রক্ষকের মতো দেখাচ্ছে না। মহামারী শুরু হওয়ার পর থেকে আমি প্রায় প্রতিদিন মদ্যপান করে ফেলেছি। বছরের পর বছর ধরে আমি মদ্যপান ছাড়া সবচেয়ে বেশি সময় কাটিয়েছি (২০১৬ সালে ২ বছর ধরে ছেড়ে দিয়েছিলাম এবং সত্যিই আমার মলমূত্র জমতে শুরু করেছে)। এই নগ্ন মন পুনরায় পড়া। কোন বই/কার্যকলাপ/শখ আপনাকে সাহায্য করছে?</v>
      </c>
    </row>
    <row r="1719" spans="1:3" ht="15" x14ac:dyDescent="0.25">
      <c r="A1719" s="3" t="s">
        <v>1713</v>
      </c>
      <c r="B1719" s="3" t="s">
        <v>997</v>
      </c>
      <c r="C1719" s="4" t="str">
        <f ca="1">IFERROR(__xludf.DUMMYFUNCTION("GOOGLETRANSLATE(A1719, ""auto"", ""bn"")"),"আমি জানি এটি এমন একটি ফোরাম যারা মদ্যপান ত্যাগ করতে চান তাদের জন্য তৈরি এবং এটি এখনও আমার প্রধান উদ্বেগের বিষয়, তবে আমি জানতে আগ্রহী ছিলাম যে আমিই কি একমাত্র ব্যক্তি যে ভুল করে একটি আসক্তির পরিবর্তে অন্য একটি আসক্তি গ্রহণ করেছি? এবং যদি তাই হয়, তাহলে আপ"&amp;"নি কীভাবে এটি মোকাবেলা করেছেন?")</f>
        <v>আমি জানি এটি এমন একটি ফোরাম যারা মদ্যপান ত্যাগ করতে চান তাদের জন্য তৈরি এবং এটি এখনও আমার প্রধান উদ্বেগের বিষয়, তবে আমি জানতে আগ্রহী ছিলাম যে আমিই কি একমাত্র ব্যক্তি যে ভুল করে একটি আসক্তির পরিবর্তে অন্য একটি আসক্তি গ্রহণ করেছি? এবং যদি তাই হয়, তাহলে আপনি কীভাবে এটি মোকাবেলা করেছেন?</v>
      </c>
    </row>
    <row r="1720" spans="1:3" ht="15" x14ac:dyDescent="0.25">
      <c r="A1720" s="3" t="s">
        <v>1714</v>
      </c>
      <c r="B1720" s="3" t="s">
        <v>997</v>
      </c>
      <c r="C1720" s="4" t="str">
        <f ca="1">IFERROR(__xludf.DUMMYFUNCTION("GOOGLETRANSLATE(A1720, ""auto"", ""bn"")"),"এটা আমার প্রথম পোস্ট, তাই যদি আমি কিছু ভুল করে থাকি তাহলে ক্ষমা চাইছি। আমি কি জিজ্ঞাসা করতে পারি, ""প্রথম দিন"" থেকে কখন কাউন্টার শুরু করবেন? আমি প্রতিদিন মদ্যপান করি না, তবে সপ্তাহে প্রায় একবার, সাধারণত শুক্রবার বা শনিবারে, লিখে রাখি, এবং আমি এতে খুব বি"&amp;"রক্ত। আমি ব্ল্যাকআউটে ক্লান্ত, পরের দিন সারাদিন বিছানায় ঘুমিয়ে কাটাই - অসুস্থ নই, কিন্তু ক্লান্ত AF। মাতাল অবস্থায় আমার স্বামীর প্রতি চরম বিরক্তিকর, এই সব। আমি শনিবার আমার শেষ পানীয় খেয়েছি, এবং এখন থেকে আর কোনও কেনার পরিকল্পনা করছি না, তাহলে আমি কি র"&amp;"বিবার থেকে আমার কাউন্টার শুরু করব, নাকি এই সপ্তাহান্তে শনিবার থেকে? এই Subredditটি পেয়ে খুব খুশি, আমি জানি আমি এখানে কিছু দুর্দান্ত পরামর্শ এবং উৎসাহ পাব :)")</f>
        <v>এটা আমার প্রথম পোস্ট, তাই যদি আমি কিছু ভুল করে থাকি তাহলে ক্ষমা চাইছি। আমি কি জিজ্ঞাসা করতে পারি, "প্রথম দিন" থেকে কখন কাউন্টার শুরু করবেন? আমি প্রতিদিন মদ্যপান করি না, তবে সপ্তাহে প্রায় একবার, সাধারণত শুক্রবার বা শনিবারে, লিখে রাখি, এবং আমি এতে খুব বিরক্ত। আমি ব্ল্যাকআউটে ক্লান্ত, পরের দিন সারাদিন বিছানায় ঘুমিয়ে কাটাই - অসুস্থ নই, কিন্তু ক্লান্ত AF। মাতাল অবস্থায় আমার স্বামীর প্রতি চরম বিরক্তিকর, এই সব। আমি শনিবার আমার শেষ পানীয় খেয়েছি, এবং এখন থেকে আর কোনও কেনার পরিকল্পনা করছি না, তাহলে আমি কি রবিবার থেকে আমার কাউন্টার শুরু করব, নাকি এই সপ্তাহান্তে শনিবার থেকে? এই Subredditটি পেয়ে খুব খুশি, আমি জানি আমি এখানে কিছু দুর্দান্ত পরামর্শ এবং উৎসাহ পাব :)</v>
      </c>
    </row>
    <row r="1721" spans="1:3" ht="15" x14ac:dyDescent="0.25">
      <c r="A1721" s="3" t="s">
        <v>1715</v>
      </c>
      <c r="B1721" s="3" t="s">
        <v>997</v>
      </c>
      <c r="C1721" s="4" t="str">
        <f ca="1">IFERROR(__xludf.DUMMYFUNCTION("GOOGLETRANSLATE(A1721, ""auto"", ""bn"")"),"২০২০ সালের সেপ্টেম্বরের পর থেকে আমি পুরো দুই সপ্তাহ যেতে পারিনি, আর চেষ্টার অভাবেও না!! যদিও দীর্ঘ দুই সপ্তাহ হয়ে গেছে। আমি এখন ৩০ দিনের জন্য যাচ্ছি। ২০১৯ সালের জুলাই থেকে আমি আর তা করিনি। এই রেডিট আমাকে এখানে আনতে খুবই সহায়ক হয়েছে। সবাইকে ধন্যবাদ!")</f>
        <v>২০২০ সালের সেপ্টেম্বরের পর থেকে আমি পুরো দুই সপ্তাহ যেতে পারিনি, আর চেষ্টার অভাবেও না!! যদিও দীর্ঘ দুই সপ্তাহ হয়ে গেছে। আমি এখন ৩০ দিনের জন্য যাচ্ছি। ২০১৯ সালের জুলাই থেকে আমি আর তা করিনি। এই রেডিট আমাকে এখানে আনতে খুবই সহায়ক হয়েছে। সবাইকে ধন্যবাদ!</v>
      </c>
    </row>
    <row r="1722" spans="1:3" ht="15" x14ac:dyDescent="0.25">
      <c r="A1722" s="3" t="s">
        <v>1716</v>
      </c>
      <c r="B1722" s="3" t="s">
        <v>997</v>
      </c>
      <c r="C1722" s="4" t="str">
        <f ca="1">IFERROR(__xludf.DUMMYFUNCTION("GOOGLETRANSLATE(A1722, ""auto"", ""bn"")"),"গির্জার বেসমেন্ট থেকে পিৎজার দোকান পর্যন্ত, প্রচুর হাসির সাথে, ডঃ পেপার, রুটি আগে কতটা ভালো ছিল তা নিয়ে ভাবছেন, জীবন কীভাবে ভালো ছিল না তা নিয়ে বন্ধন তৈরি করছেন। যখন কেউ নেই তখন একে অপরের পাশে থাকা। ভাগ্যবান, অমিল মোজার একটি বড় ড্রয়ারের মতো।")</f>
        <v>গির্জার বেসমেন্ট থেকে পিৎজার দোকান পর্যন্ত, প্রচুর হাসির সাথে, ডঃ পেপার, রুটি আগে কতটা ভালো ছিল তা নিয়ে ভাবছেন, জীবন কীভাবে ভালো ছিল না তা নিয়ে বন্ধন তৈরি করছেন। যখন কেউ নেই তখন একে অপরের পাশে থাকা। ভাগ্যবান, অমিল মোজার একটি বড় ড্রয়ারের মতো।</v>
      </c>
    </row>
    <row r="1723" spans="1:3" ht="15" x14ac:dyDescent="0.25">
      <c r="A1723" s="3" t="s">
        <v>1717</v>
      </c>
      <c r="B1723" s="3" t="s">
        <v>997</v>
      </c>
      <c r="C1723" s="4" t="str">
        <f ca="1">IFERROR(__xludf.DUMMYFUNCTION("GOOGLETRANSLATE(A1723, ""auto"", ""bn"")"),"আমি ফিরে এসেছি, কিন্তু ভিন্ন ব্যবহারকারীর নাম দিয়ে। আমি প্রায় এক বছর আগে এই কমিউনিটিতে যোগ দিয়েছিলাম, এবং ৫ মাস ধরে মদ্যপান ছাড়াই ছিলাম। তাছাড়া, আমি এটি পরিমিত পরিমাণে আবার যোগ করেছি (সফলভাবে), কিন্তু বিষণ্ণতা এবং উদ্বেগ ফিরে আসছে। মদ্যপান ত্যাগ করা হতাশ"&amp;"া এবং উদ্বেগের নিরাময় ছিল না যা আমি আশা করেছিলাম, কিন্তু এখন আমি মাঝে মাঝে মদ্যপান করি বলে আমার মনে হয় এটি হতাশা এবং উদ্বেগের বিরুদ্ধে আমার লড়াইয়ে আমাকে পিছিয়ে দেয়। প্রায় যেকোনো পরিমাণ মদ্যপানের পরেই আমার খারাপ ""উদ্বেগ"" হয় এবং এটি আবার দূরে সরিয়"&amp;"ে রাখার সময় এসেছে। এটি চিরতরে থাকবে বলে কোনও প্রতিশ্রুতি বা প্রতিশ্রুতি নেই, তবে আগামীকাল এবং নিকট ভবিষ্যতের জন্য আমি আবার শান্ত হচ্ছি।")</f>
        <v>আমি ফিরে এসেছি, কিন্তু ভিন্ন ব্যবহারকারীর নাম দিয়ে। আমি প্রায় এক বছর আগে এই কমিউনিটিতে যোগ দিয়েছিলাম, এবং ৫ মাস ধরে মদ্যপান ছাড়াই ছিলাম। তাছাড়া, আমি এটি পরিমিত পরিমাণে আবার যোগ করেছি (সফলভাবে), কিন্তু বিষণ্ণতা এবং উদ্বেগ ফিরে আসছে। মদ্যপান ত্যাগ করা হতাশা এবং উদ্বেগের নিরাময় ছিল না যা আমি আশা করেছিলাম, কিন্তু এখন আমি মাঝে মাঝে মদ্যপান করি বলে আমার মনে হয় এটি হতাশা এবং উদ্বেগের বিরুদ্ধে আমার লড়াইয়ে আমাকে পিছিয়ে দেয়। প্রায় যেকোনো পরিমাণ মদ্যপানের পরেই আমার খারাপ "উদ্বেগ" হয় এবং এটি আবার দূরে সরিয়ে রাখার সময় এসেছে। এটি চিরতরে থাকবে বলে কোনও প্রতিশ্রুতি বা প্রতিশ্রুতি নেই, তবে আগামীকাল এবং নিকট ভবিষ্যতের জন্য আমি আবার শান্ত হচ্ছি।</v>
      </c>
    </row>
    <row r="1724" spans="1:3" ht="15" x14ac:dyDescent="0.25">
      <c r="A1724" s="3" t="s">
        <v>1718</v>
      </c>
      <c r="B1724" s="3" t="s">
        <v>997</v>
      </c>
      <c r="C1724" s="4" t="str">
        <f ca="1">IFERROR(__xludf.DUMMYFUNCTION("GOOGLETRANSLATE(A1724, ""auto"", ""bn"")"),"এখানে প্রথম পোস্ট। আমি গত ১১ বছর ধরে (২৪ বছর) মদ্যপান করছি, এবং গত ৩-৪ মাস ধরে মাঝে মাঝেই মদ্যপান করছি। গত কয়েক মাস ছিল সবচেয়ে খারাপ সময়, পাশাপাশি কিছু কঠিন মানসিক স্বাস্থ্যের লড়াইও। কতবার আমি সংযত থাকার চেষ্টা করেছি তা গণনা করতে না পেরে, অবশেষে আমি আ"&amp;"বার এই সিদ্ধান্ত নিতে ভয় পেয়েছিলাম। ৩ দিন আগে, অতিরিক্ত মদ্যপান এবং শারীরিকভাবে খারাপ বোধ করার পর, আমি কৌতূহলবশত আমার কিছু লক্ষণ দেখেছি। দেখা গেল যে এর মধ্যে অনেকগুলি সম্ভাব্য অভ্যন্তরীণ রক্তপাত, লিভারের ক্ষতি, অথবা অন্তত আমার অন্ত্রের দীর্ঘস্থায়ী ক্ষত"&amp;"ির ইঙ্গিত দেয় (যদিও আমার ইতিমধ্যেই GERD এবং অন্যান্য অনেক সমস্যা রয়েছে)। আমার সম্ভাব্য হাইপোকন্ড্রিয়া কমাতে অথবা আমার নিজের ক্ষতির চিকিৎসা শুরু করার জন্য কয়েক দিনের মধ্যে আমার ডাক্তারের অ্যাপয়েন্টমেন্ট আছে। আমি নিশ্চিত যে আমরা অনেকেই জানি, এমনকি অপরি"&amp;"বর্তনীয় ক্ষতির সম্ভাবনাও আমাদের মদ্যপান থেকে বিরত রাখার জন্য যথেষ্ট নাও হতে পারে, তবে আমি আমার যা আছে তা দিয়ে এই জাগরণের আহ্বানটি ধরে রেখেছি। দুই দিন শান্ত থাকা খুব বেশি কিছু নাও হতে পারে, কিন্তু এটা একটা শুরু, এবং আমি জানি আমি সঠিক পথেই এগোচ্ছি।")</f>
        <v>এখানে প্রথম পোস্ট। আমি গত ১১ বছর ধরে (২৪ বছর) মদ্যপান করছি, এবং গত ৩-৪ মাস ধরে মাঝে মাঝেই মদ্যপান করছি। গত কয়েক মাস ছিল সবচেয়ে খারাপ সময়, পাশাপাশি কিছু কঠিন মানসিক স্বাস্থ্যের লড়াইও। কতবার আমি সংযত থাকার চেষ্টা করেছি তা গণনা করতে না পেরে, অবশেষে আমি আবার এই সিদ্ধান্ত নিতে ভয় পেয়েছিলাম। ৩ দিন আগে, অতিরিক্ত মদ্যপান এবং শারীরিকভাবে খারাপ বোধ করার পর, আমি কৌতূহলবশত আমার কিছু লক্ষণ দেখেছি। দেখা গেল যে এর মধ্যে অনেকগুলি সম্ভাব্য অভ্যন্তরীণ রক্তপাত, লিভারের ক্ষতি, অথবা অন্তত আমার অন্ত্রের দীর্ঘস্থায়ী ক্ষতির ইঙ্গিত দেয় (যদিও আমার ইতিমধ্যেই GERD এবং অন্যান্য অনেক সমস্যা রয়েছে)। আমার সম্ভাব্য হাইপোকন্ড্রিয়া কমাতে অথবা আমার নিজের ক্ষতির চিকিৎসা শুরু করার জন্য কয়েক দিনের মধ্যে আমার ডাক্তারের অ্যাপয়েন্টমেন্ট আছে। আমি নিশ্চিত যে আমরা অনেকেই জানি, এমনকি অপরিবর্তনীয় ক্ষতির সম্ভাবনাও আমাদের মদ্যপান থেকে বিরত রাখার জন্য যথেষ্ট নাও হতে পারে, তবে আমি আমার যা আছে তা দিয়ে এই জাগরণের আহ্বানটি ধরে রেখেছি। দুই দিন শান্ত থাকা খুব বেশি কিছু নাও হতে পারে, কিন্তু এটা একটা শুরু, এবং আমি জানি আমি সঠিক পথেই এগোচ্ছি।</v>
      </c>
    </row>
    <row r="1725" spans="1:3" ht="15" x14ac:dyDescent="0.25">
      <c r="A1725" s="3" t="s">
        <v>1719</v>
      </c>
      <c r="B1725" s="3" t="s">
        <v>997</v>
      </c>
      <c r="C1725" s="4" t="str">
        <f ca="1">IFERROR(__xludf.DUMMYFUNCTION("GOOGLETRANSLATE(A1725, ""auto"", ""bn"")"),"আমি এইমাত্র দিস নেকেড মাইন্ড অর্ডার করলাম, কারণ এখানে কোটি কোটি বার এটির কথা বলা হয়েছে। আমি এই সপ্তাহান্তে আমার স্কি ট্রিপে এটি নিয়ে আসছি, আশা করছি এটি আমার স্কি-পরবর্তী বিয়ারের আকাঙ্ক্ষা পূরণে সাহায্য করবে। অন্য কোন ভালো ""মদ্যপান বন্ধ করুন?"" লেখা আছ"&amp;"ে? ""কুইট লাইক আ ওম্যান"" লেখাটি আকর্ষণীয় মনে হয়েছিল, কিন্তু আমি পড়েছি যে এটি কিছুটা শ্রেণীবদ্ধ, স্পর্শের বাইরের সাদা মহিলার দৃষ্টিকোণ থেকে লেখা। আমি এতে বিরক্ত কিনা জানি না। তবে কেউ যদি এটি পড়ে থাকেন এবং পছন্দ করেন, তাহলে আমি জানতে আগ্রহী!!")</f>
        <v>আমি এইমাত্র দিস নেকেড মাইন্ড অর্ডার করলাম, কারণ এখানে কোটি কোটি বার এটির কথা বলা হয়েছে। আমি এই সপ্তাহান্তে আমার স্কি ট্রিপে এটি নিয়ে আসছি, আশা করছি এটি আমার স্কি-পরবর্তী বিয়ারের আকাঙ্ক্ষা পূরণে সাহায্য করবে। অন্য কোন ভালো "মদ্যপান বন্ধ করুন?" লেখা আছে? "কুইট লাইক আ ওম্যান" লেখাটি আকর্ষণীয় মনে হয়েছিল, কিন্তু আমি পড়েছি যে এটি কিছুটা শ্রেণীবদ্ধ, স্পর্শের বাইরের সাদা মহিলার দৃষ্টিকোণ থেকে লেখা। আমি এতে বিরক্ত কিনা জানি না। তবে কেউ যদি এটি পড়ে থাকেন এবং পছন্দ করেন, তাহলে আমি জানতে আগ্রহী!!</v>
      </c>
    </row>
    <row r="1726" spans="1:3" ht="15" x14ac:dyDescent="0.25">
      <c r="A1726" s="3" t="s">
        <v>1720</v>
      </c>
      <c r="B1726" s="3" t="s">
        <v>997</v>
      </c>
      <c r="C1726" s="4" t="str">
        <f ca="1">IFERROR(__xludf.DUMMYFUNCTION("GOOGLETRANSLATE(A1726, ""auto"", ""bn"")"),"আমি কখনো মদ্যপান বন্ধ করিনি। কখনো তাকে কষ্ট দেওয়া বন্ধ করিনি। মদ্যপান আমাকে একজন অত্যাচারী জিনিসে পরিণত করেছিল। আমি তাকে ছেড়ে যাওয়ার জন্য দোষ দিই না। আমরা একসাথে যে চার বছর কাটিয়েছি, আমি মাতাল ছিলাম। সে কখনোই আসল ""আমি"" কে চিনতে পারেনি। ""আমি শান্ত""।"&amp;" আমি তার জন্য অনেক চেষ্টা করেছিলাম, কিন্তু আমি কখনও ভাবিনি যে সে আসলে চলে যাবে। আমি ভেবেছিলাম এটা আমার নিজের লড়াই, কিন্তু এটা তারও ছিল। আমি যা করেছি এবং যা করে চলেছি তার জন্য সে আমাকে ক্ষমা করতে পারেনি। আমি চাই আমি তার কাছে তা করতে পারি, কিন্তু এর একমাত্"&amp;"র উপায় হল শান্ত হওয়া। আমি AA তে যাচ্ছি। আমি থেরাপিতে যাচ্ছি। আমি সেই পরিবর্তনগুলি করছি যা সে সবসময় আমাকে করতে বলেছিল, যে পরিবর্তনগুলি আমি তাকে প্রতিশ্রুতি দিয়েছিলাম এবং কখনও করিনি। আমি যাকে ভালোবাসি তাকে আর কখনও এভাবে আঘাত করব না।")</f>
        <v>আমি কখনো মদ্যপান বন্ধ করিনি। কখনো তাকে কষ্ট দেওয়া বন্ধ করিনি। মদ্যপান আমাকে একজন অত্যাচারী জিনিসে পরিণত করেছিল। আমি তাকে ছেড়ে যাওয়ার জন্য দোষ দিই না। আমরা একসাথে যে চার বছর কাটিয়েছি, আমি মাতাল ছিলাম। সে কখনোই আসল "আমি" কে চিনতে পারেনি। "আমি শান্ত"। আমি তার জন্য অনেক চেষ্টা করেছিলাম, কিন্তু আমি কখনও ভাবিনি যে সে আসলে চলে যাবে। আমি ভেবেছিলাম এটা আমার নিজের লড়াই, কিন্তু এটা তারও ছিল। আমি যা করেছি এবং যা করে চলেছি তার জন্য সে আমাকে ক্ষমা করতে পারেনি। আমি চাই আমি তার কাছে তা করতে পারি, কিন্তু এর একমাত্র উপায় হল শান্ত হওয়া। আমি AA তে যাচ্ছি। আমি থেরাপিতে যাচ্ছি। আমি সেই পরিবর্তনগুলি করছি যা সে সবসময় আমাকে করতে বলেছিল, যে পরিবর্তনগুলি আমি তাকে প্রতিশ্রুতি দিয়েছিলাম এবং কখনও করিনি। আমি যাকে ভালোবাসি তাকে আর কখনও এভাবে আঘাত করব না।</v>
      </c>
    </row>
    <row r="1727" spans="1:3" ht="15" x14ac:dyDescent="0.25">
      <c r="A1727" s="3" t="s">
        <v>1721</v>
      </c>
      <c r="B1727" s="3" t="s">
        <v>997</v>
      </c>
      <c r="C1727" s="4" t="str">
        <f ca="1">IFERROR(__xludf.DUMMYFUNCTION("GOOGLETRANSLATE(A1727, ""auto"", ""bn"")"),"এতদিনের সাফল্য উদযাপন করার জন্য এক মিনিট সময় নিতে চেয়েছিলাম! আমার সংযমের প্রথম দিনগুলিতে, আমি সত্যিই জানতাম না যে আমি এক বছর পার করতে পারব কিনা। অ্যালকোহল ছাড়া জীবনের চিন্তা ছিল ভয়ঙ্কর। আমি আমার মোকাবেলা করার প্রক্রিয়া হারিয়ে ফেলার বিষয়ে খুব চিন্তি"&amp;"ত ছিলাম, সেই উষ্ণ অনুভূতি অনুভব করার সুরক্ষা জাল হারিয়ে ফেলার বিষয়ে যে অ্যালকোহল আপনার শরীরকে ঢেকে ফেলে... অসাড়তা। এটাই ছিল আমার আরামের অঞ্চল। আমার সংযমের মুখোমুখি হতে আমি ভয় পেয়েছিলাম। ইন্টারনেটে সেরা জায়গা হওয়ার জন্য আমার হৃদয়ের নীচ থেকে ধন্যবাদ"&amp;"! আমার প্রথম দিনগুলিতে এই জায়গাটির আমার খুব প্রয়োজন ছিল এবং এখন আমি আমার মতো থাকতে, সত্যিকার অর্থে আমার মতো হতে এবং আমার অনুভূতি অনুভব করতে এবং আমার আবেগ এবং পরিস্থিতিগুলি পরিষ্কার মাথার সাথে মোকাবেলা করতে আরও স্বাচ্ছন্দ্য বোধ করেছি। আমি অনেক বেশি খুশি।"&amp;" এবং দেখা যাচ্ছে যে আমি আসলে আমার মতোই সংযত ব্যক্তির মতো। আমি নিজেকে নিয়ে খুব গর্বিত! যদি আপনি আপনার সংযমের প্রথম দিনগুলিতে থাকেন, তবে মনে রাখবেন যে এটি সম্ভব! একদিন না একদিন। আমি খুব গর্বের সাথে আজ তোমাদের কারও সাথে মদ্যপান করব না!")</f>
        <v>এতদিনের সাফল্য উদযাপন করার জন্য এক মিনিট সময় নিতে চেয়েছিলাম! আমার সংযমের প্রথম দিনগুলিতে, আমি সত্যিই জানতাম না যে আমি এক বছর পার করতে পারব কিনা। অ্যালকোহল ছাড়া জীবনের চিন্তা ছিল ভয়ঙ্কর। আমি আমার মোকাবেলা করার প্রক্রিয়া হারিয়ে ফেলার বিষয়ে খুব চিন্তিত ছিলাম, সেই উষ্ণ অনুভূতি অনুভব করার সুরক্ষা জাল হারিয়ে ফেলার বিষয়ে যে অ্যালকোহল আপনার শরীরকে ঢেকে ফেলে... অসাড়তা। এটাই ছিল আমার আরামের অঞ্চল। আমার সংযমের মুখোমুখি হতে আমি ভয় পেয়েছিলাম। ইন্টারনেটে সেরা জায়গা হওয়ার জন্য আমার হৃদয়ের নীচ থেকে ধন্যবাদ! আমার প্রথম দিনগুলিতে এই জায়গাটির আমার খুব প্রয়োজন ছিল এবং এখন আমি আমার মতো থাকতে, সত্যিকার অর্থে আমার মতো হতে এবং আমার অনুভূতি অনুভব করতে এবং আমার আবেগ এবং পরিস্থিতিগুলি পরিষ্কার মাথার সাথে মোকাবেলা করতে আরও স্বাচ্ছন্দ্য বোধ করেছি। আমি অনেক বেশি খুশি। এবং দেখা যাচ্ছে যে আমি আসলে আমার মতোই সংযত ব্যক্তির মতো। আমি নিজেকে নিয়ে খুব গর্বিত! যদি আপনি আপনার সংযমের প্রথম দিনগুলিতে থাকেন, তবে মনে রাখবেন যে এটি সম্ভব! একদিন না একদিন। আমি খুব গর্বের সাথে আজ তোমাদের কারও সাথে মদ্যপান করব না!</v>
      </c>
    </row>
    <row r="1728" spans="1:3" ht="15" x14ac:dyDescent="0.25">
      <c r="A1728" s="3" t="s">
        <v>1722</v>
      </c>
      <c r="B1728" s="3" t="s">
        <v>997</v>
      </c>
      <c r="C1728" s="4" t="str">
        <f ca="1">IFERROR(__xludf.DUMMYFUNCTION("GOOGLETRANSLATE(A1728, ""auto"", ""bn"")"),"আমি ৩৬ বছর ধরে মদ্যপান করছি। কলেজে সপ্তাহান্তে যোদ্ধাদের ডর্ম-রুমে মদ্যপান করা এবং ৪ বছর ধরে যখন আমি নিজেকে পৃথিবীর রাজা ভেবেছিলাম তখন অতিরিক্ত মদ্যপান করা ছাড়া, আমি বেশিরভাগ সময় কেবল রাতে ২টি বিয়ার খাওয়ার মতো মানুষ হিসেবে কাটিয়েছি... এই মহামারী বন্ধ"&amp;" হওয়ার আগ পর্যন্ত। এখন, সেই ৩৬ বছরে আমি হয়তো মদ্যপানের কারণে আধা ডজন দিন কাজ মিস করেছি, কখনও মাতাল অবস্থায় গাড়ি চালাইনি, এবং শেষবার যখন আমি মদ্যপান থেকে বমি করেছিলাম প্রায় ৮ বছর আগে (পাগল পার্টি).... তাই গত ডিসেম্বর পর্যন্ত আমার কখনও মনে হয়নি যে আমা"&amp;"র কোনও সমস্যা আছে, যখন আমি চোখ খুলে বুঝতে পারি যে আমি প্রতি রাতে ৫-৭টি পানীয় (হার্ড-এ এবং বিয়ার) পান করছি এবং বুঝতে পারি যে গত বছর ধরে এটি বেশ ভালো ছিল; মহামারী শুরু হওয়ার পর থেকে, আমি বুঝতে পারছি। তাই, আমার পেটের জন্য, আমি মদ্যপান বন্ধ করার সিদ্ধান্ত "&amp;"নিয়েছি (বিশেষ করে কোনও কারণ ছাড়াই/একা)। ৯০% সময় আমি কেবল কম্পিউটারে থাকতাম এবং একা মদ্যপান করতাম। তো, আমি কিছু (সত্যিই খারাপ) NA বিয়ার পেয়েছি এবং একটা নিয়েছি, তাই এই বছরের জানুয়ারিতে সম্পূর্ণ বন্ধ করে দিয়েছি, আর ফেব্রুয়ারিতে এখন পর্যন্ত ৩ বার পান করেছ"&amp;"ি। আমি আসলে কী এবং কেন এবং ছেড়ে দেওয়ার প্রত্যাশা সম্পর্কে খুব বেশি কিছু পড়িনি বা শিখিনি, তবে আমি এটা বলতে পারি। আমার মস্তিষ্ক জ্বলছে। ব্যথা নয়, তবে এটি দিনে ১৯ ঘন্টা ধরে চলছে। আমার মনে হয় গত ৩৬ বছর ধরে আমি অ্যালকোহলের আকারে ""কন্ট্রোল রড"" ব্যবহার করেছি"&amp;" যা এটিকে দূরে রাখে... কিন্তু এখন আমার একটা সমস্যা আছে। আমার চিন্তাভাবনা কীভাবে বিস্তৃত ধরণের সচেতনতার জন্য উন্মুক্ত হয়েছে তা আমার পছন্দ। তাছাড়া, আমি একাধিক কাজ করতে পারি, আমি জিনিসগুলি আরও ভালোভাবে মনে রাখতে পারি, এবং আমি জিনিসগুলি স্থগিত রাখার পরিবর্তে "&amp;"সেগুলি সম্পন্ন করতে পারি। কিন্তু... আমি এটি বন্ধ করতে পারি না। আমার ৫.৫ ঘন্টা ঘুম এখন প্রায় ৪ ঘন্টা হয়ে গেছে (আমি শিখেছি যে আমাকে যদি ঘুমাতে হয় বা দীর্ঘ সপ্তাহান্তে ঘুমাতে হয়)। আমি ভাবছি যে এই কারণেই আমি প্রথমে মদ্যপান শুরু করেছিলাম, কারণ আমার শৈশব ছি"&amp;"ল ঝাপসা এবং আমার স্কুল ছিল একঘেয়ে (সহজ) এবং আমি হাইপার এবং এরকম কিছু ছিলাম। আজ যদি আমি ছোট হতাম, তাহলে সম্ভবত আমার ক্ষেত্রেও এই শব্দটি ব্যবহার করা হতো। ১৯ বছর বয়সে আমি মদ্যপান শুরু করেছিলাম, এবং আমি কেবল ভাবতে পারি যে এটি আমাকে শান্ত করতে সাহায্য করেছে "&amp;"এবং আমি এটি পছন্দ করেছি? ""অতিরিক্ত"" মদ্যপান বন্ধ করার পর কি আর কারো এই সমস্যা হয়েছে?")</f>
        <v>আমি ৩৬ বছর ধরে মদ্যপান করছি। কলেজে সপ্তাহান্তে যোদ্ধাদের ডর্ম-রুমে মদ্যপান করা এবং ৪ বছর ধরে যখন আমি নিজেকে পৃথিবীর রাজা ভেবেছিলাম তখন অতিরিক্ত মদ্যপান করা ছাড়া, আমি বেশিরভাগ সময় কেবল রাতে ২টি বিয়ার খাওয়ার মতো মানুষ হিসেবে কাটিয়েছি... এই মহামারী বন্ধ হওয়ার আগ পর্যন্ত। এখন, সেই ৩৬ বছরে আমি হয়তো মদ্যপানের কারণে আধা ডজন দিন কাজ মিস করেছি, কখনও মাতাল অবস্থায় গাড়ি চালাইনি, এবং শেষবার যখন আমি মদ্যপান থেকে বমি করেছিলাম প্রায় ৮ বছর আগে (পাগল পার্টি).... তাই গত ডিসেম্বর পর্যন্ত আমার কখনও মনে হয়নি যে আমার কোনও সমস্যা আছে, যখন আমি চোখ খুলে বুঝতে পারি যে আমি প্রতি রাতে ৫-৭টি পানীয় (হার্ড-এ এবং বিয়ার) পান করছি এবং বুঝতে পারি যে গত বছর ধরে এটি বেশ ভালো ছিল; মহামারী শুরু হওয়ার পর থেকে, আমি বুঝতে পারছি। তাই, আমার পেটের জন্য, আমি মদ্যপান বন্ধ করার সিদ্ধান্ত নিয়েছি (বিশেষ করে কোনও কারণ ছাড়াই/একা)। ৯০% সময় আমি কেবল কম্পিউটারে থাকতাম এবং একা মদ্যপান করতাম। তো, আমি কিছু (সত্যিই খারাপ) NA বিয়ার পেয়েছি এবং একটা নিয়েছি, তাই এই বছরের জানুয়ারিতে সম্পূর্ণ বন্ধ করে দিয়েছি, আর ফেব্রুয়ারিতে এখন পর্যন্ত ৩ বার পান করেছি। আমি আসলে কী এবং কেন এবং ছেড়ে দেওয়ার প্রত্যাশা সম্পর্কে খুব বেশি কিছু পড়িনি বা শিখিনি, তবে আমি এটা বলতে পারি। আমার মস্তিষ্ক জ্বলছে। ব্যথা নয়, তবে এটি দিনে ১৯ ঘন্টা ধরে চলছে। আমার মনে হয় গত ৩৬ বছর ধরে আমি অ্যালকোহলের আকারে "কন্ট্রোল রড" ব্যবহার করেছি যা এটিকে দূরে রাখে... কিন্তু এখন আমার একটা সমস্যা আছে। আমার চিন্তাভাবনা কীভাবে বিস্তৃত ধরণের সচেতনতার জন্য উন্মুক্ত হয়েছে তা আমার পছন্দ। তাছাড়া, আমি একাধিক কাজ করতে পারি, আমি জিনিসগুলি আরও ভালোভাবে মনে রাখতে পারি, এবং আমি জিনিসগুলি স্থগিত রাখার পরিবর্তে সেগুলি সম্পন্ন করতে পারি। কিন্তু... আমি এটি বন্ধ করতে পারি না। আমার ৫.৫ ঘন্টা ঘুম এখন প্রায় ৪ ঘন্টা হয়ে গেছে (আমি শিখেছি যে আমাকে যদি ঘুমাতে হয় বা দীর্ঘ সপ্তাহান্তে ঘুমাতে হয়)। আমি ভাবছি যে এই কারণেই আমি প্রথমে মদ্যপান শুরু করেছিলাম, কারণ আমার শৈশব ছিল ঝাপসা এবং আমার স্কুল ছিল একঘেয়ে (সহজ) এবং আমি হাইপার এবং এরকম কিছু ছিলাম। আজ যদি আমি ছোট হতাম, তাহলে সম্ভবত আমার ক্ষেত্রেও এই শব্দটি ব্যবহার করা হতো। ১৯ বছর বয়সে আমি মদ্যপান শুরু করেছিলাম, এবং আমি কেবল ভাবতে পারি যে এটি আমাকে শান্ত করতে সাহায্য করেছে এবং আমি এটি পছন্দ করেছি? "অতিরিক্ত" মদ্যপান বন্ধ করার পর কি আর কারো এই সমস্যা হয়েছে?</v>
      </c>
    </row>
    <row r="1729" spans="1:3" ht="15" x14ac:dyDescent="0.25">
      <c r="A1729" s="3" t="s">
        <v>1723</v>
      </c>
      <c r="B1729" s="3" t="s">
        <v>997</v>
      </c>
      <c r="C1729" s="4" t="str">
        <f ca="1">IFERROR(__xludf.DUMMYFUNCTION("GOOGLETRANSLATE(A1729, ""auto"", ""bn"")"),"প্রথমবারের মতো পোস্টারটি এখানে। আমি ২০ বছর বয়সী কলেজ ছাত্রী এবং আমি মাঝে মাঝে অতিরিক্ত মদ্যপান করি। এর (এখনও) আমার উপর কোনও অদ্ভুত প্রভাব পড়েনি, তবে আমি সত্যিই কমাতে চাই। আমার বিশ্বাস আমার বেশিরভাগ মদ্যপান উদ্বেগ এবং মানসিক চাপের কারণে অনিদ্রার কারণে হয"&amp;"়। আমি জানি এই সাবরেডিটকে ""মদ্যপান বন্ধ করুন"" বলা হয়, কিন্তু উদ্বেগ এবং ঘুমের সমস্যা সম্পর্কিত মদ্যপান কমানোর জন্য কারও কি পরামর্শ আছে? তাছাড়া, আমি একটি মদ্যপ পরিবারে বড় হয়েছি, তাই আমি জানি মানুষের উপর মদ্যপানের প্রভাব কী। তাছাড়া, আমি কখনও এমন হতে চা"&amp;"ই না, তবে আমি সত্যিই বিশ্বাস করি যে আমি আমার মদ্যপান কিছুটা নিয়ন্ত্রণ করতে পারব যদি আমি আমার কিছু মানসিক সমস্যা ঠিক করি।")</f>
        <v>প্রথমবারের মতো পোস্টারটি এখানে। আমি ২০ বছর বয়সী কলেজ ছাত্রী এবং আমি মাঝে মাঝে অতিরিক্ত মদ্যপান করি। এর (এখনও) আমার উপর কোনও অদ্ভুত প্রভাব পড়েনি, তবে আমি সত্যিই কমাতে চাই। আমার বিশ্বাস আমার বেশিরভাগ মদ্যপান উদ্বেগ এবং মানসিক চাপের কারণে অনিদ্রার কারণে হয়। আমি জানি এই সাবরেডিটকে "মদ্যপান বন্ধ করুন" বলা হয়, কিন্তু উদ্বেগ এবং ঘুমের সমস্যা সম্পর্কিত মদ্যপান কমানোর জন্য কারও কি পরামর্শ আছে? তাছাড়া, আমি একটি মদ্যপ পরিবারে বড় হয়েছি, তাই আমি জানি মানুষের উপর মদ্যপানের প্রভাব কী। তাছাড়া, আমি কখনও এমন হতে চাই না, তবে আমি সত্যিই বিশ্বাস করি যে আমি আমার মদ্যপান কিছুটা নিয়ন্ত্রণ করতে পারব যদি আমি আমার কিছু মানসিক সমস্যা ঠিক করি।</v>
      </c>
    </row>
    <row r="1730" spans="1:3" ht="15" x14ac:dyDescent="0.25">
      <c r="A1730" s="3" t="s">
        <v>1724</v>
      </c>
      <c r="B1730" s="3" t="s">
        <v>997</v>
      </c>
      <c r="C1730" s="4" t="str">
        <f ca="1">IFERROR(__xludf.DUMMYFUNCTION("GOOGLETRANSLATE(A1730, ""auto"", ""bn"")"),"দুই বছরেরও বেশি সময় ধরে প্রতিদিন মদ্যপানের অভ্যাস (দিনে ৬-৮ বার, কখনও কখনও তার বেশি) ত্যাগ করতে পারছি না। অ্যালকোহলজনিত স্বাস্থ্যগত ভয়ের কারণে জরুরি বিভাগে যাওয়ার পরেও, একদিনের বেশি পান করতে পারিনি। আমার দুটি ক্রেডিট কার্ড সর্বাধিক ব্যবহার করে আমি একেব"&amp;"ারেই মদ্যপান করতে পারিনি। আমি আর মদ্যপান করতে পারছি না। আমি সবসময় থামতে চেয়েছিলাম (ওজন কমাতে, আমার শরীরকে ঘৃণা না করতে, টাকা বাঁচাতে, প্রতিদিন আবর্জনার মতো বোধ না করার জন্য) কিন্তু সবসময়ই একটি অজুহাত ছিল। এখন আমি আক্ষরিক অর্থেই এটি বহন করতে পারছি না, ত"&amp;"াই আমাকে পরিবর্তন আনতে হবে। আমি একটি ছোট সান্ত্বনা পেয়েছি: সিবিডি পানীয় আমাকে অ্যালকোহলের সমস্ত ভাল অংশ দিয়েছে (আমাকে আমার উদ্বেগ থেকে মুক্তি দেয়, আমাকে শিথিল করতে এবং মনোযোগ দিতে এবং শান্ত থাকতে দেয়) সমস্ত নেতিবাচক দিক ছাড়াই। প্রথম দিন, আমার ঠান্ডা"&amp;" লেগেছিল এবং কাঁপুনি ছিল, উদ্বেগে পঙ্গু হয়ে পড়েছিলাম, আমার রাগ অপ্রতিরোধ্য ছিল এবং প্রতিটি ছোট জিনিস আমাকে বিরক্ত করে তুলেছিল। দ্বিতীয় দিন, কাঁপুনি অব্যাহত ছিল, এবং ঠান্ডা এখনও ছিল। প্রতিটি ছোট জিনিসে এখনও রাগ ছিল। সন্ধ্যার দিকে অন্তত CBD দুশ্চিন্তা কম"&amp;"াতে সাহায্য করেছে, কিন্তু ঘুমাতে আমার ঘন্টা খানেক সময় লেগেছে। ৩য় দিন, আজও দুশ্চিন্তা আগের মতোই আছে, কিন্তু আমি আরও সতেজ এবং উপস্থিত/সচেতন বোধ করছি। কম্পন এবং ঠান্ডা লাগা হতাশাজনক কিন্তু নিয়ন্ত্রণযোগ্য। একবারে একদিনের উপর মনোযোগ কেন্দ্রীভূত করা সাহায্য "&amp;"করছে। এই পোস্টটি একটু বিশৃঙ্খল এবং অগোছালো, তবে আমি মনে করি এটি আমাকে এটির সাথে লেগে থাকতে সাহায্য করবে যদি আমি নিজেকে এবং আমার পুনরুদ্ধারকে স্থায়ী কোথাও রাখার জন্য সচেতন প্রচেষ্টা করি, কেবল নিজেকে আবার বলার পরিবর্তে যে আমি ছেড়ে দেব। যদি আমি এখানে আরও প"&amp;"োস্ট করি তবে আমি নিজেকে দায়ী রাখতে পারব।")</f>
        <v>দুই বছরেরও বেশি সময় ধরে প্রতিদিন মদ্যপানের অভ্যাস (দিনে ৬-৮ বার, কখনও কখনও তার বেশি) ত্যাগ করতে পারছি না। অ্যালকোহলজনিত স্বাস্থ্যগত ভয়ের কারণে জরুরি বিভাগে যাওয়ার পরেও, একদিনের বেশি পান করতে পারিনি। আমার দুটি ক্রেডিট কার্ড সর্বাধিক ব্যবহার করে আমি একেবারেই মদ্যপান করতে পারিনি। আমি আর মদ্যপান করতে পারছি না। আমি সবসময় থামতে চেয়েছিলাম (ওজন কমাতে, আমার শরীরকে ঘৃণা না করতে, টাকা বাঁচাতে, প্রতিদিন আবর্জনার মতো বোধ না করার জন্য) কিন্তু সবসময়ই একটি অজুহাত ছিল। এখন আমি আক্ষরিক অর্থেই এটি বহন করতে পারছি না, তাই আমাকে পরিবর্তন আনতে হবে। আমি একটি ছোট সান্ত্বনা পেয়েছি: সিবিডি পানীয় আমাকে অ্যালকোহলের সমস্ত ভাল অংশ দিয়েছে (আমাকে আমার উদ্বেগ থেকে মুক্তি দেয়, আমাকে শিথিল করতে এবং মনোযোগ দিতে এবং শান্ত থাকতে দেয়) সমস্ত নেতিবাচক দিক ছাড়াই। প্রথম দিন, আমার ঠান্ডা লেগেছিল এবং কাঁপুনি ছিল, উদ্বেগে পঙ্গু হয়ে পড়েছিলাম, আমার রাগ অপ্রতিরোধ্য ছিল এবং প্রতিটি ছোট জিনিস আমাকে বিরক্ত করে তুলেছিল। দ্বিতীয় দিন, কাঁপুনি অব্যাহত ছিল, এবং ঠান্ডা এখনও ছিল। প্রতিটি ছোট জিনিসে এখনও রাগ ছিল। সন্ধ্যার দিকে অন্তত CBD দুশ্চিন্তা কমাতে সাহায্য করেছে, কিন্তু ঘুমাতে আমার ঘন্টা খানেক সময় লেগেছে। ৩য় দিন, আজও দুশ্চিন্তা আগের মতোই আছে, কিন্তু আমি আরও সতেজ এবং উপস্থিত/সচেতন বোধ করছি। কম্পন এবং ঠান্ডা লাগা হতাশাজনক কিন্তু নিয়ন্ত্রণযোগ্য। একবারে একদিনের উপর মনোযোগ কেন্দ্রীভূত করা সাহায্য করছে। এই পোস্টটি একটু বিশৃঙ্খল এবং অগোছালো, তবে আমি মনে করি এটি আমাকে এটির সাথে লেগে থাকতে সাহায্য করবে যদি আমি নিজেকে এবং আমার পুনরুদ্ধারকে স্থায়ী কোথাও রাখার জন্য সচেতন প্রচেষ্টা করি, কেবল নিজেকে আবার বলার পরিবর্তে যে আমি ছেড়ে দেব। যদি আমি এখানে আরও পোস্ট করি তবে আমি নিজেকে দায়ী রাখতে পারব।</v>
      </c>
    </row>
    <row r="1731" spans="1:3" ht="15" x14ac:dyDescent="0.25">
      <c r="A1731" s="3" t="s">
        <v>1725</v>
      </c>
      <c r="B1731" s="3" t="s">
        <v>997</v>
      </c>
      <c r="C1731" s="4" t="str">
        <f ca="1">IFERROR(__xludf.DUMMYFUNCTION("GOOGLETRANSLATE(A1731, ""auto"", ""bn"")"),"আজ রাতে আমি ডেটে গিয়েছিলাম এবং একবার ড্রিংক ল্যাপস করেছিলাম। আমি লোকটিকে আমার বাড়িতে আবার আমন্ত্রণ জানালাম, এবং সে বলল যে রাতটা ভালো ছিল না (আমরা আগে কয়েকবার একসাথে ঘুমিয়েছি, কিন্তু সে আসলে আমাকে পছন্দ করে না)। প্রত্যাখ্যানটি একটু খারাপ লেগেছে। আমি সৌ"&amp;"ভাগ্যক্রমে মদ্যপান করিনি কিন্তু আমার অ্যাপার্টমেন্টে একটা বড় ধরনের ভাঙন দেখা দিল, কাঁদতে কাঁদতে আর মনে হচ্ছিল যেন আমি আরেকটি বিষণ্ণতায় ভুগছি, যা আমার সবচেয়ে বড় ভয়। আমি ভয় পেয়েছিলাম যে আমি আরও বেশি মদ্যপান করব কিন্তু তার পরিবর্তে দৌড়ে বেরিয়ে পড়লা"&amp;"ম। আমাকে স্বস্তি দেওয়ার পরিবর্তে আমি এই অবিশ্বাস্যরকম অন্ধকার জায়গায় আছি যেখানে আমার মনে হচ্ছে আমি কতটা খারাপ লাগছে তা সহ্য করতে পারছি না। মনে হচ্ছে আজকের রাতের সাথে এর কোনও সম্পর্ক নেই এবং এটি একটি সাধারণ সমস্যা যেখানে আমি জানি না কীভাবে আবেগকে অসাড় "&amp;"না করে সামলাতে হয়। আবেগগুলি কোনও কিছুর সাথে সম্পর্কিত বলে মনে হয় না, কেবল নিষ্পেষণমূলক দুঃখ এবং একাকীত্বের একটি সাধারণ অনুভূতি। থেরাপি ছাড়া, যা এখন আমার জন্য খুব ব্যয়বহুল, কারও কি কোন টিপস আছে? আমি একটি নতুন শহরে আছি এবং এই মুহূর্তে আমার কাছে ভালো সাম"&amp;"াজিক সহায়তা ব্যবস্থা নেই (আমি বন্ধু বানাচ্ছি কিন্তু এমন কেউ নেই যার উপর আমি নির্ভর করতে পারি? আসলে? কোন পরামর্শ?? আমি এখন খুব অসুস্থ বোধ করছি, নিছক উদ্বেগ।)")</f>
        <v>আজ রাতে আমি ডেটে গিয়েছিলাম এবং একবার ড্রিংক ল্যাপস করেছিলাম। আমি লোকটিকে আমার বাড়িতে আবার আমন্ত্রণ জানালাম, এবং সে বলল যে রাতটা ভালো ছিল না (আমরা আগে কয়েকবার একসাথে ঘুমিয়েছি, কিন্তু সে আসলে আমাকে পছন্দ করে না)। প্রত্যাখ্যানটি একটু খারাপ লেগেছে। আমি সৌভাগ্যক্রমে মদ্যপান করিনি কিন্তু আমার অ্যাপার্টমেন্টে একটা বড় ধরনের ভাঙন দেখা দিল, কাঁদতে কাঁদতে আর মনে হচ্ছিল যেন আমি আরেকটি বিষণ্ণতায় ভুগছি, যা আমার সবচেয়ে বড় ভয়। আমি ভয় পেয়েছিলাম যে আমি আরও বেশি মদ্যপান করব কিন্তু তার পরিবর্তে দৌড়ে বেরিয়ে পড়লাম। আমাকে স্বস্তি দেওয়ার পরিবর্তে আমি এই অবিশ্বাস্যরকম অন্ধকার জায়গায় আছি যেখানে আমার মনে হচ্ছে আমি কতটা খারাপ লাগছে তা সহ্য করতে পারছি না। মনে হচ্ছে আজকের রাতের সাথে এর কোনও সম্পর্ক নেই এবং এটি একটি সাধারণ সমস্যা যেখানে আমি জানি না কীভাবে আবেগকে অসাড় না করে সামলাতে হয়। আবেগগুলি কোনও কিছুর সাথে সম্পর্কিত বলে মনে হয় না, কেবল নিষ্পেষণমূলক দুঃখ এবং একাকীত্বের একটি সাধারণ অনুভূতি। থেরাপি ছাড়া, যা এখন আমার জন্য খুব ব্যয়বহুল, কারও কি কোন টিপস আছে? আমি একটি নতুন শহরে আছি এবং এই মুহূর্তে আমার কাছে ভালো সামাজিক সহায়তা ব্যবস্থা নেই (আমি বন্ধু বানাচ্ছি কিন্তু এমন কেউ নেই যার উপর আমি নির্ভর করতে পারি? আসলে? কোন পরামর্শ?? আমি এখন খুব অসুস্থ বোধ করছি, নিছক উদ্বেগ।)</v>
      </c>
    </row>
    <row r="1732" spans="1:3" ht="15" x14ac:dyDescent="0.25">
      <c r="A1732" s="3" t="s">
        <v>1726</v>
      </c>
      <c r="B1732" s="3" t="s">
        <v>997</v>
      </c>
      <c r="C1732" s="4" t="str">
        <f ca="1">IFERROR(__xludf.DUMMYFUNCTION("GOOGLETRANSLATE(A1732, ""auto"", ""bn"")"),"আমি আগে কখনও পোস্ট করিনি কিন্তু এখানকার পোস্টগুলো ধর্মীয়ভাবে পড়ি এবং সব সাফল্যের গল্পই আমার কাছে অনুপ্রেরণাদায়ক। একটু পটভূমি - আমি বিশের কোঠার মাঝামাঝি একজন মহিলা। আমি হাই স্কুল এবং কলেজের মধ্যে প্রচুর মদ্যপান এবং পার্টি করতাম এবং কলেজের পরেও এই পথেই এগ"&amp;"িয়ে গিয়েছি কিন্তু এখনও ভালো ক্যারিয়ার ধরে রাখতে পেরেছি। যাইহোক, আমার মনে হয় মদ্যপানের সাথে আমার সম্পর্ক ভালো নয়। আমি প্রায় প্রতিবারই মদ্যপানের সময় নিজেকে অলস মনে করি, যদিও আমি সপ্তাহে একদিন মদ্যপান সীমাবদ্ধ রাখি। সম্প্রতি, আমি ভুল করেছি এবং সত্যিই "&amp;"আশা করছি কেউ আমাকে কিছু বলতে বা উৎসাহ দিতে পারে অথবা একই রকম গল্প বলতে পারে। আমি এই লোকটিকে সত্যিই পছন্দ করি, আমাদের মধ্যে অনেক মিল রয়েছে এবং আমি তার সাথে আড্ডা দিতে পছন্দ করি। আমরা শনিবার বাইরে গিয়েছিলাম এবং অবশ্যই, আমি অলস হয়ে গিয়েছিলাম। আমি কী করেছ"&amp;"ি বা আমি বোকা কিনা তা বুঝতে পারছি না। আমি খুব লজ্জিত এবং আমি ভাবছি হয়তো এখান থেকে ফিরে আসার আর কোনও উপায় নেই এবং এটি একা ছেড়ে দেওয়া উচিত। কারও কি এমন সফল প্রেমের গল্প আছে যার পথে বোকা মদ্যপানের হেঁচকি ছিল? মদ্যপানের সাথে এটিই আমার শেষ খড়কুটো ছিল।")</f>
        <v>আমি আগে কখনও পোস্ট করিনি কিন্তু এখানকার পোস্টগুলো ধর্মীয়ভাবে পড়ি এবং সব সাফল্যের গল্পই আমার কাছে অনুপ্রেরণাদায়ক। একটু পটভূমি - আমি বিশের কোঠার মাঝামাঝি একজন মহিলা। আমি হাই স্কুল এবং কলেজের মধ্যে প্রচুর মদ্যপান এবং পার্টি করতাম এবং কলেজের পরেও এই পথেই এগিয়ে গিয়েছি কিন্তু এখনও ভালো ক্যারিয়ার ধরে রাখতে পেরেছি। যাইহোক, আমার মনে হয় মদ্যপানের সাথে আমার সম্পর্ক ভালো নয়। আমি প্রায় প্রতিবারই মদ্যপানের সময় নিজেকে অলস মনে করি, যদিও আমি সপ্তাহে একদিন মদ্যপান সীমাবদ্ধ রাখি। সম্প্রতি, আমি ভুল করেছি এবং সত্যিই আশা করছি কেউ আমাকে কিছু বলতে বা উৎসাহ দিতে পারে অথবা একই রকম গল্প বলতে পারে। আমি এই লোকটিকে সত্যিই পছন্দ করি, আমাদের মধ্যে অনেক মিল রয়েছে এবং আমি তার সাথে আড্ডা দিতে পছন্দ করি। আমরা শনিবার বাইরে গিয়েছিলাম এবং অবশ্যই, আমি অলস হয়ে গিয়েছিলাম। আমি কী করেছি বা আমি বোকা কিনা তা বুঝতে পারছি না। আমি খুব লজ্জিত এবং আমি ভাবছি হয়তো এখান থেকে ফিরে আসার আর কোনও উপায় নেই এবং এটি একা ছেড়ে দেওয়া উচিত। কারও কি এমন সফল প্রেমের গল্প আছে যার পথে বোকা মদ্যপানের হেঁচকি ছিল? মদ্যপানের সাথে এটিই আমার শেষ খড়কুটো ছিল।</v>
      </c>
    </row>
    <row r="1733" spans="1:3" ht="15" x14ac:dyDescent="0.25">
      <c r="A1733" s="3" t="s">
        <v>1727</v>
      </c>
      <c r="B1733" s="3" t="s">
        <v>997</v>
      </c>
      <c r="C1733" s="4" t="str">
        <f ca="1">IFERROR(__xludf.DUMMYFUNCTION("GOOGLETRANSLATE(A1733, ""auto"", ""bn"")"),"প্রায় ২ ঘন্টা সুস্থ। ১ মাসের সাফল্যের পর ২ সপ্তাহ ছুটিতে ছিলাম। সবচেয়ে বড় সমস্যা হলো আমার চারপাশের মানুষের কাছে দুর্বলতা স্বীকার করা, তাই আমি নিজেকে বিচার করতে ব্যস্ত থাকি, যা পরিস্থিতি আরও খারাপ করে তোলে। অতিরিক্ত চিন্তাশীল। উচ্চ উদ্বেগ। সমস্যায় পড়লে স"&amp;"াহায্যের জন্য গোপন বন্ধু এবং সমর্থকদের খুঁজছি।")</f>
        <v>প্রায় ২ ঘন্টা সুস্থ। ১ মাসের সাফল্যের পর ২ সপ্তাহ ছুটিতে ছিলাম। সবচেয়ে বড় সমস্যা হলো আমার চারপাশের মানুষের কাছে দুর্বলতা স্বীকার করা, তাই আমি নিজেকে বিচার করতে ব্যস্ত থাকি, যা পরিস্থিতি আরও খারাপ করে তোলে। অতিরিক্ত চিন্তাশীল। উচ্চ উদ্বেগ। সমস্যায় পড়লে সাহায্যের জন্য গোপন বন্ধু এবং সমর্থকদের খুঁজছি।</v>
      </c>
    </row>
    <row r="1734" spans="1:3" ht="15" x14ac:dyDescent="0.25">
      <c r="A1734" s="3" t="s">
        <v>1728</v>
      </c>
      <c r="B1734" s="3" t="s">
        <v>997</v>
      </c>
      <c r="C1734" s="4" t="str">
        <f ca="1">IFERROR(__xludf.DUMMYFUNCTION("GOOGLETRANSLATE(A1734, ""auto"", ""bn"")"),"গত রাতে আমি বাইরে গিয়েছিলাম এবং পাবলিক ট্রান্সপোর্টে ওয়াইনের কয়েকটি ক্লাস বন্ধ করে দিয়েছিলাম এবং ঘন্টার পর ঘন্টা নিউ ইয়র্ক সিটিতে হারিয়ে গিয়েছিলাম, আমি বাড়ির কাছাকাছি পৌঁছে গেছি এবং কোনও পরিবহন বিকল্প নেই, তাই ভোর ৩টায় আমাকে হিমশীতল ঠান্ডায় ৩ মা"&amp;"ইল হেঁটে যেতে হয়েছিল। আমি এতটাই হতাশ যে আমি আবার নতুন করে শুরু করতে বাধ্য হচ্ছি। তাছাড়া, আমি কেবল এই পরিস্থিতি কাটিয়ে ওঠার শক্তি চাই। তাছাড়া, আমি ভাগ্যবান হতে থাকি কিন্তু কতক্ষণ?")</f>
        <v>গত রাতে আমি বাইরে গিয়েছিলাম এবং পাবলিক ট্রান্সপোর্টে ওয়াইনের কয়েকটি ক্লাস বন্ধ করে দিয়েছিলাম এবং ঘন্টার পর ঘন্টা নিউ ইয়র্ক সিটিতে হারিয়ে গিয়েছিলাম, আমি বাড়ির কাছাকাছি পৌঁছে গেছি এবং কোনও পরিবহন বিকল্প নেই, তাই ভোর ৩টায় আমাকে হিমশীতল ঠান্ডায় ৩ মাইল হেঁটে যেতে হয়েছিল। আমি এতটাই হতাশ যে আমি আবার নতুন করে শুরু করতে বাধ্য হচ্ছি। তাছাড়া, আমি কেবল এই পরিস্থিতি কাটিয়ে ওঠার শক্তি চাই। তাছাড়া, আমি ভাগ্যবান হতে থাকি কিন্তু কতক্ষণ?</v>
      </c>
    </row>
    <row r="1735" spans="1:3" ht="15" x14ac:dyDescent="0.25">
      <c r="A1735" s="3" t="s">
        <v>1729</v>
      </c>
      <c r="B1735" s="3" t="s">
        <v>997</v>
      </c>
      <c r="C1735" s="4" t="str">
        <f ca="1">IFERROR(__xludf.DUMMYFUNCTION("GOOGLETRANSLATE(A1735, ""auto"", ""bn"")"),"৭ দিন ধরে মদ্যপান করার পর এবং ৮.৫ মাস ধরে মদ্যপান বন্ধ থাকার পর আমার ঘুমের চতুর্থ দিন। আমার ঘুম পেতে সমস্যা হচ্ছে। আমি হয়তো ৫ থেকে ৩০ মিনিট ঘুমাতে পারি কিন্তু ক্লান্ত বোধ করি না। ঘুমের জন্য কি আমি কিছু করতে পারি? আমি টাইলেনল পিএম এবং নাইকুইস্ট চেষ্টা করি"&amp;", কিন্তু তারা কিছু করে এবং আমি ৩ দিন পরে তা দিয়েছি। ঘুমের অভাবের কারণ হল তা প্রত্যাহার করা, কিন্তু সময়ের পাশাপাশি ঘুমানোর জন্য আমি কি কিছু করতে পারি?")</f>
        <v>৭ দিন ধরে মদ্যপান করার পর এবং ৮.৫ মাস ধরে মদ্যপান বন্ধ থাকার পর আমার ঘুমের চতুর্থ দিন। আমার ঘুম পেতে সমস্যা হচ্ছে। আমি হয়তো ৫ থেকে ৩০ মিনিট ঘুমাতে পারি কিন্তু ক্লান্ত বোধ করি না। ঘুমের জন্য কি আমি কিছু করতে পারি? আমি টাইলেনল পিএম এবং নাইকুইস্ট চেষ্টা করি, কিন্তু তারা কিছু করে এবং আমি ৩ দিন পরে তা দিয়েছি। ঘুমের অভাবের কারণ হল তা প্রত্যাহার করা, কিন্তু সময়ের পাশাপাশি ঘুমানোর জন্য আমি কি কিছু করতে পারি?</v>
      </c>
    </row>
    <row r="1736" spans="1:3" ht="15" x14ac:dyDescent="0.25">
      <c r="A1736" s="3" t="s">
        <v>1730</v>
      </c>
      <c r="B1736" s="3" t="s">
        <v>997</v>
      </c>
      <c r="C1736" s="4" t="str">
        <f ca="1">IFERROR(__xludf.DUMMYFUNCTION("GOOGLETRANSLATE(A1736, ""auto"", ""bn"")"),"এই সপ্তাহে আমি একটি পেশাদার সম্মেলনে যাচ্ছি। মহামারী শুরু হওয়ার পর থেকে এটিই আমার প্রথমবারের মতো সরাসরি কোনও সম্মেলনে যোগদান। সর্বদা হিসাবে, আমি জানি প্রচুর পরিমাণে অ্যালকোহল থাকবে, তার উপরে আমার সমস্ত সহকর্মীরা কিছু স্পিরিট ভাগ করে নিতে আগ্রহী কারণ এটি "&amp;"বছরের পর বছর ধরে আমাদের প্রথম ব্যক্তিগত অনুষ্ঠান। সত্যি বলতে, অতীতে এটি সর্বদা অতিরিক্ত মদ্যপানের একটি উপায় ছিল। আজ আমি ৪৫ তম দিনে আছি, আমার দীর্ঘতম ধারাবাহিকতা। আমার স্বাস্থ্যের জন্য (উচ্চ রক্তচাপ) আমাকে ছেড়ে দিতে হবে কিন্তু জানি যে এতে অনেক ট্রিগার থা"&amp;"কবে। আমি কী করব?")</f>
        <v>এই সপ্তাহে আমি একটি পেশাদার সম্মেলনে যাচ্ছি। মহামারী শুরু হওয়ার পর থেকে এটিই আমার প্রথমবারের মতো সরাসরি কোনও সম্মেলনে যোগদান। সর্বদা হিসাবে, আমি জানি প্রচুর পরিমাণে অ্যালকোহল থাকবে, তার উপরে আমার সমস্ত সহকর্মীরা কিছু স্পিরিট ভাগ করে নিতে আগ্রহী কারণ এটি বছরের পর বছর ধরে আমাদের প্রথম ব্যক্তিগত অনুষ্ঠান। সত্যি বলতে, অতীতে এটি সর্বদা অতিরিক্ত মদ্যপানের একটি উপায় ছিল। আজ আমি ৪৫ তম দিনে আছি, আমার দীর্ঘতম ধারাবাহিকতা। আমার স্বাস্থ্যের জন্য (উচ্চ রক্তচাপ) আমাকে ছেড়ে দিতে হবে কিন্তু জানি যে এতে অনেক ট্রিগার থাকবে। আমি কী করব?</v>
      </c>
    </row>
    <row r="1737" spans="1:3" ht="15" x14ac:dyDescent="0.25">
      <c r="A1737" s="3" t="s">
        <v>1731</v>
      </c>
      <c r="B1737" s="3" t="s">
        <v>997</v>
      </c>
      <c r="C1737" s="4" t="str">
        <f ca="1">IFERROR(__xludf.DUMMYFUNCTION("GOOGLETRANSLATE(A1737, ""auto"", ""bn"")"),"আমি বাসা থেকে কাজ করি, আর সম্প্রতি আমার অভ্যাস হয়ে গেছে যে, মুদিখানার অর্ডার ডেলিভারি দেওয়া হয়েছে, যাতে আমি আমার বাড়িতে ছয় প্যাকেট বিয়ার আনতে পারি। আমাকে কোথাও গাড়ি চালাতে হয় না, অথবা বারের দৃশ্যের শিকার হতে হয় না। তাছাড়া, আমি একজন অন্তর্মুখীও, তাই বাড়ি"&amp;"তে একা মদ্যপান করা আমার জন্য পুরোপুরি আরামদায়ক। এটা খুবই সহজ। আমার সঙ্গী যেহেতু শহরের বাইরে থাকে, তাই আজই এটা করার কথা ভাবছি। সম্প্রতি অন্য একজন মন্তব্য করেছেন, আমার নিজেকে সম্মান করা উচিত এবং ""এটা করো"" বলা এড়িয়ে চলা উচিত কারণ আমি জানি এটা থেকে সহজেই রে"&amp;"হাই পাওয়া যায়। আমার আসলেই আত্ম-নাশকতার প্রবণতা ত্যাগ করা উচিত।")</f>
        <v>আমি বাসা থেকে কাজ করি, আর সম্প্রতি আমার অভ্যাস হয়ে গেছে যে, মুদিখানার অর্ডার ডেলিভারি দেওয়া হয়েছে, যাতে আমি আমার বাড়িতে ছয় প্যাকেট বিয়ার আনতে পারি। আমাকে কোথাও গাড়ি চালাতে হয় না, অথবা বারের দৃশ্যের শিকার হতে হয় না। তাছাড়া, আমি একজন অন্তর্মুখীও, তাই বাড়িতে একা মদ্যপান করা আমার জন্য পুরোপুরি আরামদায়ক। এটা খুবই সহজ। আমার সঙ্গী যেহেতু শহরের বাইরে থাকে, তাই আজই এটা করার কথা ভাবছি। সম্প্রতি অন্য একজন মন্তব্য করেছেন, আমার নিজেকে সম্মান করা উচিত এবং "এটা করো" বলা এড়িয়ে চলা উচিত কারণ আমি জানি এটা থেকে সহজেই রেহাই পাওয়া যায়। আমার আসলেই আত্ম-নাশকতার প্রবণতা ত্যাগ করা উচিত।</v>
      </c>
    </row>
    <row r="1738" spans="1:3" ht="15" x14ac:dyDescent="0.25">
      <c r="A1738" s="3" t="s">
        <v>1732</v>
      </c>
      <c r="B1738" s="3" t="s">
        <v>997</v>
      </c>
      <c r="C1738" s="4" t="str">
        <f ca="1">IFERROR(__xludf.DUMMYFUNCTION("GOOGLETRANSLATE(A1738, ""auto"", ""bn"")"),"অন্যরা যখন মদ্যপান না করার সাথে মোকাবিলা করে, যখন তাদের শান্ত জীবন আকর্ষণীয়ের চেয়ে কম আকর্ষণীয় হয়? আমি যখনই মদ্যপান ছেড়ে দিই, তখনই আমি আমার জীবনের দিকে তাকাই এবং কেন আমি প্রথমে মদ্যপান শুরু করেছিলাম তার বিন্দুগুলি সংযুক্ত করি। আমি জানি যে ক্রমাগত মাত"&amp;"াল থাকা সম্ভব নয়, কিন্তু যখন আপনি একটি শান্ত জীবনের জন্য অপেক্ষা করেন না, তখন আপনি কীভাবে সংযম বজায় রাখবেন?")</f>
        <v>অন্যরা যখন মদ্যপান না করার সাথে মোকাবিলা করে, যখন তাদের শান্ত জীবন আকর্ষণীয়ের চেয়ে কম আকর্ষণীয় হয়? আমি যখনই মদ্যপান ছেড়ে দিই, তখনই আমি আমার জীবনের দিকে তাকাই এবং কেন আমি প্রথমে মদ্যপান শুরু করেছিলাম তার বিন্দুগুলি সংযুক্ত করি। আমি জানি যে ক্রমাগত মাতাল থাকা সম্ভব নয়, কিন্তু যখন আপনি একটি শান্ত জীবনের জন্য অপেক্ষা করেন না, তখন আপনি কীভাবে সংযম বজায় রাখবেন?</v>
      </c>
    </row>
    <row r="1739" spans="1:3" ht="15" x14ac:dyDescent="0.25">
      <c r="A1739" s="3" t="s">
        <v>1733</v>
      </c>
      <c r="B1739" s="3" t="s">
        <v>997</v>
      </c>
      <c r="C1739" s="4" t="str">
        <f ca="1">IFERROR(__xludf.DUMMYFUNCTION("GOOGLETRANSLATE(A1739, ""auto"", ""bn"")"),"আমি প্রায় ৭ মাস ধরে সুস্থ আছি এবং এখনও আমার নিজের ভূতদের সাথে মোকাবিলা করছি, স্পষ্টতই। এই মুহূর্তে আমার সংযমের সময় আমার সঙ্গীর উপর খুব রাগ হতে শুরু করেছে। কেউ কি এর সাথে সম্পর্কিত?")</f>
        <v>আমি প্রায় ৭ মাস ধরে সুস্থ আছি এবং এখনও আমার নিজের ভূতদের সাথে মোকাবিলা করছি, স্পষ্টতই। এই মুহূর্তে আমার সংযমের সময় আমার সঙ্গীর উপর খুব রাগ হতে শুরু করেছে। কেউ কি এর সাথে সম্পর্কিত?</v>
      </c>
    </row>
    <row r="1740" spans="1:3" ht="15" x14ac:dyDescent="0.25">
      <c r="A1740" s="3" t="s">
        <v>1734</v>
      </c>
      <c r="B1740" s="3" t="s">
        <v>997</v>
      </c>
      <c r="C1740" s="4" t="str">
        <f ca="1">IFERROR(__xludf.DUMMYFUNCTION("GOOGLETRANSLATE(A1740, ""auto"", ""bn"")"),"১২ দিন ধরে শান্ত, অত্যন্ত গর্বিত এবং মিষ্টি! দারুণ খবর: অ্যালকোহল-প্ররোচিত, প্রতিদিনের উদ্বেগ প্রায় চলে গেছে এবং অ্যালকোহলের প্রতি আমার আকাঙ্ক্ষা কিছুটা কমে গেছে। কিছু বিরক্তিকর অসুবিধাও রয়েছে। প্রচুর ক্লান্তি এবং মনোযোগের অভাব। পুরো রাত ঘুমানোর পরে সকা"&amp;"লে ঘুম থেকে ওঠা এতটাই কঠিন (আমি তাড়াতাড়ি ক্লান্ত বোধ করি - যদি সামর্থ্য থাকে তবে প্রতিদিন ১২ ঘন্টা ঘুমাবো), এবং মনোযোগের অভাব কাজ করা কঠিন করে তোলে (আমি বাড়ি থেকে কাজ করি যার ফলে মনোযোগ দেওয়া / মাঝে মাঝে পান করাও কঠিন হয়ে পড়ে)। আমি সম্প্রতি আরও বেশি"&amp;" মিষ্টি খাবার খাচ্ছি (কিন্তু নিজের দিকে নজর রাখা এবং খুব বেশি না খাওয়া), সম্ভবত এটি উভয় সমস্যার জন্য একটি অবদানকারী কারণ? আশা করি এটি প্রক্রিয়ার একটি অংশ এবং শীঘ্রই চলে যাবে।")</f>
        <v>১২ দিন ধরে শান্ত, অত্যন্ত গর্বিত এবং মিষ্টি! দারুণ খবর: অ্যালকোহল-প্ররোচিত, প্রতিদিনের উদ্বেগ প্রায় চলে গেছে এবং অ্যালকোহলের প্রতি আমার আকাঙ্ক্ষা কিছুটা কমে গেছে। কিছু বিরক্তিকর অসুবিধাও রয়েছে। প্রচুর ক্লান্তি এবং মনোযোগের অভাব। পুরো রাত ঘুমানোর পরে সকালে ঘুম থেকে ওঠা এতটাই কঠিন (আমি তাড়াতাড়ি ক্লান্ত বোধ করি - যদি সামর্থ্য থাকে তবে প্রতিদিন ১২ ঘন্টা ঘুমাবো), এবং মনোযোগের অভাব কাজ করা কঠিন করে তোলে (আমি বাড়ি থেকে কাজ করি যার ফলে মনোযোগ দেওয়া / মাঝে মাঝে পান করাও কঠিন হয়ে পড়ে)। আমি সম্প্রতি আরও বেশি মিষ্টি খাবার খাচ্ছি (কিন্তু নিজের দিকে নজর রাখা এবং খুব বেশি না খাওয়া), সম্ভবত এটি উভয় সমস্যার জন্য একটি অবদানকারী কারণ? আশা করি এটি প্রক্রিয়ার একটি অংশ এবং শীঘ্রই চলে যাবে।</v>
      </c>
    </row>
    <row r="1741" spans="1:3" ht="15" x14ac:dyDescent="0.25">
      <c r="A1741" s="3" t="s">
        <v>1735</v>
      </c>
      <c r="B1741" s="3" t="s">
        <v>997</v>
      </c>
      <c r="C1741" s="4" t="str">
        <f ca="1">IFERROR(__xludf.DUMMYFUNCTION("GOOGLETRANSLATE(A1741, ""auto"", ""bn"")"),"আমি মানুষের সাথে থাকতে পছন্দ করি কিন্তু অ্যালকোহল ছাড়া আমার মনে হয় সামাজিক যোগাযোগের সাথে আমার লড়াই করতে হচ্ছে। বেশিরভাগ সময় আমি আমার মাথায় আটকে থাকি এবং কী বলব তা খুঁজে পেতে সমস্যা হয়। হুইস্কি শুরু করুন। চিন্তাভাবনা, প্রশ্ন এবং মতামত স্পষ্টভাবে উপস"&amp;"্থাপন করে। এলোমেলোভাবে নয়, বরং সঠিক উপায়ে নিজেকে স্পষ্টভাবে প্রকাশ করার এবং দুর্দান্ত কথোপকথনে জড়িত হওয়ার জন্য। অ্যালকোহল ছাড়া সামাজিক যোগাযোগ উন্নত করার জন্য কোন পরামর্শ?")</f>
        <v>আমি মানুষের সাথে থাকতে পছন্দ করি কিন্তু অ্যালকোহল ছাড়া আমার মনে হয় সামাজিক যোগাযোগের সাথে আমার লড়াই করতে হচ্ছে। বেশিরভাগ সময় আমি আমার মাথায় আটকে থাকি এবং কী বলব তা খুঁজে পেতে সমস্যা হয়। হুইস্কি শুরু করুন। চিন্তাভাবনা, প্রশ্ন এবং মতামত স্পষ্টভাবে উপস্থাপন করে। এলোমেলোভাবে নয়, বরং সঠিক উপায়ে নিজেকে স্পষ্টভাবে প্রকাশ করার এবং দুর্দান্ত কথোপকথনে জড়িত হওয়ার জন্য। অ্যালকোহল ছাড়া সামাজিক যোগাযোগ উন্নত করার জন্য কোন পরামর্শ?</v>
      </c>
    </row>
    <row r="1742" spans="1:3" ht="15" x14ac:dyDescent="0.25">
      <c r="A1742" s="3" t="s">
        <v>1736</v>
      </c>
      <c r="B1742" s="3" t="s">
        <v>997</v>
      </c>
      <c r="C1742" s="4" t="str">
        <f ca="1">IFERROR(__xludf.DUMMYFUNCTION("GOOGLETRANSLATE(A1742, ""auto"", ""bn"")"),"আজ আমি অ্যালকোহলমুক্ত হব না বলে সিদ্ধান্ত নিলাম এবং সকালের ওষুধ খাওয়ার আগে আমার পিল বাক্স থেকে নালট্রেক্সোন বের করে নিলাম। প্রতারণার দিন, ""অ্যালকোহল মস্তিষ্ক"" একটা পার্টি করতে চলেছে! দোকানে... সরবরাহের জন্য কতক্ষণ অপেক্ষা করতে হবে তা ঠিক করার চেষ্টা কর"&amp;"ছি। কে ওহ! ""সোবার মস্তিষ্ক"" দখল করে নিল। দোকানে যাওয়ার পরিবর্তে নালট্রেক্সোন গ্রহণ করলাম। ""অ্যালকোহল মস্তিষ্ক"" দ্বারা এত কিছু জমানোর পরেও আমার লোভ এবং হতাশা চার্টের বাইরে চলে গেছে এবং তারা উন্মাদ হয়ে গেছে। ""সোবার মস্তিষ্ক"" এবং আমি আজ জিততে যাচ্ছি।"&amp;" এটাই আমার সেরা কাজ, কিন্তু ধুর, আমি এটা করছি!")</f>
        <v>আজ আমি অ্যালকোহলমুক্ত হব না বলে সিদ্ধান্ত নিলাম এবং সকালের ওষুধ খাওয়ার আগে আমার পিল বাক্স থেকে নালট্রেক্সোন বের করে নিলাম। প্রতারণার দিন, "অ্যালকোহল মস্তিষ্ক" একটা পার্টি করতে চলেছে! দোকানে... সরবরাহের জন্য কতক্ষণ অপেক্ষা করতে হবে তা ঠিক করার চেষ্টা করছি। কে ওহ! "সোবার মস্তিষ্ক" দখল করে নিল। দোকানে যাওয়ার পরিবর্তে নালট্রেক্সোন গ্রহণ করলাম। "অ্যালকোহল মস্তিষ্ক" দ্বারা এত কিছু জমানোর পরেও আমার লোভ এবং হতাশা চার্টের বাইরে চলে গেছে এবং তারা উন্মাদ হয়ে গেছে। "সোবার মস্তিষ্ক" এবং আমি আজ জিততে যাচ্ছি। এটাই আমার সেরা কাজ, কিন্তু ধুর, আমি এটা করছি!</v>
      </c>
    </row>
    <row r="1743" spans="1:3" ht="15" x14ac:dyDescent="0.25">
      <c r="A1743" s="3" t="s">
        <v>1737</v>
      </c>
      <c r="B1743" s="3" t="s">
        <v>997</v>
      </c>
      <c r="C1743" s="4" t="str">
        <f ca="1">IFERROR(__xludf.DUMMYFUNCTION("GOOGLETRANSLATE(A1743, ""auto"", ""bn"")"),"গত ৮টি জন্মদিনে আমি ২০ তারিখে ব্ল্যাক আউট করে উদযাপন করেছি, কারণ ২১ তারিখে ব্ল্যাক আউট করার জন্য আমি আমার জন্মদিন উদযাপন করেছি। প্রায় এক দশক ধরে আমি ভবিষ্যৎ নিয়ে কোনও চাপ বা উদ্বেগ অনুভব করিনি কারণ আমার অ্যালকোহলের মাধ্যমে এর প্রতিকার পাওয়া গেছে, কিন্তু ব"&amp;"ছরের পর বছর ধরে যা ঘটছে তা হল, আমি বারবার মাতাল হয়ে বাড়ি ফিরে যাওয়া ছাড়া আর কিছু নিয়ে চিন্তা করা বন্ধ করে দিয়েছি। আমি জীবন থেকে বেঁচে গেছি, যতক্ষণ পর্যন্ত আমার কাছে আমার মেরামতের জন্য পর্যাপ্ত টাকা এবং ঘুমানোর জন্য একটি বিছানা ছিল, ততক্ষণ আমি ভালো বা খারা"&amp;"প কিছুর পরিকল্পনা করিনি। এই বছর, আমি সুস্থ আছি এবং গত ১৫৪ দিনের মধ্যে ১৪০ দিন সুস্থ আছি এবং আমার জীবন সপ্তাহে সপ্তাহে দিনে দিনে ভালো হচ্ছে। আমি আবারও জিনিসগুলি নিয়ে চিন্তা করতে শুরু করেছি। আমি আমার বন্ধুবান্ধব এবং পরিবারের প্রতি এক দশকের চেয়েও বেশি যত্ন"&amp;"শীল, আমি আমার ভবিষ্যতের প্রতি এতটাই যত্নশীল যে আমি আমার ডিগ্রি শেষ করার জন্য স্কুলে পুনরায় ভর্তি হয়েছি যা আমি অতিরিক্ত মদ্যপানের সময় সম্পূর্ণ করতে পারিনি। তাছাড়া, আমার একটা সঞ্চয় পরিকল্পনা আছে যাতে আমি অবশেষে নিজেকে বোকা ঋণ থেকে মুক্ত করে একটা বাসা বা"&amp;"নাতে পারি, তাই আমি আমার প্যান্টের সিটে বসে থাকতে চাই না। তাছাড়া, আমি আমার বন্ধুদের থিতু হতে দেখি এবং পরিবার তৈরি করতে থাকি এবং এখন আমি আবারও সেই সম্পর্ক চাই, তাই আমি আবারও ডেট করার চেষ্টা করছি। তাছাড়া, গত দশকে আমার কিছু অস্থায়ী সম্পর্ক ছিল, কিন্তু সত্যি ব"&amp;"লতে, আমি সেগুলোকে বাস্তবে রূপান্তরিত করার চেয়ে মাতাল হওয়াকেই বেশি গুরুত্ব দিয়েছি। তাছাড়া, আমার আবার লক্ষ্য এবং স্বপ্ন আছে এবং আমি আবারও সেই স্বপ্ন পূরণ করতে পারব না এই ভাবনা আমাকে ভীষণ উদ্বিগ্ন করে তোলে, কিন্তু আমি বুঝতে পেরেছি যে ভবিষ্যতের ভয়ের কারণেই "&amp;"আমি বছরের পর বছর ধরে নিজেকে অসাড় করে রেখেছিলাম এবং সেই ভয় থেকে লুকিয়ে থেকেও আমার কিছুই আসেনি। তাছাড়া, আমি ভয় পাই না, কিন্তু এটা একটা অদ্ভুত আশ্চর্যজনক ধরণের ভয়, আমার ভবিষ্যৎ আবার আমার এবং যদি আমি দিন দিন এটি গ্রহণ করি এবং নিজের থেকে খুব বেশি এগিয়ে না য"&amp;"াই তবে তা অনন্তকাল পর্যন্ত আমারই হতে পারে। এটা অন্য কারো কাছে অর্থহীন হতে পারে, কিন্তু আমি খুশি যে আমি আবার ভয় পাচ্ছি।")</f>
        <v>গত ৮টি জন্মদিনে আমি ২০ তারিখে ব্ল্যাক আউট করে উদযাপন করেছি, কারণ ২১ তারিখে ব্ল্যাক আউট করার জন্য আমি আমার জন্মদিন উদযাপন করেছি। প্রায় এক দশক ধরে আমি ভবিষ্যৎ নিয়ে কোনও চাপ বা উদ্বেগ অনুভব করিনি কারণ আমার অ্যালকোহলের মাধ্যমে এর প্রতিকার পাওয়া গেছে, কিন্তু বছরের পর বছর ধরে যা ঘটছে তা হল, আমি বারবার মাতাল হয়ে বাড়ি ফিরে যাওয়া ছাড়া আর কিছু নিয়ে চিন্তা করা বন্ধ করে দিয়েছি। আমি জীবন থেকে বেঁচে গেছি, যতক্ষণ পর্যন্ত আমার কাছে আমার মেরামতের জন্য পর্যাপ্ত টাকা এবং ঘুমানোর জন্য একটি বিছানা ছিল, ততক্ষণ আমি ভালো বা খারাপ কিছুর পরিকল্পনা করিনি। এই বছর, আমি সুস্থ আছি এবং গত ১৫৪ দিনের মধ্যে ১৪০ দিন সুস্থ আছি এবং আমার জীবন সপ্তাহে সপ্তাহে দিনে দিনে ভালো হচ্ছে। আমি আবারও জিনিসগুলি নিয়ে চিন্তা করতে শুরু করেছি। আমি আমার বন্ধুবান্ধব এবং পরিবারের প্রতি এক দশকের চেয়েও বেশি যত্নশীল, আমি আমার ভবিষ্যতের প্রতি এতটাই যত্নশীল যে আমি আমার ডিগ্রি শেষ করার জন্য স্কুলে পুনরায় ভর্তি হয়েছি যা আমি অতিরিক্ত মদ্যপানের সময় সম্পূর্ণ করতে পারিনি। তাছাড়া, আমার একটা সঞ্চয় পরিকল্পনা আছে যাতে আমি অবশেষে নিজেকে বোকা ঋণ থেকে মুক্ত করে একটা বাসা বানাতে পারি, তাই আমি আমার প্যান্টের সিটে বসে থাকতে চাই না। তাছাড়া, আমি আমার বন্ধুদের থিতু হতে দেখি এবং পরিবার তৈরি করতে থাকি এবং এখন আমি আবারও সেই সম্পর্ক চাই, তাই আমি আবারও ডেট করার চেষ্টা করছি। তাছাড়া, গত দশকে আমার কিছু অস্থায়ী সম্পর্ক ছিল, কিন্তু সত্যি বলতে, আমি সেগুলোকে বাস্তবে রূপান্তরিত করার চেয়ে মাতাল হওয়াকেই বেশি গুরুত্ব দিয়েছি। তাছাড়া, আমার আবার লক্ষ্য এবং স্বপ্ন আছে এবং আমি আবারও সেই স্বপ্ন পূরণ করতে পারব না এই ভাবনা আমাকে ভীষণ উদ্বিগ্ন করে তোলে, কিন্তু আমি বুঝতে পেরেছি যে ভবিষ্যতের ভয়ের কারণেই আমি বছরের পর বছর ধরে নিজেকে অসাড় করে রেখেছিলাম এবং সেই ভয় থেকে লুকিয়ে থেকেও আমার কিছুই আসেনি। তাছাড়া, আমি ভয় পাই না, কিন্তু এটা একটা অদ্ভুত আশ্চর্যজনক ধরণের ভয়, আমার ভবিষ্যৎ আবার আমার এবং যদি আমি দিন দিন এটি গ্রহণ করি এবং নিজের থেকে খুব বেশি এগিয়ে না যাই তবে তা অনন্তকাল পর্যন্ত আমারই হতে পারে। এটা অন্য কারো কাছে অর্থহীন হতে পারে, কিন্তু আমি খুশি যে আমি আবার ভয় পাচ্ছি।</v>
      </c>
    </row>
    <row r="1744" spans="1:3" ht="15" x14ac:dyDescent="0.25">
      <c r="A1744" s="3" t="s">
        <v>1738</v>
      </c>
      <c r="B1744" s="3" t="s">
        <v>997</v>
      </c>
      <c r="C1744" s="4" t="str">
        <f ca="1">IFERROR(__xludf.DUMMYFUNCTION("GOOGLETRANSLATE(A1744, ""auto"", ""bn"")"),"আমি বেশ কয়েকবার দীর্ঘ বিরতি নিয়েছি - এক পর্যায়ে ১৪৪ দিন, অন্য সময়ে ৮৩ দিন। ভেবেছিলাম সংযম সম্ভব, আবারও ভুল প্রমাণিত হয়েছে। গত সপ্তাহে আমি কয়েকবার পোস্ট করেছি। এক সপ্তাহ আগে রবিবার রাতটি ছিল আমার জীবনের সবচেয়ে খারাপ প্রত্যাহার। আমার মনে হয় সেই রাতে"&amp;" আমি শুকনো উত্তাপ, ঘাম এবং কাঁপুনির মধ্যে প্রায় ১৫ মিনিট ঘুমিয়েছিলাম। সৌভাগ্যক্রমে আমি সেগুলি কাটিয়ে উঠেছি। তারপর থেকে, আমি ৬ বার দৌড়েছি এবং আজ ৫ মাইল দিয়ে শেষ করেছি। মরুভূমিতে উটের মতো জল পান করে অবশেষে আবার মানুষের মতো অনুভব করতে শুরু করেছি। এখানে "&amp;"আরেকটি অ্যালকোহল-মুক্ত দিনের জন্য।")</f>
        <v>আমি বেশ কয়েকবার দীর্ঘ বিরতি নিয়েছি - এক পর্যায়ে ১৪৪ দিন, অন্য সময়ে ৮৩ দিন। ভেবেছিলাম সংযম সম্ভব, আবারও ভুল প্রমাণিত হয়েছে। গত সপ্তাহে আমি কয়েকবার পোস্ট করেছি। এক সপ্তাহ আগে রবিবার রাতটি ছিল আমার জীবনের সবচেয়ে খারাপ প্রত্যাহার। আমার মনে হয় সেই রাতে আমি শুকনো উত্তাপ, ঘাম এবং কাঁপুনির মধ্যে প্রায় ১৫ মিনিট ঘুমিয়েছিলাম। সৌভাগ্যক্রমে আমি সেগুলি কাটিয়ে উঠেছি। তারপর থেকে, আমি ৬ বার দৌড়েছি এবং আজ ৫ মাইল দিয়ে শেষ করেছি। মরুভূমিতে উটের মতো জল পান করে অবশেষে আবার মানুষের মতো অনুভব করতে শুরু করেছি। এখানে আরেকটি অ্যালকোহল-মুক্ত দিনের জন্য।</v>
      </c>
    </row>
    <row r="1745" spans="1:3" ht="15" x14ac:dyDescent="0.25">
      <c r="A1745" s="3" t="s">
        <v>1739</v>
      </c>
      <c r="B1745" s="3" t="s">
        <v>997</v>
      </c>
      <c r="C1745" s="4" t="str">
        <f ca="1">IFERROR(__xludf.DUMMYFUNCTION("GOOGLETRANSLATE(A1745, ""auto"", ""bn"")"),"দীর্ঘ সংস্করণ: প্রায় ৬ মাস (হ্যাঁ!!!!) এবং ১০ বছরের মধ্যে আমার প্রথম বান্ধবী আছে (আমার জীবনের প্রথম অর্থপূর্ণ, সহায়ক এবং প্রেমময় সম্পর্ক)... আমি ""সংযমের উপহার"" শব্দটি শুনেছি এবং আমার মনে হচ্ছে আমি প্রতিদিন সেগুলো গ্রহণ করছি। যাইহোক, আমি সম্প্রদায়ের স"&amp;"াথে প্রতিক্রিয়া জানাতে একটি ঝামেলা ভাগ করে নেওয়ার জন্য লিখছি: আমার প্রেমিক সপ্তাহে সর্বোচ্চ একবার ১-৩টি পানীয় পান করে, সে সহজেই একটি বিয়ার পান করতে পারে এবং এটি দিয়েই শেষ করে দেয়। যখন আমি আমার বন্ধুদের সাথে থাকি তখন আমি কখনই প্রলুব্ধ বোধ করি না বা এ"&amp;"মনকি যখন তারা মদ্যপান করে তখন আমি মিস করি বলেও মনে হয় না কিন্তু তার সাথে, এটি আলাদা। আমি তার প্রতি রাগ অনুভব করি যে সে এত সহজে এবং দায়িত্বের সাথে পান করতে পারে। আমাকে বিশ্বাস করতে কঠোর পরিশ্রম করতে হয়েছে যে অ্যালকোহল আরামের সমর্থন বা সুখ নয়, তবুও আমি "&amp;"তাকে হাতে বিয়ার নিয়ে হট টাবের দিকে হাঁটতে দেখি, ভাবছি কেন সে মোটেও পান করতে চায় না। একদিকে আমি রেগে যাই সে আমার চারপাশে পান করে কারণ তার মদ্যপান আমাকে মনে করে যে সে আমার দলে নেই। আমি নিজেকেও জিজ্ঞাসা করি যে মদ তার জন্য কোন মুহূর্তটি মিস করবে (সে কিছুই "&amp;"বলে না, আমি তাকে প্রশ্ন করেছি)। আমি ঈর্ষান্বিত যে সে এত হালকাভাবে পান করতে পারে, এবং আমি পারি না। অন্যদিকে, আমার আশেপাশের কেউ যদি পান করে, তবে আমি তার সাথে কিছু ভাবি না। আমি ব্যাচেলর পার্টিতে গিয়েছি, কাজের জন্য ভেগাসে গিয়েছি, নতুন বন্ধুদের সাথে দেখা করে"&amp;"ছি, তবুও সে বিয়ার নিয়ে হট টাবে যায় এবং আমি এড়িয়ে চলেছি। আমরা এই বিষয়ে কিছুটা কথা বলেছি কিন্তু আমি তাকে আমার বন্ধুদের থেকে আলাদা বালতিতে না রেখে সাহায্য করতে পারছি না, যা আমার বিশ্বাস তার সাথে অন্যায় (তার মদ্যপানের আমার সাথে কী সম্পর্ক?)। এর ফলে আমি"&amp;" বিশ্বাস করি যে তার মদ্যপানের সাথে আমার অস্বস্তি তার চেয়ে আমার সাথে বেশি সম্পর্কিত। সম্পর্কের সময় আমি প্রচুর পান করতাম কারণ তারা আমার জন্য এত অস্বস্তিকর ছিল (উদ্বেগ + এড়িয়ে চলার ধরণ)। সাধারণভাবে, আমি অনেক বেশি ভালো বোধ করি, আমার ত্বকে অনেক বেশি আরামদা"&amp;"য়ক বোধ করি, আমি ভাবছি তার চারপাশে পান করার ইচ্ছা কি ঘনিষ্ঠতাকে দুর্বল করে দেওয়া বা আমাদের মধ্যে কিছু দূরত্ব তৈরি করা এবং তার প্রকৃত মদ্যপানের সাথে কোনও সম্পর্ক নেই। আমার সমাধান হবে অস্বস্তি এবং মাঝে মাঝে আকাঙ্ক্ষা থাকা সত্ত্বেও, মানসিকভাবে তার সাথে ঘনিষ"&amp;"্ঠতা বৃদ্ধি করা, এই আশায় যে একদিন এই আকাঙ্ক্ষা কমে যাবে। আমি যদি উপযুক্ত মনে করি তবে তার সাথে আরও কিছুটা আলোচনা করার পরিকল্পনা করছি এবং আমি অবশ্যই আমার থেরাপিস্টের সাথে এটি নিয়ে আলোচনা করব। যদি আমি বিপজ্জনকভাবে সীমা অতিক্রম করার কাছাকাছি থাকি তবে আমি এক"&amp;"জন বন্ধুকেও ফোন করব, এখানে পোস্ট করব, ইত্যাদি, তবে এটি মোটেও উদ্বেগের বিষয় নয়। উদ্বেগ হল ঘনিষ্ঠতা কীভাবে আকাঙ্ক্ষা তৈরি করে।")</f>
        <v>দীর্ঘ সংস্করণ: প্রায় ৬ মাস (হ্যাঁ!!!!) এবং ১০ বছরের মধ্যে আমার প্রথম বান্ধবী আছে (আমার জীবনের প্রথম অর্থপূর্ণ, সহায়ক এবং প্রেমময় সম্পর্ক)... আমি "সংযমের উপহার" শব্দটি শুনেছি এবং আমার মনে হচ্ছে আমি প্রতিদিন সেগুলো গ্রহণ করছি। যাইহোক, আমি সম্প্রদায়ের সাথে প্রতিক্রিয়া জানাতে একটি ঝামেলা ভাগ করে নেওয়ার জন্য লিখছি: আমার প্রেমিক সপ্তাহে সর্বোচ্চ একবার ১-৩টি পানীয় পান করে, সে সহজেই একটি বিয়ার পান করতে পারে এবং এটি দিয়েই শেষ করে দেয়। যখন আমি আমার বন্ধুদের সাথে থাকি তখন আমি কখনই প্রলুব্ধ বোধ করি না বা এমনকি যখন তারা মদ্যপান করে তখন আমি মিস করি বলেও মনে হয় না কিন্তু তার সাথে, এটি আলাদা। আমি তার প্রতি রাগ অনুভব করি যে সে এত সহজে এবং দায়িত্বের সাথে পান করতে পারে। আমাকে বিশ্বাস করতে কঠোর পরিশ্রম করতে হয়েছে যে অ্যালকোহল আরামের সমর্থন বা সুখ নয়, তবুও আমি তাকে হাতে বিয়ার নিয়ে হট টাবের দিকে হাঁটতে দেখি, ভাবছি কেন সে মোটেও পান করতে চায় না। একদিকে আমি রেগে যাই সে আমার চারপাশে পান করে কারণ তার মদ্যপান আমাকে মনে করে যে সে আমার দলে নেই। আমি নিজেকেও জিজ্ঞাসা করি যে মদ তার জন্য কোন মুহূর্তটি মিস করবে (সে কিছুই বলে না, আমি তাকে প্রশ্ন করেছি)। আমি ঈর্ষান্বিত যে সে এত হালকাভাবে পান করতে পারে, এবং আমি পারি না। অন্যদিকে, আমার আশেপাশের কেউ যদি পান করে, তবে আমি তার সাথে কিছু ভাবি না। আমি ব্যাচেলর পার্টিতে গিয়েছি, কাজের জন্য ভেগাসে গিয়েছি, নতুন বন্ধুদের সাথে দেখা করেছি, তবুও সে বিয়ার নিয়ে হট টাবে যায় এবং আমি এড়িয়ে চলেছি। আমরা এই বিষয়ে কিছুটা কথা বলেছি কিন্তু আমি তাকে আমার বন্ধুদের থেকে আলাদা বালতিতে না রেখে সাহায্য করতে পারছি না, যা আমার বিশ্বাস তার সাথে অন্যায় (তার মদ্যপানের আমার সাথে কী সম্পর্ক?)। এর ফলে আমি বিশ্বাস করি যে তার মদ্যপানের সাথে আমার অস্বস্তি তার চেয়ে আমার সাথে বেশি সম্পর্কিত। সম্পর্কের সময় আমি প্রচুর পান করতাম কারণ তারা আমার জন্য এত অস্বস্তিকর ছিল (উদ্বেগ + এড়িয়ে চলার ধরণ)। সাধারণভাবে, আমি অনেক বেশি ভালো বোধ করি, আমার ত্বকে অনেক বেশি আরামদায়ক বোধ করি, আমি ভাবছি তার চারপাশে পান করার ইচ্ছা কি ঘনিষ্ঠতাকে দুর্বল করে দেওয়া বা আমাদের মধ্যে কিছু দূরত্ব তৈরি করা এবং তার প্রকৃত মদ্যপানের সাথে কোনও সম্পর্ক নেই। আমার সমাধান হবে অস্বস্তি এবং মাঝে মাঝে আকাঙ্ক্ষা থাকা সত্ত্বেও, মানসিকভাবে তার সাথে ঘনিষ্ঠতা বৃদ্ধি করা, এই আশায় যে একদিন এই আকাঙ্ক্ষা কমে যাবে। আমি যদি উপযুক্ত মনে করি তবে তার সাথে আরও কিছুটা আলোচনা করার পরিকল্পনা করছি এবং আমি অবশ্যই আমার থেরাপিস্টের সাথে এটি নিয়ে আলোচনা করব। যদি আমি বিপজ্জনকভাবে সীমা অতিক্রম করার কাছাকাছি থাকি তবে আমি একজন বন্ধুকেও ফোন করব, এখানে পোস্ট করব, ইত্যাদি, তবে এটি মোটেও উদ্বেগের বিষয় নয়। উদ্বেগ হল ঘনিষ্ঠতা কীভাবে আকাঙ্ক্ষা তৈরি করে।</v>
      </c>
    </row>
    <row r="1746" spans="1:3" ht="15" x14ac:dyDescent="0.25">
      <c r="A1746" s="3" t="s">
        <v>1740</v>
      </c>
      <c r="B1746" s="3" t="s">
        <v>997</v>
      </c>
      <c r="C1746" s="4" t="str">
        <f ca="1">IFERROR(__xludf.DUMMYFUNCTION("GOOGLETRANSLATE(A1746, ""auto"", ""bn"")"),"আমি দশ দিন ধরে শুষ্ক ছিলাম। ২০২১ সালের ডিসেম্বরের পর থেকে এটিই আমার দীর্ঘতম সময়, যখন আমি দশ দিনও ছিলাম। এর আগে আমার নয় দিনের সময় গত সেপ্টেম্বরের সময়কালের সাথে মিলে গিয়েছিল। যদি আমি আগামীকাল এটি শেষ করতে পারি, তাহলে ১১ দিনের সময়টি হবে ২০২০ সালের সেপ্"&amp;"টেম্বরে ১৪ দিনের সময়কালের পরে আমার দীর্ঘতম সময়। এবং অবশেষে আমি আশা করি আমার দীর্ঘতম সময়টি ভেঙে ফেলব, যা ২০২০ সালের মার্চ-মে মাসে ৭৩ দিন আগে ছিল। আমি ২০১৪ সাল থেকে আমার মদ্যপানের উপর নজর রাখছি এবং আমি স্ট্রিকের প্রতি আচ্ছন্ন। এটি আমাকে কিছু করার জন্য কি"&amp;"ছু দেয়, যখন দিন শেষ হয়ে যায় এবং মস্তিষ্ক আমাকে একটি পানীয়তে আকৃষ্ট করার চেষ্টা করে তখন কিছুটা অতিরিক্ত প্রেরণা দেয়।")</f>
        <v>আমি দশ দিন ধরে শুষ্ক ছিলাম। ২০২১ সালের ডিসেম্বরের পর থেকে এটিই আমার দীর্ঘতম সময়, যখন আমি দশ দিনও ছিলাম। এর আগে আমার নয় দিনের সময় গত সেপ্টেম্বরের সময়কালের সাথে মিলে গিয়েছিল। যদি আমি আগামীকাল এটি শেষ করতে পারি, তাহলে ১১ দিনের সময়টি হবে ২০২০ সালের সেপ্টেম্বরে ১৪ দিনের সময়কালের পরে আমার দীর্ঘতম সময়। এবং অবশেষে আমি আশা করি আমার দীর্ঘতম সময়টি ভেঙে ফেলব, যা ২০২০ সালের মার্চ-মে মাসে ৭৩ দিন আগে ছিল। আমি ২০১৪ সাল থেকে আমার মদ্যপানের উপর নজর রাখছি এবং আমি স্ট্রিকের প্রতি আচ্ছন্ন। এটি আমাকে কিছু করার জন্য কিছু দেয়, যখন দিন শেষ হয়ে যায় এবং মস্তিষ্ক আমাকে একটি পানীয়তে আকৃষ্ট করার চেষ্টা করে তখন কিছুটা অতিরিক্ত প্রেরণা দেয়।</v>
      </c>
    </row>
    <row r="1747" spans="1:3" ht="15" x14ac:dyDescent="0.25">
      <c r="A1747" s="3" t="s">
        <v>1741</v>
      </c>
      <c r="B1747" s="3" t="s">
        <v>997</v>
      </c>
      <c r="C1747" s="4" t="str">
        <f ca="1">IFERROR(__xludf.DUMMYFUNCTION("GOOGLETRANSLATE(A1747, ""auto"", ""bn"")"),"আমি ছোটবেলা থেকেই, যেমন ১২-১৩ বছর বয়স থেকে মদ্যপান করে আসছি। আমি মূলত বলবো ১৬-১৭ বছর বয়স থেকে আমি নিয়মিত বিজয়ের উপর নির্ভরশীল, রাতে কমপক্ষে ৪-৫টি পানীয় পানীয় পান করি, মাঝে মাঝে কিছু বিরতি নিয়ে। তাছাড়া, আমি মাঝারিভাবে সফল, রেস্তোরাঁ শিল্পে কাজের চাপ আমা"&amp;"কে সবসময় মদ্যপানের জন্য দৌড়াতে বাধ্য করে... অথবা ৬-৭। আমি আমার প্রাক্তন স্ত্রীর জন্য ১০ বছর আগের মতোই শান্ত ছিলাম। সেই সময়ের জন্য আমার জীবনের সবচেয়ে বেশি উৎপাদনশীল ছিলাম, এবং মূলত নিজেকে সহজ পথে রাখি। যদি আমি বর্তমান গতি ধরে রাখি তবে আমি ৪০ বছর বয়সে অব"&amp;"সর নিতে পারব, যদিও আমার পরিকল্পনায় তা ছিল না। যেহেতু আমার সম্পত্তি এবং রেস্তোরাঁর মালিক, তাই আমি সত্যিই ""তলায় পৌঁছাতে"" পারি না (আমি মনে করি আমি পারব, কিন্তু এটি একজন নিয়মিত মদ্যপ ব্যক্তির জন্য একটি কঠিন সময় হবে) আমি কেবল ৬ প্যাকেট উচ্চ অ্যালকোহলযুক্ত "&amp;"বিয়ার এবং সম্ভবত রাতে এক বা দুটি পানীয় পানীয় গ্রহণ করি। সুস্থ থাকার পর থেকে আমার ওজন অনেক বেড়েছে, কিন্তু আমি মোটেও স্থূল নই। শরীরের মেদ ৫% থেকে কমে প্রায় ১৫% হয়ে গেছে। সামাজিক যোগাযোগ, একা মদ্যপান এবং গেমিং ছাড়া আমার বেশিরভাগ ক্ষেত্রেই আগ্রহ হারিয়ে "&amp;"গেছে। আমি এখনও আমার শিল্পে খুব সফল এবং (এখনকার সবচেয়ে বড় কারণ) কর্মচারী ধরে রাখা এবং বিক্রির ক্ষেত্রে আমি কি আমার প্রতিযোগীদের চেয়ে ভালো করছি? তাছাড়া, আমি আমার সাইজ ৩০ প্যান্টে ফিরে আসার জন্য প্রতিদিন মদ্যপান বন্ধ করতে চাই এবং জীবনের প্রতি কিছুটা ইতিব"&amp;"াচকতা অর্জন করতে চাই, কিন্তু আমি অনুপ্রেরণা খুঁজে পাচ্ছি না। কয়েক বছর ধরে থেরাপি এবং বিভিন্ন রোগ নির্ণয়ের পরে, আমার মনে হয় আমি হতাশাগ্রস্ত এবং ADHD-এর সাথে উচ্চ মাত্রার উদ্বেগ রয়েছে, তবে আমি আসলে লেবেল পছন্দ করি না। আমি সবসময় আমার উদ্বেগের চাপ অনুভব "&amp;"করেছি এবং ""ADHD"" এমন কিছু জিনিস যা আমাকে দ্রুত পরিষেবা খাদ্য শিল্পে সফল করেছে। আমার মনে হয় আমি কেবল আগের জায়গায় ফিরে যেতে চাই, তাড়াতাড়ি ঘুম থেকে ওঠা, কাজের আগে ব্যায়াম করা, রেস্তোরাঁয় খেলা বন্ধ করা এবং সাধারণত খুশি বোধ করা। তবুও প্রতিদিন, আমি নিজ"&amp;"েকে আবার কনভেনিয়েন্স স্টোরে ফিরে পাই, একই সিক্স-প্যাক কিনে আমার প্রিয় বান্ধবী এবং আমার কুকুরদের কাছে বাড়ি যাই, সারা রাত মদ্যপান করি, সকালে হতাশ বোধ করি। আমি জানি না কেন, কিন্তু মদের চক্রটি আমার মানসিক স্বাস্থ্যের উপর প্রভাব ফেলেছে তা ভাঙতে হবে, যদিও আম"&amp;"ি এটি আমাকে গুরুতরভাবে খারাপ অবস্থায় ফেলা থেকে রক্ষা করেছি। জানি না। বকবক করার জন্য দুঃখিত। আমি মনে করি আমি আশা করছি কেউ কেউ বুঝতে পারবে। আমি পৃথিবীর কাছে অসাড় বোধ করছি এবং যেন আমি কেবল জীবনের গতিপথের মধ্য দিয়ে যাচ্ছি। তদুপরি, আমি সত্যিই অভিযোগ করতে পা"&amp;"রি না কারণ আমি নিজেকে সুস্থ থাকার জন্য তৈরি করেছি, তবে আমি সাধারণত অসন্তুষ্ট বোধ করি এবং দিনের শেষে মদ সর্বদা সান্ত্বনা দেয়।")</f>
        <v>আমি ছোটবেলা থেকেই, যেমন ১২-১৩ বছর বয়স থেকে মদ্যপান করে আসছি। আমি মূলত বলবো ১৬-১৭ বছর বয়স থেকে আমি নিয়মিত বিজয়ের উপর নির্ভরশীল, রাতে কমপক্ষে ৪-৫টি পানীয় পানীয় পান করি, মাঝে মাঝে কিছু বিরতি নিয়ে। তাছাড়া, আমি মাঝারিভাবে সফল, রেস্তোরাঁ শিল্পে কাজের চাপ আমাকে সবসময় মদ্যপানের জন্য দৌড়াতে বাধ্য করে... অথবা ৬-৭। আমি আমার প্রাক্তন স্ত্রীর জন্য ১০ বছর আগের মতোই শান্ত ছিলাম। সেই সময়ের জন্য আমার জীবনের সবচেয়ে বেশি উৎপাদনশীল ছিলাম, এবং মূলত নিজেকে সহজ পথে রাখি। যদি আমি বর্তমান গতি ধরে রাখি তবে আমি ৪০ বছর বয়সে অবসর নিতে পারব, যদিও আমার পরিকল্পনায় তা ছিল না। যেহেতু আমার সম্পত্তি এবং রেস্তোরাঁর মালিক, তাই আমি সত্যিই "তলায় পৌঁছাতে" পারি না (আমি মনে করি আমি পারব, কিন্তু এটি একজন নিয়মিত মদ্যপ ব্যক্তির জন্য একটি কঠিন সময় হবে) আমি কেবল ৬ প্যাকেট উচ্চ অ্যালকোহলযুক্ত বিয়ার এবং সম্ভবত রাতে এক বা দুটি পানীয় পানীয় গ্রহণ করি। সুস্থ থাকার পর থেকে আমার ওজন অনেক বেড়েছে, কিন্তু আমি মোটেও স্থূল নই। শরীরের মেদ ৫% থেকে কমে প্রায় ১৫% হয়ে গেছে। সামাজিক যোগাযোগ, একা মদ্যপান এবং গেমিং ছাড়া আমার বেশিরভাগ ক্ষেত্রেই আগ্রহ হারিয়ে গেছে। আমি এখনও আমার শিল্পে খুব সফল এবং (এখনকার সবচেয়ে বড় কারণ) কর্মচারী ধরে রাখা এবং বিক্রির ক্ষেত্রে আমি কি আমার প্রতিযোগীদের চেয়ে ভালো করছি? তাছাড়া, আমি আমার সাইজ ৩০ প্যান্টে ফিরে আসার জন্য প্রতিদিন মদ্যপান বন্ধ করতে চাই এবং জীবনের প্রতি কিছুটা ইতিবাচকতা অর্জন করতে চাই, কিন্তু আমি অনুপ্রেরণা খুঁজে পাচ্ছি না। কয়েক বছর ধরে থেরাপি এবং বিভিন্ন রোগ নির্ণয়ের পরে, আমার মনে হয় আমি হতাশাগ্রস্ত এবং ADHD-এর সাথে উচ্চ মাত্রার উদ্বেগ রয়েছে, তবে আমি আসলে লেবেল পছন্দ করি না। আমি সবসময় আমার উদ্বেগের চাপ অনুভব করেছি এবং "ADHD" এমন কিছু জিনিস যা আমাকে দ্রুত পরিষেবা খাদ্য শিল্পে সফল করেছে। আমার মনে হয় আমি কেবল আগের জায়গায় ফিরে যেতে চাই, তাড়াতাড়ি ঘুম থেকে ওঠা, কাজের আগে ব্যায়াম করা, রেস্তোরাঁয় খেলা বন্ধ করা এবং সাধারণত খুশি বোধ করা। তবুও প্রতিদিন, আমি নিজেকে আবার কনভেনিয়েন্স স্টোরে ফিরে পাই, একই সিক্স-প্যাক কিনে আমার প্রিয় বান্ধবী এবং আমার কুকুরদের কাছে বাড়ি যাই, সারা রাত মদ্যপান করি, সকালে হতাশ বোধ করি। আমি জানি না কেন, কিন্তু মদের চক্রটি আমার মানসিক স্বাস্থ্যের উপর প্রভাব ফেলেছে তা ভাঙতে হবে, যদিও আমি এটি আমাকে গুরুতরভাবে খারাপ অবস্থায় ফেলা থেকে রক্ষা করেছি। জানি না। বকবক করার জন্য দুঃখিত। আমি মনে করি আমি আশা করছি কেউ কেউ বুঝতে পারবে। আমি পৃথিবীর কাছে অসাড় বোধ করছি এবং যেন আমি কেবল জীবনের গতিপথের মধ্য দিয়ে যাচ্ছি। তদুপরি, আমি সত্যিই অভিযোগ করতে পারি না কারণ আমি নিজেকে সুস্থ থাকার জন্য তৈরি করেছি, তবে আমি সাধারণত অসন্তুষ্ট বোধ করি এবং দিনের শেষে মদ সর্বদা সান্ত্বনা দেয়।</v>
      </c>
    </row>
    <row r="1748" spans="1:3" ht="15" x14ac:dyDescent="0.25">
      <c r="A1748" s="3" t="s">
        <v>1742</v>
      </c>
      <c r="B1748" s="3" t="s">
        <v>997</v>
      </c>
      <c r="C1748" s="4" t="str">
        <f ca="1">IFERROR(__xludf.DUMMYFUNCTION("GOOGLETRANSLATE(A1748, ""auto"", ""bn"")"),"একটা বিরাট মাইলফলক মনে হচ্ছে! যখন আমি আমার যাত্রা শুরু করেছিলাম, তখন ভেবেছিলাম ৩ দিন ধরে সুস্থ থাকাটা আমার জন্য একটা অলৌকিক ঘটনা। আজ আমি অন্যদের সাহায্য করছি, একদিন করে আমার জীবনযাপন করছি এবং আমার সুস্থ জীবনযাপনকে ভালোবাসি। যদি তুমি সবেমাত্র শুরু করছো, তা"&amp;"হলে একবার করে এক ধাপ করে এক মুহূর্ত ধরে এক নিঃশ্বাস নাও। যাই হোক না কেন, মদ্যপান না করার সিদ্ধান্ত নাও এবং অন্যদের খুঁজে বের করো যারা তুমি যে দিকে যেতে চাও, সেই দিকেই যেতে চাও।")</f>
        <v>একটা বিরাট মাইলফলক মনে হচ্ছে! যখন আমি আমার যাত্রা শুরু করেছিলাম, তখন ভেবেছিলাম ৩ দিন ধরে সুস্থ থাকাটা আমার জন্য একটা অলৌকিক ঘটনা। আজ আমি অন্যদের সাহায্য করছি, একদিন করে আমার জীবনযাপন করছি এবং আমার সুস্থ জীবনযাপনকে ভালোবাসি। যদি তুমি সবেমাত্র শুরু করছো, তাহলে একবার করে এক ধাপ করে এক মুহূর্ত ধরে এক নিঃশ্বাস নাও। যাই হোক না কেন, মদ্যপান না করার সিদ্ধান্ত নাও এবং অন্যদের খুঁজে বের করো যারা তুমি যে দিকে যেতে চাও, সেই দিকেই যেতে চাও।</v>
      </c>
    </row>
    <row r="1749" spans="1:3" ht="15" x14ac:dyDescent="0.25">
      <c r="A1749" s="3" t="s">
        <v>1743</v>
      </c>
      <c r="B1749" s="3" t="s">
        <v>997</v>
      </c>
      <c r="C1749" s="4" t="str">
        <f ca="1">IFERROR(__xludf.DUMMYFUNCTION("GOOGLETRANSLATE(A1749, ""auto"", ""bn"")"),"আমি মাত্র তিন দিন মাতাল আর ঘুমিয়ে কাটিয়েছি, অথচ চারদিনের পুরো সপ্তাহান্তে আমি যে কোনও কিছু করতে পারতাম। আর এটাই আমি বেছে নিলাম। ঘুম থেকে উঠেই প্রচণ্ড উদ্বেগ আর বুকে টান অনুভব করছিলাম। হাঁটতে হাঁটতে আমার এত মাথা ঘোরা যে, আমার আবার বিছানায় শুয়ে থাকতে ইচ"&amp;"্ছে করছে, যেন আরেকদিন দূরে থাকতে পারি। এভাবে জীবনযাপন করতে করতে আমি খুব ক্লান্ত। তাছাড়া, আমি আগে দুবার মদ্যপান বন্ধ করার চেষ্টা করেছিলাম, কিন্তু শেষ পর্যন্ত আবার এতেই পড়ে যাই এবং প্রতিবারই আমার মনে হয় আরও বেশি করে ঘোরে। যদি আমি থামাতে না পারি তাহলে এই "&amp;"জিনিসটা আমার শেষ হয়ে যাবে। আমি আমার সঙ্গীর জন্য একজন ভয়ঙ্কর বাগদত্তা। আমি এই বছর প্রথমবারের মতো মাসি হতে চলেছি এবং আমি এই ধরণের মাসি হতে চাই না। আমি এই ধরণের স্ত্রী হতে চাই না। আমি এমন মেয়েও হতে চাই না যে ভান করে যে তার মামা-বাবাকে চিন্তা না করার জন্য "&amp;"তার মদ্যপান নিয়ন্ত্রণে আছে।")</f>
        <v>আমি মাত্র তিন দিন মাতাল আর ঘুমিয়ে কাটিয়েছি, অথচ চারদিনের পুরো সপ্তাহান্তে আমি যে কোনও কিছু করতে পারতাম। আর এটাই আমি বেছে নিলাম। ঘুম থেকে উঠেই প্রচণ্ড উদ্বেগ আর বুকে টান অনুভব করছিলাম। হাঁটতে হাঁটতে আমার এত মাথা ঘোরা যে, আমার আবার বিছানায় শুয়ে থাকতে ইচ্ছে করছে, যেন আরেকদিন দূরে থাকতে পারি। এভাবে জীবনযাপন করতে করতে আমি খুব ক্লান্ত। তাছাড়া, আমি আগে দুবার মদ্যপান বন্ধ করার চেষ্টা করেছিলাম, কিন্তু শেষ পর্যন্ত আবার এতেই পড়ে যাই এবং প্রতিবারই আমার মনে হয় আরও বেশি করে ঘোরে। যদি আমি থামাতে না পারি তাহলে এই জিনিসটা আমার শেষ হয়ে যাবে। আমি আমার সঙ্গীর জন্য একজন ভয়ঙ্কর বাগদত্তা। আমি এই বছর প্রথমবারের মতো মাসি হতে চলেছি এবং আমি এই ধরণের মাসি হতে চাই না। আমি এই ধরণের স্ত্রী হতে চাই না। আমি এমন মেয়েও হতে চাই না যে ভান করে যে তার মামা-বাবাকে চিন্তা না করার জন্য তার মদ্যপান নিয়ন্ত্রণে আছে।</v>
      </c>
    </row>
    <row r="1750" spans="1:3" ht="15" x14ac:dyDescent="0.25">
      <c r="A1750" s="3" t="s">
        <v>1744</v>
      </c>
      <c r="B1750" s="3" t="s">
        <v>997</v>
      </c>
      <c r="C1750" s="4" t="str">
        <f ca="1">IFERROR(__xludf.DUMMYFUNCTION("GOOGLETRANSLATE(A1750, ""auto"", ""bn"")"),"আমি খালি পেটে কাজ থেকে বেরোতাম, দারুন! আমি খুব তাড়াতাড়ি পাগল হয়ে যাব! এটা আমার মধ্যে এতটাই গেঁথে গেছে যে আমি এখনও এটা করি, যদিও আমার শেষ পানীয় ছিল ৫ ডিসেম্বর। ভালো খাবার উপভোগ করা কঠিন করে তোলে।")</f>
        <v>আমি খালি পেটে কাজ থেকে বেরোতাম, দারুন! আমি খুব তাড়াতাড়ি পাগল হয়ে যাব! এটা আমার মধ্যে এতটাই গেঁথে গেছে যে আমি এখনও এটা করি, যদিও আমার শেষ পানীয় ছিল ৫ ডিসেম্বর। ভালো খাবার উপভোগ করা কঠিন করে তোলে।</v>
      </c>
    </row>
    <row r="1751" spans="1:3" ht="15" x14ac:dyDescent="0.25">
      <c r="A1751" s="3" t="s">
        <v>1745</v>
      </c>
      <c r="B1751" s="3" t="s">
        <v>997</v>
      </c>
      <c r="C1751" s="4" t="str">
        <f ca="1">IFERROR(__xludf.DUMMYFUNCTION("GOOGLETRANSLATE(A1751, ""auto"", ""bn"")"),"একটা খারাপ রাতের পর, আমি ১০০ দিন অ্যালকোহলমুক্ত থাকার লক্ষ্য স্থির করলাম। সত্যি বলতে, আমি ভাবিনি যে আমি এটা করতে পারব। দুই মাস ধরে কঠোর পরিশ্রম করে সুস্থ থাকার পর, আমার বেশ খারাপ লাগছিল। আমার স্বামী, যিনি ১০০ দিনের চ্যালেঞ্জে আমার সাথে যোগ দিয়েছিলেন, মাত"&amp;"্র কয়েক সপ্তাহ পরেই ঘুমের উন্নতি, ওজন হ্রাস এবং শক্তি বৃদ্ধি দেখেছেন। আমি হতাশ এবং হতাশ হয়ে পড়েছিলাম। কিন্তু আমি আপনার অনেক পোস্ট পড়েছি যেখানে বলা হয়েছে যে ""শুধু একদিন করে চালিয়ে যাও"", এবং তাই করেছি। এবং ঠিক ১০০ দিনের কাছাকাছি, পরিস্থিতির উন্নতি হ"&amp;"তে শুরু করেছে। আমার উদ্বেগ কমে গেছে, আমার শক্তি ভালো হয়েছে, এবং আমি আসলে কয়েক পাউন্ড ওজন কমিয়েছি। ধূমপান ছাড়ার সুবিধাগুলি আমার প্রত্যাশার চেয়ে অনেক বেশি সময় নিয়েছে, কিন্তু অপেক্ষা করার যোগ্য ছিল। আমার নতুন লক্ষ্য ছয় মাস, এবং আমি ১০০% নিশ্চিত যে আম"&amp;"ি এটি অর্জন করতে পারব। আপনার সমর্থন এবং পরামর্শের জন্য ধন্যবাদ! এবং যারা ভাবছেন যে এটি মূল্যবান কিনা:")</f>
        <v>একটা খারাপ রাতের পর, আমি ১০০ দিন অ্যালকোহলমুক্ত থাকার লক্ষ্য স্থির করলাম। সত্যি বলতে, আমি ভাবিনি যে আমি এটা করতে পারব। দুই মাস ধরে কঠোর পরিশ্রম করে সুস্থ থাকার পর, আমার বেশ খারাপ লাগছিল। আমার স্বামী, যিনি ১০০ দিনের চ্যালেঞ্জে আমার সাথে যোগ দিয়েছিলেন, মাত্র কয়েক সপ্তাহ পরেই ঘুমের উন্নতি, ওজন হ্রাস এবং শক্তি বৃদ্ধি দেখেছেন। আমি হতাশ এবং হতাশ হয়ে পড়েছিলাম। কিন্তু আমি আপনার অনেক পোস্ট পড়েছি যেখানে বলা হয়েছে যে "শুধু একদিন করে চালিয়ে যাও", এবং তাই করেছি। এবং ঠিক ১০০ দিনের কাছাকাছি, পরিস্থিতির উন্নতি হতে শুরু করেছে। আমার উদ্বেগ কমে গেছে, আমার শক্তি ভালো হয়েছে, এবং আমি আসলে কয়েক পাউন্ড ওজন কমিয়েছি। ধূমপান ছাড়ার সুবিধাগুলি আমার প্রত্যাশার চেয়ে অনেক বেশি সময় নিয়েছে, কিন্তু অপেক্ষা করার যোগ্য ছিল। আমার নতুন লক্ষ্য ছয় মাস, এবং আমি ১০০% নিশ্চিত যে আমি এটি অর্জন করতে পারব। আপনার সমর্থন এবং পরামর্শের জন্য ধন্যবাদ! এবং যারা ভাবছেন যে এটি মূল্যবান কিনা:</v>
      </c>
    </row>
    <row r="1752" spans="1:3" ht="15" x14ac:dyDescent="0.25">
      <c r="A1752" s="3" t="s">
        <v>1746</v>
      </c>
      <c r="B1752" s="3" t="s">
        <v>997</v>
      </c>
      <c r="C1752" s="4" t="str">
        <f ca="1">IFERROR(__xludf.DUMMYFUNCTION("GOOGLETRANSLATE(A1752, ""auto"", ""bn"")"),"তো, কয়েক মাসের মধ্যে প্রথমবারের মতো চতুর্থ দিনে পৌঁছালাম! হ্যাঁ! যাইহোক, এখানে আসতে দুটি ইভেন্ট লেগেছে, এবং আমি আগের চেয়েও বেশি বিচ্ছিন্ন বোধ করছি। প্রথম ইভেন্ট, আমার এক সেরা বন্ধুর জন্মদিন ছিল ১৬ তারিখে। আমার বন্ধুদের অনেকেই দূরবর্তী, তাই আমরা অনলাইনে গ"&amp;"েম খেলতে যাচ্ছিলাম। দারুন। আচ্ছা, তারা আমার মদ্যপানের সমস্যা সম্পর্কে জানে, তাই আমি বোকা বোকা ছিলাম, ঠিক আছে, আমার কাছে কিছু শ্যুটার থাকতে পারে, এবং তারা জানবে না। যেমনটি আমরা সবাই জানি, আমরা নিজেদের নিয়ন্ত্রণ করতে বা গতি বাড়াতে পারি না। অনেক বেশি ছিল, "&amp;"আসলে কী বলা হয়েছিল তা মনে করতে পারি না, রাতের জন্য বের করে দেওয়া হয়েছিল। বোধগম্য। আমিও কয়েক মাস ধরে মাতাল হয়ে বলছিলাম, ""হ্যাঁ, আমি ঠিক আছি, আমার মাঝে মাঝে ভুল আছে,")</f>
        <v>তো, কয়েক মাসের মধ্যে প্রথমবারের মতো চতুর্থ দিনে পৌঁছালাম! হ্যাঁ! যাইহোক, এখানে আসতে দুটি ইভেন্ট লেগেছে, এবং আমি আগের চেয়েও বেশি বিচ্ছিন্ন বোধ করছি। প্রথম ইভেন্ট, আমার এক সেরা বন্ধুর জন্মদিন ছিল ১৬ তারিখে। আমার বন্ধুদের অনেকেই দূরবর্তী, তাই আমরা অনলাইনে গেম খেলতে যাচ্ছিলাম। দারুন। আচ্ছা, তারা আমার মদ্যপানের সমস্যা সম্পর্কে জানে, তাই আমি বোকা বোকা ছিলাম, ঠিক আছে, আমার কাছে কিছু শ্যুটার থাকতে পারে, এবং তারা জানবে না। যেমনটি আমরা সবাই জানি, আমরা নিজেদের নিয়ন্ত্রণ করতে বা গতি বাড়াতে পারি না। অনেক বেশি ছিল, আসলে কী বলা হয়েছিল তা মনে করতে পারি না, রাতের জন্য বের করে দেওয়া হয়েছিল। বোধগম্য। আমিও কয়েক মাস ধরে মাতাল হয়ে বলছিলাম, "হ্যাঁ, আমি ঠিক আছি, আমার মাঝে মাঝে ভুল আছে,</v>
      </c>
    </row>
    <row r="1753" spans="1:3" ht="15" x14ac:dyDescent="0.25">
      <c r="A1753" s="3" t="s">
        <v>1747</v>
      </c>
      <c r="B1753" s="3" t="s">
        <v>997</v>
      </c>
      <c r="C1753" s="4" t="str">
        <f ca="1">IFERROR(__xludf.DUMMYFUNCTION("GOOGLETRANSLATE(A1753, ""auto"", ""bn"")"),"প্রায় ৫ বছর ধরে, আমি মদ্যপান বন্ধ করার পডকাস্ট শুনছি, মদ্যপান বন্ধ করার বিষয়গুলো পড়ছি, মাঝেমধ্যে মিটিংয়ে যাচ্ছি, বিভিন্ন অনলাইন গ্রুপে যোগ দিচ্ছি যার জন্য টাকা খরচ হয়। আমি এখানে এক সপ্তাহ কাটিয়েছি, কয়েক সপ্তাহ সেখানে, মদ্যপানমুক্ত। কিছু গ্রুপ/পডকাস্ট আমি"&amp;" সত্যিই উপভোগ করেছি এবং শিখেছি। কিছু, আমি সত্যিই পছন্দ করিনি বা উপকার পাইনি। আমার জন্য একটি মূল্যবান শিক্ষা ছিল, এমনকি যদি আমি কিছু সময়ের জন্য মদ্যপান বন্ধ করে আবার মদ্যপান শুরু করি, তার মানে এই নয় যে এটি মদ্যপান বন্ধ করা অনেক সহজ হয়ে গেছে, এবং আমি বিশ"&amp;"্বাস করি এটি পূর্বে আমি যে সমস্ত পরিশ্রম করেছি তার কারণে। আমি ভবিষ্যতে ""মদ্যপান করলে কী হবে?"" নিয়ে চাপ না দেওয়ার চেষ্টা করছি এবং কেবল মুহূর্তের উপর মনোযোগ দিচ্ছি। মানে...মদ্যপান করলে কী হবে? তারপর আমি আবার থামব।")</f>
        <v>প্রায় ৫ বছর ধরে, আমি মদ্যপান বন্ধ করার পডকাস্ট শুনছি, মদ্যপান বন্ধ করার বিষয়গুলো পড়ছি, মাঝেমধ্যে মিটিংয়ে যাচ্ছি, বিভিন্ন অনলাইন গ্রুপে যোগ দিচ্ছি যার জন্য টাকা খরচ হয়। আমি এখানে এক সপ্তাহ কাটিয়েছি, কয়েক সপ্তাহ সেখানে, মদ্যপানমুক্ত। কিছু গ্রুপ/পডকাস্ট আমি সত্যিই উপভোগ করেছি এবং শিখেছি। কিছু, আমি সত্যিই পছন্দ করিনি বা উপকার পাইনি। আমার জন্য একটি মূল্যবান শিক্ষা ছিল, এমনকি যদি আমি কিছু সময়ের জন্য মদ্যপান বন্ধ করে আবার মদ্যপান শুরু করি, তার মানে এই নয় যে এটি মদ্যপান বন্ধ করা অনেক সহজ হয়ে গেছে, এবং আমি বিশ্বাস করি এটি পূর্বে আমি যে সমস্ত পরিশ্রম করেছি তার কারণে। আমি ভবিষ্যতে "মদ্যপান করলে কী হবে?" নিয়ে চাপ না দেওয়ার চেষ্টা করছি এবং কেবল মুহূর্তের উপর মনোযোগ দিচ্ছি। মানে...মদ্যপান করলে কী হবে? তারপর আমি আবার থামব।</v>
      </c>
    </row>
    <row r="1754" spans="1:3" ht="15" x14ac:dyDescent="0.25">
      <c r="A1754" s="3" t="s">
        <v>1748</v>
      </c>
      <c r="B1754" s="3" t="s">
        <v>997</v>
      </c>
      <c r="C1754" s="4" t="str">
        <f ca="1">IFERROR(__xludf.DUMMYFUNCTION("GOOGLETRANSLATE(A1754, ""auto"", ""bn"")"),"আমি এক বছরেরও বেশি সময় ধরে পুরোপুরি সুস্থ হওয়ার চেষ্টা করছি। আমি অনেক কম ওজন কমিয়েছি, কিন্তু এখনও ৮-১০ দিনের বেশি সময় ধরে পায়ের উপর ভর করতে পারছি না, কখনও কখনও কম। তাছাড়া, আমি কখনোই পুরোটা সময় ধরে যাই না, সাধারণত এক বা দুই দিন, কখনও তিন বা চার দিনের "&amp;"বেশি না, কিন্তু আমি পিছলে যাওয়ার পর কয়েকদিন ধরেই আমি ভীষণভাবে অপরাধবোধ এবং উদ্বিগ্ন বোধ করি, কিছুক্ষণের জন্য আবার শক্তিশালী হই, কিন্তু তারপর আমি ভালো বোধ করতে শুরু করি, এবং মিথ্যা আত্মবিশ্বাস ফিরে আসে, আমার মনে হয় এটা আসলে খুব খারাপ ছিল না, মাত্র দুটি দি"&amp;"ন ছিল, ইত্যাদি ইত্যাদি। এবং আবার এটি করুন এবং পুরো চক্রটি নতুন করে শুরু করুন। যখন আপনি এই চিন্তাভাবনাটি দেখতে পান তখন নিজেকে সামলাতে আপনি কী কী উপায় ব্যবহার করতে পারেন? আমার মনে হয় আমার কেবল কিছু পরামর্শ, জ্ঞানের কথা, উৎসাহ ইত্যাদির প্রয়োজন।")</f>
        <v>আমি এক বছরেরও বেশি সময় ধরে পুরোপুরি সুস্থ হওয়ার চেষ্টা করছি। আমি অনেক কম ওজন কমিয়েছি, কিন্তু এখনও ৮-১০ দিনের বেশি সময় ধরে পায়ের উপর ভর করতে পারছি না, কখনও কখনও কম। তাছাড়া, আমি কখনোই পুরোটা সময় ধরে যাই না, সাধারণত এক বা দুই দিন, কখনও তিন বা চার দিনের বেশি না, কিন্তু আমি পিছলে যাওয়ার পর কয়েকদিন ধরেই আমি ভীষণভাবে অপরাধবোধ এবং উদ্বিগ্ন বোধ করি, কিছুক্ষণের জন্য আবার শক্তিশালী হই, কিন্তু তারপর আমি ভালো বোধ করতে শুরু করি, এবং মিথ্যা আত্মবিশ্বাস ফিরে আসে, আমার মনে হয় এটা আসলে খুব খারাপ ছিল না, মাত্র দুটি দিন ছিল, ইত্যাদি ইত্যাদি। এবং আবার এটি করুন এবং পুরো চক্রটি নতুন করে শুরু করুন। যখন আপনি এই চিন্তাভাবনাটি দেখতে পান তখন নিজেকে সামলাতে আপনি কী কী উপায় ব্যবহার করতে পারেন? আমার মনে হয় আমার কেবল কিছু পরামর্শ, জ্ঞানের কথা, উৎসাহ ইত্যাদির প্রয়োজন।</v>
      </c>
    </row>
    <row r="1755" spans="1:3" ht="15" x14ac:dyDescent="0.25">
      <c r="A1755" s="3" t="s">
        <v>1749</v>
      </c>
      <c r="B1755" s="3" t="s">
        <v>997</v>
      </c>
      <c r="C1755" s="4" t="str">
        <f ca="1">IFERROR(__xludf.DUMMYFUNCTION("GOOGLETRANSLATE(A1755, ""auto"", ""bn"")"),"শিরোনামগুলো যেমন বলে, সংযত থাকার ফলে আমি সত্যিই এমন কিছু দেখতে পেয়েছি যা আমি মদ্যপানের সময় করতে পারিনি। মদের কারণে তুমি কারো আচরণের জন্য অজুহাত খুঁজছো তা বুঝতে পেরে আমার খুব খারাপ লেগেছে। গত সপ্তাহান্তে আমি একদল বন্ধুর সাথে আড্ডা দিয়েছিলাম, যাদের মধ্যে"&amp;" একজন বিশেষভাবে পূর্বপুরুষও ছিলেন। এটা দেখে খুব খারাপ লাগছে যে সে যখন নারীরা মাতাল থাকে তখন তাদের সুযোগ নেয়, এবং দলে একমাত্র সংযত ব্যক্তি হিসেবে লাল পতাকাগুলি সত্যিই উড়ছিল। হা হা হা।")</f>
        <v>শিরোনামগুলো যেমন বলে, সংযত থাকার ফলে আমি সত্যিই এমন কিছু দেখতে পেয়েছি যা আমি মদ্যপানের সময় করতে পারিনি। মদের কারণে তুমি কারো আচরণের জন্য অজুহাত খুঁজছো তা বুঝতে পেরে আমার খুব খারাপ লেগেছে। গত সপ্তাহান্তে আমি একদল বন্ধুর সাথে আড্ডা দিয়েছিলাম, যাদের মধ্যে একজন বিশেষভাবে পূর্বপুরুষও ছিলেন। এটা দেখে খুব খারাপ লাগছে যে সে যখন নারীরা মাতাল থাকে তখন তাদের সুযোগ নেয়, এবং দলে একমাত্র সংযত ব্যক্তি হিসেবে লাল পতাকাগুলি সত্যিই উড়ছিল। হা হা হা।</v>
      </c>
    </row>
    <row r="1756" spans="1:3" ht="15" x14ac:dyDescent="0.25">
      <c r="A1756" s="3" t="s">
        <v>1750</v>
      </c>
      <c r="B1756" s="3" t="s">
        <v>997</v>
      </c>
      <c r="C1756" s="4" t="str">
        <f ca="1">IFERROR(__xludf.DUMMYFUNCTION("GOOGLETRANSLATE(A1756, ""auto"", ""bn"")"),"৫০ দিন ধরে আমি সুস্থ ছিলাম এবং ভেবেছিলাম যে আমি নিজের উপর যথেষ্ট পরিশ্রম করেছি যাতে আবার মদ্যপান শুরু করতে পারি। ব্যাপারটা এমন ছিল না। গত রাতে আমি এতটাই মাতাল হয়ে পড়েছিলাম যে আমি আমার প্রাক্তন প্রেমিককে ফোন করে কাঁদতে কাঁদতে তার সাথে আবার দেখা করার জন্য"&amp;" অনুরোধ করেছিলাম, আমার কেমন যেন মনে হচ্ছিল যে আমি জীবনের কোথাও ফিট নই, এবং আমার দুঃখ তার উপর চাপিয়ে দিয়েছিলাম। আমি খুব লজ্জিত এবং এক টুকরো বিষ্ঠার মতো অনুভব করছি।")</f>
        <v>৫০ দিন ধরে আমি সুস্থ ছিলাম এবং ভেবেছিলাম যে আমি নিজের উপর যথেষ্ট পরিশ্রম করেছি যাতে আবার মদ্যপান শুরু করতে পারি। ব্যাপারটা এমন ছিল না। গত রাতে আমি এতটাই মাতাল হয়ে পড়েছিলাম যে আমি আমার প্রাক্তন প্রেমিককে ফোন করে কাঁদতে কাঁদতে তার সাথে আবার দেখা করার জন্য অনুরোধ করেছিলাম, আমার কেমন যেন মনে হচ্ছিল যে আমি জীবনের কোথাও ফিট নই, এবং আমার দুঃখ তার উপর চাপিয়ে দিয়েছিলাম। আমি খুব লজ্জিত এবং এক টুকরো বিষ্ঠার মতো অনুভব করছি।</v>
      </c>
    </row>
    <row r="1757" spans="1:3" ht="15" x14ac:dyDescent="0.25">
      <c r="A1757" s="3" t="s">
        <v>1751</v>
      </c>
      <c r="B1757" s="3" t="s">
        <v>997</v>
      </c>
      <c r="C1757" s="4" t="str">
        <f ca="1">IFERROR(__xludf.DUMMYFUNCTION("GOOGLETRANSLATE(A1757, ""auto"", ""bn"")"),"মদ্যপানের কারণে চাকরিটা হারিয়েছি, এখন আর প্রতি রাতে মাতাল হই না, শুধু রাতে মাত্র ২টা পানীয়, হয়তো সপ্তাহান্তে আরও বেশি পান করি, এখন আমার মনে হচ্ছে না এটা আমার উপর নেতিবাচক প্রভাব ফেলছে, যখন তুমি সম্পূর্ণরূপে ধূমপান ছেড়ে দিয়েছিলে, কেবল কমিয়ে দেওয়ার প"&amp;"রিবর্তে, তখন কি তুমি মেজাজ বা শারীরিক অনুভূতির উন্নতি লক্ষ্য করেছ?")</f>
        <v>মদ্যপানের কারণে চাকরিটা হারিয়েছি, এখন আর প্রতি রাতে মাতাল হই না, শুধু রাতে মাত্র ২টা পানীয়, হয়তো সপ্তাহান্তে আরও বেশি পান করি, এখন আমার মনে হচ্ছে না এটা আমার উপর নেতিবাচক প্রভাব ফেলছে, যখন তুমি সম্পূর্ণরূপে ধূমপান ছেড়ে দিয়েছিলে, কেবল কমিয়ে দেওয়ার পরিবর্তে, তখন কি তুমি মেজাজ বা শারীরিক অনুভূতির উন্নতি লক্ষ্য করেছ?</v>
      </c>
    </row>
    <row r="1758" spans="1:3" ht="15" x14ac:dyDescent="0.25">
      <c r="A1758" s="3" t="s">
        <v>1752</v>
      </c>
      <c r="B1758" s="3" t="s">
        <v>997</v>
      </c>
      <c r="C1758" s="4" t="str">
        <f ca="1">IFERROR(__xludf.DUMMYFUNCTION("GOOGLETRANSLATE(A1758, ""auto"", ""bn"")"),"আমি বুঝতে পেরেছি যে আমার একটা সমস্যা আছে। আমি আগেও ধূমপান ছাড়ার চেষ্টা করেছি, কিন্তু এবারেরটা যেন আলাদা হয়। তাছাড়া, আমি আশা করি এখানে যে উৎসাহ দেখেছি তা আমার মদ্যপান (মদ এবং গাঁজা) পরিহার করার প্রেরণাকে বাড়িয়ে তুলবে। তাছাড়া, আমি কমিউনিটি নির্দেশিকাগ"&amp;"ুলিতে দেখেছি যে লোকেরা পোস্টগুলিতে চেক ইন করতে পারে। তাছাড়া, আমার অনুপ্রেরণা বজায় রাখার জন্য আমি আগামী ৭ দিন এটি করব। তাছাড়া, আমি জানি রেডডিট সামগ্রিকভাবে খুব একটা ধার্মিক নয়, তবে আমি এখনও যারা এটি পড়ছেন তাদের কাছে অনুরোধ করছি যেন তারা আমাকে আপনার প্"&amp;"রার্থনায় রাখেন। তাছাড়া, আমি এই মজা থেকে বেরিয়ে আসতে চাই এবং আবার জীবন উপভোগ করতে শুরু করতে চাই। পরিবর্তন সম্ভব, এবং আমি জানি ঈশ্বর এই পরিবর্তনের মধ্য দিয়ে আমাকে সাহায্য করবেন। এই সম্প্রদায় তৈরি করার জন্য মোডদের ধন্যবাদ, মানুষ তাদের সমস্যাগুলির মধ্য দ"&amp;"িয়ে একে অপরকে সাহায্য করার জন্য একত্রিত হতে দেখে অসাধারণ লাগে!")</f>
        <v>আমি বুঝতে পেরেছি যে আমার একটা সমস্যা আছে। আমি আগেও ধূমপান ছাড়ার চেষ্টা করেছি, কিন্তু এবারেরটা যেন আলাদা হয়। তাছাড়া, আমি আশা করি এখানে যে উৎসাহ দেখেছি তা আমার মদ্যপান (মদ এবং গাঁজা) পরিহার করার প্রেরণাকে বাড়িয়ে তুলবে। তাছাড়া, আমি কমিউনিটি নির্দেশিকাগুলিতে দেখেছি যে লোকেরা পোস্টগুলিতে চেক ইন করতে পারে। তাছাড়া, আমার অনুপ্রেরণা বজায় রাখার জন্য আমি আগামী ৭ দিন এটি করব। তাছাড়া, আমি জানি রেডডিট সামগ্রিকভাবে খুব একটা ধার্মিক নয়, তবে আমি এখনও যারা এটি পড়ছেন তাদের কাছে অনুরোধ করছি যেন তারা আমাকে আপনার প্রার্থনায় রাখেন। তাছাড়া, আমি এই মজা থেকে বেরিয়ে আসতে চাই এবং আবার জীবন উপভোগ করতে শুরু করতে চাই। পরিবর্তন সম্ভব, এবং আমি জানি ঈশ্বর এই পরিবর্তনের মধ্য দিয়ে আমাকে সাহায্য করবেন। এই সম্প্রদায় তৈরি করার জন্য মোডদের ধন্যবাদ, মানুষ তাদের সমস্যাগুলির মধ্য দিয়ে একে অপরকে সাহায্য করার জন্য একত্রিত হতে দেখে অসাধারণ লাগে!</v>
      </c>
    </row>
    <row r="1759" spans="1:3" ht="15" x14ac:dyDescent="0.25">
      <c r="A1759" s="3" t="s">
        <v>1753</v>
      </c>
      <c r="B1759" s="3" t="s">
        <v>997</v>
      </c>
      <c r="C1759" s="4" t="str">
        <f ca="1">IFERROR(__xludf.DUMMYFUNCTION("GOOGLETRANSLATE(A1759, ""auto"", ""bn"")"),"আমাদের মধ্যে যারা নিশ্চিত যে আমরা আলাদা এবং এক বছর বা তার বেশি সময় ধরে মদ্যপান না করলে মদ্যপান থেকে সেরে উঠতে পারব, তাদের জন্য আরও একটি সতর্কতামূলক গল্প। আমি এখন যে সাধারণ অনুভূতি অনুভব করছি তা আমার খুব খারাপ লাগে, কিন্তু আমি সেই অস্বাভাবিক অ-মদ্যপানকারী"&amp;"দের একজন হতে চাই যারা চিরকালের জন্য এটিকে ত্যাগ করে আমার সেরা জীবনযাপন করে। আমি ২০২০ সালের আগস্টে মদ্যপান ছেড়ে দিয়েছিলাম। মহামারীর প্রাথমিক পর্যায়ে আমার মদ্যপান 'অন্য জাগতিক' হয়ে উঠছিল। কিছুই করার ছিল না। আমি বাড়ি থেকে কাজ করতাম, সবাই সবসময় বাড়িতে "&amp;"থাকত, এবং আমার কোনও বন্ধুর সাথে দেখা হত না। আমি সন্ধ্যা ৭টার দিকে মদ্যপান শুরু করতাম, প্রায় ১টা বা ২টা পর্যন্ত যেতাম, ঘুম থেকে উঠে অনলাইনে কাজে যেতাম, ফেনা করতাম, ধুয়ে ফেলতাম, প্রতিদিন পুনরাবৃত্তি করতাম। সপ্তাহান্তে আমি ভোর ৪টা পর্যন্ত পান করতে পারতাম। "&amp;"নব্বইয়ের দশকে কলেজে আমার দ্বিতীয় বর্ষের পর থেকে আমি 'সমস্যাযুক্ত মদ্যপানকারী' ছিলাম এবং আমি সবসময় জানতাম যে আমি ঠিক আমার বাবা, চাচা, খালা ইত্যাদির মতো, যারা সবাই মদ্যপায়ী ছিলেন। কিন্তু ২০২০ সালের আগস্টে আমি অবশেষে আমার জীবনকে কিছুটা পরিষ্কার করার জন্য"&amp;" ""কমপক্ষে এক বছরের জন্য"" এটিকে দূরে রাখার সিদ্ধান্ত নিলাম। এটি একটি দুর্দান্ত বছর ছিল। আমার আয় দ্বিগুণ করা, একাধিক চাকরির প্রস্তাব পাওয়া, আমার পরিবারের সাথে চমৎকার বন্ধন এবং সর্বদা শারীরিকভাবে সুস্থ বোধ করা সহ অনেক সুবিধা। একা ঘুমের মান... *শেফরা চুম্"&amp;"বন* ২০২১ সালের অক্টোবরে, আমার শ্বশুর, যিনি আমাদের খুব কাছের ছিলেন, ফুসফুসের শোথের কারণে আমার কোলে মারা যান। আমি এবং আমার এক প্রতিবেশী তাকে সিপিআর দিয়ে পুনরুজ্জীবিত করেছিলাম, এবং তিনি জীবিত ছিলেন এবং জরুরি বিভাগে সচেতন ছিলেন, কিন্তু আঘাতটি খুব বেশি ছিল, এ"&amp;"বং কয়েক দিন পরে তিনি মারা যান। এটি ছিল...বিধ্বংসী। তিনি এবং আমি ২০ বছর ধরে মদ্যপানের বন্ধু ছিলাম। আমরা পিছনের বারান্দায় বসে থাকতাম, এবং তিনি তার স্ত্রীর বিরক্তির জন্য অভিযোগ করতেন, এবং তিনি আমার শিল্প বা ব্যবসায়িক অংশীদারদের সম্পর্কে আমার অভিযোগগুলি মন"&amp;"োযোগ সহকারে শুনতেন। আমাদের বন্ধনটি খুব ভালো ছিল, এবং তিনি আমার জন্য একজন মহান পিতা ছিলেন (আমার বাবা যখন ১০ বছর বয়সে মারা গিয়েছিলেন)। সে একজন মদ্যপও ছিল, যখন আমি আমার সাথে মদ্যপান ছেড়ে দিতাম, তখন সে অবশ্যই আমার সাথে মদ্যপান করতে ভুলে যেত। যেদিন সে চলে গ"&amp;"েল, সেদিন আমি তার জন্য একটি পানীয় ঢেলে দিলাম এবং আমার জন্য একটি পানীয় ঢেলে দিলাম। তারপর আমি আমারটি পান করলাম। সেই রাতে আমি সিদ্ধান্ত নিলাম যে আমি স্বাভাবিকভাবে মদ্যপান করতে পারব, এবং মাঝে মাঝে একটি পানীয় পান করব। আমি জানতাম যে আমি আবার অতিরিক্ত মদ্যপান"&amp;" বন্ধ করে দেব। তাই আপনার (আমার কাছেও) অবাক হওয়ার কিছু নেই যে ঠিক এটাই ঘটেছে। এই সপ্তাহে আমি একটি ব্যবসায়িক ভ্রমণে ছিলাম এবং আমি টানা ৫ রাত, প্রতি রাতে প্রচুর পরিমাণে মদ্যপান করেছি। আমি একটু ওজন কমানোর চেষ্টা করছি এবং গত ৩০ দিন ধরে আমার ক্যালোরি গণনায় #"&amp;"১ আইটেম হল অ্যালকোহল - যা আমার মোট ক্যালোরি গণনার ১৪% এরও বেশি। আমি আবার শুরু করার পর থেকে প্রতিদিন পান করার জন্য খিটখিটে, খারাপ ঘুম, মানসিকভাবে কুয়াশাচ্ছন্ন, উদ্বিগ্ন, বিষণ্ণ, অসন্তুষ্ট এবং লজ্জিত। তদুপরি, আমি সেই পানীয়টির জন্য অনুশোচনা করি, এবং এক বছর"&amp;" বা তার বেশি সময় ধরে সংযম নষ্ট করার জন্য অনুশোচনা করি। তদুপরি, আমার পান না করার অনেক কারণ রয়েছে। তদুপরি, আমার ফ্যাটি লিভার আছে। তদুপরি, আমার উচ্চ কোলেস্টেরল রয়েছে। তাছাড়া, আমার ওজন কমপক্ষে ৪০ পাউন্ড। তাছাড়া, মদ্যপানের পর সকালে আমি আর ব্যায়াম করতে পারি "&amp;"না। তাছাড়া, আমি একটি উচ্চ ঝুঁকিপূর্ণ শ্রেণীতে আছি যা ইঙ্গিত করে যে আমি আর মদ্যপান করতে পারব না। তবুও আমি নিজেকে বোঝাচ্ছি যে আমি স্বাভাবিকভাবে মদ্যপান করতে পারি। কেন মদ্যপান করব? আমার সুস্থ থাকা দরকার! আমি আমার পরিবারের সাথে সংযুক্ত থাকতে চাই! তাছাড়া, আমি "&amp;"২০২১ সালে যেখানে ছিলাম সেখানে ফিরে যেতে চাই, আমার দৈনন্দিন জীবনে অ্যালকোহলের আধিপত্য না থাকা। তাই এটিই শেষ দিন হোক এবং প্রথম দিন যখন আমি আমার সেরা স্বভাবের জন্য ১০০% দৃঢ়ভাবে প্রতিশ্রুতিবদ্ধ, যা এমন সংস্করণ যা মদ্যপান করে না। আমি কেবল তখনই নিজের পক্ষে কথা"&amp;" বলতে পারি যখন আমি বলি যে আমি যতদিনই মদ্যপান করি না কেন, কেবল একবার মদ্যপান করতে পারি না। কিন্তু আমিই একমাত্র নই যে চেষ্টা করেছি এবং অনুতপ্ত। আমার গল্পটি আবার কখনও শুরু না করার কারণগুলির মধ্যে একটি সতর্কতামূলক গল্প হোক।")</f>
        <v>আমাদের মধ্যে যারা নিশ্চিত যে আমরা আলাদা এবং এক বছর বা তার বেশি সময় ধরে মদ্যপান না করলে মদ্যপান থেকে সেরে উঠতে পারব, তাদের জন্য আরও একটি সতর্কতামূলক গল্প। আমি এখন যে সাধারণ অনুভূতি অনুভব করছি তা আমার খুব খারাপ লাগে, কিন্তু আমি সেই অস্বাভাবিক অ-মদ্যপানকারীদের একজন হতে চাই যারা চিরকালের জন্য এটিকে ত্যাগ করে আমার সেরা জীবনযাপন করে। আমি ২০২০ সালের আগস্টে মদ্যপান ছেড়ে দিয়েছিলাম। মহামারীর প্রাথমিক পর্যায়ে আমার মদ্যপান 'অন্য জাগতিক' হয়ে উঠছিল। কিছুই করার ছিল না। আমি বাড়ি থেকে কাজ করতাম, সবাই সবসময় বাড়িতে থাকত, এবং আমার কোনও বন্ধুর সাথে দেখা হত না। আমি সন্ধ্যা ৭টার দিকে মদ্যপান শুরু করতাম, প্রায় ১টা বা ২টা পর্যন্ত যেতাম, ঘুম থেকে উঠে অনলাইনে কাজে যেতাম, ফেনা করতাম, ধুয়ে ফেলতাম, প্রতিদিন পুনরাবৃত্তি করতাম। সপ্তাহান্তে আমি ভোর ৪টা পর্যন্ত পান করতে পারতাম। নব্বইয়ের দশকে কলেজে আমার দ্বিতীয় বর্ষের পর থেকে আমি 'সমস্যাযুক্ত মদ্যপানকারী' ছিলাম এবং আমি সবসময় জানতাম যে আমি ঠিক আমার বাবা, চাচা, খালা ইত্যাদির মতো, যারা সবাই মদ্যপায়ী ছিলেন। কিন্তু ২০২০ সালের আগস্টে আমি অবশেষে আমার জীবনকে কিছুটা পরিষ্কার করার জন্য "কমপক্ষে এক বছরের জন্য" এটিকে দূরে রাখার সিদ্ধান্ত নিলাম। এটি একটি দুর্দান্ত বছর ছিল। আমার আয় দ্বিগুণ করা, একাধিক চাকরির প্রস্তাব পাওয়া, আমার পরিবারের সাথে চমৎকার বন্ধন এবং সর্বদা শারীরিকভাবে সুস্থ বোধ করা সহ অনেক সুবিধা। একা ঘুমের মান... *শেফরা চুম্বন* ২০২১ সালের অক্টোবরে, আমার শ্বশুর, যিনি আমাদের খুব কাছের ছিলেন, ফুসফুসের শোথের কারণে আমার কোলে মারা যান। আমি এবং আমার এক প্রতিবেশী তাকে সিপিআর দিয়ে পুনরুজ্জীবিত করেছিলাম, এবং তিনি জীবিত ছিলেন এবং জরুরি বিভাগে সচেতন ছিলেন, কিন্তু আঘাতটি খুব বেশি ছিল, এবং কয়েক দিন পরে তিনি মারা যান। এটি ছিল...বিধ্বংসী। তিনি এবং আমি ২০ বছর ধরে মদ্যপানের বন্ধু ছিলাম। আমরা পিছনের বারান্দায় বসে থাকতাম, এবং তিনি তার স্ত্রীর বিরক্তির জন্য অভিযোগ করতেন, এবং তিনি আমার শিল্প বা ব্যবসায়িক অংশীদারদের সম্পর্কে আমার অভিযোগগুলি মনোযোগ সহকারে শুনতেন। আমাদের বন্ধনটি খুব ভালো ছিল, এবং তিনি আমার জন্য একজন মহান পিতা ছিলেন (আমার বাবা যখন ১০ বছর বয়সে মারা গিয়েছিলেন)। সে একজন মদ্যপও ছিল, যখন আমি আমার সাথে মদ্যপান ছেড়ে দিতাম, তখন সে অবশ্যই আমার সাথে মদ্যপান করতে ভুলে যেত। যেদিন সে চলে গেল, সেদিন আমি তার জন্য একটি পানীয় ঢেলে দিলাম এবং আমার জন্য একটি পানীয় ঢেলে দিলাম। তারপর আমি আমারটি পান করলাম। সেই রাতে আমি সিদ্ধান্ত নিলাম যে আমি স্বাভাবিকভাবে মদ্যপান করতে পারব, এবং মাঝে মাঝে একটি পানীয় পান করব। আমি জানতাম যে আমি আবার অতিরিক্ত মদ্যপান বন্ধ করে দেব। তাই আপনার (আমার কাছেও) অবাক হওয়ার কিছু নেই যে ঠিক এটাই ঘটেছে। এই সপ্তাহে আমি একটি ব্যবসায়িক ভ্রমণে ছিলাম এবং আমি টানা ৫ রাত, প্রতি রাতে প্রচুর পরিমাণে মদ্যপান করেছি। আমি একটু ওজন কমানোর চেষ্টা করছি এবং গত ৩০ দিন ধরে আমার ক্যালোরি গণনায় #১ আইটেম হল অ্যালকোহল - যা আমার মোট ক্যালোরি গণনার ১৪% এরও বেশি। আমি আবার শুরু করার পর থেকে প্রতিদিন পান করার জন্য খিটখিটে, খারাপ ঘুম, মানসিকভাবে কুয়াশাচ্ছন্ন, উদ্বিগ্ন, বিষণ্ণ, অসন্তুষ্ট এবং লজ্জিত। তদুপরি, আমি সেই পানীয়টির জন্য অনুশোচনা করি, এবং এক বছর বা তার বেশি সময় ধরে সংযম নষ্ট করার জন্য অনুশোচনা করি। তদুপরি, আমার পান না করার অনেক কারণ রয়েছে। তদুপরি, আমার ফ্যাটি লিভার আছে। তদুপরি, আমার উচ্চ কোলেস্টেরল রয়েছে। তাছাড়া, আমার ওজন কমপক্ষে ৪০ পাউন্ড। তাছাড়া, মদ্যপানের পর সকালে আমি আর ব্যায়াম করতে পারি না। তাছাড়া, আমি একটি উচ্চ ঝুঁকিপূর্ণ শ্রেণীতে আছি যা ইঙ্গিত করে যে আমি আর মদ্যপান করতে পারব না। তবুও আমি নিজেকে বোঝাচ্ছি যে আমি স্বাভাবিকভাবে মদ্যপান করতে পারি। কেন মদ্যপান করব? আমার সুস্থ থাকা দরকার! আমি আমার পরিবারের সাথে সংযুক্ত থাকতে চাই! তাছাড়া, আমি ২০২১ সালে যেখানে ছিলাম সেখানে ফিরে যেতে চাই, আমার দৈনন্দিন জীবনে অ্যালকোহলের আধিপত্য না থাকা। তাই এটিই শেষ দিন হোক এবং প্রথম দিন যখন আমি আমার সেরা স্বভাবের জন্য ১০০% দৃঢ়ভাবে প্রতিশ্রুতিবদ্ধ, যা এমন সংস্করণ যা মদ্যপান করে না। আমি কেবল তখনই নিজের পক্ষে কথা বলতে পারি যখন আমি বলি যে আমি যতদিনই মদ্যপান করি না কেন, কেবল একবার মদ্যপান করতে পারি না। কিন্তু আমিই একমাত্র নই যে চেষ্টা করেছি এবং অনুতপ্ত। আমার গল্পটি আবার কখনও শুরু না করার কারণগুলির মধ্যে একটি সতর্কতামূলক গল্প হোক।</v>
      </c>
    </row>
    <row r="1760" spans="1:3" ht="15" x14ac:dyDescent="0.25">
      <c r="A1760" s="3" t="s">
        <v>1754</v>
      </c>
      <c r="B1760" s="3" t="s">
        <v>997</v>
      </c>
      <c r="C1760" s="4" t="str">
        <f ca="1">IFERROR(__xludf.DUMMYFUNCTION("GOOGLETRANSLATE(A1760, ""auto"", ""bn"")"),"আমার বিবাহ এবং পারিবারিক জীবন সম্পর্কে আমার যে বিরক্তি, রাগ, উদ্বেগ ইত্যাদি অনুভূতি হয়, সেগুলোকে শান্ত করার জন্য আবার বিয়ার কিনতে না চাওয়াটা আমার জন্য খুবই কঠিন। দুর্ভাগ্যবশত, অ্যালকোহল আমাকে সেইসব নোংরা জিনিস থেকে মুক্তি দিতে ভালো কাজ করে যা আমাকে চির"&amp;"কাল বিবাহিত থাকার প্রশ্নে বাধ্য করে?")</f>
        <v>আমার বিবাহ এবং পারিবারিক জীবন সম্পর্কে আমার যে বিরক্তি, রাগ, উদ্বেগ ইত্যাদি অনুভূতি হয়, সেগুলোকে শান্ত করার জন্য আবার বিয়ার কিনতে না চাওয়াটা আমার জন্য খুবই কঠিন। দুর্ভাগ্যবশত, অ্যালকোহল আমাকে সেইসব নোংরা জিনিস থেকে মুক্তি দিতে ভালো কাজ করে যা আমাকে চিরকাল বিবাহিত থাকার প্রশ্নে বাধ্য করে?</v>
      </c>
    </row>
    <row r="1761" spans="1:3" ht="15" x14ac:dyDescent="0.25">
      <c r="A1761" s="3" t="s">
        <v>1755</v>
      </c>
      <c r="B1761" s="3" t="s">
        <v>997</v>
      </c>
      <c r="C1761" s="4" t="str">
        <f ca="1">IFERROR(__xludf.DUMMYFUNCTION("GOOGLETRANSLATE(A1761, ""auto"", ""bn"")"),"মঙ্গলবার সকাল ৭.৩০ টা। পঞ্চম দিনের শুরু। আজ আমি ভ্যালিয়াম ৩ x ৫ মিলিগ্রাম ডোজে কমিয়েছি (শুধুমাত্র সকালের নাস্তার সাথে প্রথমটি খেয়েছি)। ভ্যালিয়াম সম্পূর্ণরূপে কমিয়ে না আনা পর্যন্ত উচ্চ মাত্রার (৫০০ মিলিগ্রাম) ওরাল থায়ামিন চালিয়ে যাচ্ছি। আমি প্রতিদিন"&amp;" রোগ প্রতিরোধ ক্ষমতা বৃদ্ধির জন্য সাপ্লিমেন্ট, ভিটামিন ডি এবং লিভার ডিটক্স সাপ্লিমেন্ট গ্রহণ করে যাব। মনোবিজ্ঞানী, গ্রুপ থেরাপি, মনোরোগ বিশেষজ্ঞ এবং প্রয়োজনে ইনপেশেন্ট ডিটক্সের ব্যাক-আপ সহ অ্যালকোহলের অপব্যবহারের জন্য একটি টার্গেট ক্লিনিকের মধ্যে, আমি বু"&amp;"ঝতে পারি যে আমি কতটা সুবিধাজনক। এটিই প্রথমবার যখন আমি আমার চির ধৈর্যশীল, প্রেমময় স্বামীর সাথে সম্পূর্ণরূপে দুর্বল হয়ে পড়েছি। এক দশক আগে যখন আমাদের দেখা হয়েছিল তখন আমি একজন সাধারণ মদ্যপায়ী ছিলাম। বেশ কয়েকটি আঘাত এবং উত্থানের ফলে এটি প্রতি সপ্তাহে RO "&amp;"আক্ষরিক অর্থে লিটার ওয়াইন হ্রাস পেয়েছিল।")</f>
        <v>মঙ্গলবার সকাল ৭.৩০ টা। পঞ্চম দিনের শুরু। আজ আমি ভ্যালিয়াম ৩ x ৫ মিলিগ্রাম ডোজে কমিয়েছি (শুধুমাত্র সকালের নাস্তার সাথে প্রথমটি খেয়েছি)। ভ্যালিয়াম সম্পূর্ণরূপে কমিয়ে না আনা পর্যন্ত উচ্চ মাত্রার (৫০০ মিলিগ্রাম) ওরাল থায়ামিন চালিয়ে যাচ্ছি। আমি প্রতিদিন রোগ প্রতিরোধ ক্ষমতা বৃদ্ধির জন্য সাপ্লিমেন্ট, ভিটামিন ডি এবং লিভার ডিটক্স সাপ্লিমেন্ট গ্রহণ করে যাব। মনোবিজ্ঞানী, গ্রুপ থেরাপি, মনোরোগ বিশেষজ্ঞ এবং প্রয়োজনে ইনপেশেন্ট ডিটক্সের ব্যাক-আপ সহ অ্যালকোহলের অপব্যবহারের জন্য একটি টার্গেট ক্লিনিকের মধ্যে, আমি বুঝতে পারি যে আমি কতটা সুবিধাজনক। এটিই প্রথমবার যখন আমি আমার চির ধৈর্যশীল, প্রেমময় স্বামীর সাথে সম্পূর্ণরূপে দুর্বল হয়ে পড়েছি। এক দশক আগে যখন আমাদের দেখা হয়েছিল তখন আমি একজন সাধারণ মদ্যপায়ী ছিলাম। বেশ কয়েকটি আঘাত এবং উত্থানের ফলে এটি প্রতি সপ্তাহে RO আক্ষরিক অর্থে লিটার ওয়াইন হ্রাস পেয়েছিল।</v>
      </c>
    </row>
    <row r="1762" spans="1:3" ht="15" x14ac:dyDescent="0.25">
      <c r="A1762" s="3" t="s">
        <v>1756</v>
      </c>
      <c r="B1762" s="3" t="s">
        <v>997</v>
      </c>
      <c r="C1762" s="4" t="str">
        <f ca="1">IFERROR(__xludf.DUMMYFUNCTION("GOOGLETRANSLATE(A1762, ""auto"", ""bn"")"),"এক ফোঁটাও না, আর আমি আমার পছন্দের সব মদ ভর্তি একটা বারের পিছনে কাজ করি। বছরের পর বছর ধরে, আমি যা চাইতাম তা নামিয়ে দিতাম এবং তা খেতাম। আমি (প্রয়োজন) থামতে এবং পরিবর্তন করতে চেয়েছিলাম। এই প্রক্রিয়ায় আমিও এক মাস ধরে ধূমপান করিনি। এই ধারাবাহিকতা অব্যাহত "&amp;"রাখতে চাই। ৩০ দিন পৌঁছানোর জন্য নিজেকে নিয়ে গর্বিত।")</f>
        <v>এক ফোঁটাও না, আর আমি আমার পছন্দের সব মদ ভর্তি একটা বারের পিছনে কাজ করি। বছরের পর বছর ধরে, আমি যা চাইতাম তা নামিয়ে দিতাম এবং তা খেতাম। আমি (প্রয়োজন) থামতে এবং পরিবর্তন করতে চেয়েছিলাম। এই প্রক্রিয়ায় আমিও এক মাস ধরে ধূমপান করিনি। এই ধারাবাহিকতা অব্যাহত রাখতে চাই। ৩০ দিন পৌঁছানোর জন্য নিজেকে নিয়ে গর্বিত।</v>
      </c>
    </row>
    <row r="1763" spans="1:3" ht="15" x14ac:dyDescent="0.25">
      <c r="A1763" s="3" t="s">
        <v>1757</v>
      </c>
      <c r="B1763" s="3" t="s">
        <v>997</v>
      </c>
      <c r="C1763" s="4" t="str">
        <f ca="1">IFERROR(__xludf.DUMMYFUNCTION("GOOGLETRANSLATE(A1763, ""auto"", ""bn"")"),"আমি বেশ কিছুদিন ধরেই মদ্যপান বন্ধ রাখার কথা ভাবছি, কিন্তু আমার বারবার মনে হচ্ছে আমি এখনও প্রস্তুত নই এবং আমি জানি যে আমি সম্ভবত পরের সপ্তাহান্তে পান করব, এখন যতই অসুস্থ থাকি না কেন। এটি আমাকে মদ্যপান বন্ধ রাখার প্রতিশ্রুতি দেয় না। কিন্তু আমি ভাবতে শুরু ক"&amp;"রলাম - যদি আমি প্রতিদিন মদ্যপান না করার কথা ভাবি, তাহলে কী হবে? চেষ্টা না করার চেয়ে ভালো হওয়ার জন্য আমাকে টানা দীর্ঘ দিন ধরে মদ্যপান বন্ধ করার দরকার নেই। আমি ২৪ ঘন্টা মদ্যপান ছাড়া থাকার প্রতিশ্রুতিবদ্ধ হতে চাই, এবং এর মধ্য দিয়ে অন্তত কম মদ্যপান শুরু ক"&amp;"রতে চাই। তাই, আজকের জন্য, আমি একটিও পানীয় খাব না।")</f>
        <v>আমি বেশ কিছুদিন ধরেই মদ্যপান বন্ধ রাখার কথা ভাবছি, কিন্তু আমার বারবার মনে হচ্ছে আমি এখনও প্রস্তুত নই এবং আমি জানি যে আমি সম্ভবত পরের সপ্তাহান্তে পান করব, এখন যতই অসুস্থ থাকি না কেন। এটি আমাকে মদ্যপান বন্ধ রাখার প্রতিশ্রুতি দেয় না। কিন্তু আমি ভাবতে শুরু করলাম - যদি আমি প্রতিদিন মদ্যপান না করার কথা ভাবি, তাহলে কী হবে? চেষ্টা না করার চেয়ে ভালো হওয়ার জন্য আমাকে টানা দীর্ঘ দিন ধরে মদ্যপান বন্ধ করার দরকার নেই। আমি ২৪ ঘন্টা মদ্যপান ছাড়া থাকার প্রতিশ্রুতিবদ্ধ হতে চাই, এবং এর মধ্য দিয়ে অন্তত কম মদ্যপান শুরু করতে চাই। তাই, আজকের জন্য, আমি একটিও পানীয় খাব না।</v>
      </c>
    </row>
    <row r="1764" spans="1:3" ht="15" x14ac:dyDescent="0.25">
      <c r="A1764" s="3" t="s">
        <v>1758</v>
      </c>
      <c r="B1764" s="3" t="s">
        <v>997</v>
      </c>
      <c r="C1764" s="4" t="str">
        <f ca="1">IFERROR(__xludf.DUMMYFUNCTION("GOOGLETRANSLATE(A1764, ""auto"", ""bn"")"),"আমি মেগাকুলম্ব। গত দুই বছর ধরে আমার মদ্যপানের একটা খারাপ অভ্যাস তৈরি হয়েছে। এটা নিয়ন্ত্রণে আনার জন্য আমি এখানে কিছু অনুপ্রেরণার জন্য এসেছি। মদ্যপান আমার স্ত্রী এবং বাচ্চাদের সাথে আমার সম্পর্কের উপর প্রভাব ফেলেছে, যদিও এতে কোনও ক্ষতিকর কিছু নেই, তবে আমি "&amp;"ভয় পাই যে নিয়ন্ত্রণ ছাড়াই বা থামিয়ে না নেওয়াটা হচ্ছে, এবং কর্মক্ষেত্রে আমার মানসিক চাপ বাড়ায়, যা আমার বেশিরভাগ দিন আমার মস্তিষ্ককে অস্থির করে তোলে? আচ্ছা, আমি এখন সেখানেই আছি, সম্ভবত দেখা হবে।")</f>
        <v>আমি মেগাকুলম্ব। গত দুই বছর ধরে আমার মদ্যপানের একটা খারাপ অভ্যাস তৈরি হয়েছে। এটা নিয়ন্ত্রণে আনার জন্য আমি এখানে কিছু অনুপ্রেরণার জন্য এসেছি। মদ্যপান আমার স্ত্রী এবং বাচ্চাদের সাথে আমার সম্পর্কের উপর প্রভাব ফেলেছে, যদিও এতে কোনও ক্ষতিকর কিছু নেই, তবে আমি ভয় পাই যে নিয়ন্ত্রণ ছাড়াই বা থামিয়ে না নেওয়াটা হচ্ছে, এবং কর্মক্ষেত্রে আমার মানসিক চাপ বাড়ায়, যা আমার বেশিরভাগ দিন আমার মস্তিষ্ককে অস্থির করে তোলে? আচ্ছা, আমি এখন সেখানেই আছি, সম্ভবত দেখা হবে।</v>
      </c>
    </row>
    <row r="1765" spans="1:3" ht="15" x14ac:dyDescent="0.25">
      <c r="A1765" s="3" t="s">
        <v>1759</v>
      </c>
      <c r="B1765" s="3" t="s">
        <v>997</v>
      </c>
      <c r="C1765" s="4" t="str">
        <f ca="1">IFERROR(__xludf.DUMMYFUNCTION("GOOGLETRANSLATE(A1765, ""auto"", ""bn"")"),"আমার মনে হয় আমি বিচক্ষণতার সাথে পান করি, হয়তো খুব বেশি হলে দু-একটা বিয়ার আর হুইস্কি। হয়তো সন্ধ্যায় এক গ্লাস ওয়াইন খাবো। আমি মাতাল হই না এবং আমার হ্যাংওভারও হয় না। মদ্যপান আমার জীবনে নেতিবাচক প্রভাব ফেলে না এবং দিনের বেলায় অ্যালকোহলমুক্ত বিয়ারে আমি খুশি"&amp;"। কিন্তু সপ্তাহের মধ্যে পান না করাটা আমার জন্য কঠিন। এটা কি খুব বেশি নাকি আমি ঠিক আছি?")</f>
        <v>আমার মনে হয় আমি বিচক্ষণতার সাথে পান করি, হয়তো খুব বেশি হলে দু-একটা বিয়ার আর হুইস্কি। হয়তো সন্ধ্যায় এক গ্লাস ওয়াইন খাবো। আমি মাতাল হই না এবং আমার হ্যাংওভারও হয় না। মদ্যপান আমার জীবনে নেতিবাচক প্রভাব ফেলে না এবং দিনের বেলায় অ্যালকোহলমুক্ত বিয়ারে আমি খুশি। কিন্তু সপ্তাহের মধ্যে পান না করাটা আমার জন্য কঠিন। এটা কি খুব বেশি নাকি আমি ঠিক আছি?</v>
      </c>
    </row>
    <row r="1766" spans="1:3" ht="15" x14ac:dyDescent="0.25">
      <c r="A1766" s="3" t="s">
        <v>1760</v>
      </c>
      <c r="B1766" s="3" t="s">
        <v>997</v>
      </c>
      <c r="C1766" s="4" t="str">
        <f ca="1">IFERROR(__xludf.DUMMYFUNCTION("GOOGLETRANSLATE(A1766, ""auto"", ""bn"")"),"যদিও আমি অনেক তরুণ-তরুণীকে তাদের বয়সে (আচ্ছা আমারও যদি হতো!) মদ খেতে শিখতে দেখে খুব খুশি হচ্ছি, তবুও ভাবছি যে ৪৫ বছর বয়সী অন্যান্য মহিলারাও কি এই পরিস্থিতির মধ্য দিয়ে যাচ্ছেন (আমার আলাদাও আছে), দুর্দান্ত ক্যারিয়ার ইত্যাদি)... কথা বলতে ভালো লাগবে!")</f>
        <v>যদিও আমি অনেক তরুণ-তরুণীকে তাদের বয়সে (আচ্ছা আমারও যদি হতো!) মদ খেতে শিখতে দেখে খুব খুশি হচ্ছি, তবুও ভাবছি যে ৪৫ বছর বয়সী অন্যান্য মহিলারাও কি এই পরিস্থিতির মধ্য দিয়ে যাচ্ছেন (আমার আলাদাও আছে), দুর্দান্ত ক্যারিয়ার ইত্যাদি)... কথা বলতে ভালো লাগবে!</v>
      </c>
    </row>
    <row r="1767" spans="1:3" ht="15" x14ac:dyDescent="0.25">
      <c r="A1767" s="3" t="s">
        <v>1761</v>
      </c>
      <c r="B1767" s="3" t="s">
        <v>997</v>
      </c>
      <c r="C1767" s="4" t="str">
        <f ca="1">IFERROR(__xludf.DUMMYFUNCTION("GOOGLETRANSLATE(A1767, ""auto"", ""bn"")"),"আমি আমার সুস্থতার যাত্রায় আছি, আর সবকিছু ঠিকঠাক চলছে। এখন ছাড়া। আমি ছুটি কাটাতে শিকাগো যাচ্ছি, আর ভয় আর উদ্বেগে আমার মাথা খারাপ। আমি সুস্থ, কিন্তু এক বছরেরও বেশি সময় ধরে এই প্রথমবারের মতো আমি সত্যিই, সত্যিই পান করতে চাইছি এবং আমি কি প্রচণ্ড চাপ অনুভব ক"&amp;"রছি?")</f>
        <v>আমি আমার সুস্থতার যাত্রায় আছি, আর সবকিছু ঠিকঠাক চলছে। এখন ছাড়া। আমি ছুটি কাটাতে শিকাগো যাচ্ছি, আর ভয় আর উদ্বেগে আমার মাথা খারাপ। আমি সুস্থ, কিন্তু এক বছরেরও বেশি সময় ধরে এই প্রথমবারের মতো আমি সত্যিই, সত্যিই পান করতে চাইছি এবং আমি কি প্রচণ্ড চাপ অনুভব করছি?</v>
      </c>
    </row>
    <row r="1768" spans="1:3" ht="15" x14ac:dyDescent="0.25">
      <c r="A1768" s="3" t="s">
        <v>1762</v>
      </c>
      <c r="B1768" s="3" t="s">
        <v>997</v>
      </c>
      <c r="C1768" s="4" t="str">
        <f ca="1">IFERROR(__xludf.DUMMYFUNCTION("GOOGLETRANSLATE(A1768, ""auto"", ""bn"")"),"আমার ১৫তম দিন, আর কাজে অলসতা, জাঙ্ক ফুড খাচ্ছি, ব্যায়াম করছি না, প্রচুর ঘুমাচ্ছি। আমি আবার নিজের এবং আমার জীবনের যত্ন নেওয়ার জন্য অনুপ্রাণিত বোধ করতে চাই, কিন্তু আমি এখন উদাসীন বোধ করছি, এমনকি মদ্যপানের ক্ষতির জন্য শোকও করছি। এটা আরও বেশি বিরক্তিকর কারণ "&amp;"মদ্যপানের ফলে আমি উপরের সমস্ত কাজ করতে বাধ্য হয়েছি এবং আমি আরও তাৎক্ষণিক সুবিধা দেখতে চাই (অতীতে যখন আমি ছেড়ে দিয়েছিলাম)। আমার মনে হয় আমি আমার অলস আচরণের জন্য ক্ষমা চাই কারণ এটি মদ্যপানের চেয়ে ভালো।")</f>
        <v>আমার ১৫তম দিন, আর কাজে অলসতা, জাঙ্ক ফুড খাচ্ছি, ব্যায়াম করছি না, প্রচুর ঘুমাচ্ছি। আমি আবার নিজের এবং আমার জীবনের যত্ন নেওয়ার জন্য অনুপ্রাণিত বোধ করতে চাই, কিন্তু আমি এখন উদাসীন বোধ করছি, এমনকি মদ্যপানের ক্ষতির জন্য শোকও করছি। এটা আরও বেশি বিরক্তিকর কারণ মদ্যপানের ফলে আমি উপরের সমস্ত কাজ করতে বাধ্য হয়েছি এবং আমি আরও তাৎক্ষণিক সুবিধা দেখতে চাই (অতীতে যখন আমি ছেড়ে দিয়েছিলাম)। আমার মনে হয় আমি আমার অলস আচরণের জন্য ক্ষমা চাই কারণ এটি মদ্যপানের চেয়ে ভালো।</v>
      </c>
    </row>
    <row r="1769" spans="1:3" ht="15" x14ac:dyDescent="0.25">
      <c r="A1769" s="3" t="s">
        <v>1763</v>
      </c>
      <c r="B1769" s="3" t="s">
        <v>997</v>
      </c>
      <c r="C1769" s="4" t="str">
        <f ca="1">IFERROR(__xludf.DUMMYFUNCTION("GOOGLETRANSLATE(A1769, ""auto"", ""bn"")"),"আজ এক সপ্তাহ পার করলাম, আর আমার মনে একটা চিন্তা এলো। প্রায় দুই সপ্তাহ আগে, আমার মনে আছে আমি ভাবছিলাম? আরে, আমি প্রেসিডেন্টস ডে তে কাজ করি না, আমার বারে দিন মদ্যপান করা উচিত। আর আমার সত্যিই মনে হয় আমি যদি পরিবর্তন না করার সিদ্ধান্ত না নিতাম, তাহলে আমি এটা "&amp;"করতাম। এখন, আমি এখানে, শান্ত এবং ঘরে বসে দিনটি উপভোগ করার জন্য যথাসাধ্য চেষ্টা করছি।")</f>
        <v>আজ এক সপ্তাহ পার করলাম, আর আমার মনে একটা চিন্তা এলো। প্রায় দুই সপ্তাহ আগে, আমার মনে আছে আমি ভাবছিলাম? আরে, আমি প্রেসিডেন্টস ডে তে কাজ করি না, আমার বারে দিন মদ্যপান করা উচিত। আর আমার সত্যিই মনে হয় আমি যদি পরিবর্তন না করার সিদ্ধান্ত না নিতাম, তাহলে আমি এটা করতাম। এখন, আমি এখানে, শান্ত এবং ঘরে বসে দিনটি উপভোগ করার জন্য যথাসাধ্য চেষ্টা করছি।</v>
      </c>
    </row>
    <row r="1770" spans="1:3" ht="15" x14ac:dyDescent="0.25">
      <c r="A1770" s="3" t="s">
        <v>1764</v>
      </c>
      <c r="B1770" s="3" t="s">
        <v>997</v>
      </c>
      <c r="C1770" s="4" t="str">
        <f ca="1">IFERROR(__xludf.DUMMYFUNCTION("GOOGLETRANSLATE(A1770, ""auto"", ""bn"")"),"যাই হোক, আমি AA হটলাইনে ফোন করেছিলাম এবং আমার কিছু প্রশ্ন ছিল বলে ফোন কেটে দিয়েছিলাম... সাধারণভাবে আমি AA পছন্দ করি না। এটা ধর্মীয় এবং আমি তা নই। আমার সমস্যা আছে আমি প্রচুর মদ্যপান করি, কিন্তু যখন আমি সচেতন থাকি বা ভালোভাবে জানি, তবুও আমি আসলে এটি সম্পর"&amp;"্কে চিন্তা করি তখনই যখন আমি মাতাল থাকি। যখন আমি শান্ত থাকি তখন আমার কিছু যায় আসে না, আমি কাজ শেষে লম্বা ছেলেদের ৬ প্যাকেট অথবা ১২ প্যাকেট নিয়ে বিশ্রাম নিই কিন্তু ঘুমানোর ঠিক আগে ঘুমাতে গেলে আমার মনে হয় এটা ঠিক নয়। আমার কিডনি ব্যাথা করছে, এটা আমাকে একট"&amp;"ু ভয় দেখায় কারণ আমার একটি ছোট কিডনি আছে। কিন্তু আমি থামাতে পারছি না, AA ছাড়া আমি কোন টিপস বা এমন কিছু ব্যবহার করতে পারি যা আমি আগে চেষ্টা করেছিলাম এবং এটি সত্যিই আমার জন্য ছিল না। আমি জানি আমি মদ্যপ, আমি এটা স্বীকার করব।")</f>
        <v>যাই হোক, আমি AA হটলাইনে ফোন করেছিলাম এবং আমার কিছু প্রশ্ন ছিল বলে ফোন কেটে দিয়েছিলাম... সাধারণভাবে আমি AA পছন্দ করি না। এটা ধর্মীয় এবং আমি তা নই। আমার সমস্যা আছে আমি প্রচুর মদ্যপান করি, কিন্তু যখন আমি সচেতন থাকি বা ভালোভাবে জানি, তবুও আমি আসলে এটি সম্পর্কে চিন্তা করি তখনই যখন আমি মাতাল থাকি। যখন আমি শান্ত থাকি তখন আমার কিছু যায় আসে না, আমি কাজ শেষে লম্বা ছেলেদের ৬ প্যাকেট অথবা ১২ প্যাকেট নিয়ে বিশ্রাম নিই কিন্তু ঘুমানোর ঠিক আগে ঘুমাতে গেলে আমার মনে হয় এটা ঠিক নয়। আমার কিডনি ব্যাথা করছে, এটা আমাকে একটু ভয় দেখায় কারণ আমার একটি ছোট কিডনি আছে। কিন্তু আমি থামাতে পারছি না, AA ছাড়া আমি কোন টিপস বা এমন কিছু ব্যবহার করতে পারি যা আমি আগে চেষ্টা করেছিলাম এবং এটি সত্যিই আমার জন্য ছিল না। আমি জানি আমি মদ্যপ, আমি এটা স্বীকার করব।</v>
      </c>
    </row>
    <row r="1771" spans="1:3" ht="15" x14ac:dyDescent="0.25">
      <c r="A1771" s="3" t="s">
        <v>1765</v>
      </c>
      <c r="B1771" s="3" t="s">
        <v>997</v>
      </c>
      <c r="C1771" s="4" t="str">
        <f ca="1">IFERROR(__xludf.DUMMYFUNCTION("GOOGLETRANSLATE(A1771, ""auto"", ""bn"")"),"আর ১৩তম দিন, তাই আজ আমি মদ্যপান করব না! প্রায় দুই বছর ধরে আমি ২ সপ্তাহের সীমা অতিক্রম করতে পারিনি। আমি খুব কাছাকাছি চলে এসেছি, কিন্তু সবসময় নিজেকে ধ্বংস করতে হয়। কিন্তু এবারের অনুভূতিটা অন্যরকম। আমার মন দীর্ঘমেয়াদী সংযমী মনোভাবের দিকে ঝুঁকে পড়েছে এবং আমি"&amp;" আর নিজেকে আর অজুহাত খুঁজতে দেখি না। যদি তাড়না জাগে, আমি আমার ভবিষ্যৎ নিয়ে ভাবি, এবং এখন যে কারণেই হোক না কেন, এটাই যথেষ্ট। আমি আগের প্রচেষ্টাগুলির তুলনায় একটু বেশি আশাবাদী এবং বিষণ্ণ, কারণ মনে হচ্ছে আমি সত্যিই জানি যে আমার এটির প্রয়োজন।")</f>
        <v>আর ১৩তম দিন, তাই আজ আমি মদ্যপান করব না! প্রায় দুই বছর ধরে আমি ২ সপ্তাহের সীমা অতিক্রম করতে পারিনি। আমি খুব কাছাকাছি চলে এসেছি, কিন্তু সবসময় নিজেকে ধ্বংস করতে হয়। কিন্তু এবারের অনুভূতিটা অন্যরকম। আমার মন দীর্ঘমেয়াদী সংযমী মনোভাবের দিকে ঝুঁকে পড়েছে এবং আমি আর নিজেকে আর অজুহাত খুঁজতে দেখি না। যদি তাড়না জাগে, আমি আমার ভবিষ্যৎ নিয়ে ভাবি, এবং এখন যে কারণেই হোক না কেন, এটাই যথেষ্ট। আমি আগের প্রচেষ্টাগুলির তুলনায় একটু বেশি আশাবাদী এবং বিষণ্ণ, কারণ মনে হচ্ছে আমি সত্যিই জানি যে আমার এটির প্রয়োজন।</v>
      </c>
    </row>
    <row r="1772" spans="1:3" ht="15" x14ac:dyDescent="0.25">
      <c r="A1772" s="3" t="s">
        <v>1766</v>
      </c>
      <c r="B1772" s="3" t="s">
        <v>997</v>
      </c>
      <c r="C1772" s="4" t="str">
        <f ca="1">IFERROR(__xludf.DUMMYFUNCTION("GOOGLETRANSLATE(A1772, ""auto"", ""bn"")"),"তাহলে আমার হাতে এখন ১ মাস ২১ দিন আছে। আসলে আর তেমন কোন তাগিদ নেই, যা একটা বড় সুবিধা। ব্যাপারটা হল, আজকাল আমার এমন দিন আসে যখন আমি বুঝতে পারি না কেন আমার এটা চালিয়ে যাওয়া উচিত। আমি কখনোই হাল ছাড়ি না, কিন্তু আমি আশা করেছিলাম আরও বেশি সুবিধা পাব। এটা হয়"&amp;"তো একটা ছুটির দিন। তোমার দীর্ঘ সময় ধরে (৩ মাস, ৬ মাস, ১ বছর+) সংযত থাকার অভিজ্ঞতা কী এমন যা তোমাকে দৃঢ় করেছে যে সংযত থাকা ১০০% একটি ভালো বিকল্প?")</f>
        <v>তাহলে আমার হাতে এখন ১ মাস ২১ দিন আছে। আসলে আর তেমন কোন তাগিদ নেই, যা একটা বড় সুবিধা। ব্যাপারটা হল, আজকাল আমার এমন দিন আসে যখন আমি বুঝতে পারি না কেন আমার এটা চালিয়ে যাওয়া উচিত। আমি কখনোই হাল ছাড়ি না, কিন্তু আমি আশা করেছিলাম আরও বেশি সুবিধা পাব। এটা হয়তো একটা ছুটির দিন। তোমার দীর্ঘ সময় ধরে (৩ মাস, ৬ মাস, ১ বছর+) সংযত থাকার অভিজ্ঞতা কী এমন যা তোমাকে দৃঢ় করেছে যে সংযত থাকা ১০০% একটি ভালো বিকল্প?</v>
      </c>
    </row>
    <row r="1773" spans="1:3" ht="15" x14ac:dyDescent="0.25">
      <c r="A1773" s="3" t="s">
        <v>1767</v>
      </c>
      <c r="B1773" s="3" t="s">
        <v>997</v>
      </c>
      <c r="C1773" s="4" t="str">
        <f ca="1">IFERROR(__xludf.DUMMYFUNCTION("GOOGLETRANSLATE(A1773, ""auto"", ""bn"")"),"আজ আমার আইপি শেষ করছি। বাইরের জগতে থাকতে আমি নার্ভাস, কিন্তু আমার রুমমেটের ৪৩০-৪৪৫ অ্যালার্ম বারবার ঘুম থেকে না ওঠার জন্যও আমি উত্তেজিত। উৎসাহের কথা বা ভালো কিছু মনে করিয়ে দেওয়া/জ্ঞানের কিছু অংশ প্রশংসিত।")</f>
        <v>আজ আমার আইপি শেষ করছি। বাইরের জগতে থাকতে আমি নার্ভাস, কিন্তু আমার রুমমেটের ৪৩০-৪৪৫ অ্যালার্ম বারবার ঘুম থেকে না ওঠার জন্যও আমি উত্তেজিত। উৎসাহের কথা বা ভালো কিছু মনে করিয়ে দেওয়া/জ্ঞানের কিছু অংশ প্রশংসিত।</v>
      </c>
    </row>
    <row r="1774" spans="1:3" ht="15" x14ac:dyDescent="0.25">
      <c r="A1774" s="3" t="s">
        <v>1768</v>
      </c>
      <c r="B1774" s="3" t="s">
        <v>997</v>
      </c>
      <c r="C1774" s="4" t="str">
        <f ca="1">IFERROR(__xludf.DUMMYFUNCTION("GOOGLETRANSLATE(A1774, ""auto"", ""bn"")"),"এখন যখনই আমি পান করি, তখন আমার পেটে তীব্র ব্যথা হয়, কিন্তু অতীতে এমনটা হয়েছিল কিনা তা আমার মনে নেই... কেউ কি এর চিকিৎসাগত ব্যাখ্যা দিতে পারে? এর সুবিধা হলো, সেই ব্যথার কথা মনে রাখলে আমি মদ্যপান থেকে বিরত থাকি।")</f>
        <v>এখন যখনই আমি পান করি, তখন আমার পেটে তীব্র ব্যথা হয়, কিন্তু অতীতে এমনটা হয়েছিল কিনা তা আমার মনে নেই... কেউ কি এর চিকিৎসাগত ব্যাখ্যা দিতে পারে? এর সুবিধা হলো, সেই ব্যথার কথা মনে রাখলে আমি মদ্যপান থেকে বিরত থাকি।</v>
      </c>
    </row>
    <row r="1775" spans="1:3" ht="15" x14ac:dyDescent="0.25">
      <c r="A1775" s="3" t="s">
        <v>1769</v>
      </c>
      <c r="B1775" s="3" t="s">
        <v>997</v>
      </c>
      <c r="C1775" s="4" t="str">
        <f ca="1">IFERROR(__xludf.DUMMYFUNCTION("GOOGLETRANSLATE(A1775, ""auto"", ""bn"")"),"ঠিক যেমন মাইকেল স্কট দেউলিয়া ঘোষণা করেছিলেন? গত সপ্তাহে নিয়ন্ত্রণের চেষ্টা করার পর আমি এখানে শুয়ে আছি। এটি ২ দিনের বেন্ডারে পরিণত হয়েছিল। এখন আমি এখানে কাঁপছি এবং ভূতদের দূরে রাখার চেষ্টা করছি। আমার কাজ শেষ। আমি এই পরিস্থিতি থেকে বাঁচব, কিন্তু এবার। আ"&amp;"মার কাজ শেষ। তাছাড়া, আমি ঘোষণা করছি।")</f>
        <v>ঠিক যেমন মাইকেল স্কট দেউলিয়া ঘোষণা করেছিলেন? গত সপ্তাহে নিয়ন্ত্রণের চেষ্টা করার পর আমি এখানে শুয়ে আছি। এটি ২ দিনের বেন্ডারে পরিণত হয়েছিল। এখন আমি এখানে কাঁপছি এবং ভূতদের দূরে রাখার চেষ্টা করছি। আমার কাজ শেষ। আমি এই পরিস্থিতি থেকে বাঁচব, কিন্তু এবার। আমার কাজ শেষ। তাছাড়া, আমি ঘোষণা করছি।</v>
      </c>
    </row>
    <row r="1776" spans="1:3" ht="15" x14ac:dyDescent="0.25">
      <c r="A1776" s="3" t="s">
        <v>1770</v>
      </c>
      <c r="B1776" s="3" t="s">
        <v>997</v>
      </c>
      <c r="C1776" s="4" t="str">
        <f ca="1">IFERROR(__xludf.DUMMYFUNCTION("GOOGLETRANSLATE(A1776, ""auto"", ""bn"")"),"শুধু বকবক করার জন্য - আমি ঘৃণা করি যে আমার ক্রমাগত পান করার এই ইচ্ছা আছে। পিন্টের পর পিন্ট, টাকিলা, একাধিক বাজ বল, অথবা গরমের দিনে ব্লাডি মেরি পান করার ইচ্ছা? এটা খুবই হতাশাজনক রোগ। কারণ আমি জানি এটি আসলে আমাকে ভালো বোধ করতে বা আমার জীবনের উপকার করতে সাহা"&amp;"য্য করে না। কিন্তু একটি ভালো পানীয়ের অস্থায়ী উচ্ছ্বাস আমার মনে সর্বদা ঘুরপাক খায়। আমি বারবার ঘুরতে থাকি - এক রাত মদ্যপান এবং তারপর যখন এটি ভয়ঙ্কর হতাশাকে কেটে দেয় - তখন কেবল অপরাধবোধ এবং ভঙ্গুর প্রতিশ্রুতিতে ভরা একটি সকাল আসে। আমি এটা ঘৃণা করি এবং আম"&amp;"ি কেবল হতাশ এবং পরাজিত বোধ করি। তাছাড়া, কোভিড আক্রান্ত হওয়ার আগে আমি ৪ মাস ধরে শান্ত ছিলাম এবং এখন প্রায় এক মাস ধরে মদ্যপান করছি। হ্যাংওভার আরও খারাপ, বিষণ্ণতা আরও খারাপ, এবং আমি আমার জীবনের সবচেয়ে খারাপ অবস্থানে আছি। কিন্তু আমি এখনও পান করতে চাই। যাই "&amp;"হোক, সবকিছু ছেড়ে দেওয়ার কথা শুনুন।")</f>
        <v>শুধু বকবক করার জন্য - আমি ঘৃণা করি যে আমার ক্রমাগত পান করার এই ইচ্ছা আছে। পিন্টের পর পিন্ট, টাকিলা, একাধিক বাজ বল, অথবা গরমের দিনে ব্লাডি মেরি পান করার ইচ্ছা? এটা খুবই হতাশাজনক রোগ। কারণ আমি জানি এটি আসলে আমাকে ভালো বোধ করতে বা আমার জীবনের উপকার করতে সাহায্য করে না। কিন্তু একটি ভালো পানীয়ের অস্থায়ী উচ্ছ্বাস আমার মনে সর্বদা ঘুরপাক খায়। আমি বারবার ঘুরতে থাকি - এক রাত মদ্যপান এবং তারপর যখন এটি ভয়ঙ্কর হতাশাকে কেটে দেয় - তখন কেবল অপরাধবোধ এবং ভঙ্গুর প্রতিশ্রুতিতে ভরা একটি সকাল আসে। আমি এটা ঘৃণা করি এবং আমি কেবল হতাশ এবং পরাজিত বোধ করি। তাছাড়া, কোভিড আক্রান্ত হওয়ার আগে আমি ৪ মাস ধরে শান্ত ছিলাম এবং এখন প্রায় এক মাস ধরে মদ্যপান করছি। হ্যাংওভার আরও খারাপ, বিষণ্ণতা আরও খারাপ, এবং আমি আমার জীবনের সবচেয়ে খারাপ অবস্থানে আছি। কিন্তু আমি এখনও পান করতে চাই। যাই হোক, সবকিছু ছেড়ে দেওয়ার কথা শুনুন।</v>
      </c>
    </row>
    <row r="1777" spans="1:3" ht="15" x14ac:dyDescent="0.25">
      <c r="A1777" s="3" t="s">
        <v>1771</v>
      </c>
      <c r="B1777" s="3" t="s">
        <v>997</v>
      </c>
      <c r="C1777" s="4" t="str">
        <f ca="1">IFERROR(__xludf.DUMMYFUNCTION("GOOGLETRANSLATE(A1777, ""auto"", ""bn"")"),"দুই বছর ধরে সুস্থ থাকার পরও, অতীত এখনও খুব কাছে। অন্তর্নিহিত বিপদগুলি সামনে এবং কেন্দ্রে। সংযমের শুরুতে এমন ব্যক্তিরা ছিলেন যারা কেবল সদয় হয়ে অনেক সাহায্য করেছিলেন। কখনও ভুলে যাবেন না যে ছোট ছোট পদক্ষেপগুলি একজন ভুক্তভোগী মদ্যপ ব্যক্তির জন্য পৃথিবীকে অর"&amp;"্থবহ করে তোলে। আজ তোমার সাথে মদ্যপান করছি না।")</f>
        <v>দুই বছর ধরে সুস্থ থাকার পরও, অতীত এখনও খুব কাছে। অন্তর্নিহিত বিপদগুলি সামনে এবং কেন্দ্রে। সংযমের শুরুতে এমন ব্যক্তিরা ছিলেন যারা কেবল সদয় হয়ে অনেক সাহায্য করেছিলেন। কখনও ভুলে যাবেন না যে ছোট ছোট পদক্ষেপগুলি একজন ভুক্তভোগী মদ্যপ ব্যক্তির জন্য পৃথিবীকে অর্থবহ করে তোলে। আজ তোমার সাথে মদ্যপান করছি না।</v>
      </c>
    </row>
    <row r="1778" spans="1:3" ht="15" x14ac:dyDescent="0.25">
      <c r="A1778" s="3" t="s">
        <v>1772</v>
      </c>
      <c r="B1778" s="3" t="s">
        <v>997</v>
      </c>
      <c r="C1778" s="4" t="str">
        <f ca="1">IFERROR(__xludf.DUMMYFUNCTION("GOOGLETRANSLATE(A1778, ""auto"", ""bn"")"),"ভাবছি। মনে হচ্ছে প্রোগ্রামটি সম্পূর্ণ বিরত থাকার প্রচার করে। আমি কেবল জানতে চাইছি ক্ষতি কমানোর পদ্ধতির সাথে এটি করার কোনও উপায় আছে কিনা।")</f>
        <v>ভাবছি। মনে হচ্ছে প্রোগ্রামটি সম্পূর্ণ বিরত থাকার প্রচার করে। আমি কেবল জানতে চাইছি ক্ষতি কমানোর পদ্ধতির সাথে এটি করার কোনও উপায় আছে কিনা।</v>
      </c>
    </row>
    <row r="1779" spans="1:3" ht="15" x14ac:dyDescent="0.25">
      <c r="A1779" s="3" t="s">
        <v>1773</v>
      </c>
      <c r="B1779" s="3" t="s">
        <v>997</v>
      </c>
      <c r="C1779" s="4" t="str">
        <f ca="1">IFERROR(__xludf.DUMMYFUNCTION("GOOGLETRANSLATE(A1779, ""auto"", ""bn"")"),"আমি দীর্ঘদিন ধরে মানসিক চাপ মোকাবেলার জন্য অ্যালকোহল ব্যবহার করে আসছি এবং এখন সবচেয়ে ছোট ঘটনাটি ঘটে, এবং আমার মনে হয় আমার ভেঙে পড়ার সম্ভাবনা রয়েছে। আমি এটি বুঝতে পারছি এবং আমি জানি এটি একটি আসক্তি যা চায় তা পাওয়ার উপায় খুঁজে বের করার চেষ্টা করছে এব"&amp;"ং আমি দৃঢ় থাকব! তাছাড়া, আমি আজ তোমাদের সবার সাথে মদ্যপান করব না!")</f>
        <v>আমি দীর্ঘদিন ধরে মানসিক চাপ মোকাবেলার জন্য অ্যালকোহল ব্যবহার করে আসছি এবং এখন সবচেয়ে ছোট ঘটনাটি ঘটে, এবং আমার মনে হয় আমার ভেঙে পড়ার সম্ভাবনা রয়েছে। আমি এটি বুঝতে পারছি এবং আমি জানি এটি একটি আসক্তি যা চায় তা পাওয়ার উপায় খুঁজে বের করার চেষ্টা করছে এবং আমি দৃঢ় থাকব! তাছাড়া, আমি আজ তোমাদের সবার সাথে মদ্যপান করব না!</v>
      </c>
    </row>
    <row r="1780" spans="1:3" ht="15" x14ac:dyDescent="0.25">
      <c r="A1780" s="3" t="s">
        <v>1774</v>
      </c>
      <c r="B1780" s="3" t="s">
        <v>997</v>
      </c>
      <c r="C1780" s="4" t="str">
        <f ca="1">IFERROR(__xludf.DUMMYFUNCTION("GOOGLETRANSLATE(A1780, ""auto"", ""bn"")"),"গত রাতে আমি এই ২৪ আউন্স, ১২% ককটেল চারটি ক্যানে করে খেয়েছিলাম। এর কোনও প্রভাব আমার উপর পড়েনি। ভোর ৪টায় নিচে নেমে মায়ের সাথে সম্পূর্ণ সুসংগত কথোপকথন করেছি, সবকিছু মনে আছে। আমি জানি এটা আসল সত্য নয়, কিন্তু আমার মনে হয় না যে আমার আর ""মাতাল"" হওয়ার কো"&amp;"নও সম্ভাবনা আছে। গত রাতে সবকিছু একই রকম থাকত, যদি না আজ আমার মেজাজ এত খারাপ থাকত। আমার পেটে এত খারাপ লাগত না, এবং আমি বিকাল ৩টা পর্যন্ত ঘুমাতে পারতাম না। আমি এত টাকা খরচ করতাম না। তাছাড়া, আমি বর্তমানে যে বাড়িতে থাকি তার এই সার্কাস থেকে বেরিয়ে আসার কাছা"&amp;"কাছি থাকতাম। সবকিছু ভালো হত, আর কিছুই খারাপ হত না। তাই, আজ আমি প্রথম দিনের প্রত্যাহারের আরেকটি রাউন্ডের মধ্য দিয়ে যেতে পারি এবং আশা করি এটিই আমাকে হাসপাতালে ভর্তি করবে না। শেষটা বেশ কঠিন ছিল, মিথ্যা বলব না। সৌভাগ্যক্রমে মনে হচ্ছে আমি গতবারের মতো এইরকমটা "&amp;"করতে পারছি না, তাই ভালো। আমি মদ্যপান না করার সব কারণ জানি, এখন শুধু শান্ত থাকার কারণ খুঁজে বের করার জন্য।")</f>
        <v>গত রাতে আমি এই ২৪ আউন্স, ১২% ককটেল চারটি ক্যানে করে খেয়েছিলাম। এর কোনও প্রভাব আমার উপর পড়েনি। ভোর ৪টায় নিচে নেমে মায়ের সাথে সম্পূর্ণ সুসংগত কথোপকথন করেছি, সবকিছু মনে আছে। আমি জানি এটা আসল সত্য নয়, কিন্তু আমার মনে হয় না যে আমার আর "মাতাল" হওয়ার কোনও সম্ভাবনা আছে। গত রাতে সবকিছু একই রকম থাকত, যদি না আজ আমার মেজাজ এত খারাপ থাকত। আমার পেটে এত খারাপ লাগত না, এবং আমি বিকাল ৩টা পর্যন্ত ঘুমাতে পারতাম না। আমি এত টাকা খরচ করতাম না। তাছাড়া, আমি বর্তমানে যে বাড়িতে থাকি তার এই সার্কাস থেকে বেরিয়ে আসার কাছাকাছি থাকতাম। সবকিছু ভালো হত, আর কিছুই খারাপ হত না। তাই, আজ আমি প্রথম দিনের প্রত্যাহারের আরেকটি রাউন্ডের মধ্য দিয়ে যেতে পারি এবং আশা করি এটিই আমাকে হাসপাতালে ভর্তি করবে না। শেষটা বেশ কঠিন ছিল, মিথ্যা বলব না। সৌভাগ্যক্রমে মনে হচ্ছে আমি গতবারের মতো এইরকমটা করতে পারছি না, তাই ভালো। আমি মদ্যপান না করার সব কারণ জানি, এখন শুধু শান্ত থাকার কারণ খুঁজে বের করার জন্য।</v>
      </c>
    </row>
    <row r="1781" spans="1:3" ht="15" x14ac:dyDescent="0.25">
      <c r="A1781" s="3" t="s">
        <v>1775</v>
      </c>
      <c r="B1781" s="3" t="s">
        <v>997</v>
      </c>
      <c r="C1781" s="4" t="str">
        <f ca="1">IFERROR(__xludf.DUMMYFUNCTION("GOOGLETRANSLATE(A1781, ""auto"", ""bn"")"),"আমি একজন সাধারণ মদ্যপানকারী হিসেবে বিবেচিত হব, অভ্যাসটি বেশ ভালোভাবে নিয়ন্ত্রণ করতে পারি। আমার বয়স ৩৩ বছর, সাধারণত কাজের পর সোম-বৃহস্পতিবার সন্ধ্যায় এক বা দুটি বিয়ার পান করি, তারপর যদি আমি বাড়িতে থাকি তাহলে শুক্রবার বা শনিবার রাতে হয়তো ৩-৫টি পানীয় "&amp;"পান করি। প্রায় প্রতি দুই সপ্তাহে আমি বন্ধুদের সাথে ভালোভাবে সময় কাটাই এবং সম্ভবত ২০টি পানীয় পান করি, যার ফলে আমি বেশ মাতাল হয়ে যাই, কিছুটা স্মৃতিশক্তি হ্রাস পায় এবং সাধারণত সামান্য (কখনও কখনও তীব্র) হ্যাংওভার এবং পরের দিন কম উৎপাদনশীলতা দেখা দেয়। আম"&amp;"ি ৫ বছর আগের তুলনায় এখন অনেক কম পান করি। আমার সঙ্গী অতিরিক্ত মদ্যপান ঘৃণা করে এবং আমি দেরিতে বাড়ি ফিরে আসি কারণ সে চিন্তিত যে আমি হয় বোকামি করছি অথবা নিজেকে সমস্যায় ফেলছি (সাধারণত এমনটা হয় না)। সে আমাকে অ্যালান কারের ""কন্ট্রোল ইওর ড্রিংকিং"" বইটি পড"&amp;"়তে রাজি করিয়েছে যা আমি করেছি এবং এটি বেশ জ্ঞানগর্ভ বলে মনে হয়েছে। আমি এখন সাইমন চ্যাপির লেখা ""সোবার সারভাইভাল গাইড"" পড়ছি এবং প্রায় ১০ দিন ধরে কোনও পানীয় পান করিনি।")</f>
        <v>আমি একজন সাধারণ মদ্যপানকারী হিসেবে বিবেচিত হব, অভ্যাসটি বেশ ভালোভাবে নিয়ন্ত্রণ করতে পারি। আমার বয়স ৩৩ বছর, সাধারণত কাজের পর সোম-বৃহস্পতিবার সন্ধ্যায় এক বা দুটি বিয়ার পান করি, তারপর যদি আমি বাড়িতে থাকি তাহলে শুক্রবার বা শনিবার রাতে হয়তো ৩-৫টি পানীয় পান করি। প্রায় প্রতি দুই সপ্তাহে আমি বন্ধুদের সাথে ভালোভাবে সময় কাটাই এবং সম্ভবত ২০টি পানীয় পান করি, যার ফলে আমি বেশ মাতাল হয়ে যাই, কিছুটা স্মৃতিশক্তি হ্রাস পায় এবং সাধারণত সামান্য (কখনও কখনও তীব্র) হ্যাংওভার এবং পরের দিন কম উৎপাদনশীলতা দেখা দেয়। আমি ৫ বছর আগের তুলনায় এখন অনেক কম পান করি। আমার সঙ্গী অতিরিক্ত মদ্যপান ঘৃণা করে এবং আমি দেরিতে বাড়ি ফিরে আসি কারণ সে চিন্তিত যে আমি হয় বোকামি করছি অথবা নিজেকে সমস্যায় ফেলছি (সাধারণত এমনটা হয় না)। সে আমাকে অ্যালান কারের "কন্ট্রোল ইওর ড্রিংকিং" বইটি পড়তে রাজি করিয়েছে যা আমি করেছি এবং এটি বেশ জ্ঞানগর্ভ বলে মনে হয়েছে। আমি এখন সাইমন চ্যাপির লেখা "সোবার সারভাইভাল গাইড" পড়ছি এবং প্রায় ১০ দিন ধরে কোনও পানীয় পান করিনি।</v>
      </c>
    </row>
    <row r="1782" spans="1:3" ht="15" x14ac:dyDescent="0.25">
      <c r="A1782" s="3" t="s">
        <v>1776</v>
      </c>
      <c r="B1782" s="3" t="s">
        <v>997</v>
      </c>
      <c r="C1782" s="4" t="str">
        <f ca="1">IFERROR(__xludf.DUMMYFUNCTION("GOOGLETRANSLATE(A1782, ""auto"", ""bn"")"),"আমার এক বন্ধু চিকিৎসা থেকে বেরিয়েছে, সে সত্যিই সুস্থ থাকতে চায় কিন্তু সাহায্যের জন্য কিছু নিতে চায়। সে Antabuse বনাম ভিজিটর নিয়ে বিতর্ক করছে। আমি Antabuse ব্যবহার করেছি এবং এর ফলাফল ভালো হয়েছে, এটি কেবল জবাবদিহিতার একটি অতিরিক্ত স্তর এবং মদ্যপান না ক"&amp;"রার আরেকটি কারণ ছিল। আমি Visitors সম্পর্কে কিছুই জানি না, কারো কি সরাসরি পরামর্শ বা অভিজ্ঞতা আছে? ভালো/মন্দ দিক?")</f>
        <v>আমার এক বন্ধু চিকিৎসা থেকে বেরিয়েছে, সে সত্যিই সুস্থ থাকতে চায় কিন্তু সাহায্যের জন্য কিছু নিতে চায়। সে Antabuse বনাম ভিজিটর নিয়ে বিতর্ক করছে। আমি Antabuse ব্যবহার করেছি এবং এর ফলাফল ভালো হয়েছে, এটি কেবল জবাবদিহিতার একটি অতিরিক্ত স্তর এবং মদ্যপান না করার আরেকটি কারণ ছিল। আমি Visitors সম্পর্কে কিছুই জানি না, কারো কি সরাসরি পরামর্শ বা অভিজ্ঞতা আছে? ভালো/মন্দ দিক?</v>
      </c>
    </row>
    <row r="1783" spans="1:3" ht="15" x14ac:dyDescent="0.25">
      <c r="A1783" s="3" t="s">
        <v>1777</v>
      </c>
      <c r="B1783" s="3" t="s">
        <v>997</v>
      </c>
      <c r="C1783" s="4" t="str">
        <f ca="1">IFERROR(__xludf.DUMMYFUNCTION("GOOGLETRANSLATE(A1783, ""auto"", ""bn"")"),"""কেন আমি?"" প্রশ্নটি নিয়ে অন্যদিন এখানে একটি পোস্ট পড়েছিলাম। আমার মনে হয় এটা ছিল অন্যদের ""স্বাভাবিকভাবে"" মদ্যপান নিয়ন্ত্রণ করতে না পারার হতাশার বিষয়। কিন্তু, সম্পূর্ণ ভিন্ন অর্থে, এই প্রশ্নটি আমার মদ্যপানের একটি নির্দিষ্ট বৈশিষ্ট্য। আমার জীবন বেশ বির"&amp;"ক্তিকর এবং আমার বাবা-মায়ের কাছ থেকে যথেষ্ট সমর্থন পেয়েছি। যাইহোক, যখনই কিছু ঘটে, প্রতিটি ছোট সমস্যা, আমি ""কেন আমি???"" উদ্বেগ-উদ্দীপনায় ভেঙে পড়তাম, ঠিক যেমন একটি ছোট অসুস্থ শিশুর কথা বলা হয় তাদের মদ্যপানের খেলার মাঠে খেলা বন্ধ করে হোমওয়ার্ক করতে। আমার"&amp;" মনে হয়েছিল যেন ইন্টারনেট বন্ধ থাকাকালীন মহাবিশ্ব আমাকে খুব বেশি শাস্তি দিচ্ছে, এবং আমাকে একজন টেকনিশিয়ানকে ডাকতে হবে। অথবা যখন ব্যাংকে, অথবা বিমানবন্দরে কোনও সমস্যা হয়... জানেন, সাধারণ বিরক্তিকর জিনিস যা সবার সাথেই ঘটে।")</f>
        <v>"কেন আমি?" প্রশ্নটি নিয়ে অন্যদিন এখানে একটি পোস্ট পড়েছিলাম। আমার মনে হয় এটা ছিল অন্যদের "স্বাভাবিকভাবে" মদ্যপান নিয়ন্ত্রণ করতে না পারার হতাশার বিষয়। কিন্তু, সম্পূর্ণ ভিন্ন অর্থে, এই প্রশ্নটি আমার মদ্যপানের একটি নির্দিষ্ট বৈশিষ্ট্য। আমার জীবন বেশ বিরক্তিকর এবং আমার বাবা-মায়ের কাছ থেকে যথেষ্ট সমর্থন পেয়েছি। যাইহোক, যখনই কিছু ঘটে, প্রতিটি ছোট সমস্যা, আমি "কেন আমি???" উদ্বেগ-উদ্দীপনায় ভেঙে পড়তাম, ঠিক যেমন একটি ছোট অসুস্থ শিশুর কথা বলা হয় তাদের মদ্যপানের খেলার মাঠে খেলা বন্ধ করে হোমওয়ার্ক করতে। আমার মনে হয়েছিল যেন ইন্টারনেট বন্ধ থাকাকালীন মহাবিশ্ব আমাকে খুব বেশি শাস্তি দিচ্ছে, এবং আমাকে একজন টেকনিশিয়ানকে ডাকতে হবে। অথবা যখন ব্যাংকে, অথবা বিমানবন্দরে কোনও সমস্যা হয়... জানেন, সাধারণ বিরক্তিকর জিনিস যা সবার সাথেই ঘটে।</v>
      </c>
    </row>
    <row r="1784" spans="1:3" ht="15" x14ac:dyDescent="0.25">
      <c r="A1784" s="3" t="s">
        <v>1778</v>
      </c>
      <c r="B1784" s="3" t="s">
        <v>997</v>
      </c>
      <c r="C1784" s="4" t="str">
        <f ca="1">IFERROR(__xludf.DUMMYFUNCTION("GOOGLETRANSLATE(A1784, ""auto"", ""bn"")"),"আমি এটা করার কথা ভাবছিলাম কারণ আমি বাড়ি থেকে দূর থেকে কাজ করি। আমি প্রতিটি শব্দে মনোযোগ দিতে পারতাম না অথবা সম্ভবত বেশিরভাগ বক্তাদের পুরো থিমটি ধরতে পারতাম না। কিন্তু আমার মনে হয় দলের সেই শক্তি অনুভব করাটা একটা প্রশান্তিদায়ক কাজ হবে। কিন্তু আমি এটাকে অ"&amp;"সম্মানজনক হিসেবেও দেখতে পাচ্ছি কারণ আমি বক্তাদের আমার সম্পূর্ণ মনোযোগ দিচ্ছি না এবং আমি নিজেও অংশগ্রহণ করার কথা ভাবছি না, তাই আমি সাব-এর চিন্তাভাবনা সম্পর্কে জানতে আগ্রহী ছিলাম। এছাড়াও, যারা যাননি তাদের জন্য, আমি সেই বড় গ্রুপ অনলাইন মিটিংগুলির কথা বলছি।"&amp;" শত শত লোক আছে, সাধারণত তাদের অন্তত অর্ধেক তাদের ক্যামেরা বন্ধ করে নিঃশব্দে থাকে, তাই কেউ আমাকে বা অন্য কিছুতে ফোন করে না।")</f>
        <v>আমি এটা করার কথা ভাবছিলাম কারণ আমি বাড়ি থেকে দূর থেকে কাজ করি। আমি প্রতিটি শব্দে মনোযোগ দিতে পারতাম না অথবা সম্ভবত বেশিরভাগ বক্তাদের পুরো থিমটি ধরতে পারতাম না। কিন্তু আমার মনে হয় দলের সেই শক্তি অনুভব করাটা একটা প্রশান্তিদায়ক কাজ হবে। কিন্তু আমি এটাকে অসম্মানজনক হিসেবেও দেখতে পাচ্ছি কারণ আমি বক্তাদের আমার সম্পূর্ণ মনোযোগ দিচ্ছি না এবং আমি নিজেও অংশগ্রহণ করার কথা ভাবছি না, তাই আমি সাব-এর চিন্তাভাবনা সম্পর্কে জানতে আগ্রহী ছিলাম। এছাড়াও, যারা যাননি তাদের জন্য, আমি সেই বড় গ্রুপ অনলাইন মিটিংগুলির কথা বলছি। শত শত লোক আছে, সাধারণত তাদের অন্তত অর্ধেক তাদের ক্যামেরা বন্ধ করে নিঃশব্দে থাকে, তাই কেউ আমাকে বা অন্য কিছুতে ফোন করে না।</v>
      </c>
    </row>
    <row r="1785" spans="1:3" ht="15" x14ac:dyDescent="0.25">
      <c r="A1785" s="3" t="s">
        <v>1779</v>
      </c>
      <c r="B1785" s="3" t="s">
        <v>997</v>
      </c>
      <c r="C1785" s="4" t="str">
        <f ca="1">IFERROR(__xludf.DUMMYFUNCTION("GOOGLETRANSLATE(A1785, ""auto"", ""bn"")"),"এই সপ্তাহে এক বছর কাটানোর অনেক পোস্ট দেখেছি, এতদিন ধরে আমি এটাই করতে চেয়েছিলাম। আমার স্বপ্নের চাকরি আছে, আমি আমার সঙ্গীকে ভালোবাসি, আমার পোষা প্রাণীদের ভালোবাসি, কিন্তু অ্যালকোহল আমার সেরাটা কেড়ে নিচ্ছে এবং যদি আমি থামি না তাহলে আমি সবকিছু হারাতে যাচ্ছি"&amp;"। এটা সহজ হবে না, এটা আমার SO কে শেষ করে দিতে পারে এবং আমি তাকে যতটা পান করি ততটা মদ্যপান করেছি এবং মনে করি না যে এটি কোনও সমস্যা। কিন্তু আমি এখানে একটি কাজের দিনে শুয়ে আছি, দুটি খুব কালো চোখ, অসাড় দাঁত এবং আমি যা আশা করি তা হল ভাঙা নাক, বিধ্বস্ত বোধ কর"&amp;"া নয়। পরের সপ্তাহ বা তারও বেশি সময় ধরে আমার সমস্ত সভা এড়িয়ে চলার কারণ খুঁজে বের করতে হবে যতক্ষণ না এটি সুস্থ হয়, এবং আমি জানি যে আমি নিজেকে হতাশ করছি। আমার জীবন একটি নড়বড়ে, আমাকে নিজেকে আঁকড়ে ধরতে হবে এবং নরক হয়ে উঠতে হবে। আমি প্রতিদিন দুঃখিত বোধ"&amp;" করি যে আমি আরও ভাল সিদ্ধান্ত নিই না, এবং সবকিছুই এমন একটি তরলের নামে যা আমার অস্তিত্বে কিছুই যোগ করে না।")</f>
        <v>এই সপ্তাহে এক বছর কাটানোর অনেক পোস্ট দেখেছি, এতদিন ধরে আমি এটাই করতে চেয়েছিলাম। আমার স্বপ্নের চাকরি আছে, আমি আমার সঙ্গীকে ভালোবাসি, আমার পোষা প্রাণীদের ভালোবাসি, কিন্তু অ্যালকোহল আমার সেরাটা কেড়ে নিচ্ছে এবং যদি আমি থামি না তাহলে আমি সবকিছু হারাতে যাচ্ছি। এটা সহজ হবে না, এটা আমার SO কে শেষ করে দিতে পারে এবং আমি তাকে যতটা পান করি ততটা মদ্যপান করেছি এবং মনে করি না যে এটি কোনও সমস্যা। কিন্তু আমি এখানে একটি কাজের দিনে শুয়ে আছি, দুটি খুব কালো চোখ, অসাড় দাঁত এবং আমি যা আশা করি তা হল ভাঙা নাক, বিধ্বস্ত বোধ করা নয়। পরের সপ্তাহ বা তারও বেশি সময় ধরে আমার সমস্ত সভা এড়িয়ে চলার কারণ খুঁজে বের করতে হবে যতক্ষণ না এটি সুস্থ হয়, এবং আমি জানি যে আমি নিজেকে হতাশ করছি। আমার জীবন একটি নড়বড়ে, আমাকে নিজেকে আঁকড়ে ধরতে হবে এবং নরক হয়ে উঠতে হবে। আমি প্রতিদিন দুঃখিত বোধ করি যে আমি আরও ভাল সিদ্ধান্ত নিই না, এবং সবকিছুই এমন একটি তরলের নামে যা আমার অস্তিত্বে কিছুই যোগ করে না।</v>
      </c>
    </row>
    <row r="1786" spans="1:3" ht="15" x14ac:dyDescent="0.25">
      <c r="A1786" s="3" t="s">
        <v>1780</v>
      </c>
      <c r="B1786" s="3" t="s">
        <v>997</v>
      </c>
      <c r="C1786" s="4" t="str">
        <f ca="1">IFERROR(__xludf.DUMMYFUNCTION("GOOGLETRANSLATE(A1786, ""auto"", ""bn"")"),"আমি কয়েকটা (ঘরে তৈরি) পিৎজা বানিয়েছিলাম আর আমার পরিবার ওয়াইন খাচ্ছিল আর জিজ্ঞেস করছিল আমিও কি ওটা চাই। আমি সহজাতভাবেই বললাম না, কিন্তু তারপর কিছুক্ষণ মনে মনে ভাবলাম, কত ভালো হবে, হয়তো একটা খেতে পারতাম? তারপর আবার ভাবলাম, সত্যি বলতে, এক গ্লাস কত ভালো? এটা "&amp;"তো একটা গুঞ্জন, না, না, এটার কোনও মূল্য নেই। যদি আমি পান করতে যাই তাহলে আমার ভালো লাগতে চাইবে। আমি মাতাল হতে চাইব। কিন্তু কত গ্লাস লাগবে? সত্যি বলতে, পুরো বোতলটা তো এক গ্লাসের থেকে অনেক দূরে, তাই না? আর পরিবারের সামনে এটা খারাপ দেখাবে। সবাই তাজা পিৎজা খাচ"&amp;"্ছে কিন্তু আমরা এটাকে ঠান্ডা হতে দিচ্ছি কারণ এর স্বাদ আরও ভালো হওয়ার জন্য একটা গুঞ্জন তৈরি করতে হবে। সিদ্ধান্ত নিলাম যে ঝামেলা বা সামান্য গুঞ্জনের মূল্য নেই এবং পরিবর্তে গরম তাজা পিৎজা খেয়েছি। রাত গড়িয়ে গেল এবং আরও এক সপ্তাহ কেটে গেল।")</f>
        <v>আমি কয়েকটা (ঘরে তৈরি) পিৎজা বানিয়েছিলাম আর আমার পরিবার ওয়াইন খাচ্ছিল আর জিজ্ঞেস করছিল আমিও কি ওটা চাই। আমি সহজাতভাবেই বললাম না, কিন্তু তারপর কিছুক্ষণ মনে মনে ভাবলাম, কত ভালো হবে, হয়তো একটা খেতে পারতাম? তারপর আবার ভাবলাম, সত্যি বলতে, এক গ্লাস কত ভালো? এটা তো একটা গুঞ্জন, না, না, এটার কোনও মূল্য নেই। যদি আমি পান করতে যাই তাহলে আমার ভালো লাগতে চাইবে। আমি মাতাল হতে চাইব। কিন্তু কত গ্লাস লাগবে? সত্যি বলতে, পুরো বোতলটা তো এক গ্লাসের থেকে অনেক দূরে, তাই না? আর পরিবারের সামনে এটা খারাপ দেখাবে। সবাই তাজা পিৎজা খাচ্ছে কিন্তু আমরা এটাকে ঠান্ডা হতে দিচ্ছি কারণ এর স্বাদ আরও ভালো হওয়ার জন্য একটা গুঞ্জন তৈরি করতে হবে। সিদ্ধান্ত নিলাম যে ঝামেলা বা সামান্য গুঞ্জনের মূল্য নেই এবং পরিবর্তে গরম তাজা পিৎজা খেয়েছি। রাত গড়িয়ে গেল এবং আরও এক সপ্তাহ কেটে গেল।</v>
      </c>
    </row>
    <row r="1787" spans="1:3" ht="15" x14ac:dyDescent="0.25">
      <c r="A1787" s="3" t="s">
        <v>1781</v>
      </c>
      <c r="B1787" s="3" t="s">
        <v>997</v>
      </c>
      <c r="C1787" s="4" t="str">
        <f ca="1">IFERROR(__xludf.DUMMYFUNCTION("GOOGLETRANSLATE(A1787, ""auto"", ""bn"")"),"এক সপ্তাহ পর আমি প্রতিদিনের চেক-ইন বন্ধ করার কথা ভেবেছিলাম, কিন্তু আমি জানতে পারলাম যে আমার স্বামী আগামীকাল সকাল থেকে কাজের জন্য শহরের বাইরে যাচ্ছে। এটা গুরুত্বপূর্ণ কারণ গত কয়েক মাস ধরে যখন এমন ঘটনা ঘটেছিল, তখন আমি সুযোগ পেলেই বাড়িতে মদ্যপান করতাম, কেউ"&amp;" আমাকে নিয়ন্ত্রণে রাখতে পারত না। আমি এই সপ্তাহে এটা করতে পারব না। আমি করব না।")</f>
        <v>এক সপ্তাহ পর আমি প্রতিদিনের চেক-ইন বন্ধ করার কথা ভেবেছিলাম, কিন্তু আমি জানতে পারলাম যে আমার স্বামী আগামীকাল সকাল থেকে কাজের জন্য শহরের বাইরে যাচ্ছে। এটা গুরুত্বপূর্ণ কারণ গত কয়েক মাস ধরে যখন এমন ঘটনা ঘটেছিল, তখন আমি সুযোগ পেলেই বাড়িতে মদ্যপান করতাম, কেউ আমাকে নিয়ন্ত্রণে রাখতে পারত না। আমি এই সপ্তাহে এটা করতে পারব না। আমি করব না।</v>
      </c>
    </row>
    <row r="1788" spans="1:3" ht="15" x14ac:dyDescent="0.25">
      <c r="A1788" s="3" t="s">
        <v>1782</v>
      </c>
      <c r="B1788" s="3" t="s">
        <v>997</v>
      </c>
      <c r="C1788" s="4" t="str">
        <f ca="1">IFERROR(__xludf.DUMMYFUNCTION("GOOGLETRANSLATE(A1788, ""auto"", ""bn"")"),"এটা আমার নিজের জন্য সবচেয়ে বড় উপদেশ, আর আজ রাতে মদ্যপান থেকে বিরত রাখার জন্য যাতে আমি ভণ্ড মনে না করি। তবে, আমি নিশ্চিত যে আমিই একমাত্র নই যে মাঝে মাঝে এইরকম অনুভব করে। তোমার অনুভূতি যতই হোক না কেন, তোমার সম্ভবত সংযত থাকার চেয়ে বেশি কিছু করার আছে, কিন্তু"&amp;" যদি তুমি এমনটা অনুভব করো, তাহলে ভালো বোধ করার জন্য সংযত থাকাটা কীভাবে যুক্তিসঙ্গত হবে?")</f>
        <v>এটা আমার নিজের জন্য সবচেয়ে বড় উপদেশ, আর আজ রাতে মদ্যপান থেকে বিরত রাখার জন্য যাতে আমি ভণ্ড মনে না করি। তবে, আমি নিশ্চিত যে আমিই একমাত্র নই যে মাঝে মাঝে এইরকম অনুভব করে। তোমার অনুভূতি যতই হোক না কেন, তোমার সম্ভবত সংযত থাকার চেয়ে বেশি কিছু করার আছে, কিন্তু যদি তুমি এমনটা অনুভব করো, তাহলে ভালো বোধ করার জন্য সংযত থাকাটা কীভাবে যুক্তিসঙ্গত হবে?</v>
      </c>
    </row>
    <row r="1789" spans="1:3" ht="15" x14ac:dyDescent="0.25">
      <c r="A1789" s="3" t="s">
        <v>1783</v>
      </c>
      <c r="B1789" s="3" t="s">
        <v>997</v>
      </c>
      <c r="C1789" s="4" t="str">
        <f ca="1">IFERROR(__xludf.DUMMYFUNCTION("GOOGLETRANSLATE(A1789, ""auto"", ""bn"")"),"আমি দেখলাম যে কারো ডাক্তার তোমাকে কোন না কোনভাবে সাহায্য করেছেন, এর মানে কি? আমি বলার চেষ্টা করছি শক্তিশালী কিন্তু কোন কারণে নড়বড়ে বোধ করছি... যেমন শারীরিকভাবে। আমার ওএল স্কুলের বিরক্তিকর ডাক্তার আমাকে চাকরি ছেড়ে দিতে বলা ছাড়া আর কী করতে পারে?")</f>
        <v>আমি দেখলাম যে কারো ডাক্তার তোমাকে কোন না কোনভাবে সাহায্য করেছেন, এর মানে কি? আমি বলার চেষ্টা করছি শক্তিশালী কিন্তু কোন কারণে নড়বড়ে বোধ করছি... যেমন শারীরিকভাবে। আমার ওএল স্কুলের বিরক্তিকর ডাক্তার আমাকে চাকরি ছেড়ে দিতে বলা ছাড়া আর কী করতে পারে?</v>
      </c>
    </row>
    <row r="1790" spans="1:3" ht="15" x14ac:dyDescent="0.25">
      <c r="A1790" s="3" t="s">
        <v>1784</v>
      </c>
      <c r="B1790" s="3" t="s">
        <v>997</v>
      </c>
      <c r="C1790" s="4" t="str">
        <f ca="1">IFERROR(__xludf.DUMMYFUNCTION("GOOGLETRANSLATE(A1790, ""auto"", ""bn"")"),"গত বছর আমি ১০০ দিনের জন্য চাকরি ছেড়ে দিয়েছিলাম। রিল্যাপস হয়েছে। এবার আমি সম্পূর্ণ প্রতিশ্রুতিবদ্ধ। আমি ২৫তম দিনে আছি এবং কাজে জেগে থাকতে পারছি না। আমার কিউব ডেস্কের কাজ আছে এবং আমার বস আমার পাশে বসে আছেন। আমার দ্রুত ক্লান্তির পরামর্শ দরকার। আমার মনে নেই"&amp;", গতবার যখন আমি ২৫ দিনের মধ্যে চাকরি ছেড়ে দিয়েছিলাম, তখন এত ক্লান্ত ছিলাম?")</f>
        <v>গত বছর আমি ১০০ দিনের জন্য চাকরি ছেড়ে দিয়েছিলাম। রিল্যাপস হয়েছে। এবার আমি সম্পূর্ণ প্রতিশ্রুতিবদ্ধ। আমি ২৫তম দিনে আছি এবং কাজে জেগে থাকতে পারছি না। আমার কিউব ডেস্কের কাজ আছে এবং আমার বস আমার পাশে বসে আছেন। আমার দ্রুত ক্লান্তির পরামর্শ দরকার। আমার মনে নেই, গতবার যখন আমি ২৫ দিনের মধ্যে চাকরি ছেড়ে দিয়েছিলাম, তখন এত ক্লান্ত ছিলাম?</v>
      </c>
    </row>
    <row r="1791" spans="1:3" ht="15" x14ac:dyDescent="0.25">
      <c r="A1791" s="3" t="s">
        <v>1785</v>
      </c>
      <c r="B1791" s="3" t="s">
        <v>997</v>
      </c>
      <c r="C1791" s="4" t="str">
        <f ca="1">IFERROR(__xludf.DUMMYFUNCTION("GOOGLETRANSLATE(A1791, ""auto"", ""bn"")"),"আমি শুধু এটা জানাতে চাই যে আমি ২০ দিন ধরে সুস্থ আছি। আমি আর মদ্যপান না করে, ব্যায়াম না করে আমার জীবনকে ঘুরিয়ে দেওয়ার চেষ্টা করছি, যাতে প্রায় ৭ বছর ধরে মদ্যপান এবং খারাপ খাবার খেয়ে আমার ওজন কমে যায়। আমি ইতিমধ্যেই অন্যরকম অনুভব করছি। আমার পরিস্থিতি নি"&amp;"য়ে আমি ভীত। আমার অনেক উদ্বেগ আছে কিন্তু আমি দিন দিন এটিকে মেনে নিচ্ছি এবং আমার স্বাস্থ্যকে আর হালকাভাবে নিচ্ছি না। এটা আমার জীবন, পানীয় নয়।")</f>
        <v>আমি শুধু এটা জানাতে চাই যে আমি ২০ দিন ধরে সুস্থ আছি। আমি আর মদ্যপান না করে, ব্যায়াম না করে আমার জীবনকে ঘুরিয়ে দেওয়ার চেষ্টা করছি, যাতে প্রায় ৭ বছর ধরে মদ্যপান এবং খারাপ খাবার খেয়ে আমার ওজন কমে যায়। আমি ইতিমধ্যেই অন্যরকম অনুভব করছি। আমার পরিস্থিতি নিয়ে আমি ভীত। আমার অনেক উদ্বেগ আছে কিন্তু আমি দিন দিন এটিকে মেনে নিচ্ছি এবং আমার স্বাস্থ্যকে আর হালকাভাবে নিচ্ছি না। এটা আমার জীবন, পানীয় নয়।</v>
      </c>
    </row>
    <row r="1792" spans="1:3" ht="15" x14ac:dyDescent="0.25">
      <c r="A1792" s="3" t="s">
        <v>1786</v>
      </c>
      <c r="B1792" s="3" t="s">
        <v>997</v>
      </c>
      <c r="C1792" s="4" t="str">
        <f ca="1">IFERROR(__xludf.DUMMYFUNCTION("GOOGLETRANSLATE(A1792, ""auto"", ""bn"")"),"আমি একমাত্র ব্যাংকে কাজ করি যেখানে রাষ্ট্রপতি নেই? ছুটির দিন এবং আমি সত্যিই একটি পানীয় পান করতে পারি। আমি প্রায় 3 মাস ধরে শান্ত, এবং আমি জানি আমার কেবল সাদা পোশাক পরে থাকা উচিত নয়, তবে আমি এখনই আছি। আমি চাই না যে এটি দেখে মনে হোক যে আমি মদ্যপান করতে পা"&amp;"রি না বলে আমি দুঃখিত, তবে এখনই এটি খারাপ।")</f>
        <v>আমি একমাত্র ব্যাংকে কাজ করি যেখানে রাষ্ট্রপতি নেই? ছুটির দিন এবং আমি সত্যিই একটি পানীয় পান করতে পারি। আমি প্রায় 3 মাস ধরে শান্ত, এবং আমি জানি আমার কেবল সাদা পোশাক পরে থাকা উচিত নয়, তবে আমি এখনই আছি। আমি চাই না যে এটি দেখে মনে হোক যে আমি মদ্যপান করতে পারি না বলে আমি দুঃখিত, তবে এখনই এটি খারাপ।</v>
      </c>
    </row>
    <row r="1793" spans="1:3" ht="15" x14ac:dyDescent="0.25">
      <c r="A1793" s="3" t="s">
        <v>1787</v>
      </c>
      <c r="B1793" s="3" t="s">
        <v>997</v>
      </c>
      <c r="C1793" s="4" t="str">
        <f ca="1">IFERROR(__xludf.DUMMYFUNCTION("GOOGLETRANSLATE(A1793, ""auto"", ""bn"")"),"মহামারী শুরু হওয়ার পর আমার চাকরি চলে যায়, তারপর আমি সারাদিন গাঁজা ধূমপান করতাম। আমি বিষণ্ণতার জন্য এটি ব্যবহার করতাম কিন্তু আমি নিশ্চিত নই যে এটি আমার উদ্বেগকে সাহায্য করেছে নাকি বাড়িয়েছে। এক বছর পর, আমার প্রেমিক এবং বন্ধুদের সাহায্যে, আমি গাঁজা ধূমপান"&amp;" ছেড়ে দেওয়ার সিদ্ধান্ত নিই। একটু পরে আমিও সিগারেট ধূমপান ছেড়ে দেওয়ার সিদ্ধান্ত নিই। সময়টা ছিল ২০২১ সালের অক্টোবরের দিকে। তারপর আমি মাঝে মাঝে বিয়ার কিনতে শুরু করি। কয়েক সপ্তাহ পরে আমি প্রতিদিন বিয়ার কিনতাম এবং নিশ্চিত করতাম যে আমার ফ্রিজে সবসময় এট"&amp;"ি পাওয়া যায়। প্রথমে, আমি ঘুমাতে সাহায্য করার জন্য এক বা দুটি বিয়ার খেতাম। এটি দুই থেকে তিনটিতে পরিণত হয়। এবং তারপর পুরো ৬ প্যাকেট।")</f>
        <v>মহামারী শুরু হওয়ার পর আমার চাকরি চলে যায়, তারপর আমি সারাদিন গাঁজা ধূমপান করতাম। আমি বিষণ্ণতার জন্য এটি ব্যবহার করতাম কিন্তু আমি নিশ্চিত নই যে এটি আমার উদ্বেগকে সাহায্য করেছে নাকি বাড়িয়েছে। এক বছর পর, আমার প্রেমিক এবং বন্ধুদের সাহায্যে, আমি গাঁজা ধূমপান ছেড়ে দেওয়ার সিদ্ধান্ত নিই। একটু পরে আমিও সিগারেট ধূমপান ছেড়ে দেওয়ার সিদ্ধান্ত নিই। সময়টা ছিল ২০২১ সালের অক্টোবরের দিকে। তারপর আমি মাঝে মাঝে বিয়ার কিনতে শুরু করি। কয়েক সপ্তাহ পরে আমি প্রতিদিন বিয়ার কিনতাম এবং নিশ্চিত করতাম যে আমার ফ্রিজে সবসময় এটি পাওয়া যায়। প্রথমে, আমি ঘুমাতে সাহায্য করার জন্য এক বা দুটি বিয়ার খেতাম। এটি দুই থেকে তিনটিতে পরিণত হয়। এবং তারপর পুরো ৬ প্যাকেট।</v>
      </c>
    </row>
    <row r="1794" spans="1:3" ht="15" x14ac:dyDescent="0.25">
      <c r="A1794" s="3" t="s">
        <v>1788</v>
      </c>
      <c r="B1794" s="3" t="s">
        <v>997</v>
      </c>
      <c r="C1794" s="4" t="str">
        <f ca="1">IFERROR(__xludf.DUMMYFUNCTION("GOOGLETRANSLATE(A1794, ""auto"", ""bn"")"),"আমি ২০ বছর ধরে মদ্যপানের সাথে লড়াই করছি। (৩৬ বছর বয়সী পুরুষ)। গত তিন বছর ধরে আমি আমার পুরো জীবন হারিয়ে ফেলেছি। আমার বাগদত্তা দুই বছর আগে মদ্যপানের ফলে তীব্র লিভার ফেইলিওরের কারণে আমাকে ছেড়ে চলে যায়। আমি সেই অবস্থা থেকে সেরে উঠেছিলাম এবং আমার বাবা-মায"&amp;"়ের কাছে চলে যেতে হয়েছিল। তারপর থেকে, একাধিক ডিটক্সের পরে আমি অবশেষে পুনর্বাসনে যাওয়ার জন্য সংগ্রাম করছি। জীবন আমার জন্য নোংরা হয়ে উঠেছে। আমি যা চাই তা অর্জন করতে পারছি না। আমার কোন সন্তান নেই এবং বলার মতো কোনও ক্যারিয়ার নেই। তাছাড়া, আমি মদ্যপানের জন্"&amp;"য সবকিছু হারিয়েছি। তাছাড়া, আমি এখন শান্ত জীবনযাপন করছি কারণ এটিই সবচেয়ে ভালো, কিন্তু মাতাল অবস্থায় গাড়ি চালানোর জন্য আমি একটি অপরাধের শিকার হয়েছি তাই বাসস্থান খুঁজে পাওয়া একটি সমস্যা। মূলত মদ্যপান আমার জীবনকে ধ্বংস করে দিয়েছে, এবং আমি ক্লান্ত। আমার"&amp;" মনে হয় এটি কখনও ভালো হবে না এবং এটিই আমার জন্য। আমি আমার পুরানো জীবন এবং কীভাবে আমার সবকিছু ছিল তা নিয়ে চিন্তা করি, এবং এখন এটি সব হারিয়ে গেছে। তাছাড়া, আমি কেবল সেই সুখ/সাফল্যের অনুভূতি দেখতে পাচ্ছি না যা আমি কখনও ফিরে পেয়েছিলাম। তাছাড়া, আমি আজও শান্"&amp;"ত, কাজ করছি, আর জীবনের নানান সময় নিজেকে নিয়ন্ত্রণে নিচ্ছি। প্রতিদিনই আমার কাছে এটা একটা বাজে অনুভূতি।")</f>
        <v>আমি ২০ বছর ধরে মদ্যপানের সাথে লড়াই করছি। (৩৬ বছর বয়সী পুরুষ)। গত তিন বছর ধরে আমি আমার পুরো জীবন হারিয়ে ফেলেছি। আমার বাগদত্তা দুই বছর আগে মদ্যপানের ফলে তীব্র লিভার ফেইলিওরের কারণে আমাকে ছেড়ে চলে যায়। আমি সেই অবস্থা থেকে সেরে উঠেছিলাম এবং আমার বাবা-মায়ের কাছে চলে যেতে হয়েছিল। তারপর থেকে, একাধিক ডিটক্সের পরে আমি অবশেষে পুনর্বাসনে যাওয়ার জন্য সংগ্রাম করছি। জীবন আমার জন্য নোংরা হয়ে উঠেছে। আমি যা চাই তা অর্জন করতে পারছি না। আমার কোন সন্তান নেই এবং বলার মতো কোনও ক্যারিয়ার নেই। তাছাড়া, আমি মদ্যপানের জন্য সবকিছু হারিয়েছি। তাছাড়া, আমি এখন শান্ত জীবনযাপন করছি কারণ এটিই সবচেয়ে ভালো, কিন্তু মাতাল অবস্থায় গাড়ি চালানোর জন্য আমি একটি অপরাধের শিকার হয়েছি তাই বাসস্থান খুঁজে পাওয়া একটি সমস্যা। মূলত মদ্যপান আমার জীবনকে ধ্বংস করে দিয়েছে, এবং আমি ক্লান্ত। আমার মনে হয় এটি কখনও ভালো হবে না এবং এটিই আমার জন্য। আমি আমার পুরানো জীবন এবং কীভাবে আমার সবকিছু ছিল তা নিয়ে চিন্তা করি, এবং এখন এটি সব হারিয়ে গেছে। তাছাড়া, আমি কেবল সেই সুখ/সাফল্যের অনুভূতি দেখতে পাচ্ছি না যা আমি কখনও ফিরে পেয়েছিলাম। তাছাড়া, আমি আজও শান্ত, কাজ করছি, আর জীবনের নানান সময় নিজেকে নিয়ন্ত্রণে নিচ্ছি। প্রতিদিনই আমার কাছে এটা একটা বাজে অনুভূতি।</v>
      </c>
    </row>
    <row r="1795" spans="1:3" ht="15" x14ac:dyDescent="0.25">
      <c r="A1795" s="3" t="s">
        <v>1789</v>
      </c>
      <c r="B1795" s="3" t="s">
        <v>997</v>
      </c>
      <c r="C1795" s="4" t="str">
        <f ca="1">IFERROR(__xludf.DUMMYFUNCTION("GOOGLETRANSLATE(A1795, ""auto"", ""bn"")"),"গত বছর, প্রায় ৫ মাস আগে, আমি কেবল ইতিবাচক বিষয়গুলো উদযাপন করার জন্য বা বন্ধুদের সাথে নয়, বরং নেতিবাচক চিন্তাভাবনাগুলোকে চাপা দেওয়ার জন্য এবং বিভ্রান্ত হওয়ার জন্যও ক্রমশ মদ্যপান করতাম। এক সপ্তাহান্তে, ঘুম থেকে উঠে, ""আমি আর কখনও মদ্যপান করব না"" এই স্বাভাব"&amp;"িক কথা বলার পরিবর্তে এবং কয়েকদিন পর, আমি রেডিটে অনুসন্ধান করে এই সাবরেডিটটি খুঁজে পাই। আমার প্রথম পোস্টের মূল্যবান উত্তর পেয়েছি এবং এখানে মূল্যবান জিনিসগুলি পড়েছি। তারপর থেকে, আমি নিজেকে নিয়ন্ত্রণ করতে পারি যাতে আগের মতো এই মাদকের শিকার না হই। এই মুহূর"&amp;"্তে আমি জীবনের একটি খুব কঠিন পর্যায়ে আছি, এবং আমি বিশ্বাস করি যে যদি আমি মদ্যপান বন্ধ না করতাম, তাহলে আমি খুব ভয়ঙ্কর এবং গভীর গর্তে পড়ে যেতাম।")</f>
        <v>গত বছর, প্রায় ৫ মাস আগে, আমি কেবল ইতিবাচক বিষয়গুলো উদযাপন করার জন্য বা বন্ধুদের সাথে নয়, বরং নেতিবাচক চিন্তাভাবনাগুলোকে চাপা দেওয়ার জন্য এবং বিভ্রান্ত হওয়ার জন্যও ক্রমশ মদ্যপান করতাম। এক সপ্তাহান্তে, ঘুম থেকে উঠে, "আমি আর কখনও মদ্যপান করব না" এই স্বাভাবিক কথা বলার পরিবর্তে এবং কয়েকদিন পর, আমি রেডিটে অনুসন্ধান করে এই সাবরেডিটটি খুঁজে পাই। আমার প্রথম পোস্টের মূল্যবান উত্তর পেয়েছি এবং এখানে মূল্যবান জিনিসগুলি পড়েছি। তারপর থেকে, আমি নিজেকে নিয়ন্ত্রণ করতে পারি যাতে আগের মতো এই মাদকের শিকার না হই। এই মুহূর্তে আমি জীবনের একটি খুব কঠিন পর্যায়ে আছি, এবং আমি বিশ্বাস করি যে যদি আমি মদ্যপান বন্ধ না করতাম, তাহলে আমি খুব ভয়ঙ্কর এবং গভীর গর্তে পড়ে যেতাম।</v>
      </c>
    </row>
    <row r="1796" spans="1:3" ht="15" x14ac:dyDescent="0.25">
      <c r="A1796" s="3" t="s">
        <v>1790</v>
      </c>
      <c r="B1796" s="3" t="s">
        <v>997</v>
      </c>
      <c r="C1796" s="4" t="str">
        <f ca="1">IFERROR(__xludf.DUMMYFUNCTION("GOOGLETRANSLATE(A1796, ""auto"", ""bn"")"),"এত চাপে আছি, এত বিষণ্ণ আর এত মদ্যপান করতে ইচ্ছে করছে? ১৬ বছর বয়সে অতিরিক্ত মদ্যপান শুরু করার পর আমার ওজন অনেক বেড়ে গেল। জীবনকে ঘৃণা করি। ২২ বছর বয়সী। প্রায় ৭ মাস ধরে প্রতিদিন গাড়ি চালাচ্ছি। এখন আমার একটা মদ্যপান খারাপ। আমার মনে হয় না আমি এই জিনিসটার"&amp;" জন্য যথেষ্ট শক্তিশালী!")</f>
        <v>এত চাপে আছি, এত বিষণ্ণ আর এত মদ্যপান করতে ইচ্ছে করছে? ১৬ বছর বয়সে অতিরিক্ত মদ্যপান শুরু করার পর আমার ওজন অনেক বেড়ে গেল। জীবনকে ঘৃণা করি। ২২ বছর বয়সী। প্রায় ৭ মাস ধরে প্রতিদিন গাড়ি চালাচ্ছি। এখন আমার একটা মদ্যপান খারাপ। আমার মনে হয় না আমি এই জিনিসটার জন্য যথেষ্ট শক্তিশালী!</v>
      </c>
    </row>
    <row r="1797" spans="1:3" ht="15" x14ac:dyDescent="0.25">
      <c r="A1797" s="3" t="s">
        <v>1791</v>
      </c>
      <c r="B1797" s="3" t="s">
        <v>997</v>
      </c>
      <c r="C1797" s="4" t="str">
        <f ca="1">IFERROR(__xludf.DUMMYFUNCTION("GOOGLETRANSLATE(A1797, ""auto"", ""bn"")"),"আমার ওজন আমার জন্য খুবই উদ্বেগের বিষয়। আমার ওজন ২৩০ পাউন্ড এবং উচ্চতা ৫'২, তাই আমার মনে হয় এটা আমার স্বাস্থ্যের জন্য জরুরি (এবং কিছুটা কারণও যে কারণে আমার মদ্যপান বন্ধ করা উচিত)। গতকাল আবার AA-তে যাওয়া শুরু করেছি এবং আজ আবার যাচ্ছি। আমি আগে ক্যালোরি গণ"&amp;"না এবং একই সাথে মদ্যপান কমানোর চেষ্টা করেছি, কিন্তু কয়েকদিন পর ব্যর্থ হয়েছি। কিন্তু যখন আমি মদ্যপান ছেড়ে দিলে ক্যালোরি গণনা করি না তখন আমি পাগলের মতো খাই। কোন পরামর্শ? যেমন মানুষ বলে যে কয়েক পাউন্ড আপনাকে এখানে মারবে না, কিন্তু আমার ইতিমধ্যেই কয়েক পা"&amp;"উন্ডের বেশি আছে এবং আমার জুতা বাঁধতে কি সমস্যা হচ্ছে, এটা সত্যিই আমার জীবনকেও প্রভাবিত করছে।")</f>
        <v>আমার ওজন আমার জন্য খুবই উদ্বেগের বিষয়। আমার ওজন ২৩০ পাউন্ড এবং উচ্চতা ৫'২, তাই আমার মনে হয় এটা আমার স্বাস্থ্যের জন্য জরুরি (এবং কিছুটা কারণও যে কারণে আমার মদ্যপান বন্ধ করা উচিত)। গতকাল আবার AA-তে যাওয়া শুরু করেছি এবং আজ আবার যাচ্ছি। আমি আগে ক্যালোরি গণনা এবং একই সাথে মদ্যপান কমানোর চেষ্টা করেছি, কিন্তু কয়েকদিন পর ব্যর্থ হয়েছি। কিন্তু যখন আমি মদ্যপান ছেড়ে দিলে ক্যালোরি গণনা করি না তখন আমি পাগলের মতো খাই। কোন পরামর্শ? যেমন মানুষ বলে যে কয়েক পাউন্ড আপনাকে এখানে মারবে না, কিন্তু আমার ইতিমধ্যেই কয়েক পাউন্ডের বেশি আছে এবং আমার জুতা বাঁধতে কি সমস্যা হচ্ছে, এটা সত্যিই আমার জীবনকেও প্রভাবিত করছে।</v>
      </c>
    </row>
    <row r="1798" spans="1:3" ht="15" x14ac:dyDescent="0.25">
      <c r="A1798" s="3" t="s">
        <v>1792</v>
      </c>
      <c r="B1798" s="3" t="s">
        <v>997</v>
      </c>
      <c r="C1798" s="4" t="str">
        <f ca="1">IFERROR(__xludf.DUMMYFUNCTION("GOOGLETRANSLATE(A1798, ""auto"", ""bn"")"),"ছোট্ট বাচ্চাটি মাঝরাতে কাশি, পানি জমে যাওয়া এবং জ্বরে ভুগতে শুরু করে। বেচারা সারা রাত জেগে ছিল, আমি তাকে আমার সাথে বিছানায় শুইয়ে রেখেছিলাম এবং আমরা কেউই খুব একটা ঘুমাতে পারিনি। আজ সে কিছুটা সুস্থ এবং আমি নিশ্চিত যে সে এক বা দুই দিনের মধ্যে নিজের মতো হয"&amp;"়ে যাবে। আমি কান্নাকাটি বা সহানুভূতি পাওয়ার জন্য পোস্ট করছি না। আমি এটি পোস্ট করছি কারণ মদ্যপানের পর এই ধরণের রাতের সাথে আমি কখনও মানিয়ে নিতে পারব তা অবিশ্বাস্য। আমি জানি গত রাতে এবং আজ সকালে যখন তার আমার সবচেয়ে বেশি প্রয়োজন ছিল তখন আমি আমার মেয়েকে আ"&amp;"মার সেরা সংস্করণ দিয়েছি।")</f>
        <v>ছোট্ট বাচ্চাটি মাঝরাতে কাশি, পানি জমে যাওয়া এবং জ্বরে ভুগতে শুরু করে। বেচারা সারা রাত জেগে ছিল, আমি তাকে আমার সাথে বিছানায় শুইয়ে রেখেছিলাম এবং আমরা কেউই খুব একটা ঘুমাতে পারিনি। আজ সে কিছুটা সুস্থ এবং আমি নিশ্চিত যে সে এক বা দুই দিনের মধ্যে নিজের মতো হয়ে যাবে। আমি কান্নাকাটি বা সহানুভূতি পাওয়ার জন্য পোস্ট করছি না। আমি এটি পোস্ট করছি কারণ মদ্যপানের পর এই ধরণের রাতের সাথে আমি কখনও মানিয়ে নিতে পারব তা অবিশ্বাস্য। আমি জানি গত রাতে এবং আজ সকালে যখন তার আমার সবচেয়ে বেশি প্রয়োজন ছিল তখন আমি আমার মেয়েকে আমার সেরা সংস্করণ দিয়েছি।</v>
      </c>
    </row>
    <row r="1799" spans="1:3" ht="15" x14ac:dyDescent="0.25">
      <c r="A1799" s="3" t="s">
        <v>1793</v>
      </c>
      <c r="B1799" s="3" t="s">
        <v>997</v>
      </c>
      <c r="C1799" s="4" t="str">
        <f ca="1">IFERROR(__xludf.DUMMYFUNCTION("GOOGLETRANSLATE(A1799, ""auto"", ""bn"")"),"তাই এক মাস আমার জীবনকাল এবং আঙুলের এক টুকরো টুকরোর মতো মনে হলেও, আমি কখনও ভাবিনি যে আমি এখানে থাকব। আমি জীবিকা নির্বাহের জন্য অ্যালকোহল তৈরি করি। আমি একজন ব্রিউয়ার। তাছাড়া, সারাদিন আমার হাতের নাগালে সীমাহীন বিয়ার থাকে। তাছাড়া, আমি যেকোনো মুহূর্তে কর্ম"&amp;"ক্ষেত্রে পান করতে পারি, এবং এটি কেবল ভালোই হবে না, বরং কাজের একটি অংশ মাত্র। তাছাড়া, আমি জানি দীর্ঘমেয়াদে এটি এমন ক্যারিয়ার নয় যা আমি চিরকাল ধরে রাখতে চাই, এবং আমার জন্য স্বাস্থ্যকরও নয়, তবে আপাতত আমি এখানেই আছি, এবং কর্মক্ষেত্রে দিনের প্রতি সেকেন্ডে"&amp;" প্রলোভন দেখানোর জন্য ""ফাক ইউ"" বলার জন্য আমি নিজেকে নিয়ে গর্বিত। তাছাড়া, আমার পরিকল্পনা আছে একজন সফল স্বাস্থ্য কোচ হওয়ার। প্রক্রিয়াটি বিশ্বাস করুন। এখানে সকলকে ধন্যবাদ কারণ আমি জানি তোমাদের প্রত্যেকে ছাড়া আমি এই সাফল্যের এক ভাগও পেতে পারতাম না। আমি"&amp;" আজ তোমাদের সকলের সাথে পান করব না।")</f>
        <v>তাই এক মাস আমার জীবনকাল এবং আঙুলের এক টুকরো টুকরোর মতো মনে হলেও, আমি কখনও ভাবিনি যে আমি এখানে থাকব। আমি জীবিকা নির্বাহের জন্য অ্যালকোহল তৈরি করি। আমি একজন ব্রিউয়ার। তাছাড়া, সারাদিন আমার হাতের নাগালে সীমাহীন বিয়ার থাকে। তাছাড়া, আমি যেকোনো মুহূর্তে কর্মক্ষেত্রে পান করতে পারি, এবং এটি কেবল ভালোই হবে না, বরং কাজের একটি অংশ মাত্র। তাছাড়া, আমি জানি দীর্ঘমেয়াদে এটি এমন ক্যারিয়ার নয় যা আমি চিরকাল ধরে রাখতে চাই, এবং আমার জন্য স্বাস্থ্যকরও নয়, তবে আপাতত আমি এখানেই আছি, এবং কর্মক্ষেত্রে দিনের প্রতি সেকেন্ডে প্রলোভন দেখানোর জন্য "ফাক ইউ" বলার জন্য আমি নিজেকে নিয়ে গর্বিত। তাছাড়া, আমার পরিকল্পনা আছে একজন সফল স্বাস্থ্য কোচ হওয়ার। প্রক্রিয়াটি বিশ্বাস করুন। এখানে সকলকে ধন্যবাদ কারণ আমি জানি তোমাদের প্রত্যেকে ছাড়া আমি এই সাফল্যের এক ভাগও পেতে পারতাম না। আমি আজ তোমাদের সকলের সাথে পান করব না।</v>
      </c>
    </row>
    <row r="1800" spans="1:3" ht="15" x14ac:dyDescent="0.25">
      <c r="A1800" s="3" t="s">
        <v>1794</v>
      </c>
      <c r="B1800" s="3" t="s">
        <v>997</v>
      </c>
      <c r="C1800" s="4" t="str">
        <f ca="1">IFERROR(__xludf.DUMMYFUNCTION("GOOGLETRANSLATE(A1800, ""auto"", ""bn"")"),"এত দিন ধরে যত দিন কাজ করেছি, তার চেয়ে বেশি দিন কাজ করতে পেরেছি। আমার যে শক্তি আছে, তা অসাধারণ, এমনকি সাধারণ কাজও করতে আমার তেমন একটা কষ্ট হত না। গত তিন দিনে আমি একজন তারকা কর্মীও হয়ে উঠেছি! এই সাব-এর অন্যান্য গল্প পড়া, AA-তে যাওয়া, আমার স্পনসরের সাথে "&amp;"কথা বলা, একটি সহায়তা নেটওয়ার্ক তৈরি করা এবং নতুন শখ অন্বেষণ করা - এই সবকিছুই সাহায্য করছে। আমি মনে করি যদি তারা সাহায্য করে, তাহলে আমারটাও এটা মেনে চলবে!")</f>
        <v>এত দিন ধরে যত দিন কাজ করেছি, তার চেয়ে বেশি দিন কাজ করতে পেরেছি। আমার যে শক্তি আছে, তা অসাধারণ, এমনকি সাধারণ কাজও করতে আমার তেমন একটা কষ্ট হত না। গত তিন দিনে আমি একজন তারকা কর্মীও হয়ে উঠেছি! এই সাব-এর অন্যান্য গল্প পড়া, AA-তে যাওয়া, আমার স্পনসরের সাথে কথা বলা, একটি সহায়তা নেটওয়ার্ক তৈরি করা এবং নতুন শখ অন্বেষণ করা - এই সবকিছুই সাহায্য করছে। আমি মনে করি যদি তারা সাহায্য করে, তাহলে আমারটাও এটা মেনে চলবে!</v>
      </c>
    </row>
    <row r="1801" spans="1:3" ht="15" x14ac:dyDescent="0.25">
      <c r="A1801" s="3" t="s">
        <v>1795</v>
      </c>
      <c r="B1801" s="3" t="s">
        <v>997</v>
      </c>
      <c r="C1801" s="4" t="str">
        <f ca="1">IFERROR(__xludf.DUMMYFUNCTION("GOOGLETRANSLATE(A1801, ""auto"", ""bn"")"),"আমার এখন সত্যিই কষ্ট হচ্ছে। আমি একটা অবিশ্বাস্যরকম কঠিন থেরাপি সেশন থেকে বেরিয়ে এসেছি। তাছাড়া, আমি একটা মুদির দোকানে ঢুকলাম, আর বুঝতেই পারলাম না যে আমার গাড়িতে দুই বোতল ওয়াইন আছে। আমার মুখে ভরা ওয়াইনের কথা, জিভে সুড়সুড়ি দেওয়া খনিজ পদার্থ এবং অমেধ্"&amp;"যের কথা, আর গলা দিয়ে নেমে আসা টনসিলের তীব্র অ্যাসিডিটির অনুভূতি, তারপর কয়েক মিনিট সেরোটোনিনে স্নান করার পর... ঈশ্বর, আমি এখনই মুক্তি চাই।")</f>
        <v>আমার এখন সত্যিই কষ্ট হচ্ছে। আমি একটা অবিশ্বাস্যরকম কঠিন থেরাপি সেশন থেকে বেরিয়ে এসেছি। তাছাড়া, আমি একটা মুদির দোকানে ঢুকলাম, আর বুঝতেই পারলাম না যে আমার গাড়িতে দুই বোতল ওয়াইন আছে। আমার মুখে ভরা ওয়াইনের কথা, জিভে সুড়সুড়ি দেওয়া খনিজ পদার্থ এবং অমেধ্যের কথা, আর গলা দিয়ে নেমে আসা টনসিলের তীব্র অ্যাসিডিটির অনুভূতি, তারপর কয়েক মিনিট সেরোটোনিনে স্নান করার পর... ঈশ্বর, আমি এখনই মুক্তি চাই।</v>
      </c>
    </row>
    <row r="1802" spans="1:3" ht="15" x14ac:dyDescent="0.25">
      <c r="A1802" s="3" t="s">
        <v>1796</v>
      </c>
      <c r="B1802" s="3" t="s">
        <v>997</v>
      </c>
      <c r="C1802" s="4" t="str">
        <f ca="1">IFERROR(__xludf.DUMMYFUNCTION("GOOGLETRANSLATE(A1802, ""auto"", ""bn"")"),"প্রথমবারের মতো পোস্টারটি এখানে। আমি যখন মদ্যপান শুরু করি তখন থামাতে আমার সবসময়ই সমস্যা হয়েছে। যদি আমি শান্ত থাকি তবে আমার মদ্যপানের প্রয়োজন বোধ হয় না কিন্তু যদি আমি শুরু করি তবে আমাকে সম্পূর্ণরূপে আঘাত করা থেকে আটকানো কার্যত কোনওভাবেই থামানো যাচ্ছে না"&amp;"। দুই বছর আগে একটি DUI এবং একটি দুর্ঘটনাগ্রস্ত গাড়ি এবং এখন এই ভয়াবহ অনুভূতি যে আমাকে কেবল থামাতে হবে। কেবল চারপাশে তাকিয়ে, এবং আমি মনে করি এটি শুরু করার জন্য একটি ভাল জায়গা। আমি এর চেয়ে ভাল, এবং আরও ভাল করতে পারি। শুরু করার পরে আমার খুব কম নিয়ন্ত্র"&amp;"ণ থাকে। তাই সবচেয়ে ভাল উপায় হবে কেবল থামানো, তাই না? আবার আমার কাঠের কাজে নিজেকে নিক্ষেপ করব এবং আমার সম্পর্কের উপর মনোযোগ দেব।")</f>
        <v>প্রথমবারের মতো পোস্টারটি এখানে। আমি যখন মদ্যপান শুরু করি তখন থামাতে আমার সবসময়ই সমস্যা হয়েছে। যদি আমি শান্ত থাকি তবে আমার মদ্যপানের প্রয়োজন বোধ হয় না কিন্তু যদি আমি শুরু করি তবে আমাকে সম্পূর্ণরূপে আঘাত করা থেকে আটকানো কার্যত কোনওভাবেই থামানো যাচ্ছে না। দুই বছর আগে একটি DUI এবং একটি দুর্ঘটনাগ্রস্ত গাড়ি এবং এখন এই ভয়াবহ অনুভূতি যে আমাকে কেবল থামাতে হবে। কেবল চারপাশে তাকিয়ে, এবং আমি মনে করি এটি শুরু করার জন্য একটি ভাল জায়গা। আমি এর চেয়ে ভাল, এবং আরও ভাল করতে পারি। শুরু করার পরে আমার খুব কম নিয়ন্ত্রণ থাকে। তাই সবচেয়ে ভাল উপায় হবে কেবল থামানো, তাই না? আবার আমার কাঠের কাজে নিজেকে নিক্ষেপ করব এবং আমার সম্পর্কের উপর মনোযোগ দেব।</v>
      </c>
    </row>
    <row r="1803" spans="1:3" ht="15" x14ac:dyDescent="0.25">
      <c r="A1803" s="3" t="s">
        <v>1797</v>
      </c>
      <c r="B1803" s="3" t="s">
        <v>997</v>
      </c>
      <c r="C1803" s="4" t="str">
        <f ca="1">IFERROR(__xludf.DUMMYFUNCTION("GOOGLETRANSLATE(A1803, ""auto"", ""bn"")"),"আমার বয়স যখন ২০ (এখন আমার বয়স ২৯) তখন থেকেই ""মজা"" লেগেছে? বেশিরভাগ সময় বারে রাত কাটানো, অ্যালিতে বোলিং করা, বন্ধুদের অ্যাপার্টমেন্ট ইত্যাদিতে কাটানো হত কিন্তু ""মজা"" সবসময় মদ্যপানের সাথে জড়িত ছিল। তাই গত সপ্তাহে যখন বিষণ্ণতা আমাকে আঘাত করেছে, তখন আমি ব"&amp;"ুঝতে পেরেছি যে আমি ""বুস্ট"" করার জন্য মদ্যপান করছি? এত সহজ আনন্দ যে অ্যালকোহল ছাড়া আমি আসলে সেগুলো উপভোগ্য মনে করি না। মনে হচ্ছে এই নতুন অবসর সময়টা নিয়ে কী করব। প্রথমে ২-৩ রাত মদ্যপান এবং সামাজিকীকরণের জন্য নিবেদিত ছিল। এবং তারপর কোভিড আঘাত হানার পর ৭ র"&amp;"াত মদ্যপান এবং প্লেস্টেশন খেলা। এখন দুটোই নেই এবং আমি সেই শূন্যস্থান পূরণের উপায় খুঁজে বের করার চেষ্টা করছি। অনেকেই ব্যায়াম এবং পড়াশোনা করার পরামর্শ দিয়েছেন, যা আমি বিবেচনায় নিতে পারি, আমি কেবল আশা করছি যে এই গভীর একঘেয়েমি মোকাবেলা করার জন্য এটি যথেষ্ট। "&amp;"এইটুকুই। কোনও আসল মদ্যপানের আকাঙ্ক্ষা নেই। কেবল বিরক্তিকর এবং দুঃখজনক")</f>
        <v>আমার বয়স যখন ২০ (এখন আমার বয়স ২৯) তখন থেকেই "মজা" লেগেছে? বেশিরভাগ সময় বারে রাত কাটানো, অ্যালিতে বোলিং করা, বন্ধুদের অ্যাপার্টমেন্ট ইত্যাদিতে কাটানো হত কিন্তু "মজা" সবসময় মদ্যপানের সাথে জড়িত ছিল। তাই গত সপ্তাহে যখন বিষণ্ণতা আমাকে আঘাত করেছে, তখন আমি বুঝতে পেরেছি যে আমি "বুস্ট" করার জন্য মদ্যপান করছি? এত সহজ আনন্দ যে অ্যালকোহল ছাড়া আমি আসলে সেগুলো উপভোগ্য মনে করি না। মনে হচ্ছে এই নতুন অবসর সময়টা নিয়ে কী করব। প্রথমে ২-৩ রাত মদ্যপান এবং সামাজিকীকরণের জন্য নিবেদিত ছিল। এবং তারপর কোভিড আঘাত হানার পর ৭ রাত মদ্যপান এবং প্লেস্টেশন খেলা। এখন দুটোই নেই এবং আমি সেই শূন্যস্থান পূরণের উপায় খুঁজে বের করার চেষ্টা করছি। অনেকেই ব্যায়াম এবং পড়াশোনা করার পরামর্শ দিয়েছেন, যা আমি বিবেচনায় নিতে পারি, আমি কেবল আশা করছি যে এই গভীর একঘেয়েমি মোকাবেলা করার জন্য এটি যথেষ্ট। এইটুকুই। কোনও আসল মদ্যপানের আকাঙ্ক্ষা নেই। কেবল বিরক্তিকর এবং দুঃখজনক</v>
      </c>
    </row>
    <row r="1804" spans="1:3" ht="15" x14ac:dyDescent="0.25">
      <c r="A1804" s="3" t="s">
        <v>1798</v>
      </c>
      <c r="B1804" s="3" t="s">
        <v>997</v>
      </c>
      <c r="C1804" s="4" t="str">
        <f ca="1">IFERROR(__xludf.DUMMYFUNCTION("GOOGLETRANSLATE(A1804, ""auto"", ""bn"")"),"৫৩ দিন কেটে গেল তারপর ওয়াইন খেয়ে ফেললাম কারণ আমি ক্ষুধার্ত, রাগী এবং ক্লান্ত ছিলাম! শিক্ষাটা শিখেছি। পরের বার জিমে যাওয়ার কথা থাকলেও কিছু খাবে। নিশ্চিন্তে পড়ে যাওয়ার চেয়ে ওয়ার্কআউট এড়িয়ে যাওয়া ভালো।")</f>
        <v>৫৩ দিন কেটে গেল তারপর ওয়াইন খেয়ে ফেললাম কারণ আমি ক্ষুধার্ত, রাগী এবং ক্লান্ত ছিলাম! শিক্ষাটা শিখেছি। পরের বার জিমে যাওয়ার কথা থাকলেও কিছু খাবে। নিশ্চিন্তে পড়ে যাওয়ার চেয়ে ওয়ার্কআউট এড়িয়ে যাওয়া ভালো।</v>
      </c>
    </row>
    <row r="1805" spans="1:3" ht="15" x14ac:dyDescent="0.25">
      <c r="A1805" s="3" t="s">
        <v>1799</v>
      </c>
      <c r="B1805" s="3" t="s">
        <v>997</v>
      </c>
      <c r="C1805" s="4" t="str">
        <f ca="1">IFERROR(__xludf.DUMMYFUNCTION("GOOGLETRANSLATE(A1805, ""auto"", ""bn"")"),"? উদ্বেগ? কি ""উদ্বেগ"" থেকে আলাদা? উদ্বেগ একটি মানসিক অবস্থা? চিন্তার একটি সিরিজ, যা নিয়ন্ত্রণ করা কঠিন এবং প্রকৃতিগতভাবে অনুপ্রবেশকারী, যা উদ্বেগের দিকে পরিচালিত করতে পারে। উদ্বেগ একটি শারীরিক, হরমোনজনিত, রাসায়নিক ভয় যা উদ্বেগজনক চিন্তাভাবনা বা স্নায"&amp;"়বিক/শারীরিক সমস্যা থেকে উদ্ভূত হতে পারে যার মানসিক অবস্থার সাথে খুব একটা সম্পর্ক নেই। আচ্ছা, আমি ইউক্রেন সম্পর্কে সত্যিই চিন্তিত। আমার সেখানে পরিবার আছে? সংঘাতের মাঝামাঝি সময়ে। এটা দুঃখজনক এবং বিরক্তিকর যে ইউক্রেন এবং রাশিয়া, (যারা পারিবারিক বন্ধন, সংস"&amp;"্কৃতি, ভাষা ইত্যাদি ক্ষেত্রে মার্কিন যুক্তরাষ্ট্র এবং কানাডার মতো) যুদ্ধের কাছাকাছি, এবং মিডিয়া যেকোনো কারণেই যুদ্ধের ঢোল বাজাচ্ছে। আমি সত্যিই মদ্যপানের কথা ভাবছি। এটা আশ্চর্যজনক? আমি কখনও মদ্যপান করিনি কারণ আমি খারাপ চিন্তাভাবনা মনে করি বা খারাপ অনুভূতি"&amp;" অনুভব করি। আমি আগে মদ্যপান করতাম কারণ এটি মজাদার, এবং এটি সময় কাটানোকে আরও ভাল করে তোলে।")</f>
        <v>? উদ্বেগ? কি "উদ্বেগ" থেকে আলাদা? উদ্বেগ একটি মানসিক অবস্থা? চিন্তার একটি সিরিজ, যা নিয়ন্ত্রণ করা কঠিন এবং প্রকৃতিগতভাবে অনুপ্রবেশকারী, যা উদ্বেগের দিকে পরিচালিত করতে পারে। উদ্বেগ একটি শারীরিক, হরমোনজনিত, রাসায়নিক ভয় যা উদ্বেগজনক চিন্তাভাবনা বা স্নায়বিক/শারীরিক সমস্যা থেকে উদ্ভূত হতে পারে যার মানসিক অবস্থার সাথে খুব একটা সম্পর্ক নেই। আচ্ছা, আমি ইউক্রেন সম্পর্কে সত্যিই চিন্তিত। আমার সেখানে পরিবার আছে? সংঘাতের মাঝামাঝি সময়ে। এটা দুঃখজনক এবং বিরক্তিকর যে ইউক্রেন এবং রাশিয়া, (যারা পারিবারিক বন্ধন, সংস্কৃতি, ভাষা ইত্যাদি ক্ষেত্রে মার্কিন যুক্তরাষ্ট্র এবং কানাডার মতো) যুদ্ধের কাছাকাছি, এবং মিডিয়া যেকোনো কারণেই যুদ্ধের ঢোল বাজাচ্ছে। আমি সত্যিই মদ্যপানের কথা ভাবছি। এটা আশ্চর্যজনক? আমি কখনও মদ্যপান করিনি কারণ আমি খারাপ চিন্তাভাবনা মনে করি বা খারাপ অনুভূতি অনুভব করি। আমি আগে মদ্যপান করতাম কারণ এটি মজাদার, এবং এটি সময় কাটানোকে আরও ভাল করে তোলে।</v>
      </c>
    </row>
    <row r="1806" spans="1:3" ht="15" x14ac:dyDescent="0.25">
      <c r="A1806" s="3" t="s">
        <v>1800</v>
      </c>
      <c r="B1806" s="3" t="s">
        <v>997</v>
      </c>
      <c r="C1806" s="4" t="str">
        <f ca="1">IFERROR(__xludf.DUMMYFUNCTION("GOOGLETRANSLATE(A1806, ""auto"", ""bn"")"),"তাই আমি সত্যি বলতে পারি যে এটা কীভাবে ঘটেছে তা দেখে আমি অবাক। আমার SO জানে যে আমি মদ্যপান করছি না (সে এখনও করে) এবং গত রাতে বাড়ি থেকে বিয়ার এবং ওয়াইন এনেছে (সে আসলে মাত্র এক পানীয় পান করতে পারে)। আমি এক ফোঁটাও স্পর্শ করিনি এবং যদিও আমি প্রলুব্ধ হয়েছি"&amp;" আমি আজ পান করব না। আমি ভালো বোধ করছি বলে নয়, কারণ আমি শক্তিশালী, বরং কারণ আমি লক্ষ লক্ষবারের জন্য আমার ব্যাজ রিসেট করতে চাই না! কখনও কখনও এই সংখ্যাটিই আমাকে টিকিয়ে রাখে! আমি ওয়াইনটি ফেলে দিতে যাচ্ছি কারণ আমি জানি আমার স্বামী এতে কিছু ভাববে না। সে ক্ষম"&amp;"া চেয়েছিল এবং বুঝতে পারেনি যে আমি সত্যিই শেষ করেছি... সে ভেবেছিল আমি কেবল বিরতি নিচ্ছি এবং/অথবা দায়িত্বশীলভাবে পান করার চেষ্টা করছি... যা আমি জানি আমি পারব না! INDY কারণ আমি একগুঁয়ে")</f>
        <v>তাই আমি সত্যি বলতে পারি যে এটা কীভাবে ঘটেছে তা দেখে আমি অবাক। আমার SO জানে যে আমি মদ্যপান করছি না (সে এখনও করে) এবং গত রাতে বাড়ি থেকে বিয়ার এবং ওয়াইন এনেছে (সে আসলে মাত্র এক পানীয় পান করতে পারে)। আমি এক ফোঁটাও স্পর্শ করিনি এবং যদিও আমি প্রলুব্ধ হয়েছি আমি আজ পান করব না। আমি ভালো বোধ করছি বলে নয়, কারণ আমি শক্তিশালী, বরং কারণ আমি লক্ষ লক্ষবারের জন্য আমার ব্যাজ রিসেট করতে চাই না! কখনও কখনও এই সংখ্যাটিই আমাকে টিকিয়ে রাখে! আমি ওয়াইনটি ফেলে দিতে যাচ্ছি কারণ আমি জানি আমার স্বামী এতে কিছু ভাববে না। সে ক্ষমা চেয়েছিল এবং বুঝতে পারেনি যে আমি সত্যিই শেষ করেছি... সে ভেবেছিল আমি কেবল বিরতি নিচ্ছি এবং/অথবা দায়িত্বশীলভাবে পান করার চেষ্টা করছি... যা আমি জানি আমি পারব না! INDY কারণ আমি একগুঁয়ে</v>
      </c>
    </row>
    <row r="1807" spans="1:3" ht="15" x14ac:dyDescent="0.25">
      <c r="A1807" s="3" t="s">
        <v>1801</v>
      </c>
      <c r="B1807" s="3" t="s">
        <v>997</v>
      </c>
      <c r="C1807" s="4" t="str">
        <f ca="1">IFERROR(__xludf.DUMMYFUNCTION("GOOGLETRANSLATE(A1807, ""auto"", ""bn"")"),"তাই আমার ঘুম ভেঙে গেল যখন আমি আমার মায়ের গাড়ির পাশ ঘষেছিলাম, তখন অন্যরা চিৎকার করছিল। আমি মাতাল ছিলাম, এবং আমি টাকো বেলের দিকে গাড়ি চালিয়ে গেলাম। এটা সত্যিই একটা ভয়ঙ্কর সিদ্ধান্ত। আমার খুব লজ্জা লাগছে এবং সবাই আমার উপর রেগে আছে। আমি আর এটা করতে পারছি"&amp;" না। তাছাড়া, আমি শুধু একবার মদ্যপান করতে পারি না, সবসময় দেখা যায় যে আমি একজন বড় বোকা এবং মানুষকে কষ্ট দিচ্ছি। তাছাড়া, আমি কেবল শান্ত থাকতে চাই এবং আবার একজন ভালো মানুষ হতে চাই। আজ ভালোর জন্য প্রথম দিন।")</f>
        <v>তাই আমার ঘুম ভেঙে গেল যখন আমি আমার মায়ের গাড়ির পাশ ঘষেছিলাম, তখন অন্যরা চিৎকার করছিল। আমি মাতাল ছিলাম, এবং আমি টাকো বেলের দিকে গাড়ি চালিয়ে গেলাম। এটা সত্যিই একটা ভয়ঙ্কর সিদ্ধান্ত। আমার খুব লজ্জা লাগছে এবং সবাই আমার উপর রেগে আছে। আমি আর এটা করতে পারছি না। তাছাড়া, আমি শুধু একবার মদ্যপান করতে পারি না, সবসময় দেখা যায় যে আমি একজন বড় বোকা এবং মানুষকে কষ্ট দিচ্ছি। তাছাড়া, আমি কেবল শান্ত থাকতে চাই এবং আবার একজন ভালো মানুষ হতে চাই। আজ ভালোর জন্য প্রথম দিন।</v>
      </c>
    </row>
    <row r="1808" spans="1:3" ht="15" x14ac:dyDescent="0.25">
      <c r="A1808" s="3" t="s">
        <v>1802</v>
      </c>
      <c r="B1808" s="3" t="s">
        <v>997</v>
      </c>
      <c r="C1808" s="4" t="str">
        <f ca="1">IFERROR(__xludf.DUMMYFUNCTION("GOOGLETRANSLATE(A1808, ""auto"", ""bn"")"),"কিন্তু আমি ঠিক আছি। আমি ঘুম থেকে উঠেছি। আমার ইচ্ছার বিরুদ্ধে, কারণ গতকাল আমি আত্মহত্যা করার চেষ্টা করেছি। মদ্যপান আমার জন্য মজার কিছু নয়। এটা আমার কোন উপকারে আসে না। আমি নিজেকে ক্রমাগত নির্যাতন করার এবং আমার শরীরের ক্ষতি করার যোগ্য নই। আজ আমি ঘুম থেকে উঠ"&amp;"েছি, এবং আমার আর কোনও যুক্তিসঙ্গত কারণ থাকার কথা নয়, কেবল এই যে আমার কাজ শেষ হয়নি। আমি কোনও ভয়ঙ্কর ব্যক্তি নই যে আমি কেবল গভীরভাবে কষ্ট পাচ্ছি। তাছাড়া, আমি এটা চাই না, তাই এখন আবার সিদ্ধান্তে ফিরে আসার সময়। আমি যে প্রথম পদক্ষেপ নিচ্ছি তা হল নিজেকে একট"&amp;"ু বিরতি দেওয়া। একটা নিঃশ্বাস নেওয়া এবং বলা যে আমার জন্য আমি দুঃখিত। আমি এটা করতে পারি। প্রথম দিন। পেট খারাপ, কিন্তু হাল ছাড়ছি না। শুভ সোমবার, আশা করি তোমরা সবাই অপেক্ষা করছো।")</f>
        <v>কিন্তু আমি ঠিক আছি। আমি ঘুম থেকে উঠেছি। আমার ইচ্ছার বিরুদ্ধে, কারণ গতকাল আমি আত্মহত্যা করার চেষ্টা করেছি। মদ্যপান আমার জন্য মজার কিছু নয়। এটা আমার কোন উপকারে আসে না। আমি নিজেকে ক্রমাগত নির্যাতন করার এবং আমার শরীরের ক্ষতি করার যোগ্য নই। আজ আমি ঘুম থেকে উঠেছি, এবং আমার আর কোনও যুক্তিসঙ্গত কারণ থাকার কথা নয়, কেবল এই যে আমার কাজ শেষ হয়নি। আমি কোনও ভয়ঙ্কর ব্যক্তি নই যে আমি কেবল গভীরভাবে কষ্ট পাচ্ছি। তাছাড়া, আমি এটা চাই না, তাই এখন আবার সিদ্ধান্তে ফিরে আসার সময়। আমি যে প্রথম পদক্ষেপ নিচ্ছি তা হল নিজেকে একটু বিরতি দেওয়া। একটা নিঃশ্বাস নেওয়া এবং বলা যে আমার জন্য আমি দুঃখিত। আমি এটা করতে পারি। প্রথম দিন। পেট খারাপ, কিন্তু হাল ছাড়ছি না। শুভ সোমবার, আশা করি তোমরা সবাই অপেক্ষা করছো।</v>
      </c>
    </row>
    <row r="1809" spans="1:3" ht="15" x14ac:dyDescent="0.25">
      <c r="A1809" s="3" t="s">
        <v>1803</v>
      </c>
      <c r="B1809" s="3" t="s">
        <v>997</v>
      </c>
      <c r="C1809" s="4" t="str">
        <f ca="1">IFERROR(__xludf.DUMMYFUNCTION("GOOGLETRANSLATE(A1809, ""auto"", ""bn"")"),"?এবং এটা ঠিক ছিল। আমার ভালো লাগছিল না, এবং আমি আসলে মজাও করিনি, কিন্তু আমি নিজেকে বিষ প্রয়োগ করিনি, বা স্ত্রীকে হতাশ করিনি, বা বোকা বা বিপজ্জনক কিছু করার ঝুঁকি নিইনি, বা প্রতিবেশীদের সামনে নিজেকে বিব্রত করিনি, বা আমার স্বাস্থ্যের আরও অবনতি করিনি, বা মদের"&amp;" উপর ১০০ ডলারের বেশি খরচ করিনি। আসলে, আমার মনে হয় এটি একটি নির্দিষ্ট দৃষ্টিকোণ থেকে বেশ ভালো সপ্তাহান্ত ছিল!")</f>
        <v>?এবং এটা ঠিক ছিল। আমার ভালো লাগছিল না, এবং আমি আসলে মজাও করিনি, কিন্তু আমি নিজেকে বিষ প্রয়োগ করিনি, বা স্ত্রীকে হতাশ করিনি, বা বোকা বা বিপজ্জনক কিছু করার ঝুঁকি নিইনি, বা প্রতিবেশীদের সামনে নিজেকে বিব্রত করিনি, বা আমার স্বাস্থ্যের আরও অবনতি করিনি, বা মদের উপর ১০০ ডলারের বেশি খরচ করিনি। আসলে, আমার মনে হয় এটি একটি নির্দিষ্ট দৃষ্টিকোণ থেকে বেশ ভালো সপ্তাহান্ত ছিল!</v>
      </c>
    </row>
    <row r="1810" spans="1:3" ht="15" x14ac:dyDescent="0.25">
      <c r="A1810" s="3" t="s">
        <v>1804</v>
      </c>
      <c r="B1810" s="3" t="s">
        <v>997</v>
      </c>
      <c r="C1810" s="4" t="str">
        <f ca="1">IFERROR(__xludf.DUMMYFUNCTION("GOOGLETRANSLATE(A1810, ""auto"", ""bn"")"),"আমার মনে হচ্ছে এখন আমার যৌন আকাঙ্ক্ষা একেবারেই নেই। আমি অবিবাহিত এবং কারো সাথে সম্পর্কে জড়ানোর কোনও ইচ্ছা নেই। তাছাড়া, মদ্যপান বন্ধ করার প্রায় এক মাস আগে থেকে আমি আর শয়ন করিনি, তবে আমার তেমন আগ্রহ নেই। তাছাড়া, আমি প্রচুর ওজন তুলছি যা সাধারণত আমার যৌন"&amp;" আকাঙ্ক্ষাকে চরমে তোলে, কিন্তু বর্তমানে তা হয় না।")</f>
        <v>আমার মনে হচ্ছে এখন আমার যৌন আকাঙ্ক্ষা একেবারেই নেই। আমি অবিবাহিত এবং কারো সাথে সম্পর্কে জড়ানোর কোনও ইচ্ছা নেই। তাছাড়া, মদ্যপান বন্ধ করার প্রায় এক মাস আগে থেকে আমি আর শয়ন করিনি, তবে আমার তেমন আগ্রহ নেই। তাছাড়া, আমি প্রচুর ওজন তুলছি যা সাধারণত আমার যৌন আকাঙ্ক্ষাকে চরমে তোলে, কিন্তু বর্তমানে তা হয় না।</v>
      </c>
    </row>
    <row r="1811" spans="1:3" ht="15" x14ac:dyDescent="0.25">
      <c r="A1811" s="3" t="s">
        <v>1805</v>
      </c>
      <c r="B1811" s="3" t="s">
        <v>997</v>
      </c>
      <c r="C1811" s="4" t="str">
        <f ca="1">IFERROR(__xludf.DUMMYFUNCTION("GOOGLETRANSLATE(A1811, ""auto"", ""bn"")"),"আমার মনে হয়, সংযমের সাথে সাথে মিথ্যা বলা এবং অজুহাত দেখানোর অভ্যাসটা কমে যাচ্ছে। ছোটবেলা থেকেই এটা শুরু হয়েছে এবং অবশ্যই মদের অভ্যাসটা আরও খারাপ হয়ে গেছে। আমি সবসময় গল্প তৈরি করতে এবং সৃজনশীলতার মাধ্যমে অপ্রীতিকর পরিস্থিতি থেকে বেরিয়ে আসার পথ খুঁজে ব"&amp;"ের করতে ভালোবাসতাম। কিন্তু ক্রমশ তা আরও করুণ হয়ে উঠছিল। আমার প্রিয় মানুষদের কাছে বলা সব মিথ্যা কথা মনে পড়লে আমার খুব খারাপ লাগে। কিন্তু মাঝে মাঝে এটা মনে রাখা গুরুত্বপূর্ণ।")</f>
        <v>আমার মনে হয়, সংযমের সাথে সাথে মিথ্যা বলা এবং অজুহাত দেখানোর অভ্যাসটা কমে যাচ্ছে। ছোটবেলা থেকেই এটা শুরু হয়েছে এবং অবশ্যই মদের অভ্যাসটা আরও খারাপ হয়ে গেছে। আমি সবসময় গল্প তৈরি করতে এবং সৃজনশীলতার মাধ্যমে অপ্রীতিকর পরিস্থিতি থেকে বেরিয়ে আসার পথ খুঁজে বের করতে ভালোবাসতাম। কিন্তু ক্রমশ তা আরও করুণ হয়ে উঠছিল। আমার প্রিয় মানুষদের কাছে বলা সব মিথ্যা কথা মনে পড়লে আমার খুব খারাপ লাগে। কিন্তু মাঝে মাঝে এটা মনে রাখা গুরুত্বপূর্ণ।</v>
      </c>
    </row>
    <row r="1812" spans="1:3" ht="15" x14ac:dyDescent="0.25">
      <c r="A1812" s="3" t="s">
        <v>1806</v>
      </c>
      <c r="B1812" s="3" t="s">
        <v>997</v>
      </c>
      <c r="C1812" s="4" t="str">
        <f ca="1">IFERROR(__xludf.DUMMYFUNCTION("GOOGLETRANSLATE(A1812, ""auto"", ""bn"")"),"আমি ""মায়ের মতো ওয়াইন সংস্কৃতির"" অংশ হয়ে গেছি। এখন আমার মনে হচ্ছে এটা কেবল পানীয়ের চেয়েও বেশি কিছু, যা থেকে আমি মদ্যপান থেকে মুক্তি পাচ্ছি। গত কয়েক রাতে আমি আসলে আমার চায়ে হুইস্কি মিশিয়েছিলাম। আমি এটাকে ""স্বাভাবিক নয়"" বলছি। এটা আমার জন্য লজ্জা"&amp;"জনক আচরণ। সম্প্রতি কোভিডের কারণে আমার খুব খারাপ সময় কেটেছে। আমি মদ্যপান না করার চেষ্টা করব। তাছাড়া, আমি মনে করি আমি পোস্ট করছি কারণ এটি লিখিতভাবে লিখলে এটি আমার প্রতি একটি প্রতিশ্রুতির মতো মনে হয়।")</f>
        <v>আমি "মায়ের মতো ওয়াইন সংস্কৃতির" অংশ হয়ে গেছি। এখন আমার মনে হচ্ছে এটা কেবল পানীয়ের চেয়েও বেশি কিছু, যা থেকে আমি মদ্যপান থেকে মুক্তি পাচ্ছি। গত কয়েক রাতে আমি আসলে আমার চায়ে হুইস্কি মিশিয়েছিলাম। আমি এটাকে "স্বাভাবিক নয়" বলছি। এটা আমার জন্য লজ্জাজনক আচরণ। সম্প্রতি কোভিডের কারণে আমার খুব খারাপ সময় কেটেছে। আমি মদ্যপান না করার চেষ্টা করব। তাছাড়া, আমি মনে করি আমি পোস্ট করছি কারণ এটি লিখিতভাবে লিখলে এটি আমার প্রতি একটি প্রতিশ্রুতির মতো মনে হয়।</v>
      </c>
    </row>
    <row r="1813" spans="1:3" ht="15" x14ac:dyDescent="0.25">
      <c r="A1813" s="3" t="s">
        <v>1807</v>
      </c>
      <c r="B1813" s="3" t="s">
        <v>997</v>
      </c>
      <c r="C1813" s="4" t="str">
        <f ca="1">IFERROR(__xludf.DUMMYFUNCTION("GOOGLETRANSLATE(A1813, ""auto"", ""bn"")"),"কয়েক সপ্তাহ আগে ৪০ দিন পর আমার একটা ভুল হয়ে গিয়েছিল এবং সেই অবস্থা থেকে সেরে উঠতে হিমশিম খাচ্ছিলাম। অনেক দিন ধরেই মদ্যপান করেছি, যদিও বেশিরভাগ দিনই পুরোপুরি মদ্যপান ছিল না। গতকালের বেশিরভাগ সময় আমি আমার বাধ্যতামূলক মদ্যপান/বিনিং লুকিয়ে কাটিয়েছি। রাত"&amp;"ের খাবারের আগে ঘুমিয়ে পড়েছিলাম এবং রাত কাটিয়েছি পুরোনো বন্ধুদের মাতাল/বিরক্ত করে। খুব ঘুমিয়ে পড়েছিলাম (যেমনটা আমি প্রতিবার পান করার সময় করি), আজ সকালে ঘুম থেকে উঠে বাকি বোতলটি সিঙ্কে ঢেলে ফেলেছি। আমি আর একটাও খেতে পারছি না, এবং সামনের দিকে এগিয়ে যা"&amp;"ওয়ার জন্য চিন্তাভাবনা পুরোপুরি বাদ দিতে হবে।")</f>
        <v>কয়েক সপ্তাহ আগে ৪০ দিন পর আমার একটা ভুল হয়ে গিয়েছিল এবং সেই অবস্থা থেকে সেরে উঠতে হিমশিম খাচ্ছিলাম। অনেক দিন ধরেই মদ্যপান করেছি, যদিও বেশিরভাগ দিনই পুরোপুরি মদ্যপান ছিল না। গতকালের বেশিরভাগ সময় আমি আমার বাধ্যতামূলক মদ্যপান/বিনিং লুকিয়ে কাটিয়েছি। রাতের খাবারের আগে ঘুমিয়ে পড়েছিলাম এবং রাত কাটিয়েছি পুরোনো বন্ধুদের মাতাল/বিরক্ত করে। খুব ঘুমিয়ে পড়েছিলাম (যেমনটা আমি প্রতিবার পান করার সময় করি), আজ সকালে ঘুম থেকে উঠে বাকি বোতলটি সিঙ্কে ঢেলে ফেলেছি। আমি আর একটাও খেতে পারছি না, এবং সামনের দিকে এগিয়ে যাওয়ার জন্য চিন্তাভাবনা পুরোপুরি বাদ দিতে হবে।</v>
      </c>
    </row>
    <row r="1814" spans="1:3" ht="15" x14ac:dyDescent="0.25">
      <c r="A1814" s="3" t="s">
        <v>1808</v>
      </c>
      <c r="B1814" s="3" t="s">
        <v>997</v>
      </c>
      <c r="C1814" s="4" t="str">
        <f ca="1">IFERROR(__xludf.DUMMYFUNCTION("GOOGLETRANSLATE(A1814, ""auto"", ""bn"")"),"ঘুম থেকে উঠে বুঝতে পারছিলাম না যে আমি মদ্যপান করছি কিনা এবং আমার ধারাবাহিকতা ভেঙে গেল। স্বপ্নে দেখেছিলাম আমরা একটা অভিনব অনুষ্ঠানে শ্যাম্পেন খেয়েছি। বাড়ি ফেরার পথে স্বপ্নে আমি একটা বারো প্যাকেট তুলে নিলাম। না, ধন্যবাদ। ঘুম থেকে উঠে শান্ত, স্বস্তি এবং খু"&amp;"শি হলাম। বাইক চালানোর সময়।")</f>
        <v>ঘুম থেকে উঠে বুঝতে পারছিলাম না যে আমি মদ্যপান করছি কিনা এবং আমার ধারাবাহিকতা ভেঙে গেল। স্বপ্নে দেখেছিলাম আমরা একটা অভিনব অনুষ্ঠানে শ্যাম্পেন খেয়েছি। বাড়ি ফেরার পথে স্বপ্নে আমি একটা বারো প্যাকেট তুলে নিলাম। না, ধন্যবাদ। ঘুম থেকে উঠে শান্ত, স্বস্তি এবং খুশি হলাম। বাইক চালানোর সময়।</v>
      </c>
    </row>
    <row r="1815" spans="1:3" ht="15" x14ac:dyDescent="0.25">
      <c r="A1815" s="3" t="s">
        <v>1809</v>
      </c>
      <c r="B1815" s="3" t="s">
        <v>997</v>
      </c>
      <c r="C1815" s="4" t="str">
        <f ca="1">IFERROR(__xludf.DUMMYFUNCTION("GOOGLETRANSLATE(A1815, ""auto"", ""bn"")"),"২১শে ফেব্রুয়ারী, ২০২২। আমাদের মূল বক্তব্য হলো ""সততা?""। আজকের ধ্যান সতর্ক করে যে আত্মার অস্থিরতা আগুন বা ভূমিকম্পের চেয়েও বড় বিপদ হতে পারে। আমি এটাকে অতিরঞ্জিত বলে মনে করি না। ""আত্মার ঝড়"" চলাকালীন, আমি অন্যদের এবং নিজের জন্য ঠিক ততটাই বিপজ্জনক হতে প"&amp;"ারি যতটা আমি মাতাল ছিলাম। এটা কোন কাকতালীয় ঘটনা নয় যে আমরা রাগ এবং উন্মাদ উভয়কেই বর্ণনা করার জন্য ""পাগল?"" শব্দটি ব্যবহার করি। রাগ, বড় চুক্তি এবং/অথবা উন্মাদনার থাবায় আমার যুক্তি, করুণা এবং ঐশ্বরিক স্ফুলিঙ্গ সম্পর্কে সচেতনতা হারিয়ে গেছে। আমি আজ প্র"&amp;"ার্থনা করি যে আমি বড় চুক্তি এড়াতে পারি এবং আত্মার ঝড়ের প্রথম ঝাপটায় নিজেকে জিজ্ঞাসা করি, ""আমার মানসিক সংযমের তুলনায় এটি আসলে কতটা গুরুত্বপূর্ণ""। জাদুটি কেবল একটি শান্ত হৃদয় এবং শান্ত চোখে দেখা যায়।")</f>
        <v>২১শে ফেব্রুয়ারী, ২০২২। আমাদের মূল বক্তব্য হলো "সততা?"। আজকের ধ্যান সতর্ক করে যে আত্মার অস্থিরতা আগুন বা ভূমিকম্পের চেয়েও বড় বিপদ হতে পারে। আমি এটাকে অতিরঞ্জিত বলে মনে করি না। "আত্মার ঝড়" চলাকালীন, আমি অন্যদের এবং নিজের জন্য ঠিক ততটাই বিপজ্জনক হতে পারি যতটা আমি মাতাল ছিলাম। এটা কোন কাকতালীয় ঘটনা নয় যে আমরা রাগ এবং উন্মাদ উভয়কেই বর্ণনা করার জন্য "পাগল?" শব্দটি ব্যবহার করি। রাগ, বড় চুক্তি এবং/অথবা উন্মাদনার থাবায় আমার যুক্তি, করুণা এবং ঐশ্বরিক স্ফুলিঙ্গ সম্পর্কে সচেতনতা হারিয়ে গেছে। আমি আজ প্রার্থনা করি যে আমি বড় চুক্তি এড়াতে পারি এবং আত্মার ঝড়ের প্রথম ঝাপটায় নিজেকে জিজ্ঞাসা করি, "আমার মানসিক সংযমের তুলনায় এটি আসলে কতটা গুরুত্বপূর্ণ"। জাদুটি কেবল একটি শান্ত হৃদয় এবং শান্ত চোখে দেখা যায়।</v>
      </c>
    </row>
    <row r="1816" spans="1:3" ht="15" x14ac:dyDescent="0.25">
      <c r="A1816" s="3" t="s">
        <v>1810</v>
      </c>
      <c r="B1816" s="3" t="s">
        <v>997</v>
      </c>
      <c r="C1816" s="4" t="str">
        <f ca="1">IFERROR(__xludf.DUMMYFUNCTION("GOOGLETRANSLATE(A1816, ""auto"", ""bn"")"),"আমি অনেক দিন ধরেই মাঝে মাঝে মদ্যপানের নেশায় ভুগছি। অনেক দিন ধরে মদ্যপান ছাড়াই থাকতে পারি, কিন্তু একবার শুরু করলে অতিরিক্ত মদ্যপান করি। তাছাড়া, আমি আমার বাচ্চাদের সাথে গাড়িতে করে মাতাল অবস্থায় গাড়ি চালাচ্ছিলাম এবং দুর্ঘটনার কবলে পড়লাম। ঈশ্বরকে ধন্যবাদ, সব"&amp;"াই ঠিক আছে। এটা এমন কিছু যা আমি কখনও ভাবিনি যে আমি নিজেকে বিশ্বাস করতে পারছি না, অন্য কেউ আমাকে বিশ্বাস করছে কিনা তা তো দূরের কথা। আমি আবারও ১০ দিন ধরে মদ্যপান করছি। তাই আজ আমি নিজেকে একটি অধৈর্য পুনর্বাসন কেন্দ্রে পরীক্ষা করব। এখান থেকে আরও ভালো হতে হবে।")</f>
        <v>আমি অনেক দিন ধরেই মাঝে মাঝে মদ্যপানের নেশায় ভুগছি। অনেক দিন ধরে মদ্যপান ছাড়াই থাকতে পারি, কিন্তু একবার শুরু করলে অতিরিক্ত মদ্যপান করি। তাছাড়া, আমি আমার বাচ্চাদের সাথে গাড়িতে করে মাতাল অবস্থায় গাড়ি চালাচ্ছিলাম এবং দুর্ঘটনার কবলে পড়লাম। ঈশ্বরকে ধন্যবাদ, সবাই ঠিক আছে। এটা এমন কিছু যা আমি কখনও ভাবিনি যে আমি নিজেকে বিশ্বাস করতে পারছি না, অন্য কেউ আমাকে বিশ্বাস করছে কিনা তা তো দূরের কথা। আমি আবারও ১০ দিন ধরে মদ্যপান করছি। তাই আজ আমি নিজেকে একটি অধৈর্য পুনর্বাসন কেন্দ্রে পরীক্ষা করব। এখান থেকে আরও ভালো হতে হবে।</v>
      </c>
    </row>
    <row r="1817" spans="1:3" ht="15" x14ac:dyDescent="0.25">
      <c r="A1817" s="3" t="s">
        <v>1811</v>
      </c>
      <c r="B1817" s="3" t="s">
        <v>997</v>
      </c>
      <c r="C1817" s="4" t="str">
        <f ca="1">IFERROR(__xludf.DUMMYFUNCTION("GOOGLETRANSLATE(A1817, ""auto"", ""bn"")"),"(২৬ মিলিয়ন) আমি জানি না আমি বলবো যে আমার অ্যালকোহলের সমস্যা আছে কিনা। আমি সম্ভবত সপ্তাহে গড়ে প্রায় ২-৩ বার পান করি এবং কেবল সপ্তাহান্তে পান করি। অ্যালকোহল অবশ্যই আমার জীবনকে নিয়ন্ত্রণ করে না, তবুও পার্টিতে যে লোকটি মদ্যপান ছাড়াই মজা করছে বলে মনে হয় "&amp;"তার প্রতি আমি সবসময় ঈর্ষান্বিত হই। আমার একটি অংশ সেই লোক হতে চায়, কিন্তু সম্পূর্ণরূপে বিরত থাকার চিন্তাও আমার সাথে লড়াই করে। সম্প্রতি, আমি এই সত্যটি ঘৃণা করছি যে আমি মজা করার জন্য অ্যালকোহলের উপর নির্ভর করি, এবং পরের দিন আমি যখন পরিমিত পরিমাণে পান করি "&amp;"তখনও আমি খারাপ বোধ করছি... অন্য কেউ কি একই নৌকায় আছেন?")</f>
        <v>(২৬ মিলিয়ন) আমি জানি না আমি বলবো যে আমার অ্যালকোহলের সমস্যা আছে কিনা। আমি সম্ভবত সপ্তাহে গড়ে প্রায় ২-৩ বার পান করি এবং কেবল সপ্তাহান্তে পান করি। অ্যালকোহল অবশ্যই আমার জীবনকে নিয়ন্ত্রণ করে না, তবুও পার্টিতে যে লোকটি মদ্যপান ছাড়াই মজা করছে বলে মনে হয় তার প্রতি আমি সবসময় ঈর্ষান্বিত হই। আমার একটি অংশ সেই লোক হতে চায়, কিন্তু সম্পূর্ণরূপে বিরত থাকার চিন্তাও আমার সাথে লড়াই করে। সম্প্রতি, আমি এই সত্যটি ঘৃণা করছি যে আমি মজা করার জন্য অ্যালকোহলের উপর নির্ভর করি, এবং পরের দিন আমি যখন পরিমিত পরিমাণে পান করি তখনও আমি খারাপ বোধ করছি... অন্য কেউ কি একই নৌকায় আছেন?</v>
      </c>
    </row>
    <row r="1818" spans="1:3" ht="15" x14ac:dyDescent="0.25">
      <c r="A1818" s="3" t="s">
        <v>1812</v>
      </c>
      <c r="B1818" s="3" t="s">
        <v>997</v>
      </c>
      <c r="C1818" s="4" t="str">
        <f ca="1">IFERROR(__xludf.DUMMYFUNCTION("GOOGLETRANSLATE(A1818, ""auto"", ""bn"")"),"কয়েক বছর আগে পর্যন্ত আমার খারাপ ভদকার অভ্যাস ছিল। প্রতিদিন অর্ধেক থেকে পুরো ৭৫০ মিলি। আমার মাথা ঘোরা এবং অন্যান্য অদ্ভুত প্রভাব শুরু হয়েছিল। তাই আমি বিয়ারে চলে গেলাম, যা সাহায্য করেছিল। অদ্ভুত মাথা ঘোরা ইত্যাদি বন্ধ হয়ে গেল, এবং আমি ভালো বোধ করলাম, কি"&amp;"ন্তু আমার ওজন অনেক বেড়ে গেল এবং এতে আমার খারাপ লাগতে শুরু করল। আমি প্রতিদিন প্রায় দশটি আইপিএ পান করছিলাম এবং যখন আমি ব্র্যান্ডটি খুঁজলাম, তখন বুঝতে পারলাম যে প্রতিটি ২৯০ ক্যালোরি! WTF? তাহলে, হ্যাঁ, আমি মাত্র ২৯০০ ক্যালোরি/দিন কমিয়েছি। তাই এটি ইতিমধ্যে"&amp;"ই ভালো লাগছে। এখনও পর্যন্ত আমি এটি মিস করি না। গতকাল আমার এমন একটি মুহূর্ত ছিল যেখানে আমি ভাবছিলাম: ""আরে, মানে, আমি কেবল একটি খেতে পারতাম!"" কিন্তু আমি নিয়ন্ত্রণ ফিরে পেয়েছিলাম এবং পরিবর্তে এক বোতল জল নিলাম। আমি পান না করে প্রতিটি অতিরিক্ত দিনের জন্য অ"&amp;"ধীর আগ্রহে অপেক্ষা করছি এবং আমি কি ছোট প্যান্ট কিনতে এবং আমার পুরানো শার্টগুলি পরতে আগ্রহী যা আমি মিস করি?")</f>
        <v>কয়েক বছর আগে পর্যন্ত আমার খারাপ ভদকার অভ্যাস ছিল। প্রতিদিন অর্ধেক থেকে পুরো ৭৫০ মিলি। আমার মাথা ঘোরা এবং অন্যান্য অদ্ভুত প্রভাব শুরু হয়েছিল। তাই আমি বিয়ারে চলে গেলাম, যা সাহায্য করেছিল। অদ্ভুত মাথা ঘোরা ইত্যাদি বন্ধ হয়ে গেল, এবং আমি ভালো বোধ করলাম, কিন্তু আমার ওজন অনেক বেড়ে গেল এবং এতে আমার খারাপ লাগতে শুরু করল। আমি প্রতিদিন প্রায় দশটি আইপিএ পান করছিলাম এবং যখন আমি ব্র্যান্ডটি খুঁজলাম, তখন বুঝতে পারলাম যে প্রতিটি ২৯০ ক্যালোরি! WTF? তাহলে, হ্যাঁ, আমি মাত্র ২৯০০ ক্যালোরি/দিন কমিয়েছি। তাই এটি ইতিমধ্যেই ভালো লাগছে। এখনও পর্যন্ত আমি এটি মিস করি না। গতকাল আমার এমন একটি মুহূর্ত ছিল যেখানে আমি ভাবছিলাম: "আরে, মানে, আমি কেবল একটি খেতে পারতাম!" কিন্তু আমি নিয়ন্ত্রণ ফিরে পেয়েছিলাম এবং পরিবর্তে এক বোতল জল নিলাম। আমি পান না করে প্রতিটি অতিরিক্ত দিনের জন্য অধীর আগ্রহে অপেক্ষা করছি এবং আমি কি ছোট প্যান্ট কিনতে এবং আমার পুরানো শার্টগুলি পরতে আগ্রহী যা আমি মিস করি?</v>
      </c>
    </row>
    <row r="1819" spans="1:3" ht="15" x14ac:dyDescent="0.25">
      <c r="A1819" s="3" t="s">
        <v>1813</v>
      </c>
      <c r="B1819" s="3" t="s">
        <v>997</v>
      </c>
      <c r="C1819" s="4" t="str">
        <f ca="1">IFERROR(__xludf.DUMMYFUNCTION("GOOGLETRANSLATE(A1819, ""auto"", ""bn"")"),"যেমন আমি অন্যান্য কাজ করেছি কিন্তু যখন শুনি যে মানুষ কোক বা মেথের সাথে সত্যিই লড়াই করছে, তখন আমি ভাই কোকের মতো হয়ে যাই!? ধুর, এটা তো রুক্ষ। আমার মন বলে, ""ভাই, এটা তো শুধু মদ, আক্ষরিক অর্থেই সবাই পান করে।"" আর আমার নিজেকে ছোট মনে হয়। কিন্তু যখন আমি আসল"&amp;"ে আমার নিজের লড়াইয়ের কথা ভাবি, তখন মনে হয় ""অপব্যবহার তো অপব্যবহার"" এবং আমি জানি আমি কী ভোগ করেছি। এটা বাস্তব। বাইরে থেকে বলা কঠিন মনে হয়, জানো?")</f>
        <v>যেমন আমি অন্যান্য কাজ করেছি কিন্তু যখন শুনি যে মানুষ কোক বা মেথের সাথে সত্যিই লড়াই করছে, তখন আমি ভাই কোকের মতো হয়ে যাই!? ধুর, এটা তো রুক্ষ। আমার মন বলে, "ভাই, এটা তো শুধু মদ, আক্ষরিক অর্থেই সবাই পান করে।" আর আমার নিজেকে ছোট মনে হয়। কিন্তু যখন আমি আসলে আমার নিজের লড়াইয়ের কথা ভাবি, তখন মনে হয় "অপব্যবহার তো অপব্যবহার" এবং আমি জানি আমি কী ভোগ করেছি। এটা বাস্তব। বাইরে থেকে বলা কঠিন মনে হয়, জানো?</v>
      </c>
    </row>
    <row r="1820" spans="1:3" ht="15" x14ac:dyDescent="0.25">
      <c r="A1820" s="3" t="s">
        <v>1814</v>
      </c>
      <c r="B1820" s="3" t="s">
        <v>997</v>
      </c>
      <c r="C1820" s="4" t="str">
        <f ca="1">IFERROR(__xludf.DUMMYFUNCTION("GOOGLETRANSLATE(A1820, ""auto"", ""bn"")"),"আমি প্রতিদিন প্রায় ২ লিটার ওয়াইন পান করি এবং আমি আর তা করতে চাই না। আমার বয়স ২৬ বছর এবং আমি সারাদিন প্রায় মাতাল থাকি, কর্মক্ষেত্রে মাতাল থাকি, কেউ টেরই পায় না যে আমার ওজন অনেক বেড়ে গেছে এবং আমি শারীরিকভাবে খুব খারাপ বোধ করছি, ঠিকমতো ঘুমাতে পারছি না এবং আম"&amp;"ি ভয় পাচ্ছি যে আমার লিভার নষ্ট হয়ে যাবে। হা হা। এটা কয়েক মাস ধরে চলছে, কিন্তু সবসময় তেমন খারাপ ছিল না, গত ২ মাস ধরে এটা আরও খারাপ হয়েছে এবং এখন আমার মনে হয় আমি ধূমপান ছেড়ে দিতে চাই।")</f>
        <v>আমি প্রতিদিন প্রায় ২ লিটার ওয়াইন পান করি এবং আমি আর তা করতে চাই না। আমার বয়স ২৬ বছর এবং আমি সারাদিন প্রায় মাতাল থাকি, কর্মক্ষেত্রে মাতাল থাকি, কেউ টেরই পায় না যে আমার ওজন অনেক বেড়ে গেছে এবং আমি শারীরিকভাবে খুব খারাপ বোধ করছি, ঠিকমতো ঘুমাতে পারছি না এবং আমি ভয় পাচ্ছি যে আমার লিভার নষ্ট হয়ে যাবে। হা হা। এটা কয়েক মাস ধরে চলছে, কিন্তু সবসময় তেমন খারাপ ছিল না, গত ২ মাস ধরে এটা আরও খারাপ হয়েছে এবং এখন আমার মনে হয় আমি ধূমপান ছেড়ে দিতে চাই।</v>
      </c>
    </row>
    <row r="1821" spans="1:3" ht="15" x14ac:dyDescent="0.25">
      <c r="A1821" s="3" t="s">
        <v>1815</v>
      </c>
      <c r="B1821" s="3" t="s">
        <v>997</v>
      </c>
      <c r="C1821" s="4" t="str">
        <f ca="1">IFERROR(__xludf.DUMMYFUNCTION("GOOGLETRANSLATE(A1821, ""auto"", ""bn"")"),"তারপর এক মিনিট আগে আমি Reddit-এ গেলাম, আমার ফিডে এই সাব-এর একটি পোস্ট দেখলাম এবং বুঝতে পারলাম যে এটি শেষবার হবে না। আমি বিশ্বাস করি এটি হবে। কিন্তু আমি জানি এটি হবে না। আমি নিশ্চিত নই যে এই দুর্বল উপলব্ধি আজ রাতে যখন আমি এই অনুভূতিগুলি নিয়ে আর মাথা ঘামাই"&amp;" না, তখন আমাকে থামানোর জন্য যথেষ্ট হবে, কিন্তু হঠাৎ করেই আমার খুব একা লাগছে, তাই আমি একটি পোস্ট করছি। আমার কাছে যোগাযোগ করার মতো আর কেউ নেই।")</f>
        <v>তারপর এক মিনিট আগে আমি Reddit-এ গেলাম, আমার ফিডে এই সাব-এর একটি পোস্ট দেখলাম এবং বুঝতে পারলাম যে এটি শেষবার হবে না। আমি বিশ্বাস করি এটি হবে। কিন্তু আমি জানি এটি হবে না। আমি নিশ্চিত নই যে এই দুর্বল উপলব্ধি আজ রাতে যখন আমি এই অনুভূতিগুলি নিয়ে আর মাথা ঘামাই না, তখন আমাকে থামানোর জন্য যথেষ্ট হবে, কিন্তু হঠাৎ করেই আমার খুব একা লাগছে, তাই আমি একটি পোস্ট করছি। আমার কাছে যোগাযোগ করার মতো আর কেউ নেই।</v>
      </c>
    </row>
    <row r="1822" spans="1:3" ht="15" x14ac:dyDescent="0.25">
      <c r="A1822" s="3" t="s">
        <v>1816</v>
      </c>
      <c r="B1822" s="3" t="s">
        <v>997</v>
      </c>
      <c r="C1822" s="4" t="str">
        <f ca="1">IFERROR(__xludf.DUMMYFUNCTION("GOOGLETRANSLATE(A1822, ""auto"", ""bn"")"),"গত সপ্তাহে আমি হাসপাতালে ভর্তি হই, প্রচণ্ড উদ্বেগ, ঘাম এবং ৪ দিন ধরে অতিরিক্ত মদ্যপানের পর নিজেকে ঘৃণা করতে থাকি। তারা আমাকে ভর্তি করে বেজোসের সাথে শান্তনা দেয়। ভোর ৫টায় মাকে ফোন করে পরিস্থিতি সম্পর্কে জানাই। দুই দিন বাবা-মায়ের বাড়িতে কাটিয়ে বাড়ি ফি"&amp;"রে পরিষ্কার-পরিচ্ছন্নতা ও বিশ্রামের জন্য। আমি আমার বাবা-মাকে সমর্থনের জন্য ভালোবাসি।")</f>
        <v>গত সপ্তাহে আমি হাসপাতালে ভর্তি হই, প্রচণ্ড উদ্বেগ, ঘাম এবং ৪ দিন ধরে অতিরিক্ত মদ্যপানের পর নিজেকে ঘৃণা করতে থাকি। তারা আমাকে ভর্তি করে বেজোসের সাথে শান্তনা দেয়। ভোর ৫টায় মাকে ফোন করে পরিস্থিতি সম্পর্কে জানাই। দুই দিন বাবা-মায়ের বাড়িতে কাটিয়ে বাড়ি ফিরে পরিষ্কার-পরিচ্ছন্নতা ও বিশ্রামের জন্য। আমি আমার বাবা-মাকে সমর্থনের জন্য ভালোবাসি।</v>
      </c>
    </row>
    <row r="1823" spans="1:3" ht="15" x14ac:dyDescent="0.25">
      <c r="A1823" s="3" t="s">
        <v>1817</v>
      </c>
      <c r="B1823" s="3" t="s">
        <v>997</v>
      </c>
      <c r="C1823" s="4" t="str">
        <f ca="1">IFERROR(__xludf.DUMMYFUNCTION("GOOGLETRANSLATE(A1823, ""auto"", ""bn"")"),"আজ আমার ১১২তম দিন। ৮ বছরের মধ্যে এটিই সবচেয়ে দীর্ঘ সময় ধরে অ্যালকোহলমুক্ত থাকা। আমার বয়স ২৬ বছর এবং ৮ বছর ধরে প্রতি সপ্তাহে প্রায় ৬০-৮০টি বিয়ার পান করেছি। প্রায় ২ সপ্তাহ আগে আমার বুকে ব্যথা/অনেক উত্তেজনা দেখা দেয় এবং আমার মন মদ্যপানের ধারণাটিকে রোম"&amp;"ান্টিক করে তুলতে শুরু করে। কিন্তু আমি হাল ছাড়ছি না! আমি লড়াইয়ের জন্য প্রস্তুত। অন্য কারো কি বুকে ব্যথা হয়?")</f>
        <v>আজ আমার ১১২তম দিন। ৮ বছরের মধ্যে এটিই সবচেয়ে দীর্ঘ সময় ধরে অ্যালকোহলমুক্ত থাকা। আমার বয়স ২৬ বছর এবং ৮ বছর ধরে প্রতি সপ্তাহে প্রায় ৬০-৮০টি বিয়ার পান করেছি। প্রায় ২ সপ্তাহ আগে আমার বুকে ব্যথা/অনেক উত্তেজনা দেখা দেয় এবং আমার মন মদ্যপানের ধারণাটিকে রোমান্টিক করে তুলতে শুরু করে। কিন্তু আমি হাল ছাড়ছি না! আমি লড়াইয়ের জন্য প্রস্তুত। অন্য কারো কি বুকে ব্যথা হয়?</v>
      </c>
    </row>
    <row r="1824" spans="1:3" ht="15" x14ac:dyDescent="0.25">
      <c r="A1824" s="3" t="s">
        <v>1818</v>
      </c>
      <c r="B1824" s="3" t="s">
        <v>997</v>
      </c>
      <c r="C1824" s="4" t="str">
        <f ca="1">IFERROR(__xludf.DUMMYFUNCTION("GOOGLETRANSLATE(A1824, ""auto"", ""bn"")"),"৭ম দিনে আমার নেশা আবার শুরু হয়ে গেল এবং সন্ধ্যা ৬টা নাগাদ আমি নেশামুক্ত হয়ে গেলাম। আজ সকালে আমি আবিষ্কার করলাম যে আমি মাকে মাতাল করে টেক্সট করেছি। আমার মনে হয় না জীবনে এতটা লজ্জা পেয়েছি। প্রায় ৩০ জনের সামনে আমি আমার প্যান্টে প্রস্রাব করেছি, এবং এতটা "&amp;"লজ্জা পাইনি। একটা মাতাল মেসেজের জন্য এটা একটু অতিরিক্ত প্রতিক্রিয়া হতে পারে, কিন্তু আমি বলতে চাইছি... এটা আমার মা। লজ্জা দূর করার জন্য এটা প্রলুব্ধকর, কিন্তু তাতে আমি কোথায় যাব? আগামীকাল সকালে আবার মেঝেতে ঘুম থেকে ওঠা ছাড়া, এবং সম্ভবত মদ্যপান করতে লজ্জ"&amp;"াজনক অন্য কিছু। তাই এখন আমি প্রথম দিনে ফিরে এসেছি, পুরোপুরি শিখেছি।")</f>
        <v>৭ম দিনে আমার নেশা আবার শুরু হয়ে গেল এবং সন্ধ্যা ৬টা নাগাদ আমি নেশামুক্ত হয়ে গেলাম। আজ সকালে আমি আবিষ্কার করলাম যে আমি মাকে মাতাল করে টেক্সট করেছি। আমার মনে হয় না জীবনে এতটা লজ্জা পেয়েছি। প্রায় ৩০ জনের সামনে আমি আমার প্যান্টে প্রস্রাব করেছি, এবং এতটা লজ্জা পাইনি। একটা মাতাল মেসেজের জন্য এটা একটু অতিরিক্ত প্রতিক্রিয়া হতে পারে, কিন্তু আমি বলতে চাইছি... এটা আমার মা। লজ্জা দূর করার জন্য এটা প্রলুব্ধকর, কিন্তু তাতে আমি কোথায় যাব? আগামীকাল সকালে আবার মেঝেতে ঘুম থেকে ওঠা ছাড়া, এবং সম্ভবত মদ্যপান করতে লজ্জাজনক অন্য কিছু। তাই এখন আমি প্রথম দিনে ফিরে এসেছি, পুরোপুরি শিখেছি।</v>
      </c>
    </row>
    <row r="1825" spans="1:3" ht="15" x14ac:dyDescent="0.25">
      <c r="A1825" s="3" t="s">
        <v>1819</v>
      </c>
      <c r="B1825" s="3" t="s">
        <v>997</v>
      </c>
      <c r="C1825" s="4" t="str">
        <f ca="1">IFERROR(__xludf.DUMMYFUNCTION("GOOGLETRANSLATE(A1825, ""auto"", ""bn"")"),"আমি সম্প্রতি অনেক ভাবছি যে আমি কতটা ভাগ্যবান। আমি প্রায়শই মাতাল অবস্থায় গাড়ি চালাই এবং ঈশ্বরের কৃপায়, আমি কখনও কাউকে আঘাত করিনি। যখন আমি মদ্যপানজনিত দুর্ঘটনার কথা পড়ি, বিশেষ করে মারাত্মক দুর্ঘটনার কথা, তখন আমি বিশ্বাস করতে পারি না যে আমি কতটা ভাগ্যবা"&amp;"ন। আমি সহজেই আমার জীবন নষ্ট করতে পারতাম এবং অন্য কাউকে হত্যা করতে পারতাম। আমি কতটা দুর্ঘটনার কবলে পড়েছিলাম তা ভাবতে আমার তাড়না লাগে। আমি এখনও ঠিক কী বিশ্বাস করি তা জানি না কিন্তু কোথাও না কোথাও কিছু একটা আমার জন্য অপেক্ষা করছে। আমি খুব কৃতজ্ঞ যে আমি কখন"&amp;"ও কাউকে আঘাত করিনি এবং ৯ মাসেরও বেশি সময় ধরে সংযত থাকার জন্য আমি কৃতজ্ঞ।")</f>
        <v>আমি সম্প্রতি অনেক ভাবছি যে আমি কতটা ভাগ্যবান। আমি প্রায়শই মাতাল অবস্থায় গাড়ি চালাই এবং ঈশ্বরের কৃপায়, আমি কখনও কাউকে আঘাত করিনি। যখন আমি মদ্যপানজনিত দুর্ঘটনার কথা পড়ি, বিশেষ করে মারাত্মক দুর্ঘটনার কথা, তখন আমি বিশ্বাস করতে পারি না যে আমি কতটা ভাগ্যবান। আমি সহজেই আমার জীবন নষ্ট করতে পারতাম এবং অন্য কাউকে হত্যা করতে পারতাম। আমি কতটা দুর্ঘটনার কবলে পড়েছিলাম তা ভাবতে আমার তাড়না লাগে। আমি এখনও ঠিক কী বিশ্বাস করি তা জানি না কিন্তু কোথাও না কোথাও কিছু একটা আমার জন্য অপেক্ষা করছে। আমি খুব কৃতজ্ঞ যে আমি কখনও কাউকে আঘাত করিনি এবং ৯ মাসেরও বেশি সময় ধরে সংযত থাকার জন্য আমি কৃতজ্ঞ।</v>
      </c>
    </row>
    <row r="1826" spans="1:3" ht="15" x14ac:dyDescent="0.25">
      <c r="A1826" s="3" t="s">
        <v>1820</v>
      </c>
      <c r="B1826" s="3" t="s">
        <v>997</v>
      </c>
      <c r="C1826" s="4" t="str">
        <f ca="1">IFERROR(__xludf.DUMMYFUNCTION("GOOGLETRANSLATE(A1826, ""auto"", ""bn"")"),"আমি এখানে নতুন এসেছি, মদ্যপান ত্যাগ করার শক্তি খুঁজে পেতে সাহায্য করার আশায়। গত সপ্তাহটি আমার জন্য সবচেয়ে খারাপ ছিল, ৩ দিনের বাইন্ডার ছিল এবং নানা ধরণের লক্ষণ নিয়ে আমি মারা যাচ্ছি ভেবে ER-তে গিয়েছিলাম। এটা ছিল পাগলাটে উদ্বেগ, আমি বোকার মতো অনুভব করছিল"&amp;"াম এবং বলেছিলাম যে আমি কিছুক্ষণের জন্য মদ্যপান করব না। আর এখানে আমি ক্ষুধার্ত, এক সপ্তাহ পরে উদ্বিগ্ন AF। আমি প্রতিদিন মদ্যপান করি না এবং কয়েক দিন কেটে গেলে আমার ভালো লাগে এবং আমি একজন বোকার মতো মদ্যপান করি, আমি আসলে এটাই এবং সত্যিই এই জীবন আর চাই না। এট"&amp;"া কঠিন কিন্তু আমি ছেড়ে দিতে পারি।")</f>
        <v>আমি এখানে নতুন এসেছি, মদ্যপান ত্যাগ করার শক্তি খুঁজে পেতে সাহায্য করার আশায়। গত সপ্তাহটি আমার জন্য সবচেয়ে খারাপ ছিল, ৩ দিনের বাইন্ডার ছিল এবং নানা ধরণের লক্ষণ নিয়ে আমি মারা যাচ্ছি ভেবে ER-তে গিয়েছিলাম। এটা ছিল পাগলাটে উদ্বেগ, আমি বোকার মতো অনুভব করছিলাম এবং বলেছিলাম যে আমি কিছুক্ষণের জন্য মদ্যপান করব না। আর এখানে আমি ক্ষুধার্ত, এক সপ্তাহ পরে উদ্বিগ্ন AF। আমি প্রতিদিন মদ্যপান করি না এবং কয়েক দিন কেটে গেলে আমার ভালো লাগে এবং আমি একজন বোকার মতো মদ্যপান করি, আমি আসলে এটাই এবং সত্যিই এই জীবন আর চাই না। এটা কঠিন কিন্তু আমি ছেড়ে দিতে পারি।</v>
      </c>
    </row>
    <row r="1827" spans="1:3" ht="15" x14ac:dyDescent="0.25">
      <c r="A1827" s="3" t="s">
        <v>1821</v>
      </c>
      <c r="B1827" s="3" t="s">
        <v>997</v>
      </c>
      <c r="C1827" s="4" t="str">
        <f ca="1">IFERROR(__xludf.DUMMYFUNCTION("GOOGLETRANSLATE(A1827, ""auto"", ""bn"")"),"এই 'এক বছর' মাইলস্টোনে পৌঁছানোর জন্য আমি সত্যিই উত্তেজিত ছিলাম, কিন্তু এখন এটি এখানে এসেছে এবং আমি অনুভব করছি? দুঃখিত? খুব একা। আমি কোনও শান্ত মানুষকে চিনি না, তাই আমি এমন কারও সাথে কথা বলতে পারিনি যারা বোঝে। অতীতে, আমি এক বা দুটি SUV Blanc বোতল দিয়ে এই "&amp;"অনুভূতিটি অসাড় করে দিতাম, কিন্তু এখন আমাকে কেবল এতে বসতে হয়, এবং এটি অস্বস্তিকর! প্রশ্ন - কেউ কি সোশ্যাল মিডিয়ায় তাদের সংযম সম্পর্কে খোলাখুলি কথা বলতে স্বাচ্ছন্দ্য বোধ করে? এটা অনুভব করে? বিব্রতকর। যা হাস্যকর, কালো হয়ে যাওয়া এবং সর্বদা অভদ্র/কান্নাক"&amp;"াটি/পড়ে যাওয়া/মারামারি করা লজ্জাজনক, সংযম গর্বের বিষয় হওয়া উচিত। এখানে শেয়ার করা গল্পগুলি ছাড়া গত বছরটি পার করতে পারতাম না, আপনাদের সকলের জন্য কৃতজ্ঞ।")</f>
        <v>এই 'এক বছর' মাইলস্টোনে পৌঁছানোর জন্য আমি সত্যিই উত্তেজিত ছিলাম, কিন্তু এখন এটি এখানে এসেছে এবং আমি অনুভব করছি? দুঃখিত? খুব একা। আমি কোনও শান্ত মানুষকে চিনি না, তাই আমি এমন কারও সাথে কথা বলতে পারিনি যারা বোঝে। অতীতে, আমি এক বা দুটি SUV Blanc বোতল দিয়ে এই অনুভূতিটি অসাড় করে দিতাম, কিন্তু এখন আমাকে কেবল এতে বসতে হয়, এবং এটি অস্বস্তিকর! প্রশ্ন - কেউ কি সোশ্যাল মিডিয়ায় তাদের সংযম সম্পর্কে খোলাখুলি কথা বলতে স্বাচ্ছন্দ্য বোধ করে? এটা অনুভব করে? বিব্রতকর। যা হাস্যকর, কালো হয়ে যাওয়া এবং সর্বদা অভদ্র/কান্নাকাটি/পড়ে যাওয়া/মারামারি করা লজ্জাজনক, সংযম গর্বের বিষয় হওয়া উচিত। এখানে শেয়ার করা গল্পগুলি ছাড়া গত বছরটি পার করতে পারতাম না, আপনাদের সকলের জন্য কৃতজ্ঞ।</v>
      </c>
    </row>
    <row r="1828" spans="1:3" ht="15" x14ac:dyDescent="0.25">
      <c r="A1828" s="3" t="s">
        <v>1822</v>
      </c>
      <c r="B1828" s="3" t="s">
        <v>997</v>
      </c>
      <c r="C1828" s="4" t="str">
        <f ca="1">IFERROR(__xludf.DUMMYFUNCTION("GOOGLETRANSLATE(A1828, ""auto"", ""bn"")"),"আমি জবাবদিহি করার চেষ্টা করছি :p গতকাল ছিল প্রথম দিন মদ্যপানমুক্ত। কাজ শেষ হওয়ার পর কয়েকটি পানীয় (সাধারণত প্রায় ৪ বার ভদকা) পান করা খুব আরামদায়ক অভ্যাসে পরিণত হয়েছে। আমি জানি শুরু করার পর নিজেকে নিয়ন্ত্রণ করতে বিশ্বাস করতে পারছি না। রাতের রুটিন হল "&amp;"সাধারণত কাজ শেষ করে পান করা, কুকুরকে হাঁটানো, আরেকটি পানীয় বা ৩ বার এবং রাতের খাবার তৈরি করা। আমার এই আচারটি স্বাস্থ্যকর কিছুতে পরিবর্তন করতে হবে, কিন্তু আমি নিজে কীভাবে আরাম করব তা ভুলে গেছি। আগামীকাল ফিরে আসার জন্য এটি এখানে রাখতে চেয়েছিলাম এবং এখন আম"&amp;"ি ভালো করেছি।")</f>
        <v>আমি জবাবদিহি করার চেষ্টা করছি :p গতকাল ছিল প্রথম দিন মদ্যপানমুক্ত। কাজ শেষ হওয়ার পর কয়েকটি পানীয় (সাধারণত প্রায় ৪ বার ভদকা) পান করা খুব আরামদায়ক অভ্যাসে পরিণত হয়েছে। আমি জানি শুরু করার পর নিজেকে নিয়ন্ত্রণ করতে বিশ্বাস করতে পারছি না। রাতের রুটিন হল সাধারণত কাজ শেষ করে পান করা, কুকুরকে হাঁটানো, আরেকটি পানীয় বা ৩ বার এবং রাতের খাবার তৈরি করা। আমার এই আচারটি স্বাস্থ্যকর কিছুতে পরিবর্তন করতে হবে, কিন্তু আমি নিজে কীভাবে আরাম করব তা ভুলে গেছি। আগামীকাল ফিরে আসার জন্য এটি এখানে রাখতে চেয়েছিলাম এবং এখন আমি ভালো করেছি।</v>
      </c>
    </row>
    <row r="1829" spans="1:3" ht="15" x14ac:dyDescent="0.25">
      <c r="A1829" s="3" t="s">
        <v>1823</v>
      </c>
      <c r="B1829" s="3" t="s">
        <v>997</v>
      </c>
      <c r="C1829" s="4" t="str">
        <f ca="1">IFERROR(__xludf.DUMMYFUNCTION("GOOGLETRANSLATE(A1829, ""auto"", ""bn"")"),"গতকালের চেয়ে অনেক ভালো লাগছে আর আসলে ভাবছি রাতে ভালো ঘুম হবে কিনা? আমরা যে বিষয়গুলোকে স্বাভাবিক মনে করি, যেমন মদ্যপানের সময় ঘুমানো, চারদিকে ছড়িয়ে থাকা দুঃখ-কষ্ট তো দূরের কথা?... আজকের জন্য।")</f>
        <v>গতকালের চেয়ে অনেক ভালো লাগছে আর আসলে ভাবছি রাতে ভালো ঘুম হবে কিনা? আমরা যে বিষয়গুলোকে স্বাভাবিক মনে করি, যেমন মদ্যপানের সময় ঘুমানো, চারদিকে ছড়িয়ে থাকা দুঃখ-কষ্ট তো দূরের কথা?... আজকের জন্য।</v>
      </c>
    </row>
    <row r="1830" spans="1:3" ht="15" x14ac:dyDescent="0.25">
      <c r="A1830" s="3" t="s">
        <v>1824</v>
      </c>
      <c r="B1830" s="3" t="s">
        <v>997</v>
      </c>
      <c r="C1830" s="4" t="str">
        <f ca="1">IFERROR(__xludf.DUMMYFUNCTION("GOOGLETRANSLATE(A1830, ""auto"", ""bn"")"),"আমি প্রায় ৬ মাস আগে আবারও এটা করতে পেরেছিলাম, কিন্তু ১৬ তারিখে আমার ৩০ বছর পূর্ণ হয়েছিল এবং সবার উপর ঝাঁপিয়ে পড়েছিলাম। এই বার্তাটি আমি আমার কিছু বন্ধুকে আমার আচরণের জন্য ক্ষমা চেয়েছিলাম এবং আমার মনে হয় এটি এমন কিছু যা আমি অন্য পানীয় পান করার কথা ভাবলে প"&amp;"ড়তে চাইতাম। আমি ভাবছি কেন আমি এত উৎসাহী এবং ভালো মানুষ, কিন্তু যখন আমি মাতাল হই। আমি তাদের কাছে ব্লেড বের করি যারা আমার কাছে সবচেয়ে বেশি গুরুত্বপূর্ণ। এমনকি যদি তারা আমার পিঠের ব্লেডও হয়, তবুও কেন আমি তোমাদের দিকে তাকিয়ে ব্লেড বের করি? কেন আমি নিজেকে ব্"&amp;"যথা দিয়ে সাজাই এবং গিলে ফেলি যাতে যারা আমাকে সুস্থ করেছে তাদের দিকে থুতু ফেলি? আমি এত শক্তিশালী সাঁতারু হয়ে উঠেছি যে আমাকে কেবল ডুবে যেতে দেওয়া হয়নি, বরং সেতু এবং জীবনযাত্রার ভেলায় আগুন ধরিয়ে দিয়েছি। আমার মনে হয় আমি কেবল একজন বোকা হওয়ার জন্য ক্ষমা চাইছি,"&amp;" কিন্তু এর কারণ কি এই বোকা হওয়া এত ছোট যে এটি সর্বত্র ফিট করে, নাকি আমি এত বিশাল এবং স্পন্দিত হওয়া সত্ত্বেও নিজেকে ফিট করতে চাই, আমি পুরোপুরি পারি না। আমি নিশ্চিত নই, কিন্তু মৃত্যুর আগে আমার কাছে এত টাকা থাকা দরকার যে আমি একটা সমাধিফলকে এই সব লিখে ফেলব।")</f>
        <v>আমি প্রায় ৬ মাস আগে আবারও এটা করতে পেরেছিলাম, কিন্তু ১৬ তারিখে আমার ৩০ বছর পূর্ণ হয়েছিল এবং সবার উপর ঝাঁপিয়ে পড়েছিলাম। এই বার্তাটি আমি আমার কিছু বন্ধুকে আমার আচরণের জন্য ক্ষমা চেয়েছিলাম এবং আমার মনে হয় এটি এমন কিছু যা আমি অন্য পানীয় পান করার কথা ভাবলে পড়তে চাইতাম। আমি ভাবছি কেন আমি এত উৎসাহী এবং ভালো মানুষ, কিন্তু যখন আমি মাতাল হই। আমি তাদের কাছে ব্লেড বের করি যারা আমার কাছে সবচেয়ে বেশি গুরুত্বপূর্ণ। এমনকি যদি তারা আমার পিঠের ব্লেডও হয়, তবুও কেন আমি তোমাদের দিকে তাকিয়ে ব্লেড বের করি? কেন আমি নিজেকে ব্যথা দিয়ে সাজাই এবং গিলে ফেলি যাতে যারা আমাকে সুস্থ করেছে তাদের দিকে থুতু ফেলি? আমি এত শক্তিশালী সাঁতারু হয়ে উঠেছি যে আমাকে কেবল ডুবে যেতে দেওয়া হয়নি, বরং সেতু এবং জীবনযাত্রার ভেলায় আগুন ধরিয়ে দিয়েছি। আমার মনে হয় আমি কেবল একজন বোকা হওয়ার জন্য ক্ষমা চাইছি, কিন্তু এর কারণ কি এই বোকা হওয়া এত ছোট যে এটি সর্বত্র ফিট করে, নাকি আমি এত বিশাল এবং স্পন্দিত হওয়া সত্ত্বেও নিজেকে ফিট করতে চাই, আমি পুরোপুরি পারি না। আমি নিশ্চিত নই, কিন্তু মৃত্যুর আগে আমার কাছে এত টাকা থাকা দরকার যে আমি একটা সমাধিফলকে এই সব লিখে ফেলব।</v>
      </c>
    </row>
    <row r="1831" spans="1:3" ht="15" x14ac:dyDescent="0.25">
      <c r="A1831" s="3" t="s">
        <v>1825</v>
      </c>
      <c r="B1831" s="3" t="s">
        <v>997</v>
      </c>
      <c r="C1831" s="4" t="str">
        <f ca="1">IFERROR(__xludf.DUMMYFUNCTION("GOOGLETRANSLATE(A1831, ""auto"", ""bn"")"),"গত ১০ বছর ধরে আমি প্রতিদিন গড়ে ৪টি পানীয় পান করেছি... মাঝে মাঝে ৮টি পানীয় পান করেছি... মাঝে মাঝে ২টি পান করেছি... কখনো ০ পান করিনি। গত গ্রীষ্মে আমি প্রতিদিন ১ পানীয় পান করেছি এবং ভালো ফলাফল পেয়েছি। সম্প্রতি আমি একেবারেই মদ্যপান না করার মানসিক প্রতিশ্"&amp;"রুতিবদ্ধ হয়েছি। গত কয়েকদিন ধরে আমি ঘুম থেকে উঠে আরও বুদ্ধিমান বোধ করছি। আমি জানি যে অ্যালকোহল মস্তিষ্কের জন্য মোটেও ভালো নয়, তবে আমি আশা করিনি যে এটি অনুভব করব। এমন নয় যে আমি প্রতিদিন সকালে একটি গণিত কুইজ দিই যাতে একটি বস্তুনিষ্ঠ মেট্রিক পাওয়া যায়, "&amp;"তবে আমি কথোপকথনগুলি আরও ভালভাবে অনুসরণ করতে পারি... মনোযোগ দেওয়ার চেষ্টা করার সময় আমার মন সাধারণত অনিয়ন্ত্রিতভাবে ঘুরে বেড়ায় - আমার মনে হয় এটির উন্নতি হচ্ছে। অনুভূতিটি তিক্ত মিষ্টি...এটি দুর্দান্ত তবে উদ্বেগজনকও: ""আমি কি আমার মস্তিষ্ককে নষ্ট করে দি"&amp;"য়েছি?""")</f>
        <v>গত ১০ বছর ধরে আমি প্রতিদিন গড়ে ৪টি পানীয় পান করেছি... মাঝে মাঝে ৮টি পানীয় পান করেছি... মাঝে মাঝে ২টি পান করেছি... কখনো ০ পান করিনি। গত গ্রীষ্মে আমি প্রতিদিন ১ পানীয় পান করেছি এবং ভালো ফলাফল পেয়েছি। সম্প্রতি আমি একেবারেই মদ্যপান না করার মানসিক প্রতিশ্রুতিবদ্ধ হয়েছি। গত কয়েকদিন ধরে আমি ঘুম থেকে উঠে আরও বুদ্ধিমান বোধ করছি। আমি জানি যে অ্যালকোহল মস্তিষ্কের জন্য মোটেও ভালো নয়, তবে আমি আশা করিনি যে এটি অনুভব করব। এমন নয় যে আমি প্রতিদিন সকালে একটি গণিত কুইজ দিই যাতে একটি বস্তুনিষ্ঠ মেট্রিক পাওয়া যায়, তবে আমি কথোপকথনগুলি আরও ভালভাবে অনুসরণ করতে পারি... মনোযোগ দেওয়ার চেষ্টা করার সময় আমার মন সাধারণত অনিয়ন্ত্রিতভাবে ঘুরে বেড়ায় - আমার মনে হয় এটির উন্নতি হচ্ছে। অনুভূতিটি তিক্ত মিষ্টি...এটি দুর্দান্ত তবে উদ্বেগজনকও: "আমি কি আমার মস্তিষ্ককে নষ্ট করে দিয়েছি?"</v>
      </c>
    </row>
    <row r="1832" spans="1:3" ht="15" x14ac:dyDescent="0.25">
      <c r="A1832" s="3" t="s">
        <v>1826</v>
      </c>
      <c r="B1832" s="3" t="s">
        <v>997</v>
      </c>
      <c r="C1832" s="4" t="str">
        <f ca="1">IFERROR(__xludf.DUMMYFUNCTION("GOOGLETRANSLATE(A1832, ""auto"", ""bn"")"),"আমি লোকজনকে বলতে দেখছি যে এটি তাদের সাহায্য করেছে। আমি কি কিছু মৌলিক প্রশ্ন জিজ্ঞাসা করতে পারি যেমন: আপনি কীভাবে একটি ভালো প্রশ্ন খুঁজে পাবেন? আপনি কীভাবে এর জন্য অর্থ প্রদান করবেন? আপনি কীভাবে আপনার জীবনকে সপ্তাহের জন্য আটকে রাখেন? আপনি কি লোকেদের বলেন য"&amp;"ে আপনি পুনর্বাসনে যাচ্ছেন? কোন তথ্যের জন্য কৃতজ্ঞ। আমি মার্কিন যুক্তরাষ্ট্রে আছি")</f>
        <v>আমি লোকজনকে বলতে দেখছি যে এটি তাদের সাহায্য করেছে। আমি কি কিছু মৌলিক প্রশ্ন জিজ্ঞাসা করতে পারি যেমন: আপনি কীভাবে একটি ভালো প্রশ্ন খুঁজে পাবেন? আপনি কীভাবে এর জন্য অর্থ প্রদান করবেন? আপনি কীভাবে আপনার জীবনকে সপ্তাহের জন্য আটকে রাখেন? আপনি কি লোকেদের বলেন যে আপনি পুনর্বাসনে যাচ্ছেন? কোন তথ্যের জন্য কৃতজ্ঞ। আমি মার্কিন যুক্তরাষ্ট্রে আছি</v>
      </c>
    </row>
    <row r="1833" spans="1:3" ht="15" x14ac:dyDescent="0.25">
      <c r="A1833" s="3" t="s">
        <v>1827</v>
      </c>
      <c r="B1833" s="3" t="s">
        <v>997</v>
      </c>
      <c r="C1833" s="4" t="str">
        <f ca="1">IFERROR(__xludf.DUMMYFUNCTION("GOOGLETRANSLATE(A1833, ""auto"", ""bn"")"),"আমি খুব বিরক্ত। এখনও নিজেকে এভাবে পিছলে যেতে দেওয়ার ব্যাপারটা কাটিয়ে উঠতে পারছি না। গতকাল আমি কখনও বিছানা থেকে নড়িনি। প্রতিবার যখনই আমার মাথা ঠান্ডা হয়, তখনই আমি সেই ভয়াবহ হ্যাংওভারের কথা ভাবি, আর তারপর বলি যে আমি আর কখনও এমনটা অনুভব করতে চাই না, কিন্তু "&amp;"বারবার আমি কেবল আবর্জনার মতো অনুভব করার জন্য পান করি। আজ ভালো লাগছে, কিন্তু হাঁটতে হাঁটতে আমার পায়ের পাতা ভারী লাগছে। আমি কী করেছি তা নিশ্চিত নই। আজও বিছানা ছেড়ে উঠবো বলে মনে হয় না।")</f>
        <v>আমি খুব বিরক্ত। এখনও নিজেকে এভাবে পিছলে যেতে দেওয়ার ব্যাপারটা কাটিয়ে উঠতে পারছি না। গতকাল আমি কখনও বিছানা থেকে নড়িনি। প্রতিবার যখনই আমার মাথা ঠান্ডা হয়, তখনই আমি সেই ভয়াবহ হ্যাংওভারের কথা ভাবি, আর তারপর বলি যে আমি আর কখনও এমনটা অনুভব করতে চাই না, কিন্তু বারবার আমি কেবল আবর্জনার মতো অনুভব করার জন্য পান করি। আজ ভালো লাগছে, কিন্তু হাঁটতে হাঁটতে আমার পায়ের পাতা ভারী লাগছে। আমি কী করেছি তা নিশ্চিত নই। আজও বিছানা ছেড়ে উঠবো বলে মনে হয় না।</v>
      </c>
    </row>
    <row r="1834" spans="1:3" ht="15" x14ac:dyDescent="0.25">
      <c r="A1834" s="3" t="s">
        <v>1828</v>
      </c>
      <c r="B1834" s="3" t="s">
        <v>997</v>
      </c>
      <c r="C1834" s="4" t="str">
        <f ca="1">IFERROR(__xludf.DUMMYFUNCTION("GOOGLETRANSLATE(A1834, ""auto"", ""bn"")"),"তুমি হয়তো আগেও এটা শুনেছো, কিন্তু দীর্ঘমেয়াদী সংযমের ""রহস্য""গুলোর মধ্যে এটি একটি। আমি অনেক মানুষকে অনেক মাস পর আবার আসক্ত হতে দেখেছি, কারণ তারা মাদক ও অ্যালকোহল ত্যাগ করার উপর মনোযোগ দেয়, এবং ব্যক্তি হিসেবে প্রকৃত পরিবর্তনের উপর যথেষ্ট মনোযোগ দেয় না। "&amp;"রাগ ও চাপ নিয়ন্ত্রণ করার মতো জিনিস। সংযমের সময় তোমার খারাপ সময় যাবে। আমাদের সেই কঠিন সময়গুলো কাটিয়ে উঠতে হবে, মাদক ও অ্যালকোহলে ফিরে না গিয়ে, মোকাবেলা করার জন্য। আমি মজা করছি না, অন্তত ৭৫%, ১ বছর পূর্ণ হওয়ার আগেই পুনরায় আসক্ত হয়ে পড়ে। বাস্তব পরিস"&amp;"ংখ্যান আছে, কিন্তু আমি আমার পাছা থেকে সেই পরিস্থিতি বের করে এনেছি। এমনকি সত্যিই ""সুখী"" সংযমী মানুষরাও যারা একসাথে থাকে বলে মনে হয়। সাধারণত এটি এই দুটি পরিস্থিতির মধ্যে একটি: কিছু দৃঢ় সংযমের পরে অতিরিক্ত আত্মবিশ্বাস, অথবা কোথাও থেকে প্রকাশিত জাদুকরী সু"&amp;"খের অভাবের কারণে হাল ছেড়ে দেওয়া। সংযম জাদুকরীভাবে সবকিছু ঠিক করে না। অনেক মানুষ হয়তো সংযত হতে পারে, কিন্তু আসলে অর্থপূর্ণভাবে পরিবর্তিত হয় না। দুই বছর সংযত থাকার জন্য আমাকে প্রায় ৬ বছর সময় লেগেছে। প্রায় ৩ বছর আগে, যখন আমি এটা বুঝতে শুরু করি, তখন পর্"&amp;"যন্ত আমি সত্যিই পরিবর্তন শুরু করিনি।")</f>
        <v>তুমি হয়তো আগেও এটা শুনেছো, কিন্তু দীর্ঘমেয়াদী সংযমের "রহস্য"গুলোর মধ্যে এটি একটি। আমি অনেক মানুষকে অনেক মাস পর আবার আসক্ত হতে দেখেছি, কারণ তারা মাদক ও অ্যালকোহল ত্যাগ করার উপর মনোযোগ দেয়, এবং ব্যক্তি হিসেবে প্রকৃত পরিবর্তনের উপর যথেষ্ট মনোযোগ দেয় না। রাগ ও চাপ নিয়ন্ত্রণ করার মতো জিনিস। সংযমের সময় তোমার খারাপ সময় যাবে। আমাদের সেই কঠিন সময়গুলো কাটিয়ে উঠতে হবে, মাদক ও অ্যালকোহলে ফিরে না গিয়ে, মোকাবেলা করার জন্য। আমি মজা করছি না, অন্তত ৭৫%, ১ বছর পূর্ণ হওয়ার আগেই পুনরায় আসক্ত হয়ে পড়ে। বাস্তব পরিসংখ্যান আছে, কিন্তু আমি আমার পাছা থেকে সেই পরিস্থিতি বের করে এনেছি। এমনকি সত্যিই "সুখী" সংযমী মানুষরাও যারা একসাথে থাকে বলে মনে হয়। সাধারণত এটি এই দুটি পরিস্থিতির মধ্যে একটি: কিছু দৃঢ় সংযমের পরে অতিরিক্ত আত্মবিশ্বাস, অথবা কোথাও থেকে প্রকাশিত জাদুকরী সুখের অভাবের কারণে হাল ছেড়ে দেওয়া। সংযম জাদুকরীভাবে সবকিছু ঠিক করে না। অনেক মানুষ হয়তো সংযত হতে পারে, কিন্তু আসলে অর্থপূর্ণভাবে পরিবর্তিত হয় না। দুই বছর সংযত থাকার জন্য আমাকে প্রায় ৬ বছর সময় লেগেছে। প্রায় ৩ বছর আগে, যখন আমি এটা বুঝতে শুরু করি, তখন পর্যন্ত আমি সত্যিই পরিবর্তন শুরু করিনি।</v>
      </c>
    </row>
    <row r="1835" spans="1:3" ht="15" x14ac:dyDescent="0.25">
      <c r="A1835" s="3" t="s">
        <v>1829</v>
      </c>
      <c r="B1835" s="3" t="s">
        <v>997</v>
      </c>
      <c r="C1835" s="4" t="str">
        <f ca="1">IFERROR(__xludf.DUMMYFUNCTION("GOOGLETRANSLATE(A1835, ""auto"", ""bn"")"),"সোমবার আমি মদ্যপান এবং গাঁজা ধূমপান ছেড়ে দিয়েছি এবং আমি কিছু জিনিস লক্ষ্য করেছি। আমার ওজন কমছে, যা যুক্তিসঙ্গত কারণ আমি বিয়ার পান করার জন্য বেছে নিয়েছিলাম। এছাড়াও, আমার উদ্বেগ উল্লেখযোগ্যভাবে কমে গেছে। আমি মাথাব্যথা বা সকালে মদ্যপানের কোনও বিষ্ঠা ছাড"&amp;"়াই ঘুম থেকে উঠি। তবে আমি বুঝতে পেরেছি যে আমার সবচেয়ে বড় বাধা হল রাতের বেলা। আমি সবসময় রাতে ঘুম থেকে উঠতাম। যখন আমি মদ্যপান করতাম তখন আমি কখনও দিনের বেলায় করতাম না, কেবল রাতে। গাঁজা ধূমপানের সাথে আমি দিনের বেলায় নির্দিষ্ট সময়ে BT করতাম। এখন যেহেতু আ"&amp;"মি সুস্থ হয়ে উঠেছি, আমি বুঝতে পেরেছি যে রাতের সময় একটি চ্যালেঞ্জ হতে চলেছে। কেবল রাত ২টার আগে আমার ঘুম আসে না যা আমার সন্দেহ ছিল তাই এটি কোনও আশ্চর্যের বিষয় নয়। এটি এমন কিছু যা আমি লক্ষ্য করেছি। আমি রাতে ঘুমাতে যাওয়ার জন্য ঘুম থেকে উঠতাম, যেমন কোনও ব"&amp;"িষাক্ত ঘুমের সাহায্যকারী। এখন আমি বুঝতে পেরেছি যে আমার রাতে একটি পরিকল্পনা করতে হবে যাতে আমি আবার আসক্ত না হই। মূলত এটাই হা হা হা, শান্ত থাকাটা অদ্ভুত লাগছে। সত্যি বলতে, আমার মনে হচ্ছে আমি এমন একটি সুপারপাওয়ার খুলে ফেলেছি যা আমি অনেক দিন ধরে উপেক্ষা করে "&amp;"আসছিলাম। হা হা। আমি আমার পরিবারকে বলতে চাই কিন্তু ৩০ দিন পূর্ণ না হওয়া পর্যন্ত অপেক্ষা করতে চাই। আবারও আশা করি সবাই ভালো আছেন এবং আপনি যেখানেই থাকুন না কেন। আমরা এটি পেয়েছি।")</f>
        <v>সোমবার আমি মদ্যপান এবং গাঁজা ধূমপান ছেড়ে দিয়েছি এবং আমি কিছু জিনিস লক্ষ্য করেছি। আমার ওজন কমছে, যা যুক্তিসঙ্গত কারণ আমি বিয়ার পান করার জন্য বেছে নিয়েছিলাম। এছাড়াও, আমার উদ্বেগ উল্লেখযোগ্যভাবে কমে গেছে। আমি মাথাব্যথা বা সকালে মদ্যপানের কোনও বিষ্ঠা ছাড়াই ঘুম থেকে উঠি। তবে আমি বুঝতে পেরেছি যে আমার সবচেয়ে বড় বাধা হল রাতের বেলা। আমি সবসময় রাতে ঘুম থেকে উঠতাম। যখন আমি মদ্যপান করতাম তখন আমি কখনও দিনের বেলায় করতাম না, কেবল রাতে। গাঁজা ধূমপানের সাথে আমি দিনের বেলায় নির্দিষ্ট সময়ে BT করতাম। এখন যেহেতু আমি সুস্থ হয়ে উঠেছি, আমি বুঝতে পেরেছি যে রাতের সময় একটি চ্যালেঞ্জ হতে চলেছে। কেবল রাত ২টার আগে আমার ঘুম আসে না যা আমার সন্দেহ ছিল তাই এটি কোনও আশ্চর্যের বিষয় নয়। এটি এমন কিছু যা আমি লক্ষ্য করেছি। আমি রাতে ঘুমাতে যাওয়ার জন্য ঘুম থেকে উঠতাম, যেমন কোনও বিষাক্ত ঘুমের সাহায্যকারী। এখন আমি বুঝতে পেরেছি যে আমার রাতে একটি পরিকল্পনা করতে হবে যাতে আমি আবার আসক্ত না হই। মূলত এটাই হা হা হা, শান্ত থাকাটা অদ্ভুত লাগছে। সত্যি বলতে, আমার মনে হচ্ছে আমি এমন একটি সুপারপাওয়ার খুলে ফেলেছি যা আমি অনেক দিন ধরে উপেক্ষা করে আসছিলাম। হা হা। আমি আমার পরিবারকে বলতে চাই কিন্তু ৩০ দিন পূর্ণ না হওয়া পর্যন্ত অপেক্ষা করতে চাই। আবারও আশা করি সবাই ভালো আছেন এবং আপনি যেখানেই থাকুন না কেন। আমরা এটি পেয়েছি।</v>
      </c>
    </row>
    <row r="1836" spans="1:3" ht="15" x14ac:dyDescent="0.25">
      <c r="A1836" s="3" t="s">
        <v>1830</v>
      </c>
      <c r="B1836" s="3" t="s">
        <v>997</v>
      </c>
      <c r="C1836" s="4" t="str">
        <f ca="1">IFERROR(__xludf.DUMMYFUNCTION("GOOGLETRANSLATE(A1836, ""auto"", ""bn"")"),"সারাদিন বন্ধুদের সাথে মদ্যপান করেছি। সম্ভবত ৭-৮টি পানীয় খেয়েছি। মাঝরাতে ঘুম ভেঙে ঘাম, হৃদস্পন্দন, তারপর হঠাৎ হঠাৎ প্যানিক অ্যাটাক। কিছু ম্যাগনেসিয়াম খেয়ে আরাম করার চেষ্টা করছি। এটাই সবচেয়ে খারাপ!")</f>
        <v>সারাদিন বন্ধুদের সাথে মদ্যপান করেছি। সম্ভবত ৭-৮টি পানীয় খেয়েছি। মাঝরাতে ঘুম ভেঙে ঘাম, হৃদস্পন্দন, তারপর হঠাৎ হঠাৎ প্যানিক অ্যাটাক। কিছু ম্যাগনেসিয়াম খেয়ে আরাম করার চেষ্টা করছি। এটাই সবচেয়ে খারাপ!</v>
      </c>
    </row>
    <row r="1837" spans="1:3" ht="15" x14ac:dyDescent="0.25">
      <c r="A1837" s="3" t="s">
        <v>1831</v>
      </c>
      <c r="B1837" s="3" t="s">
        <v>997</v>
      </c>
      <c r="C1837" s="4" t="str">
        <f ca="1">IFERROR(__xludf.DUMMYFUNCTION("GOOGLETRANSLATE(A1837, ""auto"", ""bn"")"),"বাবার বাড়িতে সপ্তাহান্তে কাটিয়েছি, তারা খুব সম্মানের সাথে আমার আশেপাশে মদ্যপান করেনি এবং আমি যখন সেখানে ছিলাম তখন আমিও মদ্যপান করিনি!!!! পাঁচ বছরের মধ্যে প্রথমবারের মতো!!! আমি নিখুঁত বোধ করছি। পিএইচপি থেকে ছাড়া পাওয়ার পর থেকে পরিবারের সেই পক্ষটিকে এই "&amp;"প্রথম দেখা। আমি কেমন আছি এবং সত্যিই এটাকে সত্যি বলতে কী, তা সৎভাবে বলতে পেরে খুব ভালো লাগলো। আমার একটা স্থিতিশীল চাকরি আছে, আমি খুব বেশি ঘুমাতে পারি না, আমার প্রাকৃতিক শক্তি বেশি, এবং অবশেষে চিরতরে মদ্যপান ছেড়ে দেওয়ার পর থেকে আরও অনেক সুযোগ-সুবিধা আছে। "&amp;"আমি নিশ্চিত নই কী? এবার আমার জন্য কিন্তু আমি এটা করার জন্য খুবই কৃতজ্ঞ। তাই আমি আমার রবিবারের সম্পূর্ণ ক্ষুধার্ত জীবন কাটাচ্ছি না, কেবল ৭:৪৫ টার মধ্যে মদের দোকানে গিয়ে রাতের জন্য মদ কিনতে ছুটে যাই। অর্থাৎ, যদি আমি ইতিমধ্যেই সারাদিন মদ্যপান না করে থাকি।")</f>
        <v>বাবার বাড়িতে সপ্তাহান্তে কাটিয়েছি, তারা খুব সম্মানের সাথে আমার আশেপাশে মদ্যপান করেনি এবং আমি যখন সেখানে ছিলাম তখন আমিও মদ্যপান করিনি!!!! পাঁচ বছরের মধ্যে প্রথমবারের মতো!!! আমি নিখুঁত বোধ করছি। পিএইচপি থেকে ছাড়া পাওয়ার পর থেকে পরিবারের সেই পক্ষটিকে এই প্রথম দেখা। আমি কেমন আছি এবং সত্যিই এটাকে সত্যি বলতে কী, তা সৎভাবে বলতে পেরে খুব ভালো লাগলো। আমার একটা স্থিতিশীল চাকরি আছে, আমি খুব বেশি ঘুমাতে পারি না, আমার প্রাকৃতিক শক্তি বেশি, এবং অবশেষে চিরতরে মদ্যপান ছেড়ে দেওয়ার পর থেকে আরও অনেক সুযোগ-সুবিধা আছে। আমি নিশ্চিত নই কী? এবার আমার জন্য কিন্তু আমি এটা করার জন্য খুবই কৃতজ্ঞ। তাই আমি আমার রবিবারের সম্পূর্ণ ক্ষুধার্ত জীবন কাটাচ্ছি না, কেবল ৭:৪৫ টার মধ্যে মদের দোকানে গিয়ে রাতের জন্য মদ কিনতে ছুটে যাই। অর্থাৎ, যদি আমি ইতিমধ্যেই সারাদিন মদ্যপান না করে থাকি।</v>
      </c>
    </row>
    <row r="1838" spans="1:3" ht="15" x14ac:dyDescent="0.25">
      <c r="A1838" s="3" t="s">
        <v>1832</v>
      </c>
      <c r="B1838" s="3" t="s">
        <v>997</v>
      </c>
      <c r="C1838" s="4" t="str">
        <f ca="1">IFERROR(__xludf.DUMMYFUNCTION("GOOGLETRANSLATE(A1838, ""auto"", ""bn"")"),"যদি কেউ ছুটিতে থাকাকালীন সংযত থাকার বিষয়ে ভাবছেন বা চিন্তিত, তাহলে আমি আপনাকে সরাসরি বলতে পারি এটি দুর্দান্ত! সুবিধা: -অনেক বেশি শক্তি -সমস্যা বজায় রাখার পরিবর্তে সময় এবং মানুষ উপভোগ করার দিকে মনোনিবেশ করুন -অসাধারণ ঘুম -মজাদার কার্যকলাপের জন্য আরও সময"&amp;"় -আমি মকটেল এবং এনএ বিয়ারকে সাধারণ পানীয়ের চেয়েও আরামদায়ক (যদি বেশি আরামদায়ক না হয়) পেয়েছি। অসুবিধা: -আপনি কি এটি দেখবেন, একটিও অসুবিধা নয়। সব কৌতুক বাদ দিন। আমি জানি ভ্রমণ এবং ছুটি কারও কারও জন্য একটি ট্রিগার হতে পারে। আমি আমার অভিজ্ঞতা শেয়ার ক"&amp;"রতে চেয়েছিলাম যদি এটি অন্যদের ছুটিতে মদ্যপান না করার বিষয়ে আরও স্বাচ্ছন্দ্য বোধ করতে সাহায্য করে। এটি সত্যিই খুব উপভোগ্য!")</f>
        <v>যদি কেউ ছুটিতে থাকাকালীন সংযত থাকার বিষয়ে ভাবছেন বা চিন্তিত, তাহলে আমি আপনাকে সরাসরি বলতে পারি এটি দুর্দান্ত! সুবিধা: -অনেক বেশি শক্তি -সমস্যা বজায় রাখার পরিবর্তে সময় এবং মানুষ উপভোগ করার দিকে মনোনিবেশ করুন -অসাধারণ ঘুম -মজাদার কার্যকলাপের জন্য আরও সময় -আমি মকটেল এবং এনএ বিয়ারকে সাধারণ পানীয়ের চেয়েও আরামদায়ক (যদি বেশি আরামদায়ক না হয়) পেয়েছি। অসুবিধা: -আপনি কি এটি দেখবেন, একটিও অসুবিধা নয়। সব কৌতুক বাদ দিন। আমি জানি ভ্রমণ এবং ছুটি কারও কারও জন্য একটি ট্রিগার হতে পারে। আমি আমার অভিজ্ঞতা শেয়ার করতে চেয়েছিলাম যদি এটি অন্যদের ছুটিতে মদ্যপান না করার বিষয়ে আরও স্বাচ্ছন্দ্য বোধ করতে সাহায্য করে। এটি সত্যিই খুব উপভোগ্য!</v>
      </c>
    </row>
    <row r="1839" spans="1:3" ht="15" x14ac:dyDescent="0.25">
      <c r="A1839" s="3" t="s">
        <v>1833</v>
      </c>
      <c r="B1839" s="3" t="s">
        <v>997</v>
      </c>
      <c r="C1839" s="4" t="str">
        <f ca="1">IFERROR(__xludf.DUMMYFUNCTION("GOOGLETRANSLATE(A1839, ""auto"", ""bn"")"),"আজ একটা চমৎকার দিন কেটেছে, বিষণ্ণ, কিন্তু অসহনীয় কিছু নেই। সন্ধ্যা ৭টা পর্যন্ত, যে সময়টা সাধারণত আমার মদ্যপান শুরু হয়। সারাদিন আমি মদ্যপান নিয়ে খুব একটা ভাবিনি এবং হঠাৎ করেই আমি নিজেকে সবচেয়ে খারাপ উদ্বেগের আক্রমণের মধ্যে আবিষ্কার করলাম। প্রায় ২০ মি"&amp;"নিট ধরে আমার মস্তিষ্ককে কী সমস্যা তা বোঝার চেষ্টা করার পর আমি ভাবলাম, ""আল্লাহ, একটা বিয়ার আমাকে ভালো বোধ করাবে, আমার ফ্রিজ থেকে একটা বিয়ার নিয়ে আসা উচিত?"" এবং তারপর আমি হেসে ফেললাম - উদ্বেগের আক্রমণের মধ্যে। আজ মাথা নাড়িয়ে। তুমি আমাকে প্রায় পেয়ে "&amp;"গেছো। পরিবর্তে, আমি আমার জুতা পরেছিলাম, কোণার দোকানে হেঁটে গিয়েছিলাম, একটি আদা আল এবং এক প্যাকেট ডোনাট কিনেছিলাম, এবং বাড়িতে এসে নেটফ্লিক্স চালু করেছিলাম। সপ্তম দিন শেষ।")</f>
        <v>আজ একটা চমৎকার দিন কেটেছে, বিষণ্ণ, কিন্তু অসহনীয় কিছু নেই। সন্ধ্যা ৭টা পর্যন্ত, যে সময়টা সাধারণত আমার মদ্যপান শুরু হয়। সারাদিন আমি মদ্যপান নিয়ে খুব একটা ভাবিনি এবং হঠাৎ করেই আমি নিজেকে সবচেয়ে খারাপ উদ্বেগের আক্রমণের মধ্যে আবিষ্কার করলাম। প্রায় ২০ মিনিট ধরে আমার মস্তিষ্ককে কী সমস্যা তা বোঝার চেষ্টা করার পর আমি ভাবলাম, "আল্লাহ, একটা বিয়ার আমাকে ভালো বোধ করাবে, আমার ফ্রিজ থেকে একটা বিয়ার নিয়ে আসা উচিত?" এবং তারপর আমি হেসে ফেললাম - উদ্বেগের আক্রমণের মধ্যে। আজ মাথা নাড়িয়ে। তুমি আমাকে প্রায় পেয়ে গেছো। পরিবর্তে, আমি আমার জুতা পরেছিলাম, কোণার দোকানে হেঁটে গিয়েছিলাম, একটি আদা আল এবং এক প্যাকেট ডোনাট কিনেছিলাম, এবং বাড়িতে এসে নেটফ্লিক্স চালু করেছিলাম। সপ্তম দিন শেষ।</v>
      </c>
    </row>
    <row r="1840" spans="1:3" ht="15" x14ac:dyDescent="0.25">
      <c r="A1840" s="3" t="s">
        <v>1834</v>
      </c>
      <c r="B1840" s="3" t="s">
        <v>997</v>
      </c>
      <c r="C1840" s="4" t="str">
        <f ca="1">IFERROR(__xludf.DUMMYFUNCTION("GOOGLETRANSLATE(A1840, ""auto"", ""bn"")"),"এই মুহূর্তে আমি বেশ কয়েক মাস ধরে শান্ত, এবং সম্প্রতি আমার মনে নানান চিন্তাভাবনা আসতে শুরু করেছে (যেমন, ""ঠিক আছে, সকাল ৬টা বাজে, আর তুমি একা, যদি এখনই একটা পানীয় পান করো, তাহলে কি মজার এবং পাগলাটে হবে না?"" অথবা এমনকি ""যদি তুমি এমন একটা ওষুধ চেষ্টা করো"&amp;" যা আগে কখনও ব্যবহার করোনি? হেরোইন চেষ্টা করা আকর্ষণীয় হতে পারে!"")। আমি সত্যিই এই বিষয়টি নিয়ে অজ্ঞান হয়ে পড়েছি? এমনকি যখন আমার মদ্যপান সবচেয়ে খারাপ পর্যায়ে ছিল, তখনও আমি খুব কমই একা পান করতাম, সকালে প্রথম জিনিস পান করতাম না, এবং আমার কিশোর বয়সে ম"&amp;"াদকদ্রব্য নিয়ে পরীক্ষা-নিরীক্ষা পুনরায় শুরু করার কোনও আগ্রহ ছিল না। মনে হচ্ছে আমি আমার মস্তিষ্ক থেকে কিছু কেড়ে নিয়েছি, এবং এখন এটি আরও খারাপ কিছুর জন্য ক্ষুধার্ত। অন্য কেউ কি এই অভিজ্ঞতার সম্মুখীন হয়েছে? আপনি কীভাবে মোকাবেলা করেছেন?")</f>
        <v>এই মুহূর্তে আমি বেশ কয়েক মাস ধরে শান্ত, এবং সম্প্রতি আমার মনে নানান চিন্তাভাবনা আসতে শুরু করেছে (যেমন, "ঠিক আছে, সকাল ৬টা বাজে, আর তুমি একা, যদি এখনই একটা পানীয় পান করো, তাহলে কি মজার এবং পাগলাটে হবে না?" অথবা এমনকি "যদি তুমি এমন একটা ওষুধ চেষ্টা করো যা আগে কখনও ব্যবহার করোনি? হেরোইন চেষ্টা করা আকর্ষণীয় হতে পারে!")। আমি সত্যিই এই বিষয়টি নিয়ে অজ্ঞান হয়ে পড়েছি? এমনকি যখন আমার মদ্যপান সবচেয়ে খারাপ পর্যায়ে ছিল, তখনও আমি খুব কমই একা পান করতাম, সকালে প্রথম জিনিস পান করতাম না, এবং আমার কিশোর বয়সে মাদকদ্রব্য নিয়ে পরীক্ষা-নিরীক্ষা পুনরায় শুরু করার কোনও আগ্রহ ছিল না। মনে হচ্ছে আমি আমার মস্তিষ্ক থেকে কিছু কেড়ে নিয়েছি, এবং এখন এটি আরও খারাপ কিছুর জন্য ক্ষুধার্ত। অন্য কেউ কি এই অভিজ্ঞতার সম্মুখীন হয়েছে? আপনি কীভাবে মোকাবেলা করেছেন?</v>
      </c>
    </row>
    <row r="1841" spans="1:3" ht="15" x14ac:dyDescent="0.25">
      <c r="A1841" s="3" t="s">
        <v>1835</v>
      </c>
      <c r="B1841" s="3" t="s">
        <v>997</v>
      </c>
      <c r="C1841" s="4" t="str">
        <f ca="1">IFERROR(__xludf.DUMMYFUNCTION("GOOGLETRANSLATE(A1841, ""auto"", ""bn"")"),"আচ্ছা। আমি অ্যালকোহল সম্পর্কেও ভাবিনি, যা ... বছরের পর বছর ধরে প্রথমবার? আমি ভ্যালিয়াম কমিয়ে দিচ্ছি, এবং দিনের পর দিন কমিয়ে দিচ্ছি। 500 মিলিগ্রাম থায়ামিন ট্যাবলেট এবং লিভার সাপোর্ট সাপ্লিমেন্ট, একটি প্রোবায়োটিক এবং ভিটামিন ডি। ডিটক্সের পরে আমি থায়াম"&amp;"িন কমিয়ে দেব। মাঝে মাঝে হাইড্রা লাইটের সাথে প্রচুর পরিমাণে জল। আমার মনে হচ্ছে আমি 5 বছরের বিশ্রামের সময় ধরে চলে যাচ্ছি। যতটা দুঃখিত ছিলাম যে এত সাহায্যের প্রয়োজন ছিল, ততটাই আমি আমার বীমা, অংশীদার এবং কাজের চুক্তির মধ্যে থাকার জন্যও অবিশ্বাস্যভাবে কৃতজ্"&amp;"ঞ যে এটিকে প্রথম 100% প্রচেষ্টা দিতে পেরেছি। আমি আশা করি সবাই সপ্তাহের শুরুটা দুর্দান্ত করছে। এখন সোমবার, এবং আমি খুঁজে পাচ্ছি যখন আমি ভ্যালিয়াম থেকে খুব বেশি অস্থির নই, তখন আমি কিছু ঝামেলা করতে এবং অদ্ভুত কাজগুলি সাজাতে সক্ষম হই।")</f>
        <v>আচ্ছা। আমি অ্যালকোহল সম্পর্কেও ভাবিনি, যা ... বছরের পর বছর ধরে প্রথমবার? আমি ভ্যালিয়াম কমিয়ে দিচ্ছি, এবং দিনের পর দিন কমিয়ে দিচ্ছি। 500 মিলিগ্রাম থায়ামিন ট্যাবলেট এবং লিভার সাপোর্ট সাপ্লিমেন্ট, একটি প্রোবায়োটিক এবং ভিটামিন ডি। ডিটক্সের পরে আমি থায়ামিন কমিয়ে দেব। মাঝে মাঝে হাইড্রা লাইটের সাথে প্রচুর পরিমাণে জল। আমার মনে হচ্ছে আমি 5 বছরের বিশ্রামের সময় ধরে চলে যাচ্ছি। যতটা দুঃখিত ছিলাম যে এত সাহায্যের প্রয়োজন ছিল, ততটাই আমি আমার বীমা, অংশীদার এবং কাজের চুক্তির মধ্যে থাকার জন্যও অবিশ্বাস্যভাবে কৃতজ্ঞ যে এটিকে প্রথম 100% প্রচেষ্টা দিতে পেরেছি। আমি আশা করি সবাই সপ্তাহের শুরুটা দুর্দান্ত করছে। এখন সোমবার, এবং আমি খুঁজে পাচ্ছি যখন আমি ভ্যালিয়াম থেকে খুব বেশি অস্থির নই, তখন আমি কিছু ঝামেলা করতে এবং অদ্ভুত কাজগুলি সাজাতে সক্ষম হই।</v>
      </c>
    </row>
    <row r="1842" spans="1:3" ht="15" x14ac:dyDescent="0.25">
      <c r="A1842" s="3" t="s">
        <v>1836</v>
      </c>
      <c r="B1842" s="3" t="s">
        <v>997</v>
      </c>
      <c r="C1842" s="4" t="str">
        <f ca="1">IFERROR(__xludf.DUMMYFUNCTION("GOOGLETRANSLATE(A1842, ""auto"", ""bn"")"),"উদ্বেগ মোকাবেলা করার জন্য। আমি প্রচুর ব্যায়াম করি, সম্পূর্ণ নাস্তিক, আর প্রেসক্রিপশনের অ্যান্টিডিপ্রেসেন্ট খাই। তবে, কিছু রাতে, দুশ্চিন্তা। যখন আপনি এর জন্য এক বোতল ওয়াইন কিনতে চান। আরও কিছু অস্পষ্ট, বামপন্থী প্রতিকার কী? ওষুধ নয়।")</f>
        <v>উদ্বেগ মোকাবেলা করার জন্য। আমি প্রচুর ব্যায়াম করি, সম্পূর্ণ নাস্তিক, আর প্রেসক্রিপশনের অ্যান্টিডিপ্রেসেন্ট খাই। তবে, কিছু রাতে, দুশ্চিন্তা। যখন আপনি এর জন্য এক বোতল ওয়াইন কিনতে চান। আরও কিছু অস্পষ্ট, বামপন্থী প্রতিকার কী? ওষুধ নয়।</v>
      </c>
    </row>
    <row r="1843" spans="1:3" ht="15" x14ac:dyDescent="0.25">
      <c r="A1843" s="3" t="s">
        <v>1837</v>
      </c>
      <c r="B1843" s="3" t="s">
        <v>997</v>
      </c>
      <c r="C1843" s="4" t="str">
        <f ca="1">IFERROR(__xludf.DUMMYFUNCTION("GOOGLETRANSLATE(A1843, ""auto"", ""bn"")"),"প্রথমবারের মতো এটার সাথে লড়াই করার পর আমি কোন শিক্ষা নিতে পারিনি। এটা অনেক খারাপ ছিল। ৭ রাত হাসপাতালের একটা নোংরা বিছানায় শুয়ে, ক্রমাগত ব্যথা, ৪ দিন ধরে কিছু না খাওয়া বা পান করার জন্য (শুধু বরফের টুকরো) কিছুই ছিল না, ব্যথা এবং পেট ফাঁপা হওয়ার কারণে আমি উ"&amp;"ঠে বসতে পারিনি। আমার পড়ে যাওয়ার ঝুঁকি ছিল? তাই হাঁটাচলা করা হয়নি, ১ বার গোসল করানো হয়নি, এবং আমার মনে পড়ার চেয়ে বেশি ওষুধ খাওয়া হয়নি। ৪র্থ রাতে আমি ঠিক জানি না কী হয়েছিল। আমার মনে হচ্ছিল আমি স্বপ্ন দেখছি, কিন্তু আমার মনে হচ্ছে আমি হ্যালুসিনেশন করছিলাম এ"&amp;"বং বিছানায় থাকব না। আমার পায়ে হলের কয়েকটি ইনজেকশন পাওয়া গেছে এবং কয়েক ঘন্টা পরে আমি আইসিইউতে জেগে উঠি। মজার কিছু ছিল না। এক মাসও হয়নি যে আমি জরুরি বিভাগে ছিলাম এবং একই কারণে রাত্রিযাপন করেছি, কিন্তু অনেক হালকা। প্রত্যাহারের জন্য আগের ৬ বার জরুরি বিভাগে। আ"&amp;"মাকে ভালো বোধ করার জন্য অনেক টাকা খরচ করা হয়েছে যাতে আমি আবার সেই কাজটি করতে পারি যা আমাকে অসুস্থ করে তুলছিল।")</f>
        <v>প্রথমবারের মতো এটার সাথে লড়াই করার পর আমি কোন শিক্ষা নিতে পারিনি। এটা অনেক খারাপ ছিল। ৭ রাত হাসপাতালের একটা নোংরা বিছানায় শুয়ে, ক্রমাগত ব্যথা, ৪ দিন ধরে কিছু না খাওয়া বা পান করার জন্য (শুধু বরফের টুকরো) কিছুই ছিল না, ব্যথা এবং পেট ফাঁপা হওয়ার কারণে আমি উঠে বসতে পারিনি। আমার পড়ে যাওয়ার ঝুঁকি ছিল? তাই হাঁটাচলা করা হয়নি, ১ বার গোসল করানো হয়নি, এবং আমার মনে পড়ার চেয়ে বেশি ওষুধ খাওয়া হয়নি। ৪র্থ রাতে আমি ঠিক জানি না কী হয়েছিল। আমার মনে হচ্ছিল আমি স্বপ্ন দেখছি, কিন্তু আমার মনে হচ্ছে আমি হ্যালুসিনেশন করছিলাম এবং বিছানায় থাকব না। আমার পায়ে হলের কয়েকটি ইনজেকশন পাওয়া গেছে এবং কয়েক ঘন্টা পরে আমি আইসিইউতে জেগে উঠি। মজার কিছু ছিল না। এক মাসও হয়নি যে আমি জরুরি বিভাগে ছিলাম এবং একই কারণে রাত্রিযাপন করেছি, কিন্তু অনেক হালকা। প্রত্যাহারের জন্য আগের ৬ বার জরুরি বিভাগে। আমাকে ভালো বোধ করার জন্য অনেক টাকা খরচ করা হয়েছে যাতে আমি আবার সেই কাজটি করতে পারি যা আমাকে অসুস্থ করে তুলছিল।</v>
      </c>
    </row>
    <row r="1844" spans="1:3" ht="15" x14ac:dyDescent="0.25">
      <c r="A1844" s="3" t="s">
        <v>1837</v>
      </c>
      <c r="B1844" s="3" t="s">
        <v>997</v>
      </c>
      <c r="C1844" s="4" t="str">
        <f ca="1">IFERROR(__xludf.DUMMYFUNCTION("GOOGLETRANSLATE(A1844, ""auto"", ""bn"")"),"প্রথমবারের মতো এটার সাথে লড়াই করার পর আমি কোন শিক্ষা নিতে পারিনি। এটা অনেক খারাপ ছিল। ৭ রাত হাসপাতালের একটা নোংরা বিছানায় শুয়ে, ক্রমাগত ব্যথা, ৪ দিন ধরে কিছু না খাওয়া বা পান করার জন্য (শুধু বরফের টুকরো) কিছুই ছিল না, ব্যথা এবং পেট ফাঁপা হওয়ার কারণে আমি উ"&amp;"ঠে বসতে পারিনি। আমার পড়ে যাওয়ার ঝুঁকি ছিল? তাই হাঁটাচলা করা হয়নি, ১ বার গোসল করানো হয়নি, এবং আমার মনে পড়ার চেয়ে বেশি ওষুধ খাওয়া হয়নি। ৪র্থ রাতে আমি ঠিক জানি না কী হয়েছিল। আমার মনে হচ্ছিল আমি স্বপ্ন দেখছি, কিন্তু আমার মনে হচ্ছে আমি হ্যালুসিনেশন করছিলাম এ"&amp;"বং বিছানায় থাকব না। আমার পায়ে হলের কয়েকটি ইনজেকশন পাওয়া গেছে এবং কয়েক ঘন্টা পরে আমি আইসিইউতে জেগে উঠি। মজার কিছু ছিল না। এক মাসও হয়নি যে আমি জরুরি বিভাগে ছিলাম এবং একই কারণে রাত্রিযাপন করেছি, কিন্তু অনেক হালকা। প্রত্যাহারের জন্য আগের ৬ বার জরুরি বিভাগে। আ"&amp;"মাকে ভালো বোধ করার জন্য অনেক টাকা খরচ করা হয়েছে যাতে আমি আবার সেই কাজটি করতে পারি যা আমাকে অসুস্থ করে তুলছিল।")</f>
        <v>প্রথমবারের মতো এটার সাথে লড়াই করার পর আমি কোন শিক্ষা নিতে পারিনি। এটা অনেক খারাপ ছিল। ৭ রাত হাসপাতালের একটা নোংরা বিছানায় শুয়ে, ক্রমাগত ব্যথা, ৪ দিন ধরে কিছু না খাওয়া বা পান করার জন্য (শুধু বরফের টুকরো) কিছুই ছিল না, ব্যথা এবং পেট ফাঁপা হওয়ার কারণে আমি উঠে বসতে পারিনি। আমার পড়ে যাওয়ার ঝুঁকি ছিল? তাই হাঁটাচলা করা হয়নি, ১ বার গোসল করানো হয়নি, এবং আমার মনে পড়ার চেয়ে বেশি ওষুধ খাওয়া হয়নি। ৪র্থ রাতে আমি ঠিক জানি না কী হয়েছিল। আমার মনে হচ্ছিল আমি স্বপ্ন দেখছি, কিন্তু আমার মনে হচ্ছে আমি হ্যালুসিনেশন করছিলাম এবং বিছানায় থাকব না। আমার পায়ে হলের কয়েকটি ইনজেকশন পাওয়া গেছে এবং কয়েক ঘন্টা পরে আমি আইসিইউতে জেগে উঠি। মজার কিছু ছিল না। এক মাসও হয়নি যে আমি জরুরি বিভাগে ছিলাম এবং একই কারণে রাত্রিযাপন করেছি, কিন্তু অনেক হালকা। প্রত্যাহারের জন্য আগের ৬ বার জরুরি বিভাগে। আমাকে ভালো বোধ করার জন্য অনেক টাকা খরচ করা হয়েছে যাতে আমি আবার সেই কাজটি করতে পারি যা আমাকে অসুস্থ করে তুলছিল।</v>
      </c>
    </row>
    <row r="1845" spans="1:3" ht="15" x14ac:dyDescent="0.25">
      <c r="A1845" s="3" t="s">
        <v>1838</v>
      </c>
      <c r="B1845" s="3" t="s">
        <v>997</v>
      </c>
      <c r="C1845" s="4" t="str">
        <f ca="1">IFERROR(__xludf.DUMMYFUNCTION("GOOGLETRANSLATE(A1845, ""auto"", ""bn"")"),"মদ্যপান বন্ধ করার জন্য আমার সবচেয়ে কঠিন কাজ হল নিজের এবং অন্যদের সাথে সৎ থাকা। আমার একটা সমস্যা আছে কিন্তু আমি সেটা এতটাই লুকিয়ে রাখতে পারি যে আমি ভুলেও যাই যে আমার একটা আসল সমস্যা আছে। এর কি কোন মানে হয়? আমি মদ্যপান করতে চাই না। আমি চাই এটা শেষ হোক। ত"&amp;"াছাড়া, আমি জানি না কিভাবে সফল হব? তাছাড়া, আমি আশা করি গতকালই আমার শেষ ""শেষ দিন?"" মদ্যপানের এবং আজকের দিনটি ভবিষ্যতের জন্য আমার নিজের এবং অন্যদের সাথে আরও সৎ থাকা জড়িত।")</f>
        <v>মদ্যপান বন্ধ করার জন্য আমার সবচেয়ে কঠিন কাজ হল নিজের এবং অন্যদের সাথে সৎ থাকা। আমার একটা সমস্যা আছে কিন্তু আমি সেটা এতটাই লুকিয়ে রাখতে পারি যে আমি ভুলেও যাই যে আমার একটা আসল সমস্যা আছে। এর কি কোন মানে হয়? আমি মদ্যপান করতে চাই না। আমি চাই এটা শেষ হোক। তাছাড়া, আমি জানি না কিভাবে সফল হব? তাছাড়া, আমি আশা করি গতকালই আমার শেষ "শেষ দিন?" মদ্যপানের এবং আজকের দিনটি ভবিষ্যতের জন্য আমার নিজের এবং অন্যদের সাথে আরও সৎ থাকা জড়িত।</v>
      </c>
    </row>
    <row r="1846" spans="1:3" ht="15" x14ac:dyDescent="0.25">
      <c r="A1846" s="3" t="s">
        <v>1839</v>
      </c>
      <c r="B1846" s="3" t="s">
        <v>997</v>
      </c>
      <c r="C1846" s="4" t="str">
        <f ca="1">IFERROR(__xludf.DUMMYFUNCTION("GOOGLETRANSLATE(A1846, ""auto"", ""bn"")"),"রাস্তার মোড়ে মোড়ে লিফলেট দিয়ে শুরু করা উচিত? ফেসবুক পোস্ট / AA ?? আমি ধৈর্য ধরার চেষ্টা করছি কারণ আমার বয়স মাত্র ৩৪ দিন, কিন্তু প্রতি বছর আমি সাধারণত কয়েক মাসের ছুটি নিই এবং একই ধরণের পরিস্থিতিতে পড়ি। এবার আমি মদ্যপান এবং মদ্যপানের সাথে সম্পর্কিত প্রেক"&amp;"্ষাপট থেকে আরও দূরে সরে যাওয়ার চেষ্টা করছি, কিন্তু আমি উদ্বিগ্ন যে আমার সামাজিক এবং পারিবারিক মহলে অ্যালকোহল-মুক্ত সংযোগের অভাব একটি অনিবার্য পতন হবে, যেমনটি অতীতে ছিল। আমি একজন বিদেশীর মতো অনুভব করছি কারণ এই সাবটি আমার জীবনের এই সমস্যাটির জন্য আমার কাছে"&amp;" থাকা কয়েকটি সংস্থান/নেটওয়ার্কের মধ্যে একটি। TLDR; আপনার কি AF বন্ধু আছে? আপনি তাদের কীভাবে খুঁজে পেলেন?")</f>
        <v>রাস্তার মোড়ে মোড়ে লিফলেট দিয়ে শুরু করা উচিত? ফেসবুক পোস্ট / AA ?? আমি ধৈর্য ধরার চেষ্টা করছি কারণ আমার বয়স মাত্র ৩৪ দিন, কিন্তু প্রতি বছর আমি সাধারণত কয়েক মাসের ছুটি নিই এবং একই ধরণের পরিস্থিতিতে পড়ি। এবার আমি মদ্যপান এবং মদ্যপানের সাথে সম্পর্কিত প্রেক্ষাপট থেকে আরও দূরে সরে যাওয়ার চেষ্টা করছি, কিন্তু আমি উদ্বিগ্ন যে আমার সামাজিক এবং পারিবারিক মহলে অ্যালকোহল-মুক্ত সংযোগের অভাব একটি অনিবার্য পতন হবে, যেমনটি অতীতে ছিল। আমি একজন বিদেশীর মতো অনুভব করছি কারণ এই সাবটি আমার জীবনের এই সমস্যাটির জন্য আমার কাছে থাকা কয়েকটি সংস্থান/নেটওয়ার্কের মধ্যে একটি। TLDR; আপনার কি AF বন্ধু আছে? আপনি তাদের কীভাবে খুঁজে পেলেন?</v>
      </c>
    </row>
    <row r="1847" spans="1:3" ht="15" x14ac:dyDescent="0.25">
      <c r="A1847" s="3" t="s">
        <v>1840</v>
      </c>
      <c r="B1847" s="3" t="s">
        <v>997</v>
      </c>
      <c r="C1847" s="4" t="str">
        <f ca="1">IFERROR(__xludf.DUMMYFUNCTION("GOOGLETRANSLATE(A1847, ""auto"", ""bn"")"),"আমরা পৌঁছানোর সাথে সাথেই জায়গাটি ভিড় করে ফেলল, এবং আমরা অনেকক্ষণ অপেক্ষা করলাম, হঠাৎ মালিক এসে আমাদের অপেক্ষা করার জন্য ক্ষমা চাইলেন এবং দুটি ওয়াইন গ্লাস ""বিনামূল্যে"" দিলেন। আমার তাৎক্ষণিক উত্তর ছিল ""ধন্যবাদ, কিন্তু আমি মদ্যপ পানীয় পান করি না?"" তা"&amp;"রপর তিনি আমাদের কিছু আইস টি অফার করলেন, এটি খুব ভালো লাগলো, এবং আইস টি সুস্বাদু ছিল!")</f>
        <v>আমরা পৌঁছানোর সাথে সাথেই জায়গাটি ভিড় করে ফেলল, এবং আমরা অনেকক্ষণ অপেক্ষা করলাম, হঠাৎ মালিক এসে আমাদের অপেক্ষা করার জন্য ক্ষমা চাইলেন এবং দুটি ওয়াইন গ্লাস "বিনামূল্যে" দিলেন। আমার তাৎক্ষণিক উত্তর ছিল "ধন্যবাদ, কিন্তু আমি মদ্যপ পানীয় পান করি না?" তারপর তিনি আমাদের কিছু আইস টি অফার করলেন, এটি খুব ভালো লাগলো, এবং আইস টি সুস্বাদু ছিল!</v>
      </c>
    </row>
    <row r="1848" spans="1:3" ht="15" x14ac:dyDescent="0.25">
      <c r="A1848" s="3" t="s">
        <v>1841</v>
      </c>
      <c r="B1848" s="3" t="s">
        <v>997</v>
      </c>
      <c r="C1848" s="4" t="str">
        <f ca="1">IFERROR(__xludf.DUMMYFUNCTION("GOOGLETRANSLATE(A1848, ""auto"", ""bn"")"),"আমার স্বামী টিভিতে একটা বিজ্ঞাপন দেখছে, যা দেখে আমার নজর কেড়েছে। হাইনেকেন বিয়ারের জন্য ছিল..... কিন্তু অ্যালকোহলমুক্ত বিয়ার নয়। প্রথমে আমার মনে হয়েছিল ওরা অ্যালকোহলমুক্ত বিয়ারের বিজ্ঞাপন দেখাচ্ছে, কিন্তু বিজ্ঞাপনের মূল চরিত্রটিকে যেভাবে দেখানো হয়েছ"&amp;"ে তা আমার খুব খারাপ লেগেছে। ও একটা অদ্ভুত রকমের অদ্ভুত ক্যান নিয়ে দাঁড়িয়ে ছিল, একটা খড়ের টুকরো, যার দিকে একটা খড়ের টুকরো দেখাচ্ছিল। বোতলটা হাতে নাও, এখন ও সবার সাথে হাসছে! মনে হচ্ছে ওর এমন কিছু থাকা উচিত যা এখনও মদের প্রতিনিধিত্ব করে, যদিও মদ অ-মদ। আ"&amp;"মি জানি, অবশ্যই কোম্পানিগুলো এখনও চায় যে তুমি তাদের পণ্য কিনো এবং এটাই তাদের প্রচারের উপায়, কিন্তু আমি আমার মাউন্টেন ডিউ (খড় থেকে) চুমুক দিয়ে ঠিকঠাক করে নিতে পারি। আমি স্বীকার করছি যে আমিও ওয়েলেই-তে এই বিষয়ে পড়ছি, কিন্তু এর মধ্যে একটা জিনিস আমাকে ভ"&amp;"ুলভাবে প্রভাবিত করেছে।")</f>
        <v>আমার স্বামী টিভিতে একটা বিজ্ঞাপন দেখছে, যা দেখে আমার নজর কেড়েছে। হাইনেকেন বিয়ারের জন্য ছিল..... কিন্তু অ্যালকোহলমুক্ত বিয়ার নয়। প্রথমে আমার মনে হয়েছিল ওরা অ্যালকোহলমুক্ত বিয়ারের বিজ্ঞাপন দেখাচ্ছে, কিন্তু বিজ্ঞাপনের মূল চরিত্রটিকে যেভাবে দেখানো হয়েছে তা আমার খুব খারাপ লেগেছে। ও একটা অদ্ভুত রকমের অদ্ভুত ক্যান নিয়ে দাঁড়িয়ে ছিল, একটা খড়ের টুকরো, যার দিকে একটা খড়ের টুকরো দেখাচ্ছিল। বোতলটা হাতে নাও, এখন ও সবার সাথে হাসছে! মনে হচ্ছে ওর এমন কিছু থাকা উচিত যা এখনও মদের প্রতিনিধিত্ব করে, যদিও মদ অ-মদ। আমি জানি, অবশ্যই কোম্পানিগুলো এখনও চায় যে তুমি তাদের পণ্য কিনো এবং এটাই তাদের প্রচারের উপায়, কিন্তু আমি আমার মাউন্টেন ডিউ (খড় থেকে) চুমুক দিয়ে ঠিকঠাক করে নিতে পারি। আমি স্বীকার করছি যে আমিও ওয়েলেই-তে এই বিষয়ে পড়ছি, কিন্তু এর মধ্যে একটা জিনিস আমাকে ভুলভাবে প্রভাবিত করেছে।</v>
      </c>
    </row>
    <row r="1849" spans="1:3" ht="15" x14ac:dyDescent="0.25">
      <c r="A1849" s="3" t="s">
        <v>1842</v>
      </c>
      <c r="B1849" s="3" t="s">
        <v>997</v>
      </c>
      <c r="C1849" s="4" t="str">
        <f ca="1">IFERROR(__xludf.DUMMYFUNCTION("GOOGLETRANSLATE(A1849, ""auto"", ""bn"")"),"এই বছরের ৬ই জানুয়ারী আমার বাবাকে অ্যালকোহলজনিত প্যানক্রিয়াটাইটিসের জন্য হাসপাতালে ভর্তি করা হয়েছিল। তিনি সুস্থ হয়ে উঠলেন, কিন্তু বছরের পর বছর ধরে অতিরিক্ত মদ্যপানের কারণে তার অগ্ন্যাশয়ের একটি অংশ নেক্রোটিক হয়ে গিয়েছিল। আমরা সবাই তাকে সমর্থন করার জন"&amp;"্য এবং তাকে সাহায্য করার জন্য এখানে আছি, কিন্তু সত্যি বলতে... লোকটি সম্পূর্ণরূপে ঠান্ডা মাথার ত্যাগ করেছে এবং ৬ই জানুয়ারী থেকে সুস্থ হয়ে উঠছে। আমি এবং আমার স্ত্রী একসাথে মদ্যপান ছেড়ে দিয়ে তাকেও সমর্থন করার সিদ্ধান্ত নিয়েছি। এবং এখন আমরা ৬০ দিনের দিকে"&amp;" এগিয়ে যাচ্ছি। সবাই মিলে, পরিবার হিসেবে।")</f>
        <v>এই বছরের ৬ই জানুয়ারী আমার বাবাকে অ্যালকোহলজনিত প্যানক্রিয়াটাইটিসের জন্য হাসপাতালে ভর্তি করা হয়েছিল। তিনি সুস্থ হয়ে উঠলেন, কিন্তু বছরের পর বছর ধরে অতিরিক্ত মদ্যপানের কারণে তার অগ্ন্যাশয়ের একটি অংশ নেক্রোটিক হয়ে গিয়েছিল। আমরা সবাই তাকে সমর্থন করার জন্য এবং তাকে সাহায্য করার জন্য এখানে আছি, কিন্তু সত্যি বলতে... লোকটি সম্পূর্ণরূপে ঠান্ডা মাথার ত্যাগ করেছে এবং ৬ই জানুয়ারী থেকে সুস্থ হয়ে উঠছে। আমি এবং আমার স্ত্রী একসাথে মদ্যপান ছেড়ে দিয়ে তাকেও সমর্থন করার সিদ্ধান্ত নিয়েছি। এবং এখন আমরা ৬০ দিনের দিকে এগিয়ে যাচ্ছি। সবাই মিলে, পরিবার হিসেবে।</v>
      </c>
    </row>
    <row r="1850" spans="1:3" ht="15" x14ac:dyDescent="0.25">
      <c r="A1850" s="3" t="s">
        <v>1843</v>
      </c>
      <c r="B1850" s="3" t="s">
        <v>997</v>
      </c>
      <c r="C1850" s="4" t="str">
        <f ca="1">IFERROR(__xludf.DUMMYFUNCTION("GOOGLETRANSLATE(A1850, ""auto"", ""bn"")"),"আজ সকালে আমি সপ্তম দিনে ঘুম থেকে উঠে ভাবছিলাম যে আমার অর্জন উদযাপন করার জন্য কি আমার কেবল একটি বিয়ার খাওয়া উচিত। আমি সরাসরি এই সাব-এ এসেছি এবং যতটা সম্ভব পড়েছি এবং বারবার পড়েছি। আমি আনন্দের সাথে বলতে চাই যে আমি আজ রাতে ঘুমাতে যাচ্ছি, ৭ দিন সুস্থভাবে এ"&amp;"বং এই সপ্তাহে আত্মবিশ্বাসের সাথে আক্রমণ করার জন্য অধীর আগ্রহে অপেক্ষা করছি কারণ আমি জানি আগামীকাল কাজের আগে আজ রাতে আমি অন্ধকারে যাব না।")</f>
        <v>আজ সকালে আমি সপ্তম দিনে ঘুম থেকে উঠে ভাবছিলাম যে আমার অর্জন উদযাপন করার জন্য কি আমার কেবল একটি বিয়ার খাওয়া উচিত। আমি সরাসরি এই সাব-এ এসেছি এবং যতটা সম্ভব পড়েছি এবং বারবার পড়েছি। আমি আনন্দের সাথে বলতে চাই যে আমি আজ রাতে ঘুমাতে যাচ্ছি, ৭ দিন সুস্থভাবে এবং এই সপ্তাহে আত্মবিশ্বাসের সাথে আক্রমণ করার জন্য অধীর আগ্রহে অপেক্ষা করছি কারণ আমি জানি আগামীকাল কাজের আগে আজ রাতে আমি অন্ধকারে যাব না।</v>
      </c>
    </row>
    <row r="1851" spans="1:3" ht="15" x14ac:dyDescent="0.25">
      <c r="A1851" s="3" t="s">
        <v>1844</v>
      </c>
      <c r="B1851" s="3" t="s">
        <v>997</v>
      </c>
      <c r="C1851" s="4" t="str">
        <f ca="1">IFERROR(__xludf.DUMMYFUNCTION("GOOGLETRANSLATE(A1851, ""auto"", ""bn"")"),"৫০ দিন! বিশ্বাসই করতে পারছি না। আমি কখনোই এমন কেউ ছিলাম না যে সপ্তাহে ৭ দিন একটানা মদ্যপান করত। তাছাড়া, আমি মাতাল অবস্থায় গাড়ি চালাতাম না। তাছাড়া, আমি চাকরি হারাইনি। তাছাড়া, আমি জেল বা হাসপাতালে যাইনি। কিন্তু এটাই আসল কথা - আমার বয়স ৩১ এবং ১৫ বছর বয"&amp;"়স থেকেই আমি প্রচুর পরিমাণে মদ্যপান করে আসছি। আমার মা, বাবা এবং বোন সবাই মদ্যপ। আমার সবচেয়ে ভালো বন্ধুরা মাতাল। আমার দাদু মারা গেছেন। আর যতবারই আমি মদ্যপান করতাম, তার চেয়ে অনেক বেশি মদ্যপান করতাম, আর এই ভয়াবহ ঘটনার কোনও একটা ঘটলে আমি এর থেকে মুক্তি পাব"&amp;", তার জন্য আমি অপেক্ষা করতে রাজি ছিলাম না। আমি সারা রাত রান্নাঘরে লুকিয়ে লুকিয়ে কাটাতাম, অথবা আমার স্বামীকে আরও বেশি করে কিনতে অনুরোধ করতাম, অথবা রেস্তোরাঁয় রাতের খাবার এড়িয়ে গিয়ে পানীয় কিনে ফেলতাম। প্রতিবারই আমি চুপ করে থাকতাম।")</f>
        <v>৫০ দিন! বিশ্বাসই করতে পারছি না। আমি কখনোই এমন কেউ ছিলাম না যে সপ্তাহে ৭ দিন একটানা মদ্যপান করত। তাছাড়া, আমি মাতাল অবস্থায় গাড়ি চালাতাম না। তাছাড়া, আমি চাকরি হারাইনি। তাছাড়া, আমি জেল বা হাসপাতালে যাইনি। কিন্তু এটাই আসল কথা - আমার বয়স ৩১ এবং ১৫ বছর বয়স থেকেই আমি প্রচুর পরিমাণে মদ্যপান করে আসছি। আমার মা, বাবা এবং বোন সবাই মদ্যপ। আমার সবচেয়ে ভালো বন্ধুরা মাতাল। আমার দাদু মারা গেছেন। আর যতবারই আমি মদ্যপান করতাম, তার চেয়ে অনেক বেশি মদ্যপান করতাম, আর এই ভয়াবহ ঘটনার কোনও একটা ঘটলে আমি এর থেকে মুক্তি পাব, তার জন্য আমি অপেক্ষা করতে রাজি ছিলাম না। আমি সারা রাত রান্নাঘরে লুকিয়ে লুকিয়ে কাটাতাম, অথবা আমার স্বামীকে আরও বেশি করে কিনতে অনুরোধ করতাম, অথবা রেস্তোরাঁয় রাতের খাবার এড়িয়ে গিয়ে পানীয় কিনে ফেলতাম। প্রতিবারই আমি চুপ করে থাকতাম।</v>
      </c>
    </row>
    <row r="1852" spans="1:3" ht="15" x14ac:dyDescent="0.25">
      <c r="A1852" s="3" t="s">
        <v>1845</v>
      </c>
      <c r="B1852" s="3" t="s">
        <v>997</v>
      </c>
      <c r="C1852" s="4" t="str">
        <f ca="1">IFERROR(__xludf.DUMMYFUNCTION("GOOGLETRANSLATE(A1852, ""auto"", ""bn"")"),"আগামীকাল আমার এক সপ্তাহের জন্য সুস্থতা ফিরে পাবো। মনে হচ্ছে অনেকদিন পর প্রথমবারের মতো আমি আশাবাদের সাথে আমার ভবিষ্যৎ সত্তার প্রতি সদয় হতে পারবো কিনা তা নিয়ে ভাবতে পারছি। মদ্যপান আমাকে ভালো অভ্যাস গড়ে তুলতে দেবে না জেনে উদাসীনতার অনুভূতির চেয়ে। আরও পড়"&amp;"ুন। সম্পূর্ণ একটি বিকল্প। ওজন কমানো। হ্যাঁ। জিমে যান। এখনই শক্তি অর্জন করুন। আমার উদ্বেগের মাত্রা কমিয়ে আনুন। ইতিমধ্যেই ভালো। আপনার ভবিষ্যৎ সত্তাকে সাহায্য করার প্রথম পদক্ষেপ হল আপনার বর্তমান সত্তাকে মদ্যপান বন্ধ করা। ষষ্ঠ দিনে প্রবেশ করার পর, এর উপকারিত"&amp;"া কত দ্রুত শুরু হয় তা বিশ্বাস করা কঠিন। আজ বা আর কখনও মদ্যপান করবেন না। বিকেলে এক কাপ চা খাওয়ার অপেক্ষায় এবং কাজের পরে জিমে গিয়ে নিজেকে শান্ত করার জন্য অপেক্ষা করছেন। শুভকামনা সকল সুন্দর সমারসল্ট। যদি আপনি এখনও এটি নিয়ে ভাবছেন তবে লাফিয়ে উঠুন! প্রথম"&amp;" দিন শুরু করুন! ভবিষ্যতের সত্তার জন্য আপনি কী চান সে সম্পর্কে একটি পোস্ট তৈরি করুন এবং প্রথম পদক্ষেপ নিন। আমি আপনার উপর বিশ্বাস করি।")</f>
        <v>আগামীকাল আমার এক সপ্তাহের জন্য সুস্থতা ফিরে পাবো। মনে হচ্ছে অনেকদিন পর প্রথমবারের মতো আমি আশাবাদের সাথে আমার ভবিষ্যৎ সত্তার প্রতি সদয় হতে পারবো কিনা তা নিয়ে ভাবতে পারছি। মদ্যপান আমাকে ভালো অভ্যাস গড়ে তুলতে দেবে না জেনে উদাসীনতার অনুভূতির চেয়ে। আরও পড়ুন। সম্পূর্ণ একটি বিকল্প। ওজন কমানো। হ্যাঁ। জিমে যান। এখনই শক্তি অর্জন করুন। আমার উদ্বেগের মাত্রা কমিয়ে আনুন। ইতিমধ্যেই ভালো। আপনার ভবিষ্যৎ সত্তাকে সাহায্য করার প্রথম পদক্ষেপ হল আপনার বর্তমান সত্তাকে মদ্যপান বন্ধ করা। ষষ্ঠ দিনে প্রবেশ করার পর, এর উপকারিতা কত দ্রুত শুরু হয় তা বিশ্বাস করা কঠিন। আজ বা আর কখনও মদ্যপান করবেন না। বিকেলে এক কাপ চা খাওয়ার অপেক্ষায় এবং কাজের পরে জিমে গিয়ে নিজেকে শান্ত করার জন্য অপেক্ষা করছেন। শুভকামনা সকল সুন্দর সমারসল্ট। যদি আপনি এখনও এটি নিয়ে ভাবছেন তবে লাফিয়ে উঠুন! প্রথম দিন শুরু করুন! ভবিষ্যতের সত্তার জন্য আপনি কী চান সে সম্পর্কে একটি পোস্ট তৈরি করুন এবং প্রথম পদক্ষেপ নিন। আমি আপনার উপর বিশ্বাস করি।</v>
      </c>
    </row>
    <row r="1853" spans="1:3" ht="15" x14ac:dyDescent="0.25">
      <c r="A1853" s="3" t="s">
        <v>1846</v>
      </c>
      <c r="B1853" s="3" t="s">
        <v>997</v>
      </c>
      <c r="C1853" s="4" t="str">
        <f ca="1">IFERROR(__xludf.DUMMYFUNCTION("GOOGLETRANSLATE(A1853, ""auto"", ""bn"")"),"প্রতিদিন আমি অ্যাপটি খুলি, /মদ্যপান বন্ধ করি, About এ ক্লিক করি এবং Check-in নির্বাচন করি, মনে রাখবেন New ট্যাবে ক্লিক করতে। এটি 3 মাস ধরে এইভাবে কাজ করছে। আমি আজ আর প্রতিদিনের চেক-ইন-এ যোগ দিতে পারছি না। এটি রিফ্রেশ করা বন্ধ করে দিয়েছে এবং শেষ তালিকাভুক"&amp;"্ত চেক-ইন ছিল শনিবার। এটি Flair অনুসন্ধান। এমন কেউ কি আছেন যিনি আমার চোখ এবং আঙুলকে সেই জায়গায় ঠেলে দিতে পারেন যেখানে আমার থাকা দরকার?")</f>
        <v>প্রতিদিন আমি অ্যাপটি খুলি, /মদ্যপান বন্ধ করি, About এ ক্লিক করি এবং Check-in নির্বাচন করি, মনে রাখবেন New ট্যাবে ক্লিক করতে। এটি 3 মাস ধরে এইভাবে কাজ করছে। আমি আজ আর প্রতিদিনের চেক-ইন-এ যোগ দিতে পারছি না। এটি রিফ্রেশ করা বন্ধ করে দিয়েছে এবং শেষ তালিকাভুক্ত চেক-ইন ছিল শনিবার। এটি Flair অনুসন্ধান। এমন কেউ কি আছেন যিনি আমার চোখ এবং আঙুলকে সেই জায়গায় ঠেলে দিতে পারেন যেখানে আমার থাকা দরকার?</v>
      </c>
    </row>
    <row r="1854" spans="1:3" ht="15" x14ac:dyDescent="0.25">
      <c r="A1854" s="3" t="s">
        <v>1847</v>
      </c>
      <c r="B1854" s="3" t="s">
        <v>997</v>
      </c>
      <c r="C1854" s="4" t="str">
        <f ca="1">IFERROR(__xludf.DUMMYFUNCTION("GOOGLETRANSLATE(A1854, ""auto"", ""bn"")"),"আমি যখন আমার বন্ধুদের সাথে বাইরে থাকি, তখন মাঝে মাঝে NA পানীয় চেষ্টা করি, আর তারা পান করে। আমি সাধারণত মাত্র একটি বা দুটি পান করি, কিন্তু আমার মনে হয় এটি অভিজ্ঞতার পরিবর্তে ভালো কাজ করে। তাছাড়া, শুক্রবার এবং গত রাতে আমার কয়েকটি পানীয় ছিল, এবং আজ আমি সত্"&amp;"যিই খুব খারাপ অনুভব করছি। তাছাড়া, আমি বুঝতে পারছি এটা এখনও PAWS হতে পারে, কারণ আমার দুই মাসেরও কম সময় ধরে আমার বিষন্নতায় ভোগার অভ্যাস আছে। কিন্তু আমি ভাবছিলাম যে এই পানীয়গুলি সম্পর্কে অন্য কারো কোন দৃষ্টিভঙ্গি আছে কিনা। আমি জানি যদি NBA বিয়ারগুলি সমস্যা"&amp;" তৈরি করে, তাহলে আমি কেবল জল পান করতেই রাজি থাকব।")</f>
        <v>আমি যখন আমার বন্ধুদের সাথে বাইরে থাকি, তখন মাঝে মাঝে NA পানীয় চেষ্টা করি, আর তারা পান করে। আমি সাধারণত মাত্র একটি বা দুটি পান করি, কিন্তু আমার মনে হয় এটি অভিজ্ঞতার পরিবর্তে ভালো কাজ করে। তাছাড়া, শুক্রবার এবং গত রাতে আমার কয়েকটি পানীয় ছিল, এবং আজ আমি সত্যিই খুব খারাপ অনুভব করছি। তাছাড়া, আমি বুঝতে পারছি এটা এখনও PAWS হতে পারে, কারণ আমার দুই মাসেরও কম সময় ধরে আমার বিষন্নতায় ভোগার অভ্যাস আছে। কিন্তু আমি ভাবছিলাম যে এই পানীয়গুলি সম্পর্কে অন্য কারো কোন দৃষ্টিভঙ্গি আছে কিনা। আমি জানি যদি NBA বিয়ারগুলি সমস্যা তৈরি করে, তাহলে আমি কেবল জল পান করতেই রাজি থাকব।</v>
      </c>
    </row>
    <row r="1855" spans="1:3" ht="15" x14ac:dyDescent="0.25">
      <c r="A1855" s="3" t="s">
        <v>1848</v>
      </c>
      <c r="B1855" s="3" t="s">
        <v>997</v>
      </c>
      <c r="C1855" s="4" t="str">
        <f ca="1">IFERROR(__xludf.DUMMYFUNCTION("GOOGLETRANSLATE(A1855, ""auto"", ""bn"")"),"দিনটা খুব একটা কঠিন কেটেছে। দিনটা খুব একটা খারাপ ছিল না, কিন্তু দিনটা অস্বস্তিকর ছিল। ঘুমাতে যাওয়ার জন্য প্রস্তুত। অন্তত মদ্যপান করে আমি পরিস্থিতি আরও খারাপ করিনি। কখনও কখনও জীবনটা কেবল গোলাপের মতোই নয়। এটাই স্বাভাবিক। কিছু দিন খারাপ যাবে। কিন্তু অন্তত "&amp;"আমি ক্ষতির পরিমাণ সীমিত করতে পারি। অন্তত আগামীকালটা একটা দারুন দিন হওয়ার সম্ভাবনা আছে। আজ যদি আমি মদ্যপান করতাম, তাহলে আগামীকালটা ১০০% ক্ষুধার্ত, অনুতপ্ত, দুঃখের দিন হত। ঘুমাতে যাওয়ার সময়, আশাবাদী যে আগামীকালটা একটা ভালো দিন হবে।")</f>
        <v>দিনটা খুব একটা কঠিন কেটেছে। দিনটা খুব একটা খারাপ ছিল না, কিন্তু দিনটা অস্বস্তিকর ছিল। ঘুমাতে যাওয়ার জন্য প্রস্তুত। অন্তত মদ্যপান করে আমি পরিস্থিতি আরও খারাপ করিনি। কখনও কখনও জীবনটা কেবল গোলাপের মতোই নয়। এটাই স্বাভাবিক। কিছু দিন খারাপ যাবে। কিন্তু অন্তত আমি ক্ষতির পরিমাণ সীমিত করতে পারি। অন্তত আগামীকালটা একটা দারুন দিন হওয়ার সম্ভাবনা আছে। আজ যদি আমি মদ্যপান করতাম, তাহলে আগামীকালটা ১০০% ক্ষুধার্ত, অনুতপ্ত, দুঃখের দিন হত। ঘুমাতে যাওয়ার সময়, আশাবাদী যে আগামীকালটা একটা ভালো দিন হবে।</v>
      </c>
    </row>
    <row r="1856" spans="1:3" ht="15" x14ac:dyDescent="0.25">
      <c r="A1856" s="3" t="s">
        <v>1849</v>
      </c>
      <c r="B1856" s="3" t="s">
        <v>997</v>
      </c>
      <c r="C1856" s="4" t="str">
        <f ca="1">IFERROR(__xludf.DUMMYFUNCTION("GOOGLETRANSLATE(A1856, ""auto"", ""bn"")"),"আচ্ছা, যদি তোমার আবার মদ্যপান না করার জন্য অনুপ্রেরণার প্রয়োজন হয়, আশা করি এটা সাহায্য করবে। আমি বেশ কিছুদিন ধরেই উচ্চ কার্যকারিতা সম্পন্ন মদ্যপানকারী। গত আগস্টে আমি মদ্যপান বন্ধ করে দিয়েছিলাম এবং দুই মাস পার করেছি, অনেক দিন ধরে আমার অবস্থা সবচেয়ে ভাল"&amp;"ো ছিল। আমি আর আমার বাগদত্তা আমাদের বার্ষিকী ডিনারে গিয়েছিলাম এবং তখনই আমি এক গ্লাস ওয়াইন খেয়েছিলাম। আমি নিশ্চিত তুমি কল্পনা করতে পারো, আমি যেমন ভেবেছিলাম ঠিক তেমনই হয়েছে। এখন বেশ কয়েক মাস হয়ে গেছে এবং আমি দিনের বেলায় আবার মদ্যপান করতে শুরু করেছি, এ"&amp;"বং এটি আমার চিন্তাভাবনাকে গ্রাস করে। আজ পর্যন্ত! আমি আমার সকালের হাঁটার সময় দোকানে গিয়ে বিয়ার কিনব না। আমি জিমে যাব এবং গত 3 মাস ধরে আমার এই বাবার শরীর থেকে মুক্তি পাব। তাছাড়া, আমি ফিরে এসেছি, এবং আমি প্রায়শই আবার পোস্ট করব, আমি তোমাদের সবাইকে মিস কর"&amp;"েছি, চলো একসাথে এটা করি... আবার।")</f>
        <v>আচ্ছা, যদি তোমার আবার মদ্যপান না করার জন্য অনুপ্রেরণার প্রয়োজন হয়, আশা করি এটা সাহায্য করবে। আমি বেশ কিছুদিন ধরেই উচ্চ কার্যকারিতা সম্পন্ন মদ্যপানকারী। গত আগস্টে আমি মদ্যপান বন্ধ করে দিয়েছিলাম এবং দুই মাস পার করেছি, অনেক দিন ধরে আমার অবস্থা সবচেয়ে ভালো ছিল। আমি আর আমার বাগদত্তা আমাদের বার্ষিকী ডিনারে গিয়েছিলাম এবং তখনই আমি এক গ্লাস ওয়াইন খেয়েছিলাম। আমি নিশ্চিত তুমি কল্পনা করতে পারো, আমি যেমন ভেবেছিলাম ঠিক তেমনই হয়েছে। এখন বেশ কয়েক মাস হয়ে গেছে এবং আমি দিনের বেলায় আবার মদ্যপান করতে শুরু করেছি, এবং এটি আমার চিন্তাভাবনাকে গ্রাস করে। আজ পর্যন্ত! আমি আমার সকালের হাঁটার সময় দোকানে গিয়ে বিয়ার কিনব না। আমি জিমে যাব এবং গত 3 মাস ধরে আমার এই বাবার শরীর থেকে মুক্তি পাব। তাছাড়া, আমি ফিরে এসেছি, এবং আমি প্রায়শই আবার পোস্ট করব, আমি তোমাদের সবাইকে মিস করেছি, চলো একসাথে এটা করি... আবার।</v>
      </c>
    </row>
    <row r="1857" spans="1:3" ht="15" x14ac:dyDescent="0.25">
      <c r="A1857" s="3" t="s">
        <v>1850</v>
      </c>
      <c r="B1857" s="3" t="s">
        <v>997</v>
      </c>
      <c r="C1857" s="4" t="str">
        <f ca="1">IFERROR(__xludf.DUMMYFUNCTION("GOOGLETRANSLATE(A1857, ""auto"", ""bn"")"),"আমার গ্যাসলাইট জ্বলছিল এবং আমি কোনও পেট্রোল পাম্পে থামতে পারিনি কারণ আমি খুব দুর্বল বোধ করছিলাম। আজ আমার আকাঙ্ক্ষাগুলি তীব্র। আমি নিজের সাথে এত কঠিন লড়াই করছি। ভাগ্যক্রমে আমি বাড়ির এত কাছে ছিলাম যে আমি থামতে পারিনি, কিন্তু যদি থাকতাম, তাহলে হয়তো আমি তা"&amp;" করতে পারতাম না। আমি খুব বেশি সংযম চাই। আমি লক্ষ লক্ষ বার পুনরায় শুরু করেছি এবং পুনরায় শুরু করেছি। আমি পুনরায় শুরু করতে করতে ক্লান্ত। তাছাড়া, আমি খারাপ স্বাস্থ্য, ত্বরান্বিত বার্ধক্য, স্থূলতা, হতাশা, হ্যাংওভার এবং ব্যর্থতার গভীর অনুভূতি, অনুশোচনা এবং "&amp;"আত্ম-ঘৃণার জীবন চাই না। তাছাড়া, আমি মানসিক স্বাধীনতা, স্বাস্থ্য এবং সুখ চাই। এই মুহূর্তে এটি এত কঠিন মনে হচ্ছে। এতটাই যে আমি সত্যিই একজন মদ্যপ বোধ করি। আমি এটির জন্য আকাঙ্ক্ষা করি। একটি সত্যিকারের আসক্তি।")</f>
        <v>আমার গ্যাসলাইট জ্বলছিল এবং আমি কোনও পেট্রোল পাম্পে থামতে পারিনি কারণ আমি খুব দুর্বল বোধ করছিলাম। আজ আমার আকাঙ্ক্ষাগুলি তীব্র। আমি নিজের সাথে এত কঠিন লড়াই করছি। ভাগ্যক্রমে আমি বাড়ির এত কাছে ছিলাম যে আমি থামতে পারিনি, কিন্তু যদি থাকতাম, তাহলে হয়তো আমি তা করতে পারতাম না। আমি খুব বেশি সংযম চাই। আমি লক্ষ লক্ষ বার পুনরায় শুরু করেছি এবং পুনরায় শুরু করেছি। আমি পুনরায় শুরু করতে করতে ক্লান্ত। তাছাড়া, আমি খারাপ স্বাস্থ্য, ত্বরান্বিত বার্ধক্য, স্থূলতা, হতাশা, হ্যাংওভার এবং ব্যর্থতার গভীর অনুভূতি, অনুশোচনা এবং আত্ম-ঘৃণার জীবন চাই না। তাছাড়া, আমি মানসিক স্বাধীনতা, স্বাস্থ্য এবং সুখ চাই। এই মুহূর্তে এটি এত কঠিন মনে হচ্ছে। এতটাই যে আমি সত্যিই একজন মদ্যপ বোধ করি। আমি এটির জন্য আকাঙ্ক্ষা করি। একটি সত্যিকারের আসক্তি।</v>
      </c>
    </row>
    <row r="1858" spans="1:3" ht="15" x14ac:dyDescent="0.25">
      <c r="A1858" s="3" t="s">
        <v>1851</v>
      </c>
      <c r="B1858" s="3" t="s">
        <v>997</v>
      </c>
      <c r="C1858" s="4" t="str">
        <f ca="1">IFERROR(__xludf.DUMMYFUNCTION("GOOGLETRANSLATE(A1858, ""auto"", ""bn"")"),"আমার পরিবারে সমস্যাযুক্ত মদ্যপানের অভ্যাস আছে। আমার ভাইবোনদের মধ্যে আমিই দ্বিতীয় স্থানে আছি যারা সমস্যাযুক্ত মদ্যপান করে। আমার বাবা-মাও অনেক দূরে চলে গেছেন। আমিই প্রথম এবং একমাত্র ব্যক্তি যে এটা ছেড়ে দিয়েছে। মৌলিকভাবে, সমস্যাযুক্ত মদ্যপানের সাথে থাকা ক"&amp;"ঠিন (বিশেষ করে পরিবারের) কারণ এটি উত্তেজনা সৃষ্টি করে এবং সাধারণত বিরক্তির কারণ হতে পারে। কিন্তু এটা দেখাও নিষ্ঠুর। বিশেষ করে পরিবারের সাথে দুঃখজনক... কারণ আমি তাদের লালন-পালন, বোঝা, কষ্ট, ন্যায্যতা, উদ্বেগ, ভূত, নিরাপত্তাহীনতা জানি কারণ আমরা একসাথে বড় হ"&amp;"য়েছি। কিন্তু যেহেতু আমরা এত আলাদা, তাই কী করব তা জানা কঠিন। তাদের চোখে সেই দূরের দৃষ্টি দেখে দুঃখিত। পার্শ্ব দ্রষ্টব্য: সমাজের বিষাক্ত পুরুষতন্ত্রকে ধোঁকা দাও, যা আমার ভাই এবং বাবাকে তাদের অনুভূতি সম্পর্কে দুর্বল হতে দেয় না। ছিঃ ছিঃ এটা এত কঠিন করে তোলে"&amp;"।")</f>
        <v>আমার পরিবারে সমস্যাযুক্ত মদ্যপানের অভ্যাস আছে। আমার ভাইবোনদের মধ্যে আমিই দ্বিতীয় স্থানে আছি যারা সমস্যাযুক্ত মদ্যপান করে। আমার বাবা-মাও অনেক দূরে চলে গেছেন। আমিই প্রথম এবং একমাত্র ব্যক্তি যে এটা ছেড়ে দিয়েছে। মৌলিকভাবে, সমস্যাযুক্ত মদ্যপানের সাথে থাকা কঠিন (বিশেষ করে পরিবারের) কারণ এটি উত্তেজনা সৃষ্টি করে এবং সাধারণত বিরক্তির কারণ হতে পারে। কিন্তু এটা দেখাও নিষ্ঠুর। বিশেষ করে পরিবারের সাথে দুঃখজনক... কারণ আমি তাদের লালন-পালন, বোঝা, কষ্ট, ন্যায্যতা, উদ্বেগ, ভূত, নিরাপত্তাহীনতা জানি কারণ আমরা একসাথে বড় হয়েছি। কিন্তু যেহেতু আমরা এত আলাদা, তাই কী করব তা জানা কঠিন। তাদের চোখে সেই দূরের দৃষ্টি দেখে দুঃখিত। পার্শ্ব দ্রষ্টব্য: সমাজের বিষাক্ত পুরুষতন্ত্রকে ধোঁকা দাও, যা আমার ভাই এবং বাবাকে তাদের অনুভূতি সম্পর্কে দুর্বল হতে দেয় না। ছিঃ ছিঃ এটা এত কঠিন করে তোলে।</v>
      </c>
    </row>
    <row r="1859" spans="1:3" ht="15" x14ac:dyDescent="0.25">
      <c r="A1859" s="3" t="s">
        <v>1852</v>
      </c>
      <c r="B1859" s="3" t="s">
        <v>997</v>
      </c>
      <c r="C1859" s="4" t="str">
        <f ca="1">IFERROR(__xludf.DUMMYFUNCTION("GOOGLETRANSLATE(A1859, ""auto"", ""bn"")"),"দীর্ঘ (২৪ বছর) এবং বহুতল মদ্যপানের ক্যারিয়ারের পর অবশেষে আমি ৫০ বছর সুস্থ হয়ে উঠলাম। আমি সব সাধারণ মাইলফলক অর্জন করেছি - ভাঙা গাড়ি, ডিইউআই, অসংখ্য ভাঙা সম্পর্ক, পারিবারিক সমস্যা। কিন্তু একবারের জন্য আমি এটা করছি কারণ আমি চাই। আমি কে ছিলাম তা নিয়ে আমি "&amp;"বিরক্ত। এবং সত্যি বলতে, এটি আগের প্রচেষ্টাগুলির মতো ছিল না তা বুঝতে পেরে। এবার আমি এটা করছি। কোন অজুহাত নেই। যারা আমার সাথে ঝগড়া করছে তাদের জন্য আমার একমাত্র পরামর্শ হল যতক্ষণ না তুমি তোমার জন্য ছেড়ে দিতে চাও। এটা কঠিন হতে চলেছে। অসম্ভব নয় তবে যদি তুমি"&amp;" নিজে এটা না চাও তবে অজুহাত থাকবে। সবসময় আছে। তোমার জন্য এটা করো। তুমি এর যোগ্য। তোমার গল্পগুলো পড়ে আমার অনেক সাহায্য হয়েছে। এটা জেনে ভালো লাগছে যে যদিও আমি মাঝে মাঝে এত একা বোধ করি যে বাস্তবে এটি সম্ভবত পাথর ছুঁড়ে মারতে পারে এবং আমার চেয়েও খারাপ পরি"&amp;"স্থিতির মধ্য দিয়ে যাওয়া কাউকে আঘাত করতে পারে। এখানে আরও ৫০ দিন আমার বন্ধুরা। মাথা উঁচু করে থাকো।")</f>
        <v>দীর্ঘ (২৪ বছর) এবং বহুতল মদ্যপানের ক্যারিয়ারের পর অবশেষে আমি ৫০ বছর সুস্থ হয়ে উঠলাম। আমি সব সাধারণ মাইলফলক অর্জন করেছি - ভাঙা গাড়ি, ডিইউআই, অসংখ্য ভাঙা সম্পর্ক, পারিবারিক সমস্যা। কিন্তু একবারের জন্য আমি এটা করছি কারণ আমি চাই। আমি কে ছিলাম তা নিয়ে আমি বিরক্ত। এবং সত্যি বলতে, এটি আগের প্রচেষ্টাগুলির মতো ছিল না তা বুঝতে পেরে। এবার আমি এটা করছি। কোন অজুহাত নেই। যারা আমার সাথে ঝগড়া করছে তাদের জন্য আমার একমাত্র পরামর্শ হল যতক্ষণ না তুমি তোমার জন্য ছেড়ে দিতে চাও। এটা কঠিন হতে চলেছে। অসম্ভব নয় তবে যদি তুমি নিজে এটা না চাও তবে অজুহাত থাকবে। সবসময় আছে। তোমার জন্য এটা করো। তুমি এর যোগ্য। তোমার গল্পগুলো পড়ে আমার অনেক সাহায্য হয়েছে। এটা জেনে ভালো লাগছে যে যদিও আমি মাঝে মাঝে এত একা বোধ করি যে বাস্তবে এটি সম্ভবত পাথর ছুঁড়ে মারতে পারে এবং আমার চেয়েও খারাপ পরিস্থিতির মধ্য দিয়ে যাওয়া কাউকে আঘাত করতে পারে। এখানে আরও ৫০ দিন আমার বন্ধুরা। মাথা উঁচু করে থাকো।</v>
      </c>
    </row>
    <row r="1860" spans="1:3" ht="15" x14ac:dyDescent="0.25">
      <c r="A1860" s="3" t="s">
        <v>1853</v>
      </c>
      <c r="B1860" s="3" t="s">
        <v>997</v>
      </c>
      <c r="C1860" s="4" t="str">
        <f ca="1">IFERROR(__xludf.DUMMYFUNCTION("GOOGLETRANSLATE(A1860, ""auto"", ""bn"")"),"গত দেড় বছর ধরে আমি অতিরিক্ত ভদকা পানের সাথে লড়াই করছি। পাঁচ দিন ধরে আমি সুস্থ ছিলাম। যদি কারো কাছে উৎসাহের কোন কথা বা চিরকালের জন্য সুস্থ থাকার কারণ থাকে, তাহলে দয়া করে শেয়ার করুন।")</f>
        <v>গত দেড় বছর ধরে আমি অতিরিক্ত ভদকা পানের সাথে লড়াই করছি। পাঁচ দিন ধরে আমি সুস্থ ছিলাম। যদি কারো কাছে উৎসাহের কোন কথা বা চিরকালের জন্য সুস্থ থাকার কারণ থাকে, তাহলে দয়া করে শেয়ার করুন।</v>
      </c>
    </row>
    <row r="1861" spans="1:3" ht="15" x14ac:dyDescent="0.25">
      <c r="A1861" s="3" t="s">
        <v>1854</v>
      </c>
      <c r="B1861" s="3" t="s">
        <v>997</v>
      </c>
      <c r="C1861" s="4" t="str">
        <f ca="1">IFERROR(__xludf.DUMMYFUNCTION("GOOGLETRANSLATE(A1861, ""auto"", ""bn"")"),"সম্প্রতি ছেড়েছি... শারীরিকভাবে আমি ভালো বোধ করছি। মানসিকভাবে আমি ঠিক আছি, কিন্তু অ্যালকোহল নিয়ে চিন্তা করে আমি অনেক শক্তি ব্যয় করি। মাঝে মাঝে এটি মদ্যপানের তাড়নার সাথে লড়াই করে, কিন্তু আমার মস্তিষ্ক কেবল তার সময় নষ্ট করে না। আমি কেবল সর্বত্র অ্যালকো"&amp;"হল লক্ষ্য করি... টিভিতে, বিজ্ঞাপনে, সিনেমায়... এবং এটি নেতিবাচক (এবং ভণ্ড) চিন্তাভাবনা/অনুভূতি জাগিয়ে তোলে: ""ওই বোকাদের মদ্যপান দেখো... গল্পের লাইনে কেন এটা অন্তর্ভুক্ত করা হচ্ছে? নোংরা বিয়ারের বিজ্ঞাপনগুলি দেখো... স্বার্থপরতা, ভোগবাদের এত প্রতিনিধিত্"&amp;"ব করে..."" ইত্যাদি। অন্য কেউ কি এর সাথে সম্পর্কিত? আমি অবশ্যই কয়েক দিনের মধ্যে সবকিছু ঠিক হয়ে যাওয়ার আশা করি না... তবে আমি কৌতূহলী যে এখন থেকে ""এটি ঠিক এইভাবেই চলছে"" কিনা।")</f>
        <v>সম্প্রতি ছেড়েছি... শারীরিকভাবে আমি ভালো বোধ করছি। মানসিকভাবে আমি ঠিক আছি, কিন্তু অ্যালকোহল নিয়ে চিন্তা করে আমি অনেক শক্তি ব্যয় করি। মাঝে মাঝে এটি মদ্যপানের তাড়নার সাথে লড়াই করে, কিন্তু আমার মস্তিষ্ক কেবল তার সময় নষ্ট করে না। আমি কেবল সর্বত্র অ্যালকোহল লক্ষ্য করি... টিভিতে, বিজ্ঞাপনে, সিনেমায়... এবং এটি নেতিবাচক (এবং ভণ্ড) চিন্তাভাবনা/অনুভূতি জাগিয়ে তোলে: "ওই বোকাদের মদ্যপান দেখো... গল্পের লাইনে কেন এটা অন্তর্ভুক্ত করা হচ্ছে? নোংরা বিয়ারের বিজ্ঞাপনগুলি দেখো... স্বার্থপরতা, ভোগবাদের এত প্রতিনিধিত্ব করে..." ইত্যাদি। অন্য কেউ কি এর সাথে সম্পর্কিত? আমি অবশ্যই কয়েক দিনের মধ্যে সবকিছু ঠিক হয়ে যাওয়ার আশা করি না... তবে আমি কৌতূহলী যে এখন থেকে "এটি ঠিক এইভাবেই চলছে" কিনা।</v>
      </c>
    </row>
    <row r="1862" spans="1:3" ht="15" x14ac:dyDescent="0.25">
      <c r="A1862" s="3" t="s">
        <v>1855</v>
      </c>
      <c r="B1862" s="3" t="s">
        <v>997</v>
      </c>
      <c r="C1862" s="4" t="str">
        <f ca="1">IFERROR(__xludf.DUMMYFUNCTION("GOOGLETRANSLATE(A1862, ""auto"", ""bn"")"),"""মদ্যপান ত্যাগ করা সহজ, এটা সবসময় করা যায়!"" আমি ত্যাগ করতে পারি কিন্তু তারপর আমার মন আমার সাথে যুদ্ধ করার চেষ্টা করে। এবং প্রায়শই আমার এর বিরুদ্ধে দাঁড়ানোর সাহস থাকে না, অথবা আমি কেবল চাই না। আমাকে আমার ভূতের মুখোমুখি হতে হয়। এমন কিছু আছে যা তোমাকে স"&amp;"াহায্য করেছে?")</f>
        <v>"মদ্যপান ত্যাগ করা সহজ, এটা সবসময় করা যায়!" আমি ত্যাগ করতে পারি কিন্তু তারপর আমার মন আমার সাথে যুদ্ধ করার চেষ্টা করে। এবং প্রায়শই আমার এর বিরুদ্ধে দাঁড়ানোর সাহস থাকে না, অথবা আমি কেবল চাই না। আমাকে আমার ভূতের মুখোমুখি হতে হয়। এমন কিছু আছে যা তোমাকে সাহায্য করেছে?</v>
      </c>
    </row>
    <row r="1863" spans="1:3" ht="15" x14ac:dyDescent="0.25">
      <c r="A1863" s="3" t="s">
        <v>1856</v>
      </c>
      <c r="B1863" s="3" t="s">
        <v>997</v>
      </c>
      <c r="C1863" s="4" t="str">
        <f ca="1">IFERROR(__xludf.DUMMYFUNCTION("GOOGLETRANSLATE(A1863, ""auto"", ""bn"")"),"৪৫ দিন আগে। ৩-৪ বছর ধরে এই পৃথিবী আমার উপর চিৎকার করছে। ২০১২ সাল থেকে ২০১৭ সাল পর্যন্ত আমি শান্ত ছিলাম। ২০১৭ সালে মাতাল হয়েছিলাম এবং ৪৫ দিন আগে পর্যন্ত থামিনি। আমি যাকে খুব ভালোবাসি তাকে আমি খুব কষ্ট দিয়েছি এবং আমাকে মেনে নিতে হবে এবং সত্যিকার অর্থে স্ব"&amp;"ীকার করতে হবে যে আমি একজন আবেগগতভাবে নির্যাতনকারী সঙ্গী, দ্রুত এবং তীব্রভাবে রেগে যাওয়ার প্রবণতা সহ। সংযমই আমার একমাত্র বিকল্প।")</f>
        <v>৪৫ দিন আগে। ৩-৪ বছর ধরে এই পৃথিবী আমার উপর চিৎকার করছে। ২০১২ সাল থেকে ২০১৭ সাল পর্যন্ত আমি শান্ত ছিলাম। ২০১৭ সালে মাতাল হয়েছিলাম এবং ৪৫ দিন আগে পর্যন্ত থামিনি। আমি যাকে খুব ভালোবাসি তাকে আমি খুব কষ্ট দিয়েছি এবং আমাকে মেনে নিতে হবে এবং সত্যিকার অর্থে স্বীকার করতে হবে যে আমি একজন আবেগগতভাবে নির্যাতনকারী সঙ্গী, দ্রুত এবং তীব্রভাবে রেগে যাওয়ার প্রবণতা সহ। সংযমই আমার একমাত্র বিকল্প।</v>
      </c>
    </row>
    <row r="1864" spans="1:3" ht="15" x14ac:dyDescent="0.25">
      <c r="A1864" s="3" t="s">
        <v>1857</v>
      </c>
      <c r="B1864" s="3" t="s">
        <v>997</v>
      </c>
      <c r="C1864" s="4" t="str">
        <f ca="1">IFERROR(__xludf.DUMMYFUNCTION("GOOGLETRANSLATE(A1864, ""auto"", ""bn"")"),"আমার মনে হয় আমি মদ্যপান না করলে কীভাবে মজা করতে হয় তা জানি না। এক বছরেরও বেশি সময় হয়ে গেছে (হ্যাঁ!) এবং মাঝে মাঝে আমি মদ্যপানের সময় যা খেতাম তার সেই অসাবধান উপভোগের জন্য আকুল হয়ে থাকি। অবশ্যই এর সাথে হ্যাংওভার, মদ্যপান না করলে আরও খারাপ বিষণ্ণতা এবং"&amp;" অনেক খারাপ পছন্দও এসেছিল, তাই আমি জানি এটি আসলে মূল্যবান নয় - তবুও। আমি কখনও একইভাবে আরাম করতে এবং মজা করতে পারি না। তোমরা সবাই কী করো?")</f>
        <v>আমার মনে হয় আমি মদ্যপান না করলে কীভাবে মজা করতে হয় তা জানি না। এক বছরেরও বেশি সময় হয়ে গেছে (হ্যাঁ!) এবং মাঝে মাঝে আমি মদ্যপানের সময় যা খেতাম তার সেই অসাবধান উপভোগের জন্য আকুল হয়ে থাকি। অবশ্যই এর সাথে হ্যাংওভার, মদ্যপান না করলে আরও খারাপ বিষণ্ণতা এবং অনেক খারাপ পছন্দও এসেছিল, তাই আমি জানি এটি আসলে মূল্যবান নয় - তবুও। আমি কখনও একইভাবে আরাম করতে এবং মজা করতে পারি না। তোমরা সবাই কী করো?</v>
      </c>
    </row>
    <row r="1865" spans="1:3" ht="15" x14ac:dyDescent="0.25">
      <c r="A1865" s="3" t="s">
        <v>1858</v>
      </c>
      <c r="B1865" s="3" t="s">
        <v>997</v>
      </c>
      <c r="C1865" s="4" t="str">
        <f ca="1">IFERROR(__xludf.DUMMYFUNCTION("GOOGLETRANSLATE(A1865, ""auto"", ""bn"")"),"আমি নিজেকে বারবার বলি যে এটা বন্ধ করতে হবে। আর আমার উদ্দেশ্য ভালো, আর তারপর সব ভেঙে পড়ে। আমি টানা ৫ দিন ধরে মদ্যপান করছি - গত রাতটা ছিল ভীষণ। আমি খুব খারাপ কাজ করেছি এবং নিজেকে বোকা বানাচ্ছি এবং আজ ঘুম থেকে উঠে নিজেকে নিয়ে তীব্র লজ্জিত। তাছাড়া, আমি বার"&amp;"বার ব্যর্থ হচ্ছি। আর কেন জানি না।")</f>
        <v>আমি নিজেকে বারবার বলি যে এটা বন্ধ করতে হবে। আর আমার উদ্দেশ্য ভালো, আর তারপর সব ভেঙে পড়ে। আমি টানা ৫ দিন ধরে মদ্যপান করছি - গত রাতটা ছিল ভীষণ। আমি খুব খারাপ কাজ করেছি এবং নিজেকে বোকা বানাচ্ছি এবং আজ ঘুম থেকে উঠে নিজেকে নিয়ে তীব্র লজ্জিত। তাছাড়া, আমি বারবার ব্যর্থ হচ্ছি। আর কেন জানি না।</v>
      </c>
    </row>
    <row r="1866" spans="1:3" ht="15" x14ac:dyDescent="0.25">
      <c r="A1866" s="3" t="s">
        <v>1859</v>
      </c>
      <c r="B1866" s="3" t="s">
        <v>997</v>
      </c>
      <c r="C1866" s="4" t="str">
        <f ca="1">IFERROR(__xludf.DUMMYFUNCTION("GOOGLETRANSLATE(A1866, ""auto"", ""bn"")"),"অনেকেই এখানে এটা উল্লেখ করেছেন, কিন্তু আমি কখন আমার পরবর্তী পানীয় পান করব, সপ্তাহান্তে আমার জন্য পর্যাপ্ত পরিমাণে অ্যালকোহল আছে কিনা, আমার স্বামী যদি আমার চেয়ে বেশি ওয়াইন ঢেলে দেয় কিনা তা নিয়ে আমি ক্লান্ত। এটা কেবল দুর্বল করে দেয় এবং আমি আর এমন কিছু"&amp;" চাই না যা আমি আর চাই না। গতকাল আমার একটি পারিবারিক সভা ছিল এবং সবাই একসাথে মদ্যপান করছিল এবং একসাথে শট নিচ্ছিল, এবং আমি খুব বেশি মাতাল কিনা বা পর্যাপ্ত পরিমাণে মদ্যপান করছি কিনা তা নিয়ে চিন্তা করার দরকার ছিল না। এছাড়াও, পরের দিন হ্যাংওভার, ব্ল্যাকআউট এ"&amp;"বং উদ্বেগের মধ্য দিয়ে যেতে হয়নি। অথবা আমার পরিবারের সাথে নিজেকে বিব্রত করলে চিন্তিত। আমি আমার ডায়েট কোক একটি অভিনব গ্লাসে পান করে এবং মাথা ঠান্ডা রেখে বেশ সন্তুষ্ট ছিলাম হা হা। যদিও মাঝে মাঝে এটি কিছুটা অস্বস্তিকর ছিল, এটি পৃথিবীর শেষ ছিল না এবং আমি মন"&amp;"ে করি আমি 30 দিন পার করতে পারব, যা আমার সংযমের প্রচেষ্টা সাধারণত কতক্ষণ স্থায়ী হয়।")</f>
        <v>অনেকেই এখানে এটা উল্লেখ করেছেন, কিন্তু আমি কখন আমার পরবর্তী পানীয় পান করব, সপ্তাহান্তে আমার জন্য পর্যাপ্ত পরিমাণে অ্যালকোহল আছে কিনা, আমার স্বামী যদি আমার চেয়ে বেশি ওয়াইন ঢেলে দেয় কিনা তা নিয়ে আমি ক্লান্ত। এটা কেবল দুর্বল করে দেয় এবং আমি আর এমন কিছু চাই না যা আমি আর চাই না। গতকাল আমার একটি পারিবারিক সভা ছিল এবং সবাই একসাথে মদ্যপান করছিল এবং একসাথে শট নিচ্ছিল, এবং আমি খুব বেশি মাতাল কিনা বা পর্যাপ্ত পরিমাণে মদ্যপান করছি কিনা তা নিয়ে চিন্তা করার দরকার ছিল না। এছাড়াও, পরের দিন হ্যাংওভার, ব্ল্যাকআউট এবং উদ্বেগের মধ্য দিয়ে যেতে হয়নি। অথবা আমার পরিবারের সাথে নিজেকে বিব্রত করলে চিন্তিত। আমি আমার ডায়েট কোক একটি অভিনব গ্লাসে পান করে এবং মাথা ঠান্ডা রেখে বেশ সন্তুষ্ট ছিলাম হা হা। যদিও মাঝে মাঝে এটি কিছুটা অস্বস্তিকর ছিল, এটি পৃথিবীর শেষ ছিল না এবং আমি মনে করি আমি 30 দিন পার করতে পারব, যা আমার সংযমের প্রচেষ্টা সাধারণত কতক্ষণ স্থায়ী হয়।</v>
      </c>
    </row>
    <row r="1867" spans="1:3" ht="15" x14ac:dyDescent="0.25">
      <c r="A1867" s="3" t="s">
        <v>1860</v>
      </c>
      <c r="B1867" s="3" t="s">
        <v>997</v>
      </c>
      <c r="C1867" s="4" t="str">
        <f ca="1">IFERROR(__xludf.DUMMYFUNCTION("GOOGLETRANSLATE(A1867, ""auto"", ""bn"")"),"গত নভেম্বরে অ্যালকোহল এবং কোকেনের কারণে খাদ্যনালীর প্রদাহের কারণে আমাকে মদ্যপান বন্ধ করতে হয়েছিল। আমি আপনাকে কেবল এটিই বলতে চেয়েছিলাম যে অ্যালকোহল ছাড়া দুঃখী থাকা সবসময়ই এর চেয়ে ভালো হবে। ""আপনার আসল বন্ধু কারা তা জানতে চান? শান্ত হোন।"" এই বাক্যাংশট"&amp;"ি খুব সত্য হয়ে উঠেছে। হ্যাঁ, আমি আর একই লোকদের সাথে আড্ডা দেই না, তবে যারা থেকে গিয়েছিল তারাই আমার আসল বন্ধু। হ্যাঁ, আমার মনে হয় আমি সামাজিকভাবে কম স্বাচ্ছন্দ্য বোধ করি কিন্তু অন্যদিকে আমার আত্মীয়রা আমাকে বিশ্বাস করে এবং আমি আমার ডেট নিয়ে কম বাজে কথা"&amp;" বলি। লোকেরা আমাকে বলে যে আমি উজ্জ্বল, আমি দেখতে সুন্দর, আমি আরও ভালো সিদ্ধান্ত নিতে পারি। সত্যি বলতে: তিন মাস ধরে আমাকে আমার জীবনের বাস্তবতার মুখোমুখি হতে বাধ্য করা হয়েছে। এটা খুব কঠিন ছিল, কিন্তু এখন কিছুটা ঠিক আছে।")</f>
        <v>গত নভেম্বরে অ্যালকোহল এবং কোকেনের কারণে খাদ্যনালীর প্রদাহের কারণে আমাকে মদ্যপান বন্ধ করতে হয়েছিল। আমি আপনাকে কেবল এটিই বলতে চেয়েছিলাম যে অ্যালকোহল ছাড়া দুঃখী থাকা সবসময়ই এর চেয়ে ভালো হবে। "আপনার আসল বন্ধু কারা তা জানতে চান? শান্ত হোন।" এই বাক্যাংশটি খুব সত্য হয়ে উঠেছে। হ্যাঁ, আমি আর একই লোকদের সাথে আড্ডা দেই না, তবে যারা থেকে গিয়েছিল তারাই আমার আসল বন্ধু। হ্যাঁ, আমার মনে হয় আমি সামাজিকভাবে কম স্বাচ্ছন্দ্য বোধ করি কিন্তু অন্যদিকে আমার আত্মীয়রা আমাকে বিশ্বাস করে এবং আমি আমার ডেট নিয়ে কম বাজে কথা বলি। লোকেরা আমাকে বলে যে আমি উজ্জ্বল, আমি দেখতে সুন্দর, আমি আরও ভালো সিদ্ধান্ত নিতে পারি। সত্যি বলতে: তিন মাস ধরে আমাকে আমার জীবনের বাস্তবতার মুখোমুখি হতে বাধ্য করা হয়েছে। এটা খুব কঠিন ছিল, কিন্তু এখন কিছুটা ঠিক আছে।</v>
      </c>
    </row>
    <row r="1868" spans="1:3" ht="15" x14ac:dyDescent="0.25">
      <c r="A1868" s="3" t="s">
        <v>1861</v>
      </c>
      <c r="B1868" s="3" t="s">
        <v>997</v>
      </c>
      <c r="C1868" s="4" t="str">
        <f ca="1">IFERROR(__xludf.DUMMYFUNCTION("GOOGLETRANSLATE(A1868, ""auto"", ""bn"")"),"আমি মাদকাসক্তি থেকে মুক্তি পাওয়ার প্রথম ধাপ হিসেবে একজন মাদকাসক্তি পরামর্শদাতার সাথে অ্যাপয়েন্টমেন্ট ঠিক করেছি। আমি জানি না কী আশা করব। অতীতে থেরাপির সাথে আমার খারাপ অভিজ্ঞতা হয়েছে, তাই আমি এই বিষয়ে বেশ নার্ভাস। এই পোস্টের উদ্দেশ্য কী তা আমি জানি না, "&amp;"আমি নিজেকে নিয়ে গর্বিত কারণ আমি ন্যূনতম কাজটি করার জন্য গর্বিত।")</f>
        <v>আমি মাদকাসক্তি থেকে মুক্তি পাওয়ার প্রথম ধাপ হিসেবে একজন মাদকাসক্তি পরামর্শদাতার সাথে অ্যাপয়েন্টমেন্ট ঠিক করেছি। আমি জানি না কী আশা করব। অতীতে থেরাপির সাথে আমার খারাপ অভিজ্ঞতা হয়েছে, তাই আমি এই বিষয়ে বেশ নার্ভাস। এই পোস্টের উদ্দেশ্য কী তা আমি জানি না, আমি নিজেকে নিয়ে গর্বিত কারণ আমি ন্যূনতম কাজটি করার জন্য গর্বিত।</v>
      </c>
    </row>
    <row r="1869" spans="1:3" ht="15" x14ac:dyDescent="0.25">
      <c r="A1869" s="3" t="s">
        <v>1862</v>
      </c>
      <c r="B1869" s="3" t="s">
        <v>997</v>
      </c>
      <c r="C1869" s="4" t="str">
        <f ca="1">IFERROR(__xludf.DUMMYFUNCTION("GOOGLETRANSLATE(A1869, ""auto"", ""bn"")"),"আমি আক্ষরিক অর্থেই টানা ৫ দিন ধরে বাড়িতে বসে আছি এবং সবাই রবিবার রবিবারের জন্য বাইরে আছে এবং আমি কোনও শান্ত লোককে চিনি না এবং আমার সত্যিই মনে হচ্ছে আমি আমার মাথা হারাচ্ছি এবং কিছু করতে হবে, কিন্তু আমি জানি না কী করব।")</f>
        <v>আমি আক্ষরিক অর্থেই টানা ৫ দিন ধরে বাড়িতে বসে আছি এবং সবাই রবিবার রবিবারের জন্য বাইরে আছে এবং আমি কোনও শান্ত লোককে চিনি না এবং আমার সত্যিই মনে হচ্ছে আমি আমার মাথা হারাচ্ছি এবং কিছু করতে হবে, কিন্তু আমি জানি না কী করব।</v>
      </c>
    </row>
    <row r="1870" spans="1:3" ht="15" x14ac:dyDescent="0.25">
      <c r="A1870" s="3" t="s">
        <v>1863</v>
      </c>
      <c r="B1870" s="3" t="s">
        <v>997</v>
      </c>
      <c r="C1870" s="4" t="str">
        <f ca="1">IFERROR(__xludf.DUMMYFUNCTION("GOOGLETRANSLATE(A1870, ""auto"", ""bn"")"),"অনুপ্রেরণামূলক উপাদান খুঁজছি। এছাড়াও, আমি কি একটি ভালো নন-ফিকশন বই পছন্দ করি? কেউ কি এমন কিছু পড়ছেন যা আপনাকে আকর্ষণ করে? এটিকে কোনও বিষয়ের সাথে সম্পর্কিত হতে হবে না, তবে আমি সেই উপাদানটির কিছু অংশও পেতে চাই।")</f>
        <v>অনুপ্রেরণামূলক উপাদান খুঁজছি। এছাড়াও, আমি কি একটি ভালো নন-ফিকশন বই পছন্দ করি? কেউ কি এমন কিছু পড়ছেন যা আপনাকে আকর্ষণ করে? এটিকে কোনও বিষয়ের সাথে সম্পর্কিত হতে হবে না, তবে আমি সেই উপাদানটির কিছু অংশও পেতে চাই।</v>
      </c>
    </row>
    <row r="1871" spans="1:3" ht="15" x14ac:dyDescent="0.25">
      <c r="A1871" s="3" t="s">
        <v>1864</v>
      </c>
      <c r="B1871" s="3" t="s">
        <v>997</v>
      </c>
      <c r="C1871" s="4" t="str">
        <f ca="1">IFERROR(__xludf.DUMMYFUNCTION("GOOGLETRANSLATE(A1871, ""auto"", ""bn"")"),"৫২ দিন সুস্থ। ৫২ বছর বয়সী। আর আমি খুশি। মদ্যপানের ফলে আসা সমস্ত লজ্জা, অপরাধবোধ, চক্রান্ত, একঘেয়েমি এবং দ্বিধা থেকে আমি মুক্ত। মদ্যপান এবং হ্যাংওভারের সাথে জড়িত খারাপ হ্যাংওভার, উদ্বেগ, পেট ফাঁপা, দ্রুত হৃদস্পন্দন এবং শ্বাসকষ্টের কথা তো বাদই দিলাম। আমি"&amp;" আরও বেশি উৎপাদনশীল, বিশ্রাম নিচ্ছি এবং সাধারণভাবে ইতিবাচক দৃষ্টিভঙ্গি রাখছি। ঘুম অনেক ভালো। আমার ত্বক ভালো দেখাচ্ছে। আমার ওজন কমেছে। আমি ভালো খাচ্ছি। আমার মেয়ে এবং স্বামীর সাথে আমার সম্পর্ক ভালো। এই শান্তি অর্জনের জন্য এই দিনগুলো একসাথে কাটাতে পেরে আমি "&amp;"কত ভাগ্যবান।")</f>
        <v>৫২ দিন সুস্থ। ৫২ বছর বয়সী। আর আমি খুশি। মদ্যপানের ফলে আসা সমস্ত লজ্জা, অপরাধবোধ, চক্রান্ত, একঘেয়েমি এবং দ্বিধা থেকে আমি মুক্ত। মদ্যপান এবং হ্যাংওভারের সাথে জড়িত খারাপ হ্যাংওভার, উদ্বেগ, পেট ফাঁপা, দ্রুত হৃদস্পন্দন এবং শ্বাসকষ্টের কথা তো বাদই দিলাম। আমি আরও বেশি উৎপাদনশীল, বিশ্রাম নিচ্ছি এবং সাধারণভাবে ইতিবাচক দৃষ্টিভঙ্গি রাখছি। ঘুম অনেক ভালো। আমার ত্বক ভালো দেখাচ্ছে। আমার ওজন কমেছে। আমি ভালো খাচ্ছি। আমার মেয়ে এবং স্বামীর সাথে আমার সম্পর্ক ভালো। এই শান্তি অর্জনের জন্য এই দিনগুলো একসাথে কাটাতে পেরে আমি কত ভাগ্যবান।</v>
      </c>
    </row>
    <row r="1872" spans="1:3" ht="15" x14ac:dyDescent="0.25">
      <c r="A1872" s="3" t="s">
        <v>1865</v>
      </c>
      <c r="B1872" s="3" t="s">
        <v>997</v>
      </c>
      <c r="C1872" s="4" t="str">
        <f ca="1">IFERROR(__xludf.DUMMYFUNCTION("GOOGLETRANSLATE(A1872, ""auto"", ""bn"")"),"আমি যে ফুটবল দলকে সমর্থন করি, তারা সম্প্রতি একটি ছোটখাটো চ্যাম্পিয়নশিপ জিতেছে (ইংল্যান্ডের এফএ কমিউনিটি শিল্ডের মতো), একটি পুরনো প্রতিপক্ষের বিপক্ষে এক উন্মাদ ফাইনালে, ২-২ গোলে ড্রয়ের পর ২৪টি পেনাল্টি কিক দিয়ে। সাধারণত, আমি মাতাল থাকতাম এবং রাস্তায় আর"&amp;"ও মাতাল হতাম। কিন্তু আমার বাবার বাড়িতে আমার কাজটা আমার ভালোই আছে। এখানকার সকল ক্রীড়াপ্রেমীদের জন্য, আমি আশা করি আমরা খেলাধুলা → অ্যালকোহল দেখা বন্ধ করতে পারব এবং কেবল মজা করতে পারব।")</f>
        <v>আমি যে ফুটবল দলকে সমর্থন করি, তারা সম্প্রতি একটি ছোটখাটো চ্যাম্পিয়নশিপ জিতেছে (ইংল্যান্ডের এফএ কমিউনিটি শিল্ডের মতো), একটি পুরনো প্রতিপক্ষের বিপক্ষে এক উন্মাদ ফাইনালে, ২-২ গোলে ড্রয়ের পর ২৪টি পেনাল্টি কিক দিয়ে। সাধারণত, আমি মাতাল থাকতাম এবং রাস্তায় আরও মাতাল হতাম। কিন্তু আমার বাবার বাড়িতে আমার কাজটা আমার ভালোই আছে। এখানকার সকল ক্রীড়াপ্রেমীদের জন্য, আমি আশা করি আমরা খেলাধুলা → অ্যালকোহল দেখা বন্ধ করতে পারব এবং কেবল মজা করতে পারব।</v>
      </c>
    </row>
    <row r="1873" spans="1:3" ht="15" x14ac:dyDescent="0.25">
      <c r="A1873" s="3" t="s">
        <v>1866</v>
      </c>
      <c r="B1873" s="3" t="s">
        <v>997</v>
      </c>
      <c r="C1873" s="4" t="str">
        <f ca="1">IFERROR(__xludf.DUMMYFUNCTION("GOOGLETRANSLATE(A1873, ""auto"", ""bn"")"),"মদ্যপান ছেড়ে দেওয়ার পর থেকে সবকিছু ভালোই চলছে। অবশ্যই কিছু প্রলোভন ছিল কিন্তু ঘুমাতে যাওয়ার সময় আমার সংকল্প সবসময়ই শক্তিশালী হয়। আমি রেস্তোরাঁ ছাড়া অন্য কোনও মদ্যপান এড়িয়ে চলি। এমনকি রেস্তোরাঁয় গেলেও আমি খুব চাপে থাকি। আমার মনে হয় যেন আমাকে সার"&amp;"াক্ষণ পানীয় দেওয়া হবে, কিন্তু তারপর আমি সেখানে যাই, চা অর্ডার করি এবং সবকিছু ঠিকঠাক থাকে। এটি আমাকে আমার পরবর্তী পরিস্থিতির দিকে নিয়ে যায়। কয়েকদিন আগে আমি এবং আমার স্ত্রী কেভিন হার্টের টিকিট অর্ডার করেছিলাম। আমাদের বার্ষিকীর কাছাকাছি তাই আমরা সিদ্ধান"&amp;"্ত নিয়েছিলাম যে এটিই আমাদের একে অপরের জন্য উপহার। একটি সুন্দর ডিনার, একটি শো এবং একটি হোটেল। আমি পরবর্তী 4 ঘন্টা মদ্যপানের বিষয়ে চিন্তা করে কাটিয়েছি। অনুষ্ঠানটি সেপ্টেম্বরে। অবশেষে, আমি নিজেকে বললাম, ""তুমি এখন এই বিষয়ে কেন চিন্তা করছো!? তুমি আজ মদ্যপ"&amp;"ান করছো না, এটাই গুরুত্বপূর্ণ। যখন দিন আসবে তখন তুমি ডিনার করবে, চা অর্ডার করবে, শোতে যাবে, সোডা বা অন্য কিছু পাবে এবং রাতের 90% তখনই জয়ী হবে।""")</f>
        <v>মদ্যপান ছেড়ে দেওয়ার পর থেকে সবকিছু ভালোই চলছে। অবশ্যই কিছু প্রলোভন ছিল কিন্তু ঘুমাতে যাওয়ার সময় আমার সংকল্প সবসময়ই শক্তিশালী হয়। আমি রেস্তোরাঁ ছাড়া অন্য কোনও মদ্যপান এড়িয়ে চলি। এমনকি রেস্তোরাঁয় গেলেও আমি খুব চাপে থাকি। আমার মনে হয় যেন আমাকে সারাক্ষণ পানীয় দেওয়া হবে, কিন্তু তারপর আমি সেখানে যাই, চা অর্ডার করি এবং সবকিছু ঠিকঠাক থাকে। এটি আমাকে আমার পরবর্তী পরিস্থিতির দিকে নিয়ে যায়। কয়েকদিন আগে আমি এবং আমার স্ত্রী কেভিন হার্টের টিকিট অর্ডার করেছিলাম। আমাদের বার্ষিকীর কাছাকাছি তাই আমরা সিদ্ধান্ত নিয়েছিলাম যে এটিই আমাদের একে অপরের জন্য উপহার। একটি সুন্দর ডিনার, একটি শো এবং একটি হোটেল। আমি পরবর্তী 4 ঘন্টা মদ্যপানের বিষয়ে চিন্তা করে কাটিয়েছি। অনুষ্ঠানটি সেপ্টেম্বরে। অবশেষে, আমি নিজেকে বললাম, "তুমি এখন এই বিষয়ে কেন চিন্তা করছো!? তুমি আজ মদ্যপান করছো না, এটাই গুরুত্বপূর্ণ। যখন দিন আসবে তখন তুমি ডিনার করবে, চা অর্ডার করবে, শোতে যাবে, সোডা বা অন্য কিছু পাবে এবং রাতের 90% তখনই জয়ী হবে।"</v>
      </c>
    </row>
    <row r="1874" spans="1:3" ht="15" x14ac:dyDescent="0.25">
      <c r="A1874" s="3" t="s">
        <v>1867</v>
      </c>
      <c r="B1874" s="3" t="s">
        <v>997</v>
      </c>
      <c r="C1874" s="4" t="str">
        <f ca="1">IFERROR(__xludf.DUMMYFUNCTION("GOOGLETRANSLATE(A1874, ""auto"", ""bn"")"),"আমার নির্যাতনমূলক বিবাহ সত্যিই আমার উপর অনেক প্রভাব ফেলেছে। আজ আমি খুব দুঃখিত, আমি ইনস্টাগ্রামে আমার প্রাক্তন প্রেমিকার একটি ছবি দেখেছি, এবং এটি আমাকে আরও দুঃখের দিকে ঠেলে দিয়েছে। আজ আমি ইতিমধ্যেই সংগ্রাম করছিলাম, কিন্তু এই সমস্ত আবেগগুলি মোকাবেলা করতে অ"&amp;"নেক কিছু। তদুপরি, আমি কেবল আবার খুশি এবং উজ্জীবিত বোধ করতে চাই। তদুপরি, সে আমার সাথে যা করেছে তা আমি ঘৃণা করি, আমি ঘৃণা করি যে আমাকে যা করতে হয়েছিল তার মধ্য দিয়ে যেতে হয়েছিল। তদুপরি, আমি ঘৃণা করি যে সবকিছুর পরে এখন নিরাময়ের এই পাহাড়ি যাত্রায় যেতে হব"&amp;"ে। আমার পুনরায় রোগের পুনরাবৃত্তির পর থেকে আমি আরও বেশি লড়াই করছি। এটি আবার ঊর্ধ্বমুখী কিন্তু এটি কেবল কিছুটা সময় নিচ্ছে। আমি কেবল আমার অনুভূতিগুলি ছুঁড়ে ফেলার জন্য এখানে এসেছি। আমি থেরাপিতে আছি, আমি সবকিছু নিয়ে কাজ করছি, আমার স্বাস্থ্য, আমার ক্যারিয়"&amp;"ার, আমার আগ্রহ। কখনও কখনও আমি এত ক্লান্ত যে আমি কিছুই করতে পারি না। আমি আজ 50 তম দিনে আছি। এই দলের জন্য ধন্যবাদ।")</f>
        <v>আমার নির্যাতনমূলক বিবাহ সত্যিই আমার উপর অনেক প্রভাব ফেলেছে। আজ আমি খুব দুঃখিত, আমি ইনস্টাগ্রামে আমার প্রাক্তন প্রেমিকার একটি ছবি দেখেছি, এবং এটি আমাকে আরও দুঃখের দিকে ঠেলে দিয়েছে। আজ আমি ইতিমধ্যেই সংগ্রাম করছিলাম, কিন্তু এই সমস্ত আবেগগুলি মোকাবেলা করতে অনেক কিছু। তদুপরি, আমি কেবল আবার খুশি এবং উজ্জীবিত বোধ করতে চাই। তদুপরি, সে আমার সাথে যা করেছে তা আমি ঘৃণা করি, আমি ঘৃণা করি যে আমাকে যা করতে হয়েছিল তার মধ্য দিয়ে যেতে হয়েছিল। তদুপরি, আমি ঘৃণা করি যে সবকিছুর পরে এখন নিরাময়ের এই পাহাড়ি যাত্রায় যেতে হবে। আমার পুনরায় রোগের পুনরাবৃত্তির পর থেকে আমি আরও বেশি লড়াই করছি। এটি আবার ঊর্ধ্বমুখী কিন্তু এটি কেবল কিছুটা সময় নিচ্ছে। আমি কেবল আমার অনুভূতিগুলি ছুঁড়ে ফেলার জন্য এখানে এসেছি। আমি থেরাপিতে আছি, আমি সবকিছু নিয়ে কাজ করছি, আমার স্বাস্থ্য, আমার ক্যারিয়ার, আমার আগ্রহ। কখনও কখনও আমি এত ক্লান্ত যে আমি কিছুই করতে পারি না। আমি আজ 50 তম দিনে আছি। এই দলের জন্য ধন্যবাদ।</v>
      </c>
    </row>
    <row r="1875" spans="1:3" ht="15" x14ac:dyDescent="0.25">
      <c r="A1875" s="3" t="s">
        <v>1868</v>
      </c>
      <c r="B1875" s="3" t="s">
        <v>997</v>
      </c>
      <c r="C1875" s="4" t="str">
        <f ca="1">IFERROR(__xludf.DUMMYFUNCTION("GOOGLETRANSLATE(A1875, ""auto"", ""bn"")"),"কি?? আমি বলতে পারছি না এটা ঠিক উড়ে গেছে, কিন্তু যদি কেউ এমন কিছু থাকে যা আমি জানি, সেটা হলো আমি আর পিছনে যেতে চাই না। আরও এগিয়ে যাও। তোমাদের সবাইকে অনেক অনেক ভালোবাসি এবং তোমাদের দিনটা দারুন কাটুক! যোগ করার জন্য সম্পাদনা করা হয়েছে: আমি আমার প্রথম শান্ত"&amp;" ক্রিসমাস, নববর্ষ, ভালোবাসা দিবস, এবং এখন দীর্ঘ (এবং আমার এলাকায় মূলত পালিত) মার্ডি গ্রা মরশুমের মধ্য দিয়ে এগিয়ে যাচ্ছি। আমাকে দেখে নাও!")</f>
        <v>কি?? আমি বলতে পারছি না এটা ঠিক উড়ে গেছে, কিন্তু যদি কেউ এমন কিছু থাকে যা আমি জানি, সেটা হলো আমি আর পিছনে যেতে চাই না। আরও এগিয়ে যাও। তোমাদের সবাইকে অনেক অনেক ভালোবাসি এবং তোমাদের দিনটা দারুন কাটুক! যোগ করার জন্য সম্পাদনা করা হয়েছে: আমি আমার প্রথম শান্ত ক্রিসমাস, নববর্ষ, ভালোবাসা দিবস, এবং এখন দীর্ঘ (এবং আমার এলাকায় মূলত পালিত) মার্ডি গ্রা মরশুমের মধ্য দিয়ে এগিয়ে যাচ্ছি। আমাকে দেখে নাও!</v>
      </c>
    </row>
    <row r="1876" spans="1:3" ht="15" x14ac:dyDescent="0.25">
      <c r="A1876" s="3" t="s">
        <v>1869</v>
      </c>
      <c r="B1876" s="3" t="s">
        <v>997</v>
      </c>
      <c r="C1876" s="4" t="str">
        <f ca="1">IFERROR(__xludf.DUMMYFUNCTION("GOOGLETRANSLATE(A1876, ""auto"", ""bn"")"),"আর ভাবতে থাকি। পিঠ চাপড়িয়ে হাত ভাঙবো না, কিন্তু বহু বছরের মধ্যে এটাই আমার সবচেয়ে দীর্ঘ সময়। আমার এখনও কোনও ইচ্ছা জাগেনি...। আমি জানি একটা ভয়াবহ দিনের পর এগুলো শেষ পর্যন্ত ঘটবে, কিন্তু আগের তুলনায় এগুলো সামলাতে আমি আরও বেশি প্রস্তুত বোধ করছি। আপনাদের সকলের"&amp;" সাহায্যের জন্য ধন্যবাদ।")</f>
        <v>আর ভাবতে থাকি। পিঠ চাপড়িয়ে হাত ভাঙবো না, কিন্তু বহু বছরের মধ্যে এটাই আমার সবচেয়ে দীর্ঘ সময়। আমার এখনও কোনও ইচ্ছা জাগেনি...। আমি জানি একটা ভয়াবহ দিনের পর এগুলো শেষ পর্যন্ত ঘটবে, কিন্তু আগের তুলনায় এগুলো সামলাতে আমি আরও বেশি প্রস্তুত বোধ করছি। আপনাদের সকলের সাহায্যের জন্য ধন্যবাদ।</v>
      </c>
    </row>
    <row r="1877" spans="1:3" ht="15" x14ac:dyDescent="0.25">
      <c r="A1877" s="3" t="s">
        <v>1870</v>
      </c>
      <c r="B1877" s="3" t="s">
        <v>997</v>
      </c>
      <c r="C1877" s="4" t="str">
        <f ca="1">IFERROR(__xludf.DUMMYFUNCTION("GOOGLETRANSLATE(A1877, ""auto"", ""bn"")"),"আমার এখনও দৌড়ের ব্যথা আছে, কিন্তু আসলে এটা আমাকে মদ্যপান থেকে বিরত রাখতে সাহায্য করছে, কারণ আমি লিভারের রোগে মারা যেতে চাই না। গত সপ্তাহে বছরের পর বছর ধরে সবচেয়ে খারাপ প্যানিক অ্যাটাক হয়েছে, কিন্তু আসলে এটা আমাকে মদ্যপান থেকে বিরত রাখতে সাহায্য করছে, কার"&amp;"ণ আমি আর সেই অভিজ্ঞতার মধ্য দিয়ে যেতে চাই না। আমি অবিশ্বাস্যভাবে বিষণ্ণ ছিলাম, কিন্তু আসলে এটা আমাকে মদ্যপান থেকে বিরত রাখতে সাহায্য করছে কারণ আমি পরিস্থিতি আরও খারাপ করতে চাই না, এবং বিরত থাকার অর্থ হল আমার পরিস্থিতি আরও ভালো করার ভালো সুযোগ আছে। আজ, রবি"&amp;"বার, এটি একটি রৌদ্রোজ্জ্বল --- যদিও ঠান্ডা --- দিন যেখানে আমি আছি। আমি একটি বিড়াল এবং তার নিস্তেজ সঙ্গীর সাথে বিছানায় হ্যাংওভার-মুক্ত কফি উপভোগ করছি, সে এক সেকেন্ডের জন্য ঘুম থেকে উঠে আমাকে জড়িয়ে ধরে বলল, ""গত রাতে তোমার সাথে আমার অনেক মজা হয়েছিল, সো"&amp;"না।""")</f>
        <v>আমার এখনও দৌড়ের ব্যথা আছে, কিন্তু আসলে এটা আমাকে মদ্যপান থেকে বিরত রাখতে সাহায্য করছে, কারণ আমি লিভারের রোগে মারা যেতে চাই না। গত সপ্তাহে বছরের পর বছর ধরে সবচেয়ে খারাপ প্যানিক অ্যাটাক হয়েছে, কিন্তু আসলে এটা আমাকে মদ্যপান থেকে বিরত রাখতে সাহায্য করছে, কারণ আমি আর সেই অভিজ্ঞতার মধ্য দিয়ে যেতে চাই না। আমি অবিশ্বাস্যভাবে বিষণ্ণ ছিলাম, কিন্তু আসলে এটা আমাকে মদ্যপান থেকে বিরত রাখতে সাহায্য করছে কারণ আমি পরিস্থিতি আরও খারাপ করতে চাই না, এবং বিরত থাকার অর্থ হল আমার পরিস্থিতি আরও ভালো করার ভালো সুযোগ আছে। আজ, রবিবার, এটি একটি রৌদ্রোজ্জ্বল --- যদিও ঠান্ডা --- দিন যেখানে আমি আছি। আমি একটি বিড়াল এবং তার নিস্তেজ সঙ্গীর সাথে বিছানায় হ্যাংওভার-মুক্ত কফি উপভোগ করছি, সে এক সেকেন্ডের জন্য ঘুম থেকে উঠে আমাকে জড়িয়ে ধরে বলল, "গত রাতে তোমার সাথে আমার অনেক মজা হয়েছিল, সোনা।"</v>
      </c>
    </row>
    <row r="1878" spans="1:3" ht="15" x14ac:dyDescent="0.25">
      <c r="A1878" s="3" t="s">
        <v>1871</v>
      </c>
      <c r="B1878" s="3" t="s">
        <v>997</v>
      </c>
      <c r="C1878" s="4" t="str">
        <f ca="1">IFERROR(__xludf.DUMMYFUNCTION("GOOGLETRANSLATE(A1878, ""auto"", ""bn"")"),"৩৬তম দিন। লোভ-লালসা প্রায় চলে গেছে, যা দারুন। গত কয়েকদিন ধরে আমি কিছুটা শূন্যতা এবং উদ্দেশ্যহীন বোধ করছি। সাধারণভাবে জীবন দারুন যাচ্ছে, কিন্তু এখনও কিছুটা খারাপ লাগছে... আমি সিদ্ধান্ত নিলাম যে আমার একটি নতুন লক্ষ্যের প্রয়োজন। তাই আমি সুইজারল্যান্ডে একট"&amp;"ি পর্বত ট্রেইল দৌড়ের জন্য সাইন আপ করেছি। আমার এই সিদ্ধান্ত এবং একটি নতুন লক্ষ্য নির্ধারণ হঠাৎ করেই আমাকে জাগিয়ে তুলেছে। এখন আমার মনে একটি স্পষ্ট লক্ষ্য আছে। কীভাবে এটি অর্জন করব সে সম্পর্কে আমার একটি পরিকল্পনা আছে। এই দৌড়ের জন্য প্রস্তুত হতে আমার ৪ মাস"&amp;"েরও বেশি সময় আছে এবং প্রথম দৌড়ের জন্য আমি আবার উত্তেজিত! এটা যেন একটা স্ফুলিঙ্গ নিভে গেছে!!!!")</f>
        <v>৩৬তম দিন। লোভ-লালসা প্রায় চলে গেছে, যা দারুন। গত কয়েকদিন ধরে আমি কিছুটা শূন্যতা এবং উদ্দেশ্যহীন বোধ করছি। সাধারণভাবে জীবন দারুন যাচ্ছে, কিন্তু এখনও কিছুটা খারাপ লাগছে... আমি সিদ্ধান্ত নিলাম যে আমার একটি নতুন লক্ষ্যের প্রয়োজন। তাই আমি সুইজারল্যান্ডে একটি পর্বত ট্রেইল দৌড়ের জন্য সাইন আপ করেছি। আমার এই সিদ্ধান্ত এবং একটি নতুন লক্ষ্য নির্ধারণ হঠাৎ করেই আমাকে জাগিয়ে তুলেছে। এখন আমার মনে একটি স্পষ্ট লক্ষ্য আছে। কীভাবে এটি অর্জন করব সে সম্পর্কে আমার একটি পরিকল্পনা আছে। এই দৌড়ের জন্য প্রস্তুত হতে আমার ৪ মাসেরও বেশি সময় আছে এবং প্রথম দৌড়ের জন্য আমি আবার উত্তেজিত! এটা যেন একটা স্ফুলিঙ্গ নিভে গেছে!!!!</v>
      </c>
    </row>
    <row r="1879" spans="1:3" ht="15" x14ac:dyDescent="0.25">
      <c r="A1879" s="3" t="s">
        <v>1872</v>
      </c>
      <c r="B1879" s="3" t="s">
        <v>997</v>
      </c>
      <c r="C1879" s="4" t="str">
        <f ca="1">IFERROR(__xludf.DUMMYFUNCTION("GOOGLETRANSLATE(A1879, ""auto"", ""bn"")"),"আমি (২২ বছর বয়সী) গ্রীষ্মে বিশ্ববিদ্যালয় থেকে প্রথম শ্রেণীর ডিগ্রি অর্জন করেছি। তারপর থেকে আমি শুধু মদ্যপান করেই দিন কাটাচ্ছিলাম, আর খারাপ কাজ করেছিলাম কারণ সফল ক্যারিয়ার গড়ার কোনও প্রেরণা আমার ছিল না। আমি শুধু সপ্তাহটা কাটাতে চাইতাম আর সপ্তাহান্তে মাতাল "&amp;"হয়ে থাকতাম। আমি আগে খুব মেধাবী এবং সক্রিয় ছিলাম। আমার লালন-পালন অসাধারণ ছিল, আমি আমার পরিবারের সবাইকে হতাশ করেছি কারণ আমি কিছুই করতে পারিনি। আমার মাথা এখন অস্থির লাগছে, এবং আমি যা করি তার অনেকের উপরই মনোযোগ দিতে পারছি না। আমি ক্রমাগত চিন্তা করি এবং বন্ধ "&amp;"করা অসম্ভব বলে মনে করি। আমি জানি না কীভাবে এই পরিস্থিতি থেকে ফিরে আসব। তাছাড়া, আমি ৩০০ টিরও বেশি চাকরির জন্য আবেদন করেছি এবং কিছুই পাইনি। তাছাড়া, আমি এভাবে চলতে পারছি না। তাছাড়া, সবকিছু আমার জন্য অতিরিক্ত হয়ে ওঠার আগে আমার কিছু দরকার।")</f>
        <v>আমি (২২ বছর বয়সী) গ্রীষ্মে বিশ্ববিদ্যালয় থেকে প্রথম শ্রেণীর ডিগ্রি অর্জন করেছি। তারপর থেকে আমি শুধু মদ্যপান করেই দিন কাটাচ্ছিলাম, আর খারাপ কাজ করেছিলাম কারণ সফল ক্যারিয়ার গড়ার কোনও প্রেরণা আমার ছিল না। আমি শুধু সপ্তাহটা কাটাতে চাইতাম আর সপ্তাহান্তে মাতাল হয়ে থাকতাম। আমি আগে খুব মেধাবী এবং সক্রিয় ছিলাম। আমার লালন-পালন অসাধারণ ছিল, আমি আমার পরিবারের সবাইকে হতাশ করেছি কারণ আমি কিছুই করতে পারিনি। আমার মাথা এখন অস্থির লাগছে, এবং আমি যা করি তার অনেকের উপরই মনোযোগ দিতে পারছি না। আমি ক্রমাগত চিন্তা করি এবং বন্ধ করা অসম্ভব বলে মনে করি। আমি জানি না কীভাবে এই পরিস্থিতি থেকে ফিরে আসব। তাছাড়া, আমি ৩০০ টিরও বেশি চাকরির জন্য আবেদন করেছি এবং কিছুই পাইনি। তাছাড়া, আমি এভাবে চলতে পারছি না। তাছাড়া, সবকিছু আমার জন্য অতিরিক্ত হয়ে ওঠার আগে আমার কিছু দরকার।</v>
      </c>
    </row>
    <row r="1880" spans="1:3" ht="15" x14ac:dyDescent="0.25">
      <c r="A1880" s="3" t="s">
        <v>1873</v>
      </c>
      <c r="B1880" s="3" t="s">
        <v>997</v>
      </c>
      <c r="C1880" s="4" t="str">
        <f ca="1">IFERROR(__xludf.DUMMYFUNCTION("GOOGLETRANSLATE(A1880, ""auto"", ""bn"")"),"আমি একেবারে তলানিতে পৌঁছে গেছি এবং আমার ওজন কমতে শুরু করেছে, কিন্তু নিরাপদে তা করার জন্য আমার কতটা গ্রহণ করা উচিত তা দেখতে হবে। গতকাল আমার একটি গড় সন্ধ্যা ছিল, আমি যথারীতি মাতাল হয়েছিলাম কিন্তু আমি হিসাব রাখছিলাম বলে সম্ভবত স্বাভাবিকের চেয়ে কম পান করেছ"&amp;"ি। তাছাড়া, গতকাল আমার ২৬.৯ ইউনিট গিনেস ছিল। তাছাড়া, আমি পরিমাণ নিরূপণ করেছি এবং আমি ৬ লিটারেরও বেশি গিনেস গ্রহণ করেছি। তাছাড়া, আমি কিছুটা হতবাক কিন্তু আগে কখনও এটা নিয়ে ভাবিনি। এছাড়াও ২০০০ ক্যালোরিরও বেশি, যা ব্যাখ্যা করে যে আমি আসলে খাই না, তা আমার ওজন"&amp;" কমাতে সাহায্য করে না। আমি থামতে দৃঢ়প্রতিজ্ঞ, কিন্তু এটা দেখে ভয় লাগে যে এটি আমার জন্য একটি গড় দিন। মনে হয় টেপারিং সম্ভবত অনেক সময় নেবে।")</f>
        <v>আমি একেবারে তলানিতে পৌঁছে গেছি এবং আমার ওজন কমতে শুরু করেছে, কিন্তু নিরাপদে তা করার জন্য আমার কতটা গ্রহণ করা উচিত তা দেখতে হবে। গতকাল আমার একটি গড় সন্ধ্যা ছিল, আমি যথারীতি মাতাল হয়েছিলাম কিন্তু আমি হিসাব রাখছিলাম বলে সম্ভবত স্বাভাবিকের চেয়ে কম পান করেছি। তাছাড়া, গতকাল আমার ২৬.৯ ইউনিট গিনেস ছিল। তাছাড়া, আমি পরিমাণ নিরূপণ করেছি এবং আমি ৬ লিটারেরও বেশি গিনেস গ্রহণ করেছি। তাছাড়া, আমি কিছুটা হতবাক কিন্তু আগে কখনও এটা নিয়ে ভাবিনি। এছাড়াও ২০০০ ক্যালোরিরও বেশি, যা ব্যাখ্যা করে যে আমি আসলে খাই না, তা আমার ওজন কমাতে সাহায্য করে না। আমি থামতে দৃঢ়প্রতিজ্ঞ, কিন্তু এটা দেখে ভয় লাগে যে এটি আমার জন্য একটি গড় দিন। মনে হয় টেপারিং সম্ভবত অনেক সময় নেবে।</v>
      </c>
    </row>
    <row r="1881" spans="1:3" ht="15" x14ac:dyDescent="0.25">
      <c r="A1881" s="3" t="s">
        <v>1874</v>
      </c>
      <c r="B1881" s="3" t="s">
        <v>997</v>
      </c>
      <c r="C1881" s="4" t="str">
        <f ca="1">IFERROR(__xludf.DUMMYFUNCTION("GOOGLETRANSLATE(A1881, ""auto"", ""bn"")"),"আমি বেশ কিছুদিন ধরেই এই সাব-এ ভিন্ন ব্যবহারকারীর নাম দিয়ে লুকিয়ে আছি। এটা আমার প্রতিশ্রুতিবদ্ধ পোস্ট। আমার বয়স ৩৪F এবং আমার এক বছরের যমজ সন্তান আছে। মাতৃত্বকালীন ছুটি আমার জন্য খুবই খারাপ ছিল। শিশু যত্ন মানসিক চাপের কারণ এবং আমি কিছু সমস্যাযুক্ত আচরণের শ"&amp;"িকার হয়েছি - আমি প্রায়ই সকালে মদ্যপান শুরু করি, হয়তো কাজে ফিরে আসার পর গাড়ি পার্কে এক বা দুটি বিয়ার রেখে। আমি প্রায় সবসময়ই মদের দোকানে বাড়ি ফেরার পথে সেই ছোট কার্টন ওয়াইন কিনে সন্ধ্যা শুরু করি। অ্যালকোহল আমার জন্য একটি আক্রমণাত্মক চিন্তা - যদি আমি জান"&amp;"ি যে আমাদের ঘরে এটি আছে তবে এটি শেষ না হওয়া পর্যন্ত আমার মনে থাকে। আমি কিছুটা অসুস্থ থাকাকালীন গাড়ি চালাই বলে পরিচিত। কখনও নষ্ট করিনি, তবে এটি একটি পিচ্ছিল ঢালের মতো মনে হয়। আমি স্পিরিট কেনা বন্ধ করে দিয়েছি কারণ এটি আমাকে আগে খারাপ জায়গায় নিয়ে গেছে। তা"&amp;"ই আমি এখানে আছি। আমি এখনও আমার সঙ্গী (যার কাছ থেকে আমার মদ্যপান বেশিরভাগ গোপন), আমার বন্ধুবান্ধব এবং সহকর্মীদের কী বলব তা নিয়ে কাজ করছি। তবে আমরা পরে এটি বের করব।")</f>
        <v>আমি বেশ কিছুদিন ধরেই এই সাব-এ ভিন্ন ব্যবহারকারীর নাম দিয়ে লুকিয়ে আছি। এটা আমার প্রতিশ্রুতিবদ্ধ পোস্ট। আমার বয়স ৩৪F এবং আমার এক বছরের যমজ সন্তান আছে। মাতৃত্বকালীন ছুটি আমার জন্য খুবই খারাপ ছিল। শিশু যত্ন মানসিক চাপের কারণ এবং আমি কিছু সমস্যাযুক্ত আচরণের শিকার হয়েছি - আমি প্রায়ই সকালে মদ্যপান শুরু করি, হয়তো কাজে ফিরে আসার পর গাড়ি পার্কে এক বা দুটি বিয়ার রেখে। আমি প্রায় সবসময়ই মদের দোকানে বাড়ি ফেরার পথে সেই ছোট কার্টন ওয়াইন কিনে সন্ধ্যা শুরু করি। অ্যালকোহল আমার জন্য একটি আক্রমণাত্মক চিন্তা - যদি আমি জানি যে আমাদের ঘরে এটি আছে তবে এটি শেষ না হওয়া পর্যন্ত আমার মনে থাকে। আমি কিছুটা অসুস্থ থাকাকালীন গাড়ি চালাই বলে পরিচিত। কখনও নষ্ট করিনি, তবে এটি একটি পিচ্ছিল ঢালের মতো মনে হয়। আমি স্পিরিট কেনা বন্ধ করে দিয়েছি কারণ এটি আমাকে আগে খারাপ জায়গায় নিয়ে গেছে। তাই আমি এখানে আছি। আমি এখনও আমার সঙ্গী (যার কাছ থেকে আমার মদ্যপান বেশিরভাগ গোপন), আমার বন্ধুবান্ধব এবং সহকর্মীদের কী বলব তা নিয়ে কাজ করছি। তবে আমরা পরে এটি বের করব।</v>
      </c>
    </row>
    <row r="1882" spans="1:3" ht="15" x14ac:dyDescent="0.25">
      <c r="A1882" s="3" t="s">
        <v>1875</v>
      </c>
      <c r="B1882" s="3" t="s">
        <v>997</v>
      </c>
      <c r="C1882" s="4" t="str">
        <f ca="1">IFERROR(__xludf.DUMMYFUNCTION("GOOGLETRANSLATE(A1882, ""auto"", ""bn"")"),"দিন ১। AA তে ফিরে যাওয়ার কথা ভাবছিলাম। কয়েক বছর আগে আমি ২ মাস (সপ্তাহে ৪টি মিটিং) জন্য গিয়েছিলাম, সিদ্ধান্ত নিলাম এটা আমার পছন্দ হবে না। তবে এখন যেহেতু আমি বড় হয়েছি (আগে আমি খুব অপরিণত ছিলাম ২১ বছর) তাই নতুন দৃষ্টিভঙ্গি নিয়ে আবার চেষ্টা করতে চাই। এছ"&amp;"াড়াও, আমি মরিয়া বোধ করছি কারণ আমার মনে হয় আমার অভিনয় ঠিক না হলে আমাকে চাকরিচ্যুত করা হবে। গতবার আমি সত্যিই নিশ্চিত ছিলাম না যে আমি মদ্যপ ছিলাম কিনা, কিন্তু এখন আমি নিশ্চিত। সমস্যা হল আমি মিটিংয়ে কথা বলতে পারি না কারণ আমার ভয়াবহ সামাজিক উদ্বেগ রয়েছে"&amp;"। আমার আত্মসম্মানও এখন এত কম। আমি দোকানের ক্যাশিয়ারের চোখের দিকেও তাকাতে পারি না। কেউ কি এই সমস্যাটি মোকাবেলা করেছে? আমি কি কেবল শুনতে যাব এবং আশা করব যে আমি এতে স্বাচ্ছন্দ্য বোধ করব? তুমি যদি কথা না বলো তাহলে কি তারা কিছু মনে করবে? আমার মনে হয় এটাও যে "&amp;"আমি একজন তরুণী এবং বেশিরভাগ মানুষই বয়স্ক এবং পুরুষ, তাই আমি ততটা স্বাচ্ছন্দ্য বোধ করি না। আমার আগে (অন্য শহরে) একটা মহিলা দল ছিল যেখানে আমি গিয়েছিলাম, তাই আমি এখানে একটা খুঁজে বের করার চেষ্টা করব।")</f>
        <v>দিন ১। AA তে ফিরে যাওয়ার কথা ভাবছিলাম। কয়েক বছর আগে আমি ২ মাস (সপ্তাহে ৪টি মিটিং) জন্য গিয়েছিলাম, সিদ্ধান্ত নিলাম এটা আমার পছন্দ হবে না। তবে এখন যেহেতু আমি বড় হয়েছি (আগে আমি খুব অপরিণত ছিলাম ২১ বছর) তাই নতুন দৃষ্টিভঙ্গি নিয়ে আবার চেষ্টা করতে চাই। এছাড়াও, আমি মরিয়া বোধ করছি কারণ আমার মনে হয় আমার অভিনয় ঠিক না হলে আমাকে চাকরিচ্যুত করা হবে। গতবার আমি সত্যিই নিশ্চিত ছিলাম না যে আমি মদ্যপ ছিলাম কিনা, কিন্তু এখন আমি নিশ্চিত। সমস্যা হল আমি মিটিংয়ে কথা বলতে পারি না কারণ আমার ভয়াবহ সামাজিক উদ্বেগ রয়েছে। আমার আত্মসম্মানও এখন এত কম। আমি দোকানের ক্যাশিয়ারের চোখের দিকেও তাকাতে পারি না। কেউ কি এই সমস্যাটি মোকাবেলা করেছে? আমি কি কেবল শুনতে যাব এবং আশা করব যে আমি এতে স্বাচ্ছন্দ্য বোধ করব? তুমি যদি কথা না বলো তাহলে কি তারা কিছু মনে করবে? আমার মনে হয় এটাও যে আমি একজন তরুণী এবং বেশিরভাগ মানুষই বয়স্ক এবং পুরুষ, তাই আমি ততটা স্বাচ্ছন্দ্য বোধ করি না। আমার আগে (অন্য শহরে) একটা মহিলা দল ছিল যেখানে আমি গিয়েছিলাম, তাই আমি এখানে একটা খুঁজে বের করার চেষ্টা করব।</v>
      </c>
    </row>
    <row r="1883" spans="1:3" ht="15" x14ac:dyDescent="0.25">
      <c r="A1883" s="3" t="s">
        <v>1876</v>
      </c>
      <c r="B1883" s="3" t="s">
        <v>997</v>
      </c>
      <c r="C1883" s="4" t="str">
        <f ca="1">IFERROR(__xludf.DUMMYFUNCTION("GOOGLETRANSLATE(A1883, ""auto"", ""bn"")"),"আমার বয়স ১৯, আর জীবনের খারাপ দিনগুলো থেকে মুক্তি পেতে আমি কয়েক মাস আগে থেকে মদ্যপান শুরু করেছি। যখনই খারাপ কিছু ঘটে (এবং আজও হয়েছে) তখন আমি মদ্যপান শুরু করি (আমি সাধারণত দুই আউন্স ট্রিপল সেকেন্ডের সাথে আরও ২ আউন্স সোডা খাই)। থ্যাঙ্কসগিভিং-এ শুরু হয়েছিল যখ"&amp;"ন আমার পরিবারের সবাই আমাকে বিরক্ত করার জন্য কিছু না কিছু মন্তব্য করতো এবং আমি যথেষ্ট খেয়েছিলাম। আমার প্রতি মাসে মেজাজ পরিবর্তন হয় এবং আমি প্রতি মাসে মাত্র দুই থেকে তিনটি পানীয় খাই। আমি খুব ভালো করে জানি যে এটি আমার বয়সী কারো জন্য কতটা ক্ষতিকর এবং আমি সত্"&amp;"যিই চাই না যে এই অভ্যাসটি বেশিদূর এগিয়ে যাক। তাছাড়া, আমি আমার বাবা-মায়ের সাথে এই বিষয়ে কথা বলতে স্বাচ্ছন্দ্য বোধ করি না, তাই আমি সাহায্যের জন্য এখানে এসেছি।")</f>
        <v>আমার বয়স ১৯, আর জীবনের খারাপ দিনগুলো থেকে মুক্তি পেতে আমি কয়েক মাস আগে থেকে মদ্যপান শুরু করেছি। যখনই খারাপ কিছু ঘটে (এবং আজও হয়েছে) তখন আমি মদ্যপান শুরু করি (আমি সাধারণত দুই আউন্স ট্রিপল সেকেন্ডের সাথে আরও ২ আউন্স সোডা খাই)। থ্যাঙ্কসগিভিং-এ শুরু হয়েছিল যখন আমার পরিবারের সবাই আমাকে বিরক্ত করার জন্য কিছু না কিছু মন্তব্য করতো এবং আমি যথেষ্ট খেয়েছিলাম। আমার প্রতি মাসে মেজাজ পরিবর্তন হয় এবং আমি প্রতি মাসে মাত্র দুই থেকে তিনটি পানীয় খাই। আমি খুব ভালো করে জানি যে এটি আমার বয়সী কারো জন্য কতটা ক্ষতিকর এবং আমি সত্যিই চাই না যে এই অভ্যাসটি বেশিদূর এগিয়ে যাক। তাছাড়া, আমি আমার বাবা-মায়ের সাথে এই বিষয়ে কথা বলতে স্বাচ্ছন্দ্য বোধ করি না, তাই আমি সাহায্যের জন্য এখানে এসেছি।</v>
      </c>
    </row>
    <row r="1884" spans="1:3" ht="15" x14ac:dyDescent="0.25">
      <c r="A1884" s="3" t="s">
        <v>1877</v>
      </c>
      <c r="B1884" s="3" t="s">
        <v>997</v>
      </c>
      <c r="C1884" s="4" t="str">
        <f ca="1">IFERROR(__xludf.DUMMYFUNCTION("GOOGLETRANSLATE(A1884, ""auto"", ""bn"")"),"সংক্ষেপে বলতে গেলে, আমি ৪-৫ বছর ধরে প্রায় প্রতি রাতেই মদ্যপান করেছি। দিনের বেলায় আমি কখনও মদ্যপানের পর্যায়ে পৌঁছাতে পারিনি, কিন্তু আমার সহনশীলতা অনেক বেড়ে গিয়েছিল এবং আমি ১০০% মদ্যপান করে নষ্ট হয়ে যেতাম। যাই হোক, আমি বছরের পর বছর ধরে থামার চেষ্টা কর"&amp;"েছিলাম কিন্তু কখনও পারিনি। ২০২০ সালের আগস্টে আমি আমার চাকরি হারিয়েছিলাম (১০০% মদ্যপানের সাথে সম্পর্কিত নয়) এবং আমি নিজেকে মারাত্মকভাবে কমাতে বাধ্য করেছিলাম কারণ আমি তা সামর্থ্য করতে পারিনি, এবং সময় এসেছিল। যখন আমি থামি তখন আমি লক্ষ্য করি যে আমার শারীরি"&amp;"কভাবে খারাপ লাগছে, আমি কখনও ভাবিনি যে আমার প্রত্যাহার হবে, কিন্তু আমি তা করেছি। চাকরি হারানোর পর ৩-৪ মাস ধরে আমি সপ্তাহে হয়তো দুবার মদ্যপান করেছি, এবং আমি অনেক কম মদ্যপানও করছিলাম। যাই হোক, ২০২১ সালের বেগ থেকে ২০২১ সালের আগস্ট পর্যন্ত আমি কম মদ্যপান করেছ"&amp;"ি, দুবার ৬ সপ্তাহ ধরে মদ্যপান করেছি এবং যখনই আমি পান করেছি আমি সত্যিই মাতাল হইনি। শুধু একটু মদ্যপান করেছি এবং আমি থামি।")</f>
        <v>সংক্ষেপে বলতে গেলে, আমি ৪-৫ বছর ধরে প্রায় প্রতি রাতেই মদ্যপান করেছি। দিনের বেলায় আমি কখনও মদ্যপানের পর্যায়ে পৌঁছাতে পারিনি, কিন্তু আমার সহনশীলতা অনেক বেড়ে গিয়েছিল এবং আমি ১০০% মদ্যপান করে নষ্ট হয়ে যেতাম। যাই হোক, আমি বছরের পর বছর ধরে থামার চেষ্টা করেছিলাম কিন্তু কখনও পারিনি। ২০২০ সালের আগস্টে আমি আমার চাকরি হারিয়েছিলাম (১০০% মদ্যপানের সাথে সম্পর্কিত নয়) এবং আমি নিজেকে মারাত্মকভাবে কমাতে বাধ্য করেছিলাম কারণ আমি তা সামর্থ্য করতে পারিনি, এবং সময় এসেছিল। যখন আমি থামি তখন আমি লক্ষ্য করি যে আমার শারীরিকভাবে খারাপ লাগছে, আমি কখনও ভাবিনি যে আমার প্রত্যাহার হবে, কিন্তু আমি তা করেছি। চাকরি হারানোর পর ৩-৪ মাস ধরে আমি সপ্তাহে হয়তো দুবার মদ্যপান করেছি, এবং আমি অনেক কম মদ্যপানও করছিলাম। যাই হোক, ২০২১ সালের বেগ থেকে ২০২১ সালের আগস্ট পর্যন্ত আমি কম মদ্যপান করেছি, দুবার ৬ সপ্তাহ ধরে মদ্যপান করেছি এবং যখনই আমি পান করেছি আমি সত্যিই মাতাল হইনি। শুধু একটু মদ্যপান করেছি এবং আমি থামি।</v>
      </c>
    </row>
    <row r="1885" spans="1:3" ht="15" x14ac:dyDescent="0.25">
      <c r="A1885" s="3" t="s">
        <v>1878</v>
      </c>
      <c r="B1885" s="3" t="s">
        <v>997</v>
      </c>
      <c r="C1885" s="4" t="str">
        <f ca="1">IFERROR(__xludf.DUMMYFUNCTION("GOOGLETRANSLATE(A1885, ""auto"", ""bn"")"),"এক বছর আগে আমার বন্ধুদের সাথে আমার অ্যাপার্টমেন্ট থেকে বের করে দেওয়ার পর থেকে আমি মদ্যপান বন্ধ করে দিয়েছিলাম। তারা আমাকে বলেছিল যে তারা এখনও বন্ধু থাকতে চায় কিন্তু এত বেশি মদ্যপান করা মানুষের সাথে থাকতে পারে না। তারপর তারা সকলেই তাৎক্ষণিকভাবে এবং সম্পূর্"&amp;"ণরূপে যোগাযোগ বিচ্ছিন্ন করে। এটাই হল। তারপর থেকে আমার বেশ কয়েকবার মদ্যপানের পুনরাবৃত্তি হয়েছে কারণ আমি খুব একা। আমার একজন সেরা বন্ধু আছে যে এখন তার নিজের বিষ্ঠা নিয়ে কাজ করছে, এবং আমি তাকে আর বোঝাতে পারি না। তাছাড়া, আমার একটি ডিএন্ডডি গ্রুপ আছে, কিন্তু"&amp;" এটা সম্পূর্ণ ভিন্ন লড়াই কারণ আমি যখন শান্ত থাকি তখন সেশনগুলিতে বিরক্তিকর বোধ করি। তাছাড়া, আমার পরিবার আছে কিন্তু সীমিত যোগাযোগ আছে। তাছাড়া, আমি চাই না কেউ মদ্যপান না করার বিষয়ে কথা বলুক। তাছাড়া, আমি কেবল মানুষের সাথে সময় কাটাতে চাই, তাই আমি একা নই এবং"&amp;" ক্রমাগত হার মানানোর সাথে লড়াই করছি।")</f>
        <v>এক বছর আগে আমার বন্ধুদের সাথে আমার অ্যাপার্টমেন্ট থেকে বের করে দেওয়ার পর থেকে আমি মদ্যপান বন্ধ করে দিয়েছিলাম। তারা আমাকে বলেছিল যে তারা এখনও বন্ধু থাকতে চায় কিন্তু এত বেশি মদ্যপান করা মানুষের সাথে থাকতে পারে না। তারপর তারা সকলেই তাৎক্ষণিকভাবে এবং সম্পূর্ণরূপে যোগাযোগ বিচ্ছিন্ন করে। এটাই হল। তারপর থেকে আমার বেশ কয়েকবার মদ্যপানের পুনরাবৃত্তি হয়েছে কারণ আমি খুব একা। আমার একজন সেরা বন্ধু আছে যে এখন তার নিজের বিষ্ঠা নিয়ে কাজ করছে, এবং আমি তাকে আর বোঝাতে পারি না। তাছাড়া, আমার একটি ডিএন্ডডি গ্রুপ আছে, কিন্তু এটা সম্পূর্ণ ভিন্ন লড়াই কারণ আমি যখন শান্ত থাকি তখন সেশনগুলিতে বিরক্তিকর বোধ করি। তাছাড়া, আমার পরিবার আছে কিন্তু সীমিত যোগাযোগ আছে। তাছাড়া, আমি চাই না কেউ মদ্যপান না করার বিষয়ে কথা বলুক। তাছাড়া, আমি কেবল মানুষের সাথে সময় কাটাতে চাই, তাই আমি একা নই এবং ক্রমাগত হার মানানোর সাথে লড়াই করছি।</v>
      </c>
    </row>
    <row r="1886" spans="1:3" ht="15" x14ac:dyDescent="0.25">
      <c r="A1886" s="3" t="s">
        <v>1879</v>
      </c>
      <c r="B1886" s="3" t="s">
        <v>997</v>
      </c>
      <c r="C1886" s="4" t="str">
        <f ca="1">IFERROR(__xludf.DUMMYFUNCTION("GOOGLETRANSLATE(A1886, ""auto"", ""bn"")"),"কয়েক মাস আগে, আমি আমার মদ্যপ প্রতিবেশীর সম্পর্কে পোস্ট করেছিলাম যে জোরে জোরে কান্নাকাটি করত এবং মারধর করত। আমি তাকে দেয়ালের ওপার থেকে শুনতে পেতাম। মাঝে মাঝে, আমি মাতাল হয়ে আমার ঘরেও চিৎকার করতাম। যাই হোক, আমি ৪ মাস আগে শান্ত হয়েছিলাম। শেষবার যখন তার স"&amp;"াথে দরজায় দেখা হয়েছিল, তখন আমরা ছোটখাটো কথা বলেছিলাম, কিন্তু সে স্পষ্টতই বাইরে ছিল এবং ভদকার গন্ধ পাচ্ছিল। আমি তাকে দোকানে হেঁটে যেতেও দেখেছি, কেবল একটি কম্বল এবং প্যান্ট পরে ছিল যা পড়ে যাচ্ছিল, এবং তাপমাত্রা হিমাঙ্কের নিচে ছিল। এক সপ্তাহেরও বেশি সময় "&amp;"ধরে আমি ঘর থেকে কোনও স্বাভাবিক শব্দ শুনতে পাইনি। তাছাড়া, আমি অনুমান করেছিলাম যে সে হয় তালাবদ্ধ ছিল (আশা করি কোনও যত্ন কেন্দ্রে) অথবা গা ঢাকা দিয়ে রাখা হয়েছিল, এবং আজ, পুলিশ পরিবারের কিছু সদস্যকে নিয়ে এসেছিল।")</f>
        <v>কয়েক মাস আগে, আমি আমার মদ্যপ প্রতিবেশীর সম্পর্কে পোস্ট করেছিলাম যে জোরে জোরে কান্নাকাটি করত এবং মারধর করত। আমি তাকে দেয়ালের ওপার থেকে শুনতে পেতাম। মাঝে মাঝে, আমি মাতাল হয়ে আমার ঘরেও চিৎকার করতাম। যাই হোক, আমি ৪ মাস আগে শান্ত হয়েছিলাম। শেষবার যখন তার সাথে দরজায় দেখা হয়েছিল, তখন আমরা ছোটখাটো কথা বলেছিলাম, কিন্তু সে স্পষ্টতই বাইরে ছিল এবং ভদকার গন্ধ পাচ্ছিল। আমি তাকে দোকানে হেঁটে যেতেও দেখেছি, কেবল একটি কম্বল এবং প্যান্ট পরে ছিল যা পড়ে যাচ্ছিল, এবং তাপমাত্রা হিমাঙ্কের নিচে ছিল। এক সপ্তাহেরও বেশি সময় ধরে আমি ঘর থেকে কোনও স্বাভাবিক শব্দ শুনতে পাইনি। তাছাড়া, আমি অনুমান করেছিলাম যে সে হয় তালাবদ্ধ ছিল (আশা করি কোনও যত্ন কেন্দ্রে) অথবা গা ঢাকা দিয়ে রাখা হয়েছিল, এবং আজ, পুলিশ পরিবারের কিছু সদস্যকে নিয়ে এসেছিল।</v>
      </c>
    </row>
    <row r="1887" spans="1:3" ht="15" x14ac:dyDescent="0.25">
      <c r="A1887" s="3" t="s">
        <v>1880</v>
      </c>
      <c r="B1887" s="3" t="s">
        <v>997</v>
      </c>
      <c r="C1887" s="4" t="str">
        <f ca="1">IFERROR(__xludf.DUMMYFUNCTION("GOOGLETRANSLATE(A1887, ""auto"", ""bn"")"),"আমি একজন মদ্যপ, এবং আমি এখন ২২ দিন ধরে মাদকাসক্ত। আমার দেশে বিশ্ববিদ্যালয় এবং মদ্যপান একসাথে চলে। আর আমি এতে বিরক্ত। বিষয়ভিত্তিক সংগঠনগুলি আয়োজিত বেশিরভাগ অনুষ্ঠানই মদ্যপানকে কেন্দ্র করে। এমন কিছু অনুষ্ঠান আছে যেখানে আমরা আমাদের গানের বই থেকে কেবল মদ্য"&amp;"পানের গান গাই এবং শট করি। বেশিরভাগ অনুষ্ঠান সপ্তাহের দিনগুলিতে হয়। মাতাল হওয়ার বিষয়ে একটি ""মজার"" নাম নিয়ে একটি ইভেন্ট আসছে। এটি আমার দেশে খুবই স্বাভাবিক। আমি আগেও মাদকাসক্ত ছিলাম কিন্তু বিশ্ববিদ্যালয়ে থাকাকালীন নয়। সংযততা সত্যিই আমার চোখ খুলে দিয়"&amp;"েছে যে সর্বত্র মদ্যপান কতটা স্বাভাবিক এবং আকর্ষণীয়।")</f>
        <v>আমি একজন মদ্যপ, এবং আমি এখন ২২ দিন ধরে মাদকাসক্ত। আমার দেশে বিশ্ববিদ্যালয় এবং মদ্যপান একসাথে চলে। আর আমি এতে বিরক্ত। বিষয়ভিত্তিক সংগঠনগুলি আয়োজিত বেশিরভাগ অনুষ্ঠানই মদ্যপানকে কেন্দ্র করে। এমন কিছু অনুষ্ঠান আছে যেখানে আমরা আমাদের গানের বই থেকে কেবল মদ্যপানের গান গাই এবং শট করি। বেশিরভাগ অনুষ্ঠান সপ্তাহের দিনগুলিতে হয়। মাতাল হওয়ার বিষয়ে একটি "মজার" নাম নিয়ে একটি ইভেন্ট আসছে। এটি আমার দেশে খুবই স্বাভাবিক। আমি আগেও মাদকাসক্ত ছিলাম কিন্তু বিশ্ববিদ্যালয়ে থাকাকালীন নয়। সংযততা সত্যিই আমার চোখ খুলে দিয়েছে যে সর্বত্র মদ্যপান কতটা স্বাভাবিক এবং আকর্ষণীয়।</v>
      </c>
    </row>
    <row r="1888" spans="1:3" ht="15" x14ac:dyDescent="0.25">
      <c r="A1888" s="3" t="s">
        <v>1881</v>
      </c>
      <c r="B1888" s="3" t="s">
        <v>997</v>
      </c>
      <c r="C1888" s="4" t="str">
        <f ca="1">IFERROR(__xludf.DUMMYFUNCTION("GOOGLETRANSLATE(A1888, ""auto"", ""bn"")"),"আমার আবারও মদ্যপান শুরু হয়েছে, আর আমি যখন বিং-বিঞ্জ করি তখন সাধারণত ৪-৬ বার বিয়ার খাই। গত রাতে আমি লক্ষ্য করলাম আমার আগের মতো কোনও প্রভাব পড়ছে না, তাই আমি ৮ বার বিয়ার পান করা বন্ধ করে দিয়েছি। ভেবেছিলাম সকালে আফসোস করবো কিন্তু দেখা গেল আমি ঠিকঠাক ঘুম থে"&amp;"কে উঠেছি এবং আসলে ভালোভাবে বিশ্রাম নিয়েছি। আমি বুঝতে পারছি কিভাবে একজন মানুষ প্রতিদিন মদ্যপান করে মদ্যপ হতে পারে। এটা কি খারাপ লক্ষণ যে আমার শরীর মদ্যপানে অভ্যস্ত হতে শুরু করেছে?")</f>
        <v>আমার আবারও মদ্যপান শুরু হয়েছে, আর আমি যখন বিং-বিঞ্জ করি তখন সাধারণত ৪-৬ বার বিয়ার খাই। গত রাতে আমি লক্ষ্য করলাম আমার আগের মতো কোনও প্রভাব পড়ছে না, তাই আমি ৮ বার বিয়ার পান করা বন্ধ করে দিয়েছি। ভেবেছিলাম সকালে আফসোস করবো কিন্তু দেখা গেল আমি ঠিকঠাক ঘুম থেকে উঠেছি এবং আসলে ভালোভাবে বিশ্রাম নিয়েছি। আমি বুঝতে পারছি কিভাবে একজন মানুষ প্রতিদিন মদ্যপান করে মদ্যপ হতে পারে। এটা কি খারাপ লক্ষণ যে আমার শরীর মদ্যপানে অভ্যস্ত হতে শুরু করেছে?</v>
      </c>
    </row>
    <row r="1889" spans="1:3" ht="15" x14ac:dyDescent="0.25">
      <c r="A1889" s="3" t="s">
        <v>1882</v>
      </c>
      <c r="B1889" s="3" t="s">
        <v>997</v>
      </c>
      <c r="C1889" s="4" t="str">
        <f ca="1">IFERROR(__xludf.DUMMYFUNCTION("GOOGLETRANSLATE(A1889, ""auto"", ""bn"")"),"আমি কিছু রেডিটর বন্ধুর সাহায্য নিতে পারি। সংক্ষেপে বলতে গেলে, গত রাতে আমি বাইরে গিয়েছিলাম, আমি কিছুদিন ধরে মডারেশন করছিলাম এবং সবকিছু ঠিকঠাকই হয়েছে। আমার অনেকবারই এমন ঘটনা ঘটেছে এবং এরপর আমি জানি যে আমার বন্ধু আমাকে ক্যাবে করে বাড়ি নিয়ে আসার (যা ঘটেছি"&amp;"ল) এবং তারপর আমার বাবা-মা রেগে যাওয়ার ফ্ল্যাশব্যাক পাচ্ছি - আরও দুটি ফ্ল্যাশব্যাকের পরে আমার বাবা-মা অ্যাম্বুলেন্স ডেকেছেন (আমার পেট ফুলানোর কথা বলছেন), তারপর আমি ঘুম থেকে উঠে টয়লেটে যাই এবং টয়লেটের সিটের অর্ধেক আমার ঘরে থাকায় আমি ভেঙে ফেলি, আমার মনে "&amp;"হয় আমার অন্তর্বাস বাথটাবে থাকায় আমি নিজেই প্রস্রাব করেছি। আমি রাজকীয়ভাবে খারাপ ব্যবহার করেছি এবং আমি এই অনুভূতিটি ঘৃণা করি - যদি এটি মদ্যপান থেকে বিরত থাকার মতো কিছু হয় তবে দয়া করে তা গ্রহণ করুন। তাছাড়া, আমার জানা দরকার যে আমার চারপাশের লোকদের সাথে "&amp;"কীভাবে সংশোধন করা শুরু করতে হয়। যদি কারও কাছে কোনও পরামর্শ থাকে তবে তা অত্যন্ত প্রশংসা করা হবে।")</f>
        <v>আমি কিছু রেডিটর বন্ধুর সাহায্য নিতে পারি। সংক্ষেপে বলতে গেলে, গত রাতে আমি বাইরে গিয়েছিলাম, আমি কিছুদিন ধরে মডারেশন করছিলাম এবং সবকিছু ঠিকঠাকই হয়েছে। আমার অনেকবারই এমন ঘটনা ঘটেছে এবং এরপর আমি জানি যে আমার বন্ধু আমাকে ক্যাবে করে বাড়ি নিয়ে আসার (যা ঘটেছিল) এবং তারপর আমার বাবা-মা রেগে যাওয়ার ফ্ল্যাশব্যাক পাচ্ছি - আরও দুটি ফ্ল্যাশব্যাকের পরে আমার বাবা-মা অ্যাম্বুলেন্স ডেকেছেন (আমার পেট ফুলানোর কথা বলছেন), তারপর আমি ঘুম থেকে উঠে টয়লেটে যাই এবং টয়লেটের সিটের অর্ধেক আমার ঘরে থাকায় আমি ভেঙে ফেলি, আমার মনে হয় আমার অন্তর্বাস বাথটাবে থাকায় আমি নিজেই প্রস্রাব করেছি। আমি রাজকীয়ভাবে খারাপ ব্যবহার করেছি এবং আমি এই অনুভূতিটি ঘৃণা করি - যদি এটি মদ্যপান থেকে বিরত থাকার মতো কিছু হয় তবে দয়া করে তা গ্রহণ করুন। তাছাড়া, আমার জানা দরকার যে আমার চারপাশের লোকদের সাথে কীভাবে সংশোধন করা শুরু করতে হয়। যদি কারও কাছে কোনও পরামর্শ থাকে তবে তা অত্যন্ত প্রশংসা করা হবে।</v>
      </c>
    </row>
    <row r="1890" spans="1:3" ht="15" x14ac:dyDescent="0.25">
      <c r="A1890" s="3" t="s">
        <v>1883</v>
      </c>
      <c r="B1890" s="3" t="s">
        <v>997</v>
      </c>
      <c r="C1890" s="4" t="str">
        <f ca="1">IFERROR(__xludf.DUMMYFUNCTION("GOOGLETRANSLATE(A1890, ""auto"", ""bn"")"),"কেউ কি জানেন কিভাবে এগুলো মোকাবেলা করতে হয়? ঘুমানোর সময় হেডফোনে আরামদায়ক গান শোনার চেষ্টা করেছি, সেগুলো উপেক্ষা করেছি, কিছু অডিওবুক শুনেছি। এগুলো অত্যন্ত তীব্র এবং অস্থির করে তোলে। আমার প্রত্যাহার ছাড়া আর কখনও দুঃস্বপ্ন দেখিনি এবং এটা একেবারেই ভয়াবহ, এবং"&amp;" আমি সত্যিই ঘুমের জন্য অপেক্ষা করতে চাই, কিন্তু এভাবে, আমি ঘুমাতে যেতে ভয় পাই।")</f>
        <v>কেউ কি জানেন কিভাবে এগুলো মোকাবেলা করতে হয়? ঘুমানোর সময় হেডফোনে আরামদায়ক গান শোনার চেষ্টা করেছি, সেগুলো উপেক্ষা করেছি, কিছু অডিওবুক শুনেছি। এগুলো অত্যন্ত তীব্র এবং অস্থির করে তোলে। আমার প্রত্যাহার ছাড়া আর কখনও দুঃস্বপ্ন দেখিনি এবং এটা একেবারেই ভয়াবহ, এবং আমি সত্যিই ঘুমের জন্য অপেক্ষা করতে চাই, কিন্তু এভাবে, আমি ঘুমাতে যেতে ভয় পাই।</v>
      </c>
    </row>
    <row r="1891" spans="1:3" ht="15" x14ac:dyDescent="0.25">
      <c r="A1891" s="3" t="s">
        <v>1884</v>
      </c>
      <c r="B1891" s="3" t="s">
        <v>997</v>
      </c>
      <c r="C1891" s="4" t="str">
        <f ca="1">IFERROR(__xludf.DUMMYFUNCTION("GOOGLETRANSLATE(A1891, ""auto"", ""bn"")"),"২৪, স্নাতকোত্তর স্তরের ছাত্র, মার্কিন যুক্তরাষ্ট্র। কলেজের মাঝামাঝি/শেষের দিকে মদ্যপানের (বা অন্য কিছুর) কোনও সমস্যা হয়নি। ২০১৮ সালে কলেজের বন্ধুদের মাধ্যমে সপ্তাহান্তে অতিরিক্ত মদ্যপানের সাথে পরিচিত হয়েছিলাম। ২০১৯ সাল থেকে শুরু করে আমি সন্ধ্যায় ভালো ব"&amp;"োধ করার জন্য এবং শান্ত থাকার জন্য একা মদ্যপান করতাম। এটি ২০২১ সালের শেষের দিকে পর্যন্ত অব্যাহত ছিল যখন একজন ডাক্তার আমাকে বলেছিলেন যে আমার ট্রাইগ্লিসারাইড, কোলেস্টেরল, রক্তে শর্করা এবং রক্তচাপ খুব বেশি। আমি ফ্রিকোয়েন্সি এবং পরিমাণ কমিয়ে দিয়েছি। আমি মাছ"&amp;" এবং শাকসবজির জন্য একটি এয়ার ফ্রায়ার কিনেছি এবং ভিটামিন ডি এবং ইপিএ ফিশ অয়েলের মতো ডাক্তারের প্রেসক্রিপশন স্ট্রেন্থ সাপ্লিমেন্ট গ্রহণ শুরু করেছি। তাছাড়া, আমি ওজন কমাতে এবং ভালো ঘুমাতে শুরু করেছি। গত ৫ সপ্তাহে আমি সম্পূর্ণরূপে বিরত আছি এবং চিৎকার, নখর ত"&amp;"োলার আকাঙ্ক্ষা চলে গেছে। কিন্তু এমন কিছু ঘটছে যা আমাকে এক ধরণের অস্তিত্বগত ভয় এবং উদ্বেগ অনুভব করাচ্ছে যা আমি আগে কখনও অনুভব করিনি।")</f>
        <v>২৪, স্নাতকোত্তর স্তরের ছাত্র, মার্কিন যুক্তরাষ্ট্র। কলেজের মাঝামাঝি/শেষের দিকে মদ্যপানের (বা অন্য কিছুর) কোনও সমস্যা হয়নি। ২০১৮ সালে কলেজের বন্ধুদের মাধ্যমে সপ্তাহান্তে অতিরিক্ত মদ্যপানের সাথে পরিচিত হয়েছিলাম। ২০১৯ সাল থেকে শুরু করে আমি সন্ধ্যায় ভালো বোধ করার জন্য এবং শান্ত থাকার জন্য একা মদ্যপান করতাম। এটি ২০২১ সালের শেষের দিকে পর্যন্ত অব্যাহত ছিল যখন একজন ডাক্তার আমাকে বলেছিলেন যে আমার ট্রাইগ্লিসারাইড, কোলেস্টেরল, রক্তে শর্করা এবং রক্তচাপ খুব বেশি। আমি ফ্রিকোয়েন্সি এবং পরিমাণ কমিয়ে দিয়েছি। আমি মাছ এবং শাকসবজির জন্য একটি এয়ার ফ্রায়ার কিনেছি এবং ভিটামিন ডি এবং ইপিএ ফিশ অয়েলের মতো ডাক্তারের প্রেসক্রিপশন স্ট্রেন্থ সাপ্লিমেন্ট গ্রহণ শুরু করেছি। তাছাড়া, আমি ওজন কমাতে এবং ভালো ঘুমাতে শুরু করেছি। গত ৫ সপ্তাহে আমি সম্পূর্ণরূপে বিরত আছি এবং চিৎকার, নখর তোলার আকাঙ্ক্ষা চলে গেছে। কিন্তু এমন কিছু ঘটছে যা আমাকে এক ধরণের অস্তিত্বগত ভয় এবং উদ্বেগ অনুভব করাচ্ছে যা আমি আগে কখনও অনুভব করিনি।</v>
      </c>
    </row>
    <row r="1892" spans="1:3" ht="15" x14ac:dyDescent="0.25">
      <c r="A1892" s="3" t="s">
        <v>1885</v>
      </c>
      <c r="B1892" s="3" t="s">
        <v>997</v>
      </c>
      <c r="C1892" s="4" t="str">
        <f ca="1">IFERROR(__xludf.DUMMYFUNCTION("GOOGLETRANSLATE(A1892, ""auto"", ""bn"")"),"যদি তুমি এটার দিকে মনোযোগ দাও, এটা সর্বত্রই আছে, এবং প্রায় সবসময়ই গ্ল্যামারাইজড। যদিও এটা প্রায়ই খুব সূক্ষ্ম। আমি এখন ইয়েলোস্টোন সিরিজটি দেখছি, এবং সেই শোতে প্রচুর পরিমাণে অ্যালকোহল আছে। আমি বুঝতে পেরেছি যে মদ কোম্পানিগুলি বিজ্ঞাপনের জন্য এই শোটি ব্যবহার "&amp;"করছে। তাছাড়া, আমি এটা তুলে ধরছি কারণ আমি মনে করি আমরা জানি যে অ্যালকোহলকে গ্ল্যামারাইজ করার ক্ষেত্রে কী করা হচ্ছে এবং তারা কী করার চেষ্টা করছে, তাহলে আমরা এটিকে আমাদের মানসিকতার গভীরে প্রবেশ করতে না দেওয়াই ভালো।")</f>
        <v>যদি তুমি এটার দিকে মনোযোগ দাও, এটা সর্বত্রই আছে, এবং প্রায় সবসময়ই গ্ল্যামারাইজড। যদিও এটা প্রায়ই খুব সূক্ষ্ম। আমি এখন ইয়েলোস্টোন সিরিজটি দেখছি, এবং সেই শোতে প্রচুর পরিমাণে অ্যালকোহল আছে। আমি বুঝতে পেরেছি যে মদ কোম্পানিগুলি বিজ্ঞাপনের জন্য এই শোটি ব্যবহার করছে। তাছাড়া, আমি এটা তুলে ধরছি কারণ আমি মনে করি আমরা জানি যে অ্যালকোহলকে গ্ল্যামারাইজ করার ক্ষেত্রে কী করা হচ্ছে এবং তারা কী করার চেষ্টা করছে, তাহলে আমরা এটিকে আমাদের মানসিকতার গভীরে প্রবেশ করতে না দেওয়াই ভালো।</v>
      </c>
    </row>
    <row r="1893" spans="1:3" ht="15" x14ac:dyDescent="0.25">
      <c r="A1893" s="3" t="s">
        <v>1886</v>
      </c>
      <c r="B1893" s="3" t="s">
        <v>997</v>
      </c>
      <c r="C1893" s="4" t="str">
        <f ca="1">IFERROR(__xludf.DUMMYFUNCTION("GOOGLETRANSLATE(A1893, ""auto"", ""bn"")"),"৩৩f এখানে। ২৮ দিন ধরে আমি সুস্থ। আজ পর্যন্ত সপ্তাহান্তে খাওয়ার তীব্র আকাঙ্ক্ষা খুব একটা খারাপ ছিল না। আমি সবসময় রবিবারকে সকাল ১০টা থেকে মুদিখানার কেনাকাটার আগে থেকে শুরু হওয়া স্তন্যপানের সাথে যুক্ত করেছি (আমি জানি, এটি সম্পূর্ণ স্বাভাবিক)। আচ্ছা, আজ সক"&amp;"ালে আমি মুদি দোকান থেকে বেরিয়ে এসেছিলাম এবং মনে হচ্ছিল আমি কাঁদব। আমার মস্তিষ্ক আমাকে বোকা বানানোর চেষ্টা করছে যে আমি রবিবারের একটি মজার গুঞ্জন মিস করছি (যার শেষ হবে একটি অন্ধকার এবং দুঃখজনক সোমবারে।) কিন্তু আমি এমন অনুভূতি না করে থাকতে পারছি না যে আমি ম"&amp;"জা মিস করছি।")</f>
        <v>৩৩f এখানে। ২৮ দিন ধরে আমি সুস্থ। আজ পর্যন্ত সপ্তাহান্তে খাওয়ার তীব্র আকাঙ্ক্ষা খুব একটা খারাপ ছিল না। আমি সবসময় রবিবারকে সকাল ১০টা থেকে মুদিখানার কেনাকাটার আগে থেকে শুরু হওয়া স্তন্যপানের সাথে যুক্ত করেছি (আমি জানি, এটি সম্পূর্ণ স্বাভাবিক)। আচ্ছা, আজ সকালে আমি মুদি দোকান থেকে বেরিয়ে এসেছিলাম এবং মনে হচ্ছিল আমি কাঁদব। আমার মস্তিষ্ক আমাকে বোকা বানানোর চেষ্টা করছে যে আমি রবিবারের একটি মজার গুঞ্জন মিস করছি (যার শেষ হবে একটি অন্ধকার এবং দুঃখজনক সোমবারে।) কিন্তু আমি এমন অনুভূতি না করে থাকতে পারছি না যে আমি মজা মিস করছি।</v>
      </c>
    </row>
    <row r="1894" spans="1:3" ht="15" x14ac:dyDescent="0.25">
      <c r="A1894" s="3" t="s">
        <v>1887</v>
      </c>
      <c r="B1894" s="3" t="s">
        <v>997</v>
      </c>
      <c r="C1894" s="4" t="str">
        <f ca="1">IFERROR(__xludf.DUMMYFUNCTION("GOOGLETRANSLATE(A1894, ""auto"", ""bn"")"),"৬৮ দিন ধরে মদ্যপান না করার পর ছুটির দিন, বন্ধুদের আড্ডা এবং খেলার রাত কাটানোর পর, আমি সিদ্ধান্ত নিলাম যে শহরের বাইরে আমার মেয়েদের হকি দলের সাথে পান করব। দলটি সত্যিই মজাদার লোকদের একটি দল এবং আমিও এতে যোগ দিতে চেয়েছিলাম। আমি রাত ১০টা ৩০ মিনিট পর্যন্ত অপে"&amp;"ক্ষা করেছিলাম যোগ দেওয়ার জন্য। তারপর মিশ্র পানীয় এবং বারে শাটল বাসের ব্যবস্থা ছিল। রাত ২৩০ টা পর্যন্ত ফিরে আসিনি। আমি এতটাই বিরক্ত যে আমার নম্বরটি পুনরায় সেট করতে হবে। এবং আমি সিদ্ধান্ত নিতে পারছি না যে সম্পূর্ণ সংযম আমার পরিকল্পনা কিনা। আমি কেবল একজন "&amp;"সামাজিক মদ্যপানকারী। আমি একা পান করি না। তাছাড়া, আমি নিশ্চিত নই যে আমি কোথায় যাচ্ছি। প্রথমেই থামার কারণ হল পরে আমার যে উদ্বেগ হয়। এটা খুবই খারাপ। আজ আমি আতঙ্কিত। আমি সম্ভবত কিছুদিনের জন্য আর পান করব না। অন্য কেউ কি শান্ত কৌতূহলী জীবনযাপন করে? মাঝে মাঝে "&amp;"পান করা? এটা কি সম্ভব? আমি সবকিছু বা কিছুই নিয়ে লড়াই করি। যখন আমি মদ্যপান করার সিদ্ধান্ত নিই, তখন আমার মনে হয় আমি ব্যর্থ, যা আমার কাছে ভালো মনে হয় না... আমার এত কঠোর নীতি। দুঃখিত, আমি এলোমেলোভাবে বলছি... ভাবছি কেউ কি পরামর্শ দিতে পারবে?")</f>
        <v>৬৮ দিন ধরে মদ্যপান না করার পর ছুটির দিন, বন্ধুদের আড্ডা এবং খেলার রাত কাটানোর পর, আমি সিদ্ধান্ত নিলাম যে শহরের বাইরে আমার মেয়েদের হকি দলের সাথে পান করব। দলটি সত্যিই মজাদার লোকদের একটি দল এবং আমিও এতে যোগ দিতে চেয়েছিলাম। আমি রাত ১০টা ৩০ মিনিট পর্যন্ত অপেক্ষা করেছিলাম যোগ দেওয়ার জন্য। তারপর মিশ্র পানীয় এবং বারে শাটল বাসের ব্যবস্থা ছিল। রাত ২৩০ টা পর্যন্ত ফিরে আসিনি। আমি এতটাই বিরক্ত যে আমার নম্বরটি পুনরায় সেট করতে হবে। এবং আমি সিদ্ধান্ত নিতে পারছি না যে সম্পূর্ণ সংযম আমার পরিকল্পনা কিনা। আমি কেবল একজন সামাজিক মদ্যপানকারী। আমি একা পান করি না। তাছাড়া, আমি নিশ্চিত নই যে আমি কোথায় যাচ্ছি। প্রথমেই থামার কারণ হল পরে আমার যে উদ্বেগ হয়। এটা খুবই খারাপ। আজ আমি আতঙ্কিত। আমি সম্ভবত কিছুদিনের জন্য আর পান করব না। অন্য কেউ কি শান্ত কৌতূহলী জীবনযাপন করে? মাঝে মাঝে পান করা? এটা কি সম্ভব? আমি সবকিছু বা কিছুই নিয়ে লড়াই করি। যখন আমি মদ্যপান করার সিদ্ধান্ত নিই, তখন আমার মনে হয় আমি ব্যর্থ, যা আমার কাছে ভালো মনে হয় না... আমার এত কঠোর নীতি। দুঃখিত, আমি এলোমেলোভাবে বলছি... ভাবছি কেউ কি পরামর্শ দিতে পারবে?</v>
      </c>
    </row>
    <row r="1895" spans="1:3" ht="15" x14ac:dyDescent="0.25">
      <c r="A1895" s="3" t="s">
        <v>1888</v>
      </c>
      <c r="B1895" s="3" t="s">
        <v>997</v>
      </c>
      <c r="C1895" s="4" t="str">
        <f ca="1">IFERROR(__xludf.DUMMYFUNCTION("GOOGLETRANSLATE(A1895, ""auto"", ""bn"")"),"আমি সত্যিই শান্ত জীবন ভালোবাসি, আমি আমার সিদ্ধান্ত নিয়ে প্রশ্ন তুলছি না, এবং আমি তীব্র আকাঙ্ক্ষা অনুভব করছি না। তবে, মাঝে মাঝে আমার মনে একটা ঢেউ আসে? কেন আমি অন্যদের মতো মদ্যপানের সাথে স্বাভাবিক সম্পর্ক রাখতে পারি না? কেন আমাকে সেই অদ্ভুত শান্ত মানুষ হতে"&amp;" হবে যার মদ্যপানের সমস্যা ছিল, এবং কেন এটি এখন আমার জীবনের একটি বড় অংশ হওয়া দরকার?? আমি কেবল চাই যে আমি রাতের খাবারের সাথে এক গ্লাস ওয়াইন হতে পারতাম? ব্যক্তি, এবং এটিকে এত বড় জিনিস না করে। তোমরা কীভাবে সেই মুহূর্তগুলিকে, বা অন্য কোনও চিন্তাভাবনাকে যুক"&amp;"্তিসঙ্গতভাবে ব্যাখ্যা করো তা শুনতে ভালো লাগবে।")</f>
        <v>আমি সত্যিই শান্ত জীবন ভালোবাসি, আমি আমার সিদ্ধান্ত নিয়ে প্রশ্ন তুলছি না, এবং আমি তীব্র আকাঙ্ক্ষা অনুভব করছি না। তবে, মাঝে মাঝে আমার মনে একটা ঢেউ আসে? কেন আমি অন্যদের মতো মদ্যপানের সাথে স্বাভাবিক সম্পর্ক রাখতে পারি না? কেন আমাকে সেই অদ্ভুত শান্ত মানুষ হতে হবে যার মদ্যপানের সমস্যা ছিল, এবং কেন এটি এখন আমার জীবনের একটি বড় অংশ হওয়া দরকার?? আমি কেবল চাই যে আমি রাতের খাবারের সাথে এক গ্লাস ওয়াইন হতে পারতাম? ব্যক্তি, এবং এটিকে এত বড় জিনিস না করে। তোমরা কীভাবে সেই মুহূর্তগুলিকে, বা অন্য কোনও চিন্তাভাবনাকে যুক্তিসঙ্গতভাবে ব্যাখ্যা করো তা শুনতে ভালো লাগবে।</v>
      </c>
    </row>
    <row r="1896" spans="1:3" ht="15" x14ac:dyDescent="0.25">
      <c r="A1896" s="3" t="s">
        <v>1889</v>
      </c>
      <c r="B1896" s="3" t="s">
        <v>997</v>
      </c>
      <c r="C1896" s="4" t="str">
        <f ca="1">IFERROR(__xludf.DUMMYFUNCTION("GOOGLETRANSLATE(A1896, ""auto"", ""bn"")"),"সপ্তাহান্তে বেশ কিছুক্ষণ ধরে মদ্যপানের নেশা এতটাই বেড়ে গেছে যে, আমি বেশ অসংলগ্ন হয়ে পড়েছি যে, আমি সিদ্ধান্ত নিয়েছি যে আমি মদ্যপান বন্ধ করে দেব, অন্তত কিছুদিনের জন্য। আমার খুব বেশি ক্ষুধা লেগেছে, তাই এখন মদ্যপানের কথা ভাবাটা ভালো লাগছে না, তবে আমি এই অ"&amp;"ভ্যাসটা ধরে রাখার চেষ্টা করব। সারা সপ্তাহ ধরে, আমার তেমন কোনও তৃষ্ণা হয় না, কিন্তু যখন সপ্তাহান্তের কথা আসে, তখন আমি বন্ধুদের সাথে বাইরে গিয়ে এমন কিছু করার চেষ্টা করি যার মধ্যে মদ্যপানের প্রবণতা বেশি থাকে। এই বছরের শুরু থেকে, প্রায় প্রতি সপ্তাহান্তেই এ"&amp;"টি আমার রুটিন হয়ে দাঁড়িয়েছে। সৌভাগ্যবশত, আমি যাদের বন্ধুদের সাথে কথা বলেছি তারা আমার সিদ্ধান্তকে সমর্থন করেছেন। তাদের মধ্যে কয়েকজন বলেছেন যে তারা লক্ষ্য করেছেন যে আমি সম্প্রতি খুব বেশি কিছু করছি। আমার কিছু অমীমাংসিত সমস্যা আছে যা সমাধান করতে হবে, এবং "&amp;"আমার মনে হয় এটিই আমাকে অতিরিক্ত মদ্যপানের দিকে ঠেলে দিচ্ছে। রাতের বেলা বাইরে কাটানোর পর, আমি তখন শারীরিকভাবে খারাপ বোধ করি, এবং আগের রাতে আমি যে বোকামি করেছিলাম বা বলেছিলাম তার জন্য উদ্বেগও বোধ করি।")</f>
        <v>সপ্তাহান্তে বেশ কিছুক্ষণ ধরে মদ্যপানের নেশা এতটাই বেড়ে গেছে যে, আমি বেশ অসংলগ্ন হয়ে পড়েছি যে, আমি সিদ্ধান্ত নিয়েছি যে আমি মদ্যপান বন্ধ করে দেব, অন্তত কিছুদিনের জন্য। আমার খুব বেশি ক্ষুধা লেগেছে, তাই এখন মদ্যপানের কথা ভাবাটা ভালো লাগছে না, তবে আমি এই অভ্যাসটা ধরে রাখার চেষ্টা করব। সারা সপ্তাহ ধরে, আমার তেমন কোনও তৃষ্ণা হয় না, কিন্তু যখন সপ্তাহান্তের কথা আসে, তখন আমি বন্ধুদের সাথে বাইরে গিয়ে এমন কিছু করার চেষ্টা করি যার মধ্যে মদ্যপানের প্রবণতা বেশি থাকে। এই বছরের শুরু থেকে, প্রায় প্রতি সপ্তাহান্তেই এটি আমার রুটিন হয়ে দাঁড়িয়েছে। সৌভাগ্যবশত, আমি যাদের বন্ধুদের সাথে কথা বলেছি তারা আমার সিদ্ধান্তকে সমর্থন করেছেন। তাদের মধ্যে কয়েকজন বলেছেন যে তারা লক্ষ্য করেছেন যে আমি সম্প্রতি খুব বেশি কিছু করছি। আমার কিছু অমীমাংসিত সমস্যা আছে যা সমাধান করতে হবে, এবং আমার মনে হয় এটিই আমাকে অতিরিক্ত মদ্যপানের দিকে ঠেলে দিচ্ছে। রাতের বেলা বাইরে কাটানোর পর, আমি তখন শারীরিকভাবে খারাপ বোধ করি, এবং আগের রাতে আমি যে বোকামি করেছিলাম বা বলেছিলাম তার জন্য উদ্বেগও বোধ করি।</v>
      </c>
    </row>
    <row r="1897" spans="1:3" ht="15" x14ac:dyDescent="0.25">
      <c r="A1897" s="3" t="s">
        <v>1890</v>
      </c>
      <c r="B1897" s="3" t="s">
        <v>997</v>
      </c>
      <c r="C1897" s="4" t="str">
        <f ca="1">IFERROR(__xludf.DUMMYFUNCTION("GOOGLETRANSLATE(A1897, ""auto"", ""bn"")"),"আজ থেকে আমি প্রথম দিন শুরু করছি। আমি ৫-৭ দিন ধরে সংযমের ধারা অনুসরণ করি, মাঝে মাঝে আরও দীর্ঘ সময় ধরে, তারপর আমি কিছু পানীয় পান করি এবং পরের দিন একেবারেই খারাপ বোধ করি। তাছাড়া, আমার মনে হয় না যে গত রাতে আমি খুব বেশি পান করেছি, তবে আমার মাথাব্যথা অন্য ক"&amp;"থা বলে। এই অভ্যাস বাদ দেওয়ার আরেকটি কারণ। আমি একজন নার্সিং ছাত্র, যার আমার A গেমে থাকা দরকার এবং আজ আমার জন্য একটি অধ্যয়নের দিন। ক্ষুধার্ত অবস্থায় পড়াশোনা করা মজাদার হবে না, তবে এর জন্যই আমাকে মূল্য দিতে হবে।")</f>
        <v>আজ থেকে আমি প্রথম দিন শুরু করছি। আমি ৫-৭ দিন ধরে সংযমের ধারা অনুসরণ করি, মাঝে মাঝে আরও দীর্ঘ সময় ধরে, তারপর আমি কিছু পানীয় পান করি এবং পরের দিন একেবারেই খারাপ বোধ করি। তাছাড়া, আমার মনে হয় না যে গত রাতে আমি খুব বেশি পান করেছি, তবে আমার মাথাব্যথা অন্য কথা বলে। এই অভ্যাস বাদ দেওয়ার আরেকটি কারণ। আমি একজন নার্সিং ছাত্র, যার আমার A গেমে থাকা দরকার এবং আজ আমার জন্য একটি অধ্যয়নের দিন। ক্ষুধার্ত অবস্থায় পড়াশোনা করা মজাদার হবে না, তবে এর জন্যই আমাকে মূল্য দিতে হবে।</v>
      </c>
    </row>
    <row r="1898" spans="1:3" ht="15" x14ac:dyDescent="0.25">
      <c r="A1898" s="3" t="s">
        <v>1891</v>
      </c>
      <c r="B1898" s="3" t="s">
        <v>997</v>
      </c>
      <c r="C1898" s="4" t="str">
        <f ca="1">IFERROR(__xludf.DUMMYFUNCTION("GOOGLETRANSLATE(A1898, ""auto"", ""bn"")"),"আমার মেয়ে আজ তার খালাদের কাছে যেতে চেয়েছিল এবং আমার বোন রাজি হয়েছে। প্রায় দুই সপ্তাহ ধরে আমি বাচ্চার সাথে বাইরে যাইনি। আমি তাকে রেখে এসেছিলাম এবং ভেবেছিলাম-আচ্ছা, এটাই হবে পান করার উপযুক্ত সুযোগ। যদি থাকে। কিন্তু আমি যাইনি! আমি বাড়ি ফিরে এসে আমার ঘর পরিষ্"&amp;"কার করেছি যাতে সপ্তাহটি সঠিক পথে শুরু করতে পারি। খুশি হলাম যে আমি এই সিদ্ধান্ত নিয়েছি!")</f>
        <v>আমার মেয়ে আজ তার খালাদের কাছে যেতে চেয়েছিল এবং আমার বোন রাজি হয়েছে। প্রায় দুই সপ্তাহ ধরে আমি বাচ্চার সাথে বাইরে যাইনি। আমি তাকে রেখে এসেছিলাম এবং ভেবেছিলাম-আচ্ছা, এটাই হবে পান করার উপযুক্ত সুযোগ। যদি থাকে। কিন্তু আমি যাইনি! আমি বাড়ি ফিরে এসে আমার ঘর পরিষ্কার করেছি যাতে সপ্তাহটি সঠিক পথে শুরু করতে পারি। খুশি হলাম যে আমি এই সিদ্ধান্ত নিয়েছি!</v>
      </c>
    </row>
    <row r="1899" spans="1:3" ht="15" x14ac:dyDescent="0.25">
      <c r="A1899" s="3" t="s">
        <v>1892</v>
      </c>
      <c r="B1899" s="3" t="s">
        <v>997</v>
      </c>
      <c r="C1899" s="4" t="str">
        <f ca="1">IFERROR(__xludf.DUMMYFUNCTION("GOOGLETRANSLATE(A1899, ""auto"", ""bn"")"),"অনেক দিন ধরেই আমার মদ্যপানের সাথে লড়াই করে আসছি। অল্প বয়সেই মদ্যপান শুরু করেছিলাম এবং তারপর থেকে আমার আবেগ নিয়ন্ত্রণের জন্য এটিকে একটি হাতিয়ার হিসেবে ব্যবহার করেছি। আমি সত্যিই বোকামি করেছি, আমি যাদের ভালোবাসি তাদের কষ্ট দিয়েছি, এবং সম্ভবত সবচেয়ে খার"&amp;"াপ বিষয় হল, আমি এটি লুকাতে শিখেছি। আমি এই ক্ষুধা এবং লজ্জিততার কথা লিখছি। অতীতে আমি সবসময় বলতাম যে আমি মদ্যপান থেকে বিরতি নিতে প্রস্তুত, কিন্তু আজ আমি আমার বাকি জীবনের জন্য এটি আমার জীবন থেকে সরিয়ে নিতে প্রস্তুত। যখন আমি হতাশ, আহত বা চাপে পড়ি তখন আমি "&amp;"স্বাস্থ্যকর উপায়ের উপর নির্ভর করতে চাই।")</f>
        <v>অনেক দিন ধরেই আমার মদ্যপানের সাথে লড়াই করে আসছি। অল্প বয়সেই মদ্যপান শুরু করেছিলাম এবং তারপর থেকে আমার আবেগ নিয়ন্ত্রণের জন্য এটিকে একটি হাতিয়ার হিসেবে ব্যবহার করেছি। আমি সত্যিই বোকামি করেছি, আমি যাদের ভালোবাসি তাদের কষ্ট দিয়েছি, এবং সম্ভবত সবচেয়ে খারাপ বিষয় হল, আমি এটি লুকাতে শিখেছি। আমি এই ক্ষুধা এবং লজ্জিততার কথা লিখছি। অতীতে আমি সবসময় বলতাম যে আমি মদ্যপান থেকে বিরতি নিতে প্রস্তুত, কিন্তু আজ আমি আমার বাকি জীবনের জন্য এটি আমার জীবন থেকে সরিয়ে নিতে প্রস্তুত। যখন আমি হতাশ, আহত বা চাপে পড়ি তখন আমি স্বাস্থ্যকর উপায়ের উপর নির্ভর করতে চাই।</v>
      </c>
    </row>
    <row r="1900" spans="1:3" ht="15" x14ac:dyDescent="0.25">
      <c r="A1900" s="3" t="s">
        <v>1893</v>
      </c>
      <c r="B1900" s="3" t="s">
        <v>997</v>
      </c>
      <c r="C1900" s="4" t="str">
        <f ca="1">IFERROR(__xludf.DUMMYFUNCTION("GOOGLETRANSLATE(A1900, ""auto"", ""bn"")"),"আমি অন্যদিন আমার স্বামীর সাথে কথা বলছিলাম যে আমি সত্যিই চাই না যে মদ আর আমার জীবনের অংশ হোক, কিন্তু আমি স্বীকার করেছি যে আমি আর কখনও মদ্যপান করব না এই কথা বলা এবং চিন্তা করা খুব বেশি কঠিন। আসলে, এটি আমাকে একটু দুঃখ দেয়। কিন্তু কেন? আমি ইতিমধ্যেই প্রতিষ্ঠ"&amp;"িত করেছি যে মদ্যপান আমার জীবনে কোনও ভালো কিছু যোগ করে না, কেবল ক্ষতি করে। আমি আমার জীবনকে এবং যখন আমি শান্ত থাকি তখন আমি কে তা ভালোবাসি। যুক্তিসঙ্গতভাবে, আমি জানি যে আমি কোনও কিছু মিস করছি না এবং আর মদ্যপান না করা ক্ষতি নয়? তবে এটি এখনও মনে হয়, অন্তত কি"&amp;"ছুটা হলেও।")</f>
        <v>আমি অন্যদিন আমার স্বামীর সাথে কথা বলছিলাম যে আমি সত্যিই চাই না যে মদ আর আমার জীবনের অংশ হোক, কিন্তু আমি স্বীকার করেছি যে আমি আর কখনও মদ্যপান করব না এই কথা বলা এবং চিন্তা করা খুব বেশি কঠিন। আসলে, এটি আমাকে একটু দুঃখ দেয়। কিন্তু কেন? আমি ইতিমধ্যেই প্রতিষ্ঠিত করেছি যে মদ্যপান আমার জীবনে কোনও ভালো কিছু যোগ করে না, কেবল ক্ষতি করে। আমি আমার জীবনকে এবং যখন আমি শান্ত থাকি তখন আমি কে তা ভালোবাসি। যুক্তিসঙ্গতভাবে, আমি জানি যে আমি কোনও কিছু মিস করছি না এবং আর মদ্যপান না করা ক্ষতি নয়? তবে এটি এখনও মনে হয়, অন্তত কিছুটা হলেও।</v>
      </c>
    </row>
    <row r="1901" spans="1:3" ht="15" x14ac:dyDescent="0.25">
      <c r="A1901" s="3" t="s">
        <v>1894</v>
      </c>
      <c r="B1901" s="3" t="s">
        <v>997</v>
      </c>
      <c r="C1901" s="4" t="str">
        <f ca="1">IFERROR(__xludf.DUMMYFUNCTION("GOOGLETRANSLATE(A1901, ""auto"", ""bn"")"),"আমি বলি, ""সত্যিই প্রতিশ্রুতিবদ্ধ?"" কারণ গত কয়েক মাস ধরে আমার অনেক ক্লান্তি এবং অনেক ব্যর্থতা ছিল। আমি এখন ৭ দিনের ধারাবাহিকতায় আছি। আমি সত্যিই আমার ইচ্ছাশক্তিকে শান্ত হওয়ার জন্য স্থির করেছি, আশা করি এবার এটি স্থায়ী হবে। যাই হোক, আমি আমার বন্ধুদের সা"&amp;"থে একটি তাপাস এবং ওয়াইন বারে দেরিতে ডিনারের জন্য বেরিয়েছিলাম এবং মোটেও মদ্যপান করিনি। আমি নিজেকে নিয়ে খুব গর্বিত এবং আজ সকালে সতেজ হয়ে ঘুম থেকে ওঠা খুব ভালো ছিল। এবং আমাদের টেবিলে অন্য সবার চেয়ে কমপক্ষে $40 কম বিল পেয়ে ভালো লাগলো। রবিবারের ক্যারিজের"&amp;" পরিবর্তে আজ আমি মজা করেছি এবং সতেজ বোধ করছি।")</f>
        <v>আমি বলি, "সত্যিই প্রতিশ্রুতিবদ্ধ?" কারণ গত কয়েক মাস ধরে আমার অনেক ক্লান্তি এবং অনেক ব্যর্থতা ছিল। আমি এখন ৭ দিনের ধারাবাহিকতায় আছি। আমি সত্যিই আমার ইচ্ছাশক্তিকে শান্ত হওয়ার জন্য স্থির করেছি, আশা করি এবার এটি স্থায়ী হবে। যাই হোক, আমি আমার বন্ধুদের সাথে একটি তাপাস এবং ওয়াইন বারে দেরিতে ডিনারের জন্য বেরিয়েছিলাম এবং মোটেও মদ্যপান করিনি। আমি নিজেকে নিয়ে খুব গর্বিত এবং আজ সকালে সতেজ হয়ে ঘুম থেকে ওঠা খুব ভালো ছিল। এবং আমাদের টেবিলে অন্য সবার চেয়ে কমপক্ষে $40 কম বিল পেয়ে ভালো লাগলো। রবিবারের ক্যারিজের পরিবর্তে আজ আমি মজা করেছি এবং সতেজ বোধ করছি।</v>
      </c>
    </row>
    <row r="1902" spans="1:3" ht="15" x14ac:dyDescent="0.25">
      <c r="A1902" s="3" t="s">
        <v>1895</v>
      </c>
      <c r="B1902" s="3" t="s">
        <v>997</v>
      </c>
      <c r="C1902" s="4" t="str">
        <f ca="1">IFERROR(__xludf.DUMMYFUNCTION("GOOGLETRANSLATE(A1902, ""auto"", ""bn"")"),"অথবা অন্তত তাই হতো। আমি খুব ভালো ছিলাম এবং নিজেকে নিয়ে খুব গর্বিত ছিলাম। তারপর আমি এক বন্ধুর সাথে মলে গিয়েছিলাম, আর সে আমার বাড়িতে পানীয় খেতে এসেছিল। আজ আমার খুব খারাপ লাগছে। ঘুম থেকে উঠে প্রচণ্ড মাথাব্যথা এবং আতঙ্ক এবং উদ্বেগের অনুভূতি হয়েছিল। এখান "&amp;"থেকে আমি যা করতে পারি তা হল আবার চেষ্টা করা। সমর্থনের জন্য সকলকে ধন্যবাদ।")</f>
        <v>অথবা অন্তত তাই হতো। আমি খুব ভালো ছিলাম এবং নিজেকে নিয়ে খুব গর্বিত ছিলাম। তারপর আমি এক বন্ধুর সাথে মলে গিয়েছিলাম, আর সে আমার বাড়িতে পানীয় খেতে এসেছিল। আজ আমার খুব খারাপ লাগছে। ঘুম থেকে উঠে প্রচণ্ড মাথাব্যথা এবং আতঙ্ক এবং উদ্বেগের অনুভূতি হয়েছিল। এখান থেকে আমি যা করতে পারি তা হল আবার চেষ্টা করা। সমর্থনের জন্য সকলকে ধন্যবাদ।</v>
      </c>
    </row>
    <row r="1903" spans="1:3" ht="15" x14ac:dyDescent="0.25">
      <c r="A1903" s="3" t="s">
        <v>1896</v>
      </c>
      <c r="B1903" s="3" t="s">
        <v>997</v>
      </c>
      <c r="C1903" s="4" t="str">
        <f ca="1">IFERROR(__xludf.DUMMYFUNCTION("GOOGLETRANSLATE(A1903, ""auto"", ""bn"")"),"কয়েকদিন আগে, গাড়ির চাকা ফেটে গেল। আমি যাদের ভালোবাসি তাদের কষ্ট দিলাম। আমার মেয়ে বললো ""আমার বাবা মাতাল?""। অনেকদিন হয়ে গেছে এরকম কিছু ঘটেনি, কিন্তু আমি জানি এটা হতে পারে না। আমি বুঝতে পারছি আমার অগ্রাধিকার কী। মদ্যপান আমার কাছ থেকে অনেক কিছু কেড়ে নিয়ে"&amp;"ছে। আমি বাঁচতে চাই। আমার এক ঘনিষ্ঠ বন্ধু আমাকে সেখানে পৌঁছে দেওয়ার প্রস্তাব দিয়েছিল এবং সৌভাগ্যক্রমে আমি হ্যাঁ বলেছিলাম। সে হয়তো আমার জীবন বাঁচিয়েছে। আমি আগামী রবিবার আবার যাব।")</f>
        <v>কয়েকদিন আগে, গাড়ির চাকা ফেটে গেল। আমি যাদের ভালোবাসি তাদের কষ্ট দিলাম। আমার মেয়ে বললো "আমার বাবা মাতাল?"। অনেকদিন হয়ে গেছে এরকম কিছু ঘটেনি, কিন্তু আমি জানি এটা হতে পারে না। আমি বুঝতে পারছি আমার অগ্রাধিকার কী। মদ্যপান আমার কাছ থেকে অনেক কিছু কেড়ে নিয়েছে। আমি বাঁচতে চাই। আমার এক ঘনিষ্ঠ বন্ধু আমাকে সেখানে পৌঁছে দেওয়ার প্রস্তাব দিয়েছিল এবং সৌভাগ্যক্রমে আমি হ্যাঁ বলেছিলাম। সে হয়তো আমার জীবন বাঁচিয়েছে। আমি আগামী রবিবার আবার যাব।</v>
      </c>
    </row>
    <row r="1904" spans="1:3" ht="15" x14ac:dyDescent="0.25">
      <c r="A1904" s="3" t="s">
        <v>1897</v>
      </c>
      <c r="B1904" s="3" t="s">
        <v>997</v>
      </c>
      <c r="C1904" s="4" t="str">
        <f ca="1">IFERROR(__xludf.DUMMYFUNCTION("GOOGLETRANSLATE(A1904, ""auto"", ""bn"")"),"""একটা অনেক বেশি আর ১০০০ যথেষ্ট নয়?"" এই কথাটা মনে আছে। হ্যাঁ। আবারও বুঝতে পারলাম। সকাল হয়ে গেছে, আর গত রাতে প্রায় তিন ঘন্টা ঘুমানোর পর আমার ঘুম ভেঙে গেছে। গত রাতে কাউকে কিছু উদ্বেগজনক ইমেল পাঠিয়েছি, আর এর ফলে কী পরিণতি হবে তা নিয়ে আমি ভীত। আর আমি আব"&amp;"ার আমার এসও এবং বন্ধুদের কাছে মিথ্যা বলছি। আমি এই আনন্দ-উল্লাস থেকে বেরিয়ে আসতে পারছি না।")</f>
        <v>"একটা অনেক বেশি আর ১০০০ যথেষ্ট নয়?" এই কথাটা মনে আছে। হ্যাঁ। আবারও বুঝতে পারলাম। সকাল হয়ে গেছে, আর গত রাতে প্রায় তিন ঘন্টা ঘুমানোর পর আমার ঘুম ভেঙে গেছে। গত রাতে কাউকে কিছু উদ্বেগজনক ইমেল পাঠিয়েছি, আর এর ফলে কী পরিণতি হবে তা নিয়ে আমি ভীত। আর আমি আবার আমার এসও এবং বন্ধুদের কাছে মিথ্যা বলছি। আমি এই আনন্দ-উল্লাস থেকে বেরিয়ে আসতে পারছি না।</v>
      </c>
    </row>
    <row r="1905" spans="1:3" ht="15" x14ac:dyDescent="0.25">
      <c r="A1905" s="3" t="s">
        <v>1898</v>
      </c>
      <c r="B1905" s="3" t="s">
        <v>997</v>
      </c>
      <c r="C1905" s="4" t="str">
        <f ca="1">IFERROR(__xludf.DUMMYFUNCTION("GOOGLETRANSLATE(A1905, ""auto"", ""bn"")"),"আমি আগামীকাল ০ দিন থেকে আবার নতুন করে শুরু করছি। নিজেকে মদ্যপান থেকে নিরুৎসাহিত করার জন্য আমি যা খুশি তাই খেতে পারি। নিজেকে সফল হতে উৎসাহিত করার জন্য আমি কিছু খাবার কিনেছি, যার মধ্যে রয়েছে একক পরিবেশন আইসক্রিম, শুকনো ফল, ডার্ক চকলেট বার এবং দই। আপনার কি "&amp;"এমন কোন পছন্দের খাবার আছে যা ক্ষুধা কমাতে সাহায্য করেছে?")</f>
        <v>আমি আগামীকাল ০ দিন থেকে আবার নতুন করে শুরু করছি। নিজেকে মদ্যপান থেকে নিরুৎসাহিত করার জন্য আমি যা খুশি তাই খেতে পারি। নিজেকে সফল হতে উৎসাহিত করার জন্য আমি কিছু খাবার কিনেছি, যার মধ্যে রয়েছে একক পরিবেশন আইসক্রিম, শুকনো ফল, ডার্ক চকলেট বার এবং দই। আপনার কি এমন কোন পছন্দের খাবার আছে যা ক্ষুধা কমাতে সাহায্য করেছে?</v>
      </c>
    </row>
    <row r="1906" spans="1:3" ht="15" x14ac:dyDescent="0.25">
      <c r="A1906" s="3" t="s">
        <v>1899</v>
      </c>
      <c r="B1906" s="3" t="s">
        <v>997</v>
      </c>
      <c r="C1906" s="4" t="str">
        <f ca="1">IFERROR(__xludf.DUMMYFUNCTION("GOOGLETRANSLATE(A1906, ""auto"", ""bn"")"),"গত রাতে আমার এক বন্ধুর ৪০তম জন্মদিনের পার্টিতে NA বিয়ারের কুলার নিয়ে গিয়েছিলাম। প্রচুর পরিমাণে মদ ছিল এবং প্রাক্তন মদ্যপানকারী সংস্থার সাথে থাকা কঠিন ছিল, কিন্তু আমি পান করিনি! যদিও আমার THC স্নিকার ডুডল ছিল, এবং গত রাতে এবং আজ সকালে যেভাবে আমার অনুভূত"&amp;"ি হয়েছিল তা নিয়ন্ত্রণহীনতার অনুভূতির মূল্য নয়। আসলে আজ সকালে আমার একটি নির্ধারিত দায়িত্ব বাতিল করতে হয়েছিল কারণ আমি খুব হালকা মাথাব্যথা এবং অলস বোধ করছিলাম। নিয়ন্ত্রণের প্রতি আকৃষ্ট হওয়া প্রায়শই আমার উদ্বেগকে আরও বাড়িয়ে তোলে, তবে এই ক্ষেত্রে, এট"&amp;"ি আমাকে সচেতন এবং কোনও খারাপ কাজের সাথে বিভ্রান্ত হওয়ার সময় বাঁচাতে পারে।")</f>
        <v>গত রাতে আমার এক বন্ধুর ৪০তম জন্মদিনের পার্টিতে NA বিয়ারের কুলার নিয়ে গিয়েছিলাম। প্রচুর পরিমাণে মদ ছিল এবং প্রাক্তন মদ্যপানকারী সংস্থার সাথে থাকা কঠিন ছিল, কিন্তু আমি পান করিনি! যদিও আমার THC স্নিকার ডুডল ছিল, এবং গত রাতে এবং আজ সকালে যেভাবে আমার অনুভূতি হয়েছিল তা নিয়ন্ত্রণহীনতার অনুভূতির মূল্য নয়। আসলে আজ সকালে আমার একটি নির্ধারিত দায়িত্ব বাতিল করতে হয়েছিল কারণ আমি খুব হালকা মাথাব্যথা এবং অলস বোধ করছিলাম। নিয়ন্ত্রণের প্রতি আকৃষ্ট হওয়া প্রায়শই আমার উদ্বেগকে আরও বাড়িয়ে তোলে, তবে এই ক্ষেত্রে, এটি আমাকে সচেতন এবং কোনও খারাপ কাজের সাথে বিভ্রান্ত হওয়ার সময় বাঁচাতে পারে।</v>
      </c>
    </row>
    <row r="1907" spans="1:3" ht="15" x14ac:dyDescent="0.25">
      <c r="A1907" s="3" t="s">
        <v>1900</v>
      </c>
      <c r="B1907" s="3" t="s">
        <v>997</v>
      </c>
      <c r="C1907" s="4" t="str">
        <f ca="1">IFERROR(__xludf.DUMMYFUNCTION("GOOGLETRANSLATE(A1907, ""auto"", ""bn"")"),"গতকাল আমি আমার (নতুন) এক্সারসাইজ বাইকে HIIT ওয়ার্কআউট করছিলাম, ফিটনেস বা অন্য কিছুর প্রতি আমার প্রতিশ্রুতির কারণে নয়, বরং HIIT রুটিন অনেক বেশি নিবিড়, এবং তাই অনেক কম সময় লাগে, তখনই ক্র্যাঙ্ক অ্যাক্সেল আলগা হয়ে এদিক-ওদিক পিছলে যেতে শুরু করে। সাধারণত এ"&amp;"ই ধরণের বিপত্তিই আমাকে পানীয়কে ন্যায্যতা দেওয়ার দিকে পরিচালিত করে, কিন্তু আমি আক্ষরিক অর্থেই আর তা করতে পারি না। আমি যদি চাইতাম, তাহলেও না, যদি তুমি আমার অর্থ বুঝতে পারো। যাই হোক, শুধু এটাই বলতে চেয়েছিলাম।")</f>
        <v>গতকাল আমি আমার (নতুন) এক্সারসাইজ বাইকে HIIT ওয়ার্কআউট করছিলাম, ফিটনেস বা অন্য কিছুর প্রতি আমার প্রতিশ্রুতির কারণে নয়, বরং HIIT রুটিন অনেক বেশি নিবিড়, এবং তাই অনেক কম সময় লাগে, তখনই ক্র্যাঙ্ক অ্যাক্সেল আলগা হয়ে এদিক-ওদিক পিছলে যেতে শুরু করে। সাধারণত এই ধরণের বিপত্তিই আমাকে পানীয়কে ন্যায্যতা দেওয়ার দিকে পরিচালিত করে, কিন্তু আমি আক্ষরিক অর্থেই আর তা করতে পারি না। আমি যদি চাইতাম, তাহলেও না, যদি তুমি আমার অর্থ বুঝতে পারো। যাই হোক, শুধু এটাই বলতে চেয়েছিলাম।</v>
      </c>
    </row>
    <row r="1908" spans="1:3" ht="15" x14ac:dyDescent="0.25">
      <c r="A1908" s="3" t="s">
        <v>1901</v>
      </c>
      <c r="B1908" s="3" t="s">
        <v>997</v>
      </c>
      <c r="C1908" s="4" t="str">
        <f ca="1">IFERROR(__xludf.DUMMYFUNCTION("GOOGLETRANSLATE(A1908, ""auto"", ""bn"")"),"আমি নিজেকে বড়াই করে বলতে চাই না, কিন্তু আমি জানতামও না যে আমি ১০০ দিন পার করেছি। আমি বলতে পারি না যে সবকিছু মসৃণভাবে হয়েছে। তাছাড়া, কর্মক্ষেত্রে এবং বাড়িতে আমার অনেক সমস্যা দেখা দিয়েছে, পারিবারিক স্বাস্থ্য সমস্যা, আপনিই বলুন। পুনরাবৃত্ত সমস্যা মদের স"&amp;"্বাদের কেকের উপর আইসিং করা হত। এটা ভাবা পাগলের মতো যে আমার প্রথম মাতাল অভিজ্ঞতা হয়েছিল ১৫ বছর বয়সে, আমি ৩০ বছর বয়সে মদ্যপান ছেড়ে দিয়েছিলাম। আমার জীবনের অর্ধেক আমি মদ্যপান করে আসছি। এটা কেবল পাগলামি। পরবর্তী ১৫ দিন অনেক স্বাস্থ্যকর হবে।")</f>
        <v>আমি নিজেকে বড়াই করে বলতে চাই না, কিন্তু আমি জানতামও না যে আমি ১০০ দিন পার করেছি। আমি বলতে পারি না যে সবকিছু মসৃণভাবে হয়েছে। তাছাড়া, কর্মক্ষেত্রে এবং বাড়িতে আমার অনেক সমস্যা দেখা দিয়েছে, পারিবারিক স্বাস্থ্য সমস্যা, আপনিই বলুন। পুনরাবৃত্ত সমস্যা মদের স্বাদের কেকের উপর আইসিং করা হত। এটা ভাবা পাগলের মতো যে আমার প্রথম মাতাল অভিজ্ঞতা হয়েছিল ১৫ বছর বয়সে, আমি ৩০ বছর বয়সে মদ্যপান ছেড়ে দিয়েছিলাম। আমার জীবনের অর্ধেক আমি মদ্যপান করে আসছি। এটা কেবল পাগলামি। পরবর্তী ১৫ দিন অনেক স্বাস্থ্যকর হবে।</v>
      </c>
    </row>
    <row r="1909" spans="1:3" ht="15" x14ac:dyDescent="0.25">
      <c r="A1909" s="3" t="s">
        <v>1902</v>
      </c>
      <c r="B1909" s="3" t="s">
        <v>997</v>
      </c>
      <c r="C1909" s="4" t="str">
        <f ca="1">IFERROR(__xludf.DUMMYFUNCTION("GOOGLETRANSLATE(A1909, ""auto"", ""bn"")"),"সবাই যখন পানি খাচ্ছিল, তখন আমি আমার পানি দিয়ে ফ্রাই অর্ডার করেছিলাম। আমি এগুলোর মজা উপভোগ করেছি এবং ক্যালোরির জন্য নিজেকে দুঃখ দিইনি - জেনেছিলাম যে আমি মদ্যপান না করে অনেক ক্যালোরি সাশ্রয় করেছি। তাছাড়া, আমি গাড়ি চালিয়ে বাড়ি ফিরেছিলাম, শান্ত ছিলাম এবং "&amp;"সন্ধ্যাটা দারুণ বিশ্রাম নিয়েছিলাম। যদি আমি মদ্যপান করতাম, তাহলে সম্ভবত ফ্রাই অর্ডার করতাম না, খালি পেটে বাড়ি যেতাম, আরও বেশি পান করতাম এবং দাঁত ব্রাশ না করে বা জিনিসপত্র না রেখেই অজ্ঞান হয়ে যেতাম। বরং, ঘরটা পরিষ্কার, আমার দাঁত ব্রাশ করা হয়েছে, এবং আমি "&amp;"আমার বই পড়তে যাচ্ছি। ফ্রাই অর্ডার কর, তোমার যা করার দরকার করো, শুধু পান করো না!")</f>
        <v>সবাই যখন পানি খাচ্ছিল, তখন আমি আমার পানি দিয়ে ফ্রাই অর্ডার করেছিলাম। আমি এগুলোর মজা উপভোগ করেছি এবং ক্যালোরির জন্য নিজেকে দুঃখ দিইনি - জেনেছিলাম যে আমি মদ্যপান না করে অনেক ক্যালোরি সাশ্রয় করেছি। তাছাড়া, আমি গাড়ি চালিয়ে বাড়ি ফিরেছিলাম, শান্ত ছিলাম এবং সন্ধ্যাটা দারুণ বিশ্রাম নিয়েছিলাম। যদি আমি মদ্যপান করতাম, তাহলে সম্ভবত ফ্রাই অর্ডার করতাম না, খালি পেটে বাড়ি যেতাম, আরও বেশি পান করতাম এবং দাঁত ব্রাশ না করে বা জিনিসপত্র না রেখেই অজ্ঞান হয়ে যেতাম। বরং, ঘরটা পরিষ্কার, আমার দাঁত ব্রাশ করা হয়েছে, এবং আমি আমার বই পড়তে যাচ্ছি। ফ্রাই অর্ডার কর, তোমার যা করার দরকার করো, শুধু পান করো না!</v>
      </c>
    </row>
    <row r="1910" spans="1:3" ht="15" x14ac:dyDescent="0.25">
      <c r="A1910" s="3" t="s">
        <v>1903</v>
      </c>
      <c r="B1910" s="3" t="s">
        <v>997</v>
      </c>
      <c r="C1910" s="4" t="str">
        <f ca="1">IFERROR(__xludf.DUMMYFUNCTION("GOOGLETRANSLATE(A1910, ""auto"", ""bn"")"),"আমি চিৎকার করে বলতে চাই... হয়তো এটা আসলে সাহায্য করবে। আমি একজন প্রাপ্তবয়স্ক মানুষ যে মহামারীর আগে আমার বাবা-মায়ের সাথে বসবাস করে এসেছিলাম এবং শেষ পর্যন্ত এখানেই থেকে গেছি। সেই সময় আমি জানতে পারি যে আমি অটিজম নিয়ে বেঁচে আছি। এটা সবকিছু বদলে দিয়েছে এবং আমি"&amp;" জানি না আমি এখন কখন বাইরে চলে যাব, অথবা আমি কি আবার সত্যিই স্বাধীন বোধ করব। যখন আমি একা থাকতাম তখন ছিল একেবারে নরক, কিন্তু অন্তত অন্য মানুষের কাছ থেকে আমার যে জায়গা দরকার ছিল তা আমার ছিল। আমার মনে হয় এখানে আমার নিজের জন্য শূন্য জায়গা আছে, যা ঠিক নয়। আমা"&amp;"র অসাধারণ বাবা-মা আছেন যারা খুব বোধগম্য - আমি তাদের জন্য খুবই কৃতজ্ঞ। এই অটিজমই অন্যদের সাথে বসবাসকে প্রায় অসহনীয় করে তোলে। যদি এমন মস্তিষ্ক না থাকে তবে এটি বর্ণনা করা সত্যিই কঠিন, এবং আমি যদি এমন না হতাম।")</f>
        <v>আমি চিৎকার করে বলতে চাই... হয়তো এটা আসলে সাহায্য করবে। আমি একজন প্রাপ্তবয়স্ক মানুষ যে মহামারীর আগে আমার বাবা-মায়ের সাথে বসবাস করে এসেছিলাম এবং শেষ পর্যন্ত এখানেই থেকে গেছি। সেই সময় আমি জানতে পারি যে আমি অটিজম নিয়ে বেঁচে আছি। এটা সবকিছু বদলে দিয়েছে এবং আমি জানি না আমি এখন কখন বাইরে চলে যাব, অথবা আমি কি আবার সত্যিই স্বাধীন বোধ করব। যখন আমি একা থাকতাম তখন ছিল একেবারে নরক, কিন্তু অন্তত অন্য মানুষের কাছ থেকে আমার যে জায়গা দরকার ছিল তা আমার ছিল। আমার মনে হয় এখানে আমার নিজের জন্য শূন্য জায়গা আছে, যা ঠিক নয়। আমার অসাধারণ বাবা-মা আছেন যারা খুব বোধগম্য - আমি তাদের জন্য খুবই কৃতজ্ঞ। এই অটিজমই অন্যদের সাথে বসবাসকে প্রায় অসহনীয় করে তোলে। যদি এমন মস্তিষ্ক না থাকে তবে এটি বর্ণনা করা সত্যিই কঠিন, এবং আমি যদি এমন না হতাম।</v>
      </c>
    </row>
    <row r="1911" spans="1:3" ht="15" x14ac:dyDescent="0.25">
      <c r="A1911" s="3" t="s">
        <v>1904</v>
      </c>
      <c r="B1911" s="3" t="s">
        <v>997</v>
      </c>
      <c r="C1911" s="4" t="str">
        <f ca="1">IFERROR(__xludf.DUMMYFUNCTION("GOOGLETRANSLATE(A1911, ""auto"", ""bn"")"),"আমি ১৪ মাস ধরে মদ্যপান করিনি এবং গত রাতে আমি আমার শ্যালিকাদের সাথে বাইরে গিয়েছিলাম এবং তারা দুজনেই একটি মার্গারিটা খেয়েছিল। আমি তাদের দুজনকেই অনেক দিন ধরে দেখিনি এবং তারা দুজনেই একসাথে কাজ করে এবং ভালো চাকরি করে। আমি একজন বিবাহিত, বাড়িতে থাকা মা, যার উ"&amp;"দ্বেগ থাকে। তাছাড়া, আমার খোলামেলাভাবে কথা বলতে এবং সামাজিকীকরণ করতে সমস্যা হয়। পুরো রাতটি আমার জন্য অস্বস্তিকর ছিল। আমরা কিছু গভীর কথোপকথনে জড়িয়ে পড়ি এবং আমি তাদের আমার ভয়াবহ লালন-পালনের কথা বলি। কেন? আমি সম্ভবত কারণ আমি তাদের বুঝতে সাহায্য করার চেষ"&amp;"্টা করছিলাম যে আমি কেন অস্থির, বিশ্রী, উদ্বেগে ভুগছি। আমি আগে অ্যালকোহলকে দোষারোপ করতাম কেন আমি বোকা বাজে কথা বলি কিন্তু আমি পানও করিনি। আমি তাদের সাথে খুব ঘনিষ্ঠ নই এবং আমার মনে হয় আমার এত খোলামেলা কথা বলা উচিত ছিল না। তদুপরি, আমার উদ্বেগের জন্য আমাকে ও"&amp;"ষুধ খেতে হবে, কিন্তু প্রতিটি বড়ি আপনার ওজন বাড়িয়ে দেয়। তদুপরি, আজ আমি সত্যি বলতে উদ্বেগ অনুভব করছি কিন্তু আমি পানও করিনি। এই সব কি আমার মাথায়? আমি কি অতিরিক্ত প্রতিক্রিয়া দেখাচ্ছি? আমি শুধু আমার পঙ্গু উদ্বেগ থেকে মুক্তি পেতে চাই। কেন আমি স্বাভাবিক হ"&amp;"তে পারি না??")</f>
        <v>আমি ১৪ মাস ধরে মদ্যপান করিনি এবং গত রাতে আমি আমার শ্যালিকাদের সাথে বাইরে গিয়েছিলাম এবং তারা দুজনেই একটি মার্গারিটা খেয়েছিল। আমি তাদের দুজনকেই অনেক দিন ধরে দেখিনি এবং তারা দুজনেই একসাথে কাজ করে এবং ভালো চাকরি করে। আমি একজন বিবাহিত, বাড়িতে থাকা মা, যার উদ্বেগ থাকে। তাছাড়া, আমার খোলামেলাভাবে কথা বলতে এবং সামাজিকীকরণ করতে সমস্যা হয়। পুরো রাতটি আমার জন্য অস্বস্তিকর ছিল। আমরা কিছু গভীর কথোপকথনে জড়িয়ে পড়ি এবং আমি তাদের আমার ভয়াবহ লালন-পালনের কথা বলি। কেন? আমি সম্ভবত কারণ আমি তাদের বুঝতে সাহায্য করার চেষ্টা করছিলাম যে আমি কেন অস্থির, বিশ্রী, উদ্বেগে ভুগছি। আমি আগে অ্যালকোহলকে দোষারোপ করতাম কেন আমি বোকা বাজে কথা বলি কিন্তু আমি পানও করিনি। আমি তাদের সাথে খুব ঘনিষ্ঠ নই এবং আমার মনে হয় আমার এত খোলামেলা কথা বলা উচিত ছিল না। তদুপরি, আমার উদ্বেগের জন্য আমাকে ওষুধ খেতে হবে, কিন্তু প্রতিটি বড়ি আপনার ওজন বাড়িয়ে দেয়। তদুপরি, আজ আমি সত্যি বলতে উদ্বেগ অনুভব করছি কিন্তু আমি পানও করিনি। এই সব কি আমার মাথায়? আমি কি অতিরিক্ত প্রতিক্রিয়া দেখাচ্ছি? আমি শুধু আমার পঙ্গু উদ্বেগ থেকে মুক্তি পেতে চাই। কেন আমি স্বাভাবিক হতে পারি না??</v>
      </c>
    </row>
    <row r="1912" spans="1:3" ht="15" x14ac:dyDescent="0.25">
      <c r="A1912" s="3" t="s">
        <v>1905</v>
      </c>
      <c r="B1912" s="3" t="s">
        <v>997</v>
      </c>
      <c r="C1912" s="4" t="str">
        <f ca="1">IFERROR(__xludf.DUMMYFUNCTION("GOOGLETRANSLATE(A1912, ""auto"", ""bn"")"),"১৩ বছর বয়স থেকে আমি নিয়মিত মদ্যপান করে আসছি। এটা প্রতিদিন নয়, বরং সামাজিক কারণে সপ্তাহান্তে অতিরিক্ত মদ্যপান বেশি হয়। সম্প্রতি আমি এত বেশি মদ্যপান করছি যে আমার ব্যক্তিগত জিনিসপত্র হারিয়ে ফেলছি এবং বন্ধুত্ব নষ্ট করে দিয়েছি এমন কথা বলছি। আমি আসলে এভাবে বাঁচ"&amp;"তে পারি না, কেউ কি এই পরিস্থিতির মধ্য দিয়ে গেছে? আমার বয়স ২৪ এবং মাতাল অবস্থায় আমি যা বলেছি তাতে আমার বিশেষ সমস্যা আছে। এটা প্রায় এমন যে আমি কোনও কিছুতে আচ্ছন্ন হয়ে পড়ি কারণ আমি সম্পূর্ণরূপে অজ্ঞান হয়ে যাই এবং কখনও মনেও রাখি না।")</f>
        <v>১৩ বছর বয়স থেকে আমি নিয়মিত মদ্যপান করে আসছি। এটা প্রতিদিন নয়, বরং সামাজিক কারণে সপ্তাহান্তে অতিরিক্ত মদ্যপান বেশি হয়। সম্প্রতি আমি এত বেশি মদ্যপান করছি যে আমার ব্যক্তিগত জিনিসপত্র হারিয়ে ফেলছি এবং বন্ধুত্ব নষ্ট করে দিয়েছি এমন কথা বলছি। আমি আসলে এভাবে বাঁচতে পারি না, কেউ কি এই পরিস্থিতির মধ্য দিয়ে গেছে? আমার বয়স ২৪ এবং মাতাল অবস্থায় আমি যা বলেছি তাতে আমার বিশেষ সমস্যা আছে। এটা প্রায় এমন যে আমি কোনও কিছুতে আচ্ছন্ন হয়ে পড়ি কারণ আমি সম্পূর্ণরূপে অজ্ঞান হয়ে যাই এবং কখনও মনেও রাখি না।</v>
      </c>
    </row>
    <row r="1913" spans="1:3" ht="15" x14ac:dyDescent="0.25">
      <c r="A1913" s="3" t="s">
        <v>1906</v>
      </c>
      <c r="B1913" s="3" t="s">
        <v>997</v>
      </c>
      <c r="C1913" s="4" t="str">
        <f ca="1">IFERROR(__xludf.DUMMYFUNCTION("GOOGLETRANSLATE(A1913, ""auto"", ""bn"")"),"একটু প্রসঙ্গ টেনে বলতে গেলে, আমি বর্তমানে বিদেশে কর্মরত, আর আমার স্ত্রী আলাস্কায় ফিরে এসেছে। আমি যত কষ্ট করেছি তার পরেও সে আমাকে সহ্য করে চলেছে। আমার মনে হয় আমার মদ্যপান তার থেকে বেশি কিছু নিয়েছে। আজ পর্যন্ত আমি সত্যিকার অর্থে তার যন্ত্রণার গভীরতা বুঝতে প"&amp;"ারিনি। ২০১৮ সালের ডিসেম্বরে আমি মদ্যপান ত্যাগ করেছি এবং তারপর থেকে সেই মানুষটিকে কবর দেওয়ার দিকে মনোনিবেশ করেছি যে মদ্যপান আমাকে তৈরি করেছে। আমি এগিয়ে চলেছি, আমার কাঙ্ক্ষিত প্রতিটি ব্যক্তিগত এবং পেশাদার লক্ষ্য অর্জন করেছি। আমি যে প্রতিটি মাইলফলক অতিক্রম"&amp;" করি তা আমার মদ্যপানের স্মৃতিকে আরও পিছনের দিকে ঠেলে দেয়। প্রতিটি অর্জন আমার এবং বোতলের মধ্যে আরও একটি বাধা। আমি জীবনের প্রতি এমন একটি স্থিতিস্থাপকতা তৈরি করেছি যা অ্যালকোহলের উপর নির্ভর করে না, এবং আমি জানি যে আমি আপাতত পানীয় পান করা থেকে নিরাপদ। আমি ক"&amp;"েবল ভালো বোধ করছি, জানো? সুখী, জীবিত, যেকোনো বাধা অতিক্রম করতে প্রস্তুত। আমি ঠিক আছি।")</f>
        <v>একটু প্রসঙ্গ টেনে বলতে গেলে, আমি বর্তমানে বিদেশে কর্মরত, আর আমার স্ত্রী আলাস্কায় ফিরে এসেছে। আমি যত কষ্ট করেছি তার পরেও সে আমাকে সহ্য করে চলেছে। আমার মনে হয় আমার মদ্যপান তার থেকে বেশি কিছু নিয়েছে। আজ পর্যন্ত আমি সত্যিকার অর্থে তার যন্ত্রণার গভীরতা বুঝতে পারিনি। ২০১৮ সালের ডিসেম্বরে আমি মদ্যপান ত্যাগ করেছি এবং তারপর থেকে সেই মানুষটিকে কবর দেওয়ার দিকে মনোনিবেশ করেছি যে মদ্যপান আমাকে তৈরি করেছে। আমি এগিয়ে চলেছি, আমার কাঙ্ক্ষিত প্রতিটি ব্যক্তিগত এবং পেশাদার লক্ষ্য অর্জন করেছি। আমি যে প্রতিটি মাইলফলক অতিক্রম করি তা আমার মদ্যপানের স্মৃতিকে আরও পিছনের দিকে ঠেলে দেয়। প্রতিটি অর্জন আমার এবং বোতলের মধ্যে আরও একটি বাধা। আমি জীবনের প্রতি এমন একটি স্থিতিস্থাপকতা তৈরি করেছি যা অ্যালকোহলের উপর নির্ভর করে না, এবং আমি জানি যে আমি আপাতত পানীয় পান করা থেকে নিরাপদ। আমি কেবল ভালো বোধ করছি, জানো? সুখী, জীবিত, যেকোনো বাধা অতিক্রম করতে প্রস্তুত। আমি ঠিক আছি।</v>
      </c>
    </row>
    <row r="1914" spans="1:3" ht="15" x14ac:dyDescent="0.25">
      <c r="A1914" s="3" t="s">
        <v>1907</v>
      </c>
      <c r="B1914" s="3" t="s">
        <v>997</v>
      </c>
      <c r="C1914" s="4" t="str">
        <f ca="1">IFERROR(__xludf.DUMMYFUNCTION("GOOGLETRANSLATE(A1914, ""auto"", ""bn"")"),"২৫ দিন পার করে ফেললাম! যতক্ষণ না আমি শহরের বাইরে রোড ট্রিপে যাই এবং চাপ / ছুটির মোডের মানসিকতা দখল করে নেয়। সেই সপ্তাহান্তে আমি প্রতি রাতে মদ্যপান করতাম, এবং যদিও আমি কোনও গুরুতর সমস্যায় পড়িনি (ছোটখাটো সম্পর্কের ঝগড়া ছাড়া), আমি কেবল যা ভাবতে পারি তা "&amp;"হল যে আমি যে দিনগুলিতে মদ্যপান করিনি সেই দিনগুলিতে আমি কতটা ভালো অনুভব করেছি। সেই ছুটির পর এখন দুই সপ্তাহ হয়ে গেছে এবং তারপর থেকে আমি দুই দিনের বেশি মদ্যপান ছাড়া থাকতে পারিনি। এই চক্রটি চলতে এবং দখল করতে দিতে পারছি না, তাই আমি ফিরে এসেছি এবং পরিবর্তনের "&amp;"জন্য প্রস্তুত। তাই মূলত এই পোস্টটি আমার নিজের জবাবদিহিতার জন্য কারণ এই গ্রুপটি আমাকে অনেক সাহায্য করে! আমি এই গ্রুপে কাউকে (মনে করতে পারছি না কে) বলতে শুনেছি যে তোমার সংযমের দিনগুলিকে উচ্চ স্কোর হিসাবে ভাবো। আমি সত্যিই এটা পছন্দ করি, এবং আমি জানি এবার আমি"&amp;" এই বছরের আমার সর্বোচ্চ স্কোর সেট করার পথে আছি! প্রথম দিন এখানেই।")</f>
        <v>২৫ দিন পার করে ফেললাম! যতক্ষণ না আমি শহরের বাইরে রোড ট্রিপে যাই এবং চাপ / ছুটির মোডের মানসিকতা দখল করে নেয়। সেই সপ্তাহান্তে আমি প্রতি রাতে মদ্যপান করতাম, এবং যদিও আমি কোনও গুরুতর সমস্যায় পড়িনি (ছোটখাটো সম্পর্কের ঝগড়া ছাড়া), আমি কেবল যা ভাবতে পারি তা হল যে আমি যে দিনগুলিতে মদ্যপান করিনি সেই দিনগুলিতে আমি কতটা ভালো অনুভব করেছি। সেই ছুটির পর এখন দুই সপ্তাহ হয়ে গেছে এবং তারপর থেকে আমি দুই দিনের বেশি মদ্যপান ছাড়া থাকতে পারিনি। এই চক্রটি চলতে এবং দখল করতে দিতে পারছি না, তাই আমি ফিরে এসেছি এবং পরিবর্তনের জন্য প্রস্তুত। তাই মূলত এই পোস্টটি আমার নিজের জবাবদিহিতার জন্য কারণ এই গ্রুপটি আমাকে অনেক সাহায্য করে! আমি এই গ্রুপে কাউকে (মনে করতে পারছি না কে) বলতে শুনেছি যে তোমার সংযমের দিনগুলিকে উচ্চ স্কোর হিসাবে ভাবো। আমি সত্যিই এটা পছন্দ করি, এবং আমি জানি এবার আমি এই বছরের আমার সর্বোচ্চ স্কোর সেট করার পথে আছি! প্রথম দিন এখানেই।</v>
      </c>
    </row>
    <row r="1915" spans="1:3" ht="15" x14ac:dyDescent="0.25">
      <c r="A1915" s="3" t="s">
        <v>1908</v>
      </c>
      <c r="B1915" s="3" t="s">
        <v>997</v>
      </c>
      <c r="C1915" s="4" t="str">
        <f ca="1">IFERROR(__xludf.DUMMYFUNCTION("GOOGLETRANSLATE(A1915, ""auto"", ""bn"")"),"আমি স্বীকার করছি যে আমি ধূমপান ছেড়ে দেওয়ার পর থেকে আমার জীবন অনেক দিক থেকে উন্নত হয়েছে। মঙ্গলবার আমার এক বছরের সুস্থতা উদযাপন করলাম! তবে এখনও কঠিন মুহূর্ত রয়েছে, বিশেষ করে আজ রাতের শুরুতে। আমি নিজেকে আমার অনুভূতিগুলি অনুভব করার অনুমতি দিচ্ছি এবং সেগুল"&amp;"ি কেটে যাওয়ার জন্য অপেক্ষা করছি। এর মধ্যে ক্লোনডাইক বার খাচ্ছি।")</f>
        <v>আমি স্বীকার করছি যে আমি ধূমপান ছেড়ে দেওয়ার পর থেকে আমার জীবন অনেক দিক থেকে উন্নত হয়েছে। মঙ্গলবার আমার এক বছরের সুস্থতা উদযাপন করলাম! তবে এখনও কঠিন মুহূর্ত রয়েছে, বিশেষ করে আজ রাতের শুরুতে। আমি নিজেকে আমার অনুভূতিগুলি অনুভব করার অনুমতি দিচ্ছি এবং সেগুলি কেটে যাওয়ার জন্য অপেক্ষা করছি। এর মধ্যে ক্লোনডাইক বার খাচ্ছি।</v>
      </c>
    </row>
    <row r="1916" spans="1:3" ht="15" x14ac:dyDescent="0.25">
      <c r="A1916" s="3" t="s">
        <v>1909</v>
      </c>
      <c r="B1916" s="3" t="s">
        <v>997</v>
      </c>
      <c r="C1916" s="4" t="str">
        <f ca="1">IFERROR(__xludf.DUMMYFUNCTION("GOOGLETRANSLATE(A1916, ""auto"", ""bn"")"),"শনিবার সকালে (অবশেষে) আমি যোগব্যায়ামে যাওয়ার ব্যাপারে আমার প্রথম (এবং এই পুরো সাইট জুড়ে একমাত্র) পোস্টে সদয় কথা বলার জন্য আমি আপনাদের সকলকে ধন্যবাদ জানাতে চাই। গত দুই সপ্তাহ ধরে আমি মদ্যপান বন্ধ রাখতে পেরেছি, কিন্তু একটা ভয়াবহ, স্পষ্ট ব্যতিক্রম ঘটেছে যা "&amp;"আমাকে থামতে বাধ্য করেছে। আমি বিস্তারিত কিছু বলব না (আমি নিশ্চিত আপনারা সবাই আগে শুনেছেন) কিন্তু আমার সঙ্গীর সাথে ঝগড়া হয়েছে, যে একজন পরম মানবিক রত্ন। মাতাল অস্ত্র হাতে আমি আর এটাকে নষ্ট করতে পারব না। তাই, আবারও বলছি, আমি চেষ্টা করবো যেন একেবারেই মদ্যপান ন"&amp;"া করি।")</f>
        <v>শনিবার সকালে (অবশেষে) আমি যোগব্যায়ামে যাওয়ার ব্যাপারে আমার প্রথম (এবং এই পুরো সাইট জুড়ে একমাত্র) পোস্টে সদয় কথা বলার জন্য আমি আপনাদের সকলকে ধন্যবাদ জানাতে চাই। গত দুই সপ্তাহ ধরে আমি মদ্যপান বন্ধ রাখতে পেরেছি, কিন্তু একটা ভয়াবহ, স্পষ্ট ব্যতিক্রম ঘটেছে যা আমাকে থামতে বাধ্য করেছে। আমি বিস্তারিত কিছু বলব না (আমি নিশ্চিত আপনারা সবাই আগে শুনেছেন) কিন্তু আমার সঙ্গীর সাথে ঝগড়া হয়েছে, যে একজন পরম মানবিক রত্ন। মাতাল অস্ত্র হাতে আমি আর এটাকে নষ্ট করতে পারব না। তাই, আবারও বলছি, আমি চেষ্টা করবো যেন একেবারেই মদ্যপান না করি।</v>
      </c>
    </row>
    <row r="1917" spans="1:3" ht="15" x14ac:dyDescent="0.25">
      <c r="A1917" s="3" t="s">
        <v>1910</v>
      </c>
      <c r="B1917" s="3" t="s">
        <v>997</v>
      </c>
      <c r="C1917" s="4" t="str">
        <f ca="1">IFERROR(__xludf.DUMMYFUNCTION("GOOGLETRANSLATE(A1917, ""auto"", ""bn"")"),"কয়েকদিন আগে আমি এই থ্রেডটি স্ক্রল করছিলাম, আর একজনকে মদ্যপানের স্বপ্ন সম্পর্কে জিজ্ঞাসা করতে দেখলাম - কেন আমরা এগুলো দেখি এবং এর উদ্বেগ। আমি এক মিনিটের জন্য সেখানে বসে ছিলাম এবং বুঝতে পারলাম যে আমি কখনও এমন স্বপ্ন দেখিনি। একটা ছোট্ট ছোট্ট চিন্তা মাথায় এল"&amp;"ো, ""দেখো, এখন আমার একটা আছে?"" আচ্ছা, গত রাতে আমার একটা স্বপ্ন ছিল। যাইহোক, আমি মদ্যপান করছিলাম না। আমি হাই স্কুলে আমার কেবিনে ছিলাম এবং সেখানে কিছু বাচ্চা ছিল যারা আমার বাবা-মায়ের কেবিন থেকে মদ চুরি করেছিল। বড়রা সবাই ঘর খুঁজছিল যে তাদের বোতলটি কে কোথা"&amp;"ও লুকিয়ে রেখেছে, আর আমার বন্ধু ভয়ে আমাদের ঘরের চারপাশে তাকিয়ে ভাবছিল, কেউ হয়তো আমাদের ড্রয়ারে লুকিয়ে রেখেছে। আমি তার দিকে তাকিয়ে পাগলের মতো সবকিছু দেখছিলাম এবং আমি বললাম, ""কেউ যদি এখানে লুকিয়ে রাখে তাহলে ঠিক আছে। আমরা মদ্যপান করিনি। এটা কোন ব্যাপ"&amp;"ার না.? আমার ""বন্ধু"" বলে একটা অনুভূতি হচ্ছে? বৃদ্ধ কি আমাকে ভয় পেয়েছিল, আর আমি আমার বর্তমান সংস্করণ ছিলাম। এটা কিছুটা দারুন ছিল, এবং এটাও ঠিক তেমনই মনে হয়েছিল। তারপর একটা সম্পূর্ণ সূচনা ঘটল - এবং আমি বুঝতে পারলাম এটা একটা স্বপ্ন ছিল।")</f>
        <v>কয়েকদিন আগে আমি এই থ্রেডটি স্ক্রল করছিলাম, আর একজনকে মদ্যপানের স্বপ্ন সম্পর্কে জিজ্ঞাসা করতে দেখলাম - কেন আমরা এগুলো দেখি এবং এর উদ্বেগ। আমি এক মিনিটের জন্য সেখানে বসে ছিলাম এবং বুঝতে পারলাম যে আমি কখনও এমন স্বপ্ন দেখিনি। একটা ছোট্ট ছোট্ট চিন্তা মাথায় এলো, "দেখো, এখন আমার একটা আছে?" আচ্ছা, গত রাতে আমার একটা স্বপ্ন ছিল। যাইহোক, আমি মদ্যপান করছিলাম না। আমি হাই স্কুলে আমার কেবিনে ছিলাম এবং সেখানে কিছু বাচ্চা ছিল যারা আমার বাবা-মায়ের কেবিন থেকে মদ চুরি করেছিল। বড়রা সবাই ঘর খুঁজছিল যে তাদের বোতলটি কে কোথাও লুকিয়ে রেখেছে, আর আমার বন্ধু ভয়ে আমাদের ঘরের চারপাশে তাকিয়ে ভাবছিল, কেউ হয়তো আমাদের ড্রয়ারে লুকিয়ে রেখেছে। আমি তার দিকে তাকিয়ে পাগলের মতো সবকিছু দেখছিলাম এবং আমি বললাম, "কেউ যদি এখানে লুকিয়ে রাখে তাহলে ঠিক আছে। আমরা মদ্যপান করিনি। এটা কোন ব্যাপার না.? আমার "বন্ধু" বলে একটা অনুভূতি হচ্ছে? বৃদ্ধ কি আমাকে ভয় পেয়েছিল, আর আমি আমার বর্তমান সংস্করণ ছিলাম। এটা কিছুটা দারুন ছিল, এবং এটাও ঠিক তেমনই মনে হয়েছিল। তারপর একটা সম্পূর্ণ সূচনা ঘটল - এবং আমি বুঝতে পারলাম এটা একটা স্বপ্ন ছিল।</v>
      </c>
    </row>
    <row r="1918" spans="1:3" ht="15" x14ac:dyDescent="0.25">
      <c r="A1918" s="3" t="s">
        <v>1911</v>
      </c>
      <c r="B1918" s="3" t="s">
        <v>997</v>
      </c>
      <c r="C1918" s="4" t="str">
        <f ca="1">IFERROR(__xludf.DUMMYFUNCTION("GOOGLETRANSLATE(A1918, ""auto"", ""bn"")"),"আমি ১০ বছরের একটা খারাপ অভ্যাস, ১৮ বছরের একটা সিগারেটের অভ্যাস এবং ১০ মাস বয়সী একটা দৈনিক গাঁজার অভ্যাস, সব একসাথে ৫০ দিন ধরে ছেড়ে দিয়েছি। দুটো সিগারেট ছাড়া, যা নিশ্চিত করে যে ধূমপান মূল্যহীন, আমার আর কোনও ভুল হয়নি। সমস্যা হল, আমি কাজের জন্য একেবারে "&amp;"ব্যস্ত থাকি এবং আসলে কিছুই করতে পারি না, আমার স্বপ্ন ছিল আমার জীবনযাপন শুরু করা, প্রস্রাব না করে, তবুও আমি সব সময় ক্লান্ত থাকি এবং সকালে খুব বিরক্ত হই। কেউ কি বলতে পারেন যে আমি এত ক্লান্ত বোধ না করার জন্য কী করতে পারি কারণ কফি আমাকে আরও বিরক্ত করে তোলে, "&amp;"আমি মানুষের সাথে কথা বলতে এবং সবসময় নেতিবাচক চিন্তাভাবনা করতে ক্লান্ত। যদিও আমি নিজের উপর গর্বিত এবং আবারও এই অভ্যাসটি ফিরে পেতে চাই না, আমার কিছু বেশ দুঃখজনক/অন্ধকার চিন্তাভাবনাও আছে এবং আমি কেবল পানীয়টি অভ্যাসে পরিণত হওয়ার আগে আমার ছিলাম এবং সাধারণ জ"&amp;"িনিসগুলি থেকে উপভোগ করতে চাই...")</f>
        <v>আমি ১০ বছরের একটা খারাপ অভ্যাস, ১৮ বছরের একটা সিগারেটের অভ্যাস এবং ১০ মাস বয়সী একটা দৈনিক গাঁজার অভ্যাস, সব একসাথে ৫০ দিন ধরে ছেড়ে দিয়েছি। দুটো সিগারেট ছাড়া, যা নিশ্চিত করে যে ধূমপান মূল্যহীন, আমার আর কোনও ভুল হয়নি। সমস্যা হল, আমি কাজের জন্য একেবারে ব্যস্ত থাকি এবং আসলে কিছুই করতে পারি না, আমার স্বপ্ন ছিল আমার জীবনযাপন শুরু করা, প্রস্রাব না করে, তবুও আমি সব সময় ক্লান্ত থাকি এবং সকালে খুব বিরক্ত হই। কেউ কি বলতে পারেন যে আমি এত ক্লান্ত বোধ না করার জন্য কী করতে পারি কারণ কফি আমাকে আরও বিরক্ত করে তোলে, আমি মানুষের সাথে কথা বলতে এবং সবসময় নেতিবাচক চিন্তাভাবনা করতে ক্লান্ত। যদিও আমি নিজের উপর গর্বিত এবং আবারও এই অভ্যাসটি ফিরে পেতে চাই না, আমার কিছু বেশ দুঃখজনক/অন্ধকার চিন্তাভাবনাও আছে এবং আমি কেবল পানীয়টি অভ্যাসে পরিণত হওয়ার আগে আমার ছিলাম এবং সাধারণ জিনিসগুলি থেকে উপভোগ করতে চাই...</v>
      </c>
    </row>
    <row r="1919" spans="1:3" ht="15" x14ac:dyDescent="0.25">
      <c r="A1919" s="3" t="s">
        <v>1912</v>
      </c>
      <c r="B1919" s="3" t="s">
        <v>997</v>
      </c>
      <c r="C1919" s="4" t="str">
        <f ca="1">IFERROR(__xludf.DUMMYFUNCTION("GOOGLETRANSLATE(A1919, ""auto"", ""bn"")"),"বন্ধুরা রাতের খাবারের জন্য এসেছিল। তারা সবাই বেশ কিছু পানীয় খেয়েছে এবং আমি নিশ্চিত আজ সকালে ঘুম থেকে উঠলে তারা ক্লান্ত এবং অবসন্ন বোধ করবে। আমি আইস টি খেয়েছি এবং শিশুর মতো ঘুমিয়েছি। ওহ, আর আমি কথোপকথন এবং সন্ধ্যাটাও ঠিক ততটাই উপভোগ করেছি যদি না বেশি হ"&amp;"য় এবং আরও বেশি ওয়াইন পান করার চেয়ে একজন ভালো অতিথি হওয়ার উপর মনোযোগ দিতে পারি। আমি আরাম বোধ করছি এবং আমি কি আমার বাচ্চাদের ঘুম থেকে ওঠার সাথে সাথেই তাদের জড়িয়ে ধরব? আজ জিমে যাচ্ছি (হ্যাংওভার বা শক্তির অভাব নেই যা আমাকে বাড়িতে রাখবে)। পরিবারের কেউ এ"&amp;"সে চা খেয়েই থাকব।")</f>
        <v>বন্ধুরা রাতের খাবারের জন্য এসেছিল। তারা সবাই বেশ কিছু পানীয় খেয়েছে এবং আমি নিশ্চিত আজ সকালে ঘুম থেকে উঠলে তারা ক্লান্ত এবং অবসন্ন বোধ করবে। আমি আইস টি খেয়েছি এবং শিশুর মতো ঘুমিয়েছি। ওহ, আর আমি কথোপকথন এবং সন্ধ্যাটাও ঠিক ততটাই উপভোগ করেছি যদি না বেশি হয় এবং আরও বেশি ওয়াইন পান করার চেয়ে একজন ভালো অতিথি হওয়ার উপর মনোযোগ দিতে পারি। আমি আরাম বোধ করছি এবং আমি কি আমার বাচ্চাদের ঘুম থেকে ওঠার সাথে সাথেই তাদের জড়িয়ে ধরব? আজ জিমে যাচ্ছি (হ্যাংওভার বা শক্তির অভাব নেই যা আমাকে বাড়িতে রাখবে)। পরিবারের কেউ এসে চা খেয়েই থাকব।</v>
      </c>
    </row>
    <row r="1920" spans="1:3" ht="15" x14ac:dyDescent="0.25">
      <c r="A1920" s="3" t="s">
        <v>1913</v>
      </c>
      <c r="B1920" s="3" t="s">
        <v>997</v>
      </c>
      <c r="C1920" s="4" t="str">
        <f ca="1">IFERROR(__xludf.DUMMYFUNCTION("GOOGLETRANSLATE(A1920, ""auto"", ""bn"")"),"দিন ১৬৭? কঠিন বিশ্রাম, ঘরের কাজকর্ম, ইন্টারনেটে ঘন্টার পর ঘন্টা সময় নষ্ট, কিছু ওয়ার্কআউট, বাইরে রাতের খাবার, এবং ৮ ঘন্টা ঘুমানোর আগে কার্টুন দেখে কেটেছে।? ঘুমিয়েছেন? সকাল ৭টা পর্যন্ত। এটি আরও একটি ভালো দিন হতে চলেছে।")</f>
        <v>দিন ১৬৭? কঠিন বিশ্রাম, ঘরের কাজকর্ম, ইন্টারনেটে ঘন্টার পর ঘন্টা সময় নষ্ট, কিছু ওয়ার্কআউট, বাইরে রাতের খাবার, এবং ৮ ঘন্টা ঘুমানোর আগে কার্টুন দেখে কেটেছে।? ঘুমিয়েছেন? সকাল ৭টা পর্যন্ত। এটি আরও একটি ভালো দিন হতে চলেছে।</v>
      </c>
    </row>
    <row r="1921" spans="1:3" ht="15" x14ac:dyDescent="0.25">
      <c r="A1921" s="3" t="s">
        <v>1914</v>
      </c>
      <c r="B1921" s="3" t="s">
        <v>997</v>
      </c>
      <c r="C1921" s="4" t="str">
        <f ca="1">IFERROR(__xludf.DUMMYFUNCTION("GOOGLETRANSLATE(A1921, ""auto"", ""bn"")"),"আজ আনুষ্ঠানিকভাবে ৬০ দিন সুস্থ! কয়েক ঘন্টার মধ্যে আমি আমার কয়েনটি এখানে আনতে যাচ্ছি, কিন্তু আমি নিজের সাথে এত খুশি যে আমি এখন তোমাদের সকলের সাথে ভাগ করে নিতে চাই। এখানে আরও ৬০ দিন, তবে আমি আজ দিয়ে শুরু করব।")</f>
        <v>আজ আনুষ্ঠানিকভাবে ৬০ দিন সুস্থ! কয়েক ঘন্টার মধ্যে আমি আমার কয়েনটি এখানে আনতে যাচ্ছি, কিন্তু আমি নিজের সাথে এত খুশি যে আমি এখন তোমাদের সকলের সাথে ভাগ করে নিতে চাই। এখানে আরও ৬০ দিন, তবে আমি আজ দিয়ে শুরু করব।</v>
      </c>
    </row>
    <row r="1922" spans="1:3" ht="15" x14ac:dyDescent="0.25">
      <c r="A1922" s="3" t="s">
        <v>1915</v>
      </c>
      <c r="B1922" s="3" t="s">
        <v>997</v>
      </c>
      <c r="C1922" s="4" t="str">
        <f ca="1">IFERROR(__xludf.DUMMYFUNCTION("GOOGLETRANSLATE(A1922, ""auto"", ""bn"")"),"আমি এখানে এরকম আরও পোস্ট পড়েছি, আর গত রাতে আমার পালা। সিনেমা দেখার সময় আমি অনেক খেয়ে ফেলেছি, আর আমার মনে হয় খাবারে বিষক্রিয়া হয়েছে। ভয়াবহ রাত আর সকালটা কঠিন। আমি ক্লান্ত, মাথা ঘোরা, পানিশূন্য, এখনও বমি বমি ভাব এবং দুর্বল। আজকের জন্য আমার অনেক পরিকল্"&amp;"পনা এবং কাজ ছিল, কিন্তু আমার শরীরের বিশ্রাম এবং সুস্থ হওয়া দরকার। অবশ্যই, এটি আমাকে মনে করিয়ে দেয় যে হ্যাংওভারের সময় ঘুম থেকে ওঠা কতটা খারাপ। এমনকি যখন সেগুলি এই লক্ষণগুলির চেয়ে হালকা হয়। এটি সত্যিই আমাকে আমার শান্ত রবিবারগুলিকে আরও বেশি মূল্যবান কর"&amp;"ে তোলে।")</f>
        <v>আমি এখানে এরকম আরও পোস্ট পড়েছি, আর গত রাতে আমার পালা। সিনেমা দেখার সময় আমি অনেক খেয়ে ফেলেছি, আর আমার মনে হয় খাবারে বিষক্রিয়া হয়েছে। ভয়াবহ রাত আর সকালটা কঠিন। আমি ক্লান্ত, মাথা ঘোরা, পানিশূন্য, এখনও বমি বমি ভাব এবং দুর্বল। আজকের জন্য আমার অনেক পরিকল্পনা এবং কাজ ছিল, কিন্তু আমার শরীরের বিশ্রাম এবং সুস্থ হওয়া দরকার। অবশ্যই, এটি আমাকে মনে করিয়ে দেয় যে হ্যাংওভারের সময় ঘুম থেকে ওঠা কতটা খারাপ। এমনকি যখন সেগুলি এই লক্ষণগুলির চেয়ে হালকা হয়। এটি সত্যিই আমাকে আমার শান্ত রবিবারগুলিকে আরও বেশি মূল্যবান করে তোলে।</v>
      </c>
    </row>
    <row r="1923" spans="1:3" ht="15" x14ac:dyDescent="0.25">
      <c r="A1923" s="3" t="s">
        <v>1916</v>
      </c>
      <c r="B1923" s="3" t="s">
        <v>997</v>
      </c>
      <c r="C1923" s="4" t="str">
        <f ca="1">IFERROR(__xludf.DUMMYFUNCTION("GOOGLETRANSLATE(A1923, ""auto"", ""bn"")"),"ভাবছি, প্রথম দিনগুলোতে ঘুমাতে তোমার কী কাজে লেগেছে? আজ রাতে আমি একটি নতুন পডকাস্ট (Sleep With Me) চেষ্টা করছি, এবং আমি দুটি ভেষজ ঘুমের প্রতিকার (Valerian এবং Passionflower এর সাথে) খেয়েছি, কিন্তু আমার ঘুমাতে কষ্ট হচ্ছে। আমার উদ্বেগ আছে এবং সম্প্রতি আমার "&amp;"একটি নির্যাতনমূলক সম্পর্ক শেষ হয়েছে, তাই ঘুমানোর চেষ্টা করার সময় আমার মাথায় সেই চিন্তার একটা শেষ নেই। তাছাড়া, ঘুমানোর জন্য আমার অ্যালকোহল ছাড়া অন্য কিছুর প্রয়োজন!")</f>
        <v>ভাবছি, প্রথম দিনগুলোতে ঘুমাতে তোমার কী কাজে লেগেছে? আজ রাতে আমি একটি নতুন পডকাস্ট (Sleep With Me) চেষ্টা করছি, এবং আমি দুটি ভেষজ ঘুমের প্রতিকার (Valerian এবং Passionflower এর সাথে) খেয়েছি, কিন্তু আমার ঘুমাতে কষ্ট হচ্ছে। আমার উদ্বেগ আছে এবং সম্প্রতি আমার একটি নির্যাতনমূলক সম্পর্ক শেষ হয়েছে, তাই ঘুমানোর চেষ্টা করার সময় আমার মাথায় সেই চিন্তার একটা শেষ নেই। তাছাড়া, ঘুমানোর জন্য আমার অ্যালকোহল ছাড়া অন্য কিছুর প্রয়োজন!</v>
      </c>
    </row>
    <row r="1924" spans="1:3" ht="15" x14ac:dyDescent="0.25">
      <c r="A1924" s="3" t="s">
        <v>1917</v>
      </c>
      <c r="B1924" s="3" t="s">
        <v>997</v>
      </c>
      <c r="C1924" s="4" t="str">
        <f ca="1">IFERROR(__xludf.DUMMYFUNCTION("GOOGLETRANSLATE(A1924, ""auto"", ""bn"")"),"এখনও উদ্বিগ্ন এবং একটু অস্থির, আশা করি আজ রাতে ঘুম ভেঙে যাবে, INDY তে ঝাঁপিয়ে পড়ে?.. আর তোমাকে আমার প্রার্থনায় রাখবে?.. সমর্থনের জন্য ধন্যবাদ?. আশা করি আগামীকাল আমি সম্পূর্ণ সুস্থ এবং পরিষ্কার মাথা নিয়ে কাজে যেতে পারব কারণ আমার শেষ পানীয়ের পর প্রায় "&amp;"৮৫ ঘন্টা হয়ে গেছে?.: আর তার পথে যাচ্ছি না।")</f>
        <v>এখনও উদ্বিগ্ন এবং একটু অস্থির, আশা করি আজ রাতে ঘুম ভেঙে যাবে, INDY তে ঝাঁপিয়ে পড়ে?.. আর তোমাকে আমার প্রার্থনায় রাখবে?.. সমর্থনের জন্য ধন্যবাদ?. আশা করি আগামীকাল আমি সম্পূর্ণ সুস্থ এবং পরিষ্কার মাথা নিয়ে কাজে যেতে পারব কারণ আমার শেষ পানীয়ের পর প্রায় ৮৫ ঘন্টা হয়ে গেছে?.: আর তার পথে যাচ্ছি না।</v>
      </c>
    </row>
    <row r="1925" spans="1:3" ht="15" x14ac:dyDescent="0.25">
      <c r="A1925" s="3" t="s">
        <v>1918</v>
      </c>
      <c r="B1925" s="3" t="s">
        <v>997</v>
      </c>
      <c r="C1925" s="4" t="str">
        <f ca="1">IFERROR(__xludf.DUMMYFUNCTION("GOOGLETRANSLATE(A1925, ""auto"", ""bn"")"),"কেউ কি এমন অনুভব করেছেন যে তারা এমন একটি ট্রেনে আছেন যা তারা নিয়ন্ত্রণ করতে পারছেন না এবং যাত্রার জন্য প্রস্তুত? এই সপ্তাহে আমারও তাই মনে হয়েছিল, এবং এটি ভয়াবহ, তাই আমি থামছি। লজ্জা এবং ভয়াবহ অনুভূতির বাইরে খারাপ কিছু ঘটার আগে আমি আবার নিয়ন্ত্রণ চাই।")</f>
        <v>কেউ কি এমন অনুভব করেছেন যে তারা এমন একটি ট্রেনে আছেন যা তারা নিয়ন্ত্রণ করতে পারছেন না এবং যাত্রার জন্য প্রস্তুত? এই সপ্তাহে আমারও তাই মনে হয়েছিল, এবং এটি ভয়াবহ, তাই আমি থামছি। লজ্জা এবং ভয়াবহ অনুভূতির বাইরে খারাপ কিছু ঘটার আগে আমি আবার নিয়ন্ত্রণ চাই।</v>
      </c>
    </row>
    <row r="1926" spans="1:3" ht="15" x14ac:dyDescent="0.25">
      <c r="A1926" s="3" t="s">
        <v>1919</v>
      </c>
      <c r="B1926" s="3" t="s">
        <v>997</v>
      </c>
      <c r="C1926" s="4" t="str">
        <f ca="1">IFERROR(__xludf.DUMMYFUNCTION("GOOGLETRANSLATE(A1926, ""auto"", ""bn"")"),"কয়েক মাস ধরে আমি বারবার মদ্যপান না করার চেষ্টা করছি, লকডাউন পরিস্থিতি আরও খারাপ করে তুলেছে, কিন্তু আমার সঙ্গী যখন একদিন সকালে আমাকে অজ্ঞান অবস্থায় দেখতে পেল তখন আমি বুঝতে পেরেছিলাম যে আমার একটা সমস্যা আছে। আমি AA চেষ্টা করছিলাম, এবং এটা ভালো ছিল কিন্তু "&amp;"কিছুক্ষণ পর আমার মনে হল আমার এটার দরকার নেই কারণ মাইন্ডফুল মেডিটেশন আমার জন্যও একই কাজ করেছে। কিন্তু জীবন ঘটে গেল এবং উদ্বেগ তৈরি হল, তখনই আমি আমার রুটিন করতে ভুলে যাই এবং এটি কেবল একটা বাজে কথা হয়ে গেল। দুর্ভাগ্যবশত, আমার মদ্যপান না করার দীর্ঘতম ধারা ছি"&amp;"ল প্রায় ১২ দিন, সম্প্রতি এটি ৪-৫ দিন। আমি সত্যিই আরও চেষ্টা করতে চাই এবং প্রতিদিন সকালে AA করতে চাই, কিন্তু আমি ভুলে যাচ্ছি, তোমরা কীভাবে এটা করো, কোন টিপস?")</f>
        <v>কয়েক মাস ধরে আমি বারবার মদ্যপান না করার চেষ্টা করছি, লকডাউন পরিস্থিতি আরও খারাপ করে তুলেছে, কিন্তু আমার সঙ্গী যখন একদিন সকালে আমাকে অজ্ঞান অবস্থায় দেখতে পেল তখন আমি বুঝতে পেরেছিলাম যে আমার একটা সমস্যা আছে। আমি AA চেষ্টা করছিলাম, এবং এটা ভালো ছিল কিন্তু কিছুক্ষণ পর আমার মনে হল আমার এটার দরকার নেই কারণ মাইন্ডফুল মেডিটেশন আমার জন্যও একই কাজ করেছে। কিন্তু জীবন ঘটে গেল এবং উদ্বেগ তৈরি হল, তখনই আমি আমার রুটিন করতে ভুলে যাই এবং এটি কেবল একটা বাজে কথা হয়ে গেল। দুর্ভাগ্যবশত, আমার মদ্যপান না করার দীর্ঘতম ধারা ছিল প্রায় ১২ দিন, সম্প্রতি এটি ৪-৫ দিন। আমি সত্যিই আরও চেষ্টা করতে চাই এবং প্রতিদিন সকালে AA করতে চাই, কিন্তু আমি ভুলে যাচ্ছি, তোমরা কীভাবে এটা করো, কোন টিপস?</v>
      </c>
    </row>
    <row r="1927" spans="1:3" ht="15" x14ac:dyDescent="0.25">
      <c r="A1927" s="3" t="s">
        <v>1920</v>
      </c>
      <c r="B1927" s="3" t="s">
        <v>997</v>
      </c>
      <c r="C1927" s="4" t="str">
        <f ca="1">IFERROR(__xludf.DUMMYFUNCTION("GOOGLETRANSLATE(A1927, ""auto"", ""bn"")"),"আজ সকালে ঘুম থেকে উঠেই আমি উদ্বিগ্ন বোধ করছিলাম, আর আমার স্নায়ু শান্ত করার জন্য আমি কেবল এক বা দুটি ডোজ নিতাম। এখন যেহেতু এটি কোনও বিকল্প নয়, তাই বোতল না তুলে এই সমস্যা মোকাবেলা করার জন্য কারও কাছে কি কোনও টিপস আছে? অনেক প্রশংসা।")</f>
        <v>আজ সকালে ঘুম থেকে উঠেই আমি উদ্বিগ্ন বোধ করছিলাম, আর আমার স্নায়ু শান্ত করার জন্য আমি কেবল এক বা দুটি ডোজ নিতাম। এখন যেহেতু এটি কোনও বিকল্প নয়, তাই বোতল না তুলে এই সমস্যা মোকাবেলা করার জন্য কারও কাছে কি কোনও টিপস আছে? অনেক প্রশংসা।</v>
      </c>
    </row>
    <row r="1928" spans="1:3" ht="15" x14ac:dyDescent="0.25">
      <c r="A1928" s="3" t="s">
        <v>1921</v>
      </c>
      <c r="B1928" s="3" t="s">
        <v>997</v>
      </c>
      <c r="C1928" s="4" t="str">
        <f ca="1">IFERROR(__xludf.DUMMYFUNCTION("GOOGLETRANSLATE(A1928, ""auto"", ""bn"")"),"গত রাতে একটা গুদামের পার্টিতে একটা অনুষ্ঠান করেছি, শান্তভাবে। প্রথমবার নয়, ১০ মাস আগে রিল্যাপস হওয়ার পর প্রথমবার। আমার সেটে একটা গান আছে, যেখানে আমার এক বন্ধু বেজোসের কারণে মারা গিয়েছিল এবং তার সঙ্গী, যে তখন তার সাথে ছিল, এসে আমাদের খেলা দেখতে পেয়েছিল"&amp;", সেটা ছিল একটা অবিশ্বাস্যরকম অদ্ভুত এবং অস্বস্তিকর অভিজ্ঞতা। প্রোমোটার খুব মিষ্টি ছিলেন এবং আমাদের ড্রিঙ্কস রাইডারে কিছুটা হাইনেকেন শূন্য রেখেছিলেন, কিন্তু তারপরও আমাকে প্রায় তাৎক্ষণিকভাবে পালিয়ে যেতে হয়েছিল। যেন আমি এক ব্যাগ ক্যান, ব্যাগ কোক কিনে সার"&amp;"া রাত পার্টি করা ছাড়া আর কিছুই চাইনি, কিন্তু পরিবর্তে আমি বাড়িতে একটা ক্যাব, কাবাব পেয়েছিলাম এবং টিভি দেখছিলাম। সেই সময়টাতে অদ্ভুত এবং একাকী লাগছিল কিন্তু রবিবার সকালে আমি ঘুম থেকে উঠেছি, ক্ষুধার্ত নই এবং এর জন্য আমি কৃতজ্ঞ।")</f>
        <v>গত রাতে একটা গুদামের পার্টিতে একটা অনুষ্ঠান করেছি, শান্তভাবে। প্রথমবার নয়, ১০ মাস আগে রিল্যাপস হওয়ার পর প্রথমবার। আমার সেটে একটা গান আছে, যেখানে আমার এক বন্ধু বেজোসের কারণে মারা গিয়েছিল এবং তার সঙ্গী, যে তখন তার সাথে ছিল, এসে আমাদের খেলা দেখতে পেয়েছিল, সেটা ছিল একটা অবিশ্বাস্যরকম অদ্ভুত এবং অস্বস্তিকর অভিজ্ঞতা। প্রোমোটার খুব মিষ্টি ছিলেন এবং আমাদের ড্রিঙ্কস রাইডারে কিছুটা হাইনেকেন শূন্য রেখেছিলেন, কিন্তু তারপরও আমাকে প্রায় তাৎক্ষণিকভাবে পালিয়ে যেতে হয়েছিল। যেন আমি এক ব্যাগ ক্যান, ব্যাগ কোক কিনে সারা রাত পার্টি করা ছাড়া আর কিছুই চাইনি, কিন্তু পরিবর্তে আমি বাড়িতে একটা ক্যাব, কাবাব পেয়েছিলাম এবং টিভি দেখছিলাম। সেই সময়টাতে অদ্ভুত এবং একাকী লাগছিল কিন্তু রবিবার সকালে আমি ঘুম থেকে উঠেছি, ক্ষুধার্ত নই এবং এর জন্য আমি কৃতজ্ঞ।</v>
      </c>
    </row>
    <row r="1929" spans="1:3" ht="15" x14ac:dyDescent="0.25">
      <c r="A1929" s="3" t="s">
        <v>1922</v>
      </c>
      <c r="B1929" s="3" t="s">
        <v>997</v>
      </c>
      <c r="C1929" s="4" t="str">
        <f ca="1">IFERROR(__xludf.DUMMYFUNCTION("GOOGLETRANSLATE(A1929, ""auto"", ""bn"")"),"আমি স্থির দাঁড়িয়ে আছি, বাতাস নেই, আমাকে উড়িয়ে দাও, আমি আমার হাত ধরে রাখো, যতক্ষণ না আমরা ডুবে যাই, আর আমি জানি জোরে বলার চেয়ে জিনিসপত্র আটকে রাখা সহজ, আমি কষ্ট পেতে অভ্যস্ত। কিছু জিন পান করো, আমি চেপে রাখার চেষ্টা করি। আমার মনে হয় তুমি আমাকে খুব ভাল"&amp;"ো করে জানো। আমি শুধু বলতে পারি না যে আমি নিজেকে চিনি। আমি জানি আমি তোমাকে নরকের মধ্য দিয়ে দিয়েছি। আর যদি আমি একা চলে যাই, তুমি ঠিক থাকবে। কারণ আমি হারিয়ে গেছি, আমি কোথায় যাব? আমি বাড়ি ফেরার পথ খুঁজে পাচ্ছি না, আমি নিজেই মরে যাব। আমার পরিচিত কাউকে খুঁ"&amp;"জছি। দীর্ঘ পথ আমার দিকে তাকিয়ে আছে। আশা করি দূরত্ব আমাকে মুক্ত করবে।")</f>
        <v>আমি স্থির দাঁড়িয়ে আছি, বাতাস নেই, আমাকে উড়িয়ে দাও, আমি আমার হাত ধরে রাখো, যতক্ষণ না আমরা ডুবে যাই, আর আমি জানি জোরে বলার চেয়ে জিনিসপত্র আটকে রাখা সহজ, আমি কষ্ট পেতে অভ্যস্ত। কিছু জিন পান করো, আমি চেপে রাখার চেষ্টা করি। আমার মনে হয় তুমি আমাকে খুব ভালো করে জানো। আমি শুধু বলতে পারি না যে আমি নিজেকে চিনি। আমি জানি আমি তোমাকে নরকের মধ্য দিয়ে দিয়েছি। আর যদি আমি একা চলে যাই, তুমি ঠিক থাকবে। কারণ আমি হারিয়ে গেছি, আমি কোথায় যাব? আমি বাড়ি ফেরার পথ খুঁজে পাচ্ছি না, আমি নিজেই মরে যাব। আমার পরিচিত কাউকে খুঁজছি। দীর্ঘ পথ আমার দিকে তাকিয়ে আছে। আশা করি দূরত্ব আমাকে মুক্ত করবে।</v>
      </c>
    </row>
    <row r="1930" spans="1:3" ht="15" x14ac:dyDescent="0.25">
      <c r="A1930" s="3" t="s">
        <v>1923</v>
      </c>
      <c r="B1930" s="3" t="s">
        <v>997</v>
      </c>
      <c r="C1930" s="4" t="str">
        <f ca="1">IFERROR(__xludf.DUMMYFUNCTION("GOOGLETRANSLATE(A1930, ""auto"", ""bn"")"),"ঠিক আছে, তিন সপ্তাহ কেটে গেছে। ইচ্ছাশক্তির পাশাপাশি ক্ষুধাও উল্লেখযোগ্যভাবে উন্নত হয়েছে। ঘুমের সমস্যা, শক্তির অভাব এবং উদ্বেগ সত্ত্বেও আমি এখনও অপ্রীতিকর বোধ করি। তাই মনে হচ্ছে অতিরিক্ত মদ্যপানের ফলে GABA সত্যিই বিপর্যস্ত হয়ে পড়েছে। কেউ কি GABA সাপ্লিম"&amp;"েন্ট ব্যবহার করেছেন? এগুলো কি সাহায্য করবে বলে মনে হচ্ছে, নাকি আমি শুধু ব্যয়বহুল প্রস্রাবের জন্য অর্থ প্রদান করব?")</f>
        <v>ঠিক আছে, তিন সপ্তাহ কেটে গেছে। ইচ্ছাশক্তির পাশাপাশি ক্ষুধাও উল্লেখযোগ্যভাবে উন্নত হয়েছে। ঘুমের সমস্যা, শক্তির অভাব এবং উদ্বেগ সত্ত্বেও আমি এখনও অপ্রীতিকর বোধ করি। তাই মনে হচ্ছে অতিরিক্ত মদ্যপানের ফলে GABA সত্যিই বিপর্যস্ত হয়ে পড়েছে। কেউ কি GABA সাপ্লিমেন্ট ব্যবহার করেছেন? এগুলো কি সাহায্য করবে বলে মনে হচ্ছে, নাকি আমি শুধু ব্যয়বহুল প্রস্রাবের জন্য অর্থ প্রদান করব?</v>
      </c>
    </row>
    <row r="1931" spans="1:3" ht="15" x14ac:dyDescent="0.25">
      <c r="A1931" s="3" t="s">
        <v>1924</v>
      </c>
      <c r="B1931" s="3" t="s">
        <v>997</v>
      </c>
      <c r="C1931" s="4" t="str">
        <f ca="1">IFERROR(__xludf.DUMMYFUNCTION("GOOGLETRANSLATE(A1931, ""auto"", ""bn"")"),"সপ্তাহে আমি কত মদ্যপান করতাম তার একটা মোটামুটি অনুমান। খুব রক্ষণশীল অনুমান, মনে রাখবেন। আর এর মধ্যে রাত ১টার কথাও নেই? ওহ, আমার খুব ক্ষুধা লেগেছে? আমার মদ্যপানের সাথে DoorDash থেকে প্রচুর ফাস্ট ফুড অর্ডার এসেছিল। মূল কথা হল, আমি মাত্র ষষ্ঠ দিন শেষ করছি, এ"&amp;"বং আমার ৭ পাউন্ড ওজন কমেছে। গত ২/৩ বছর ধরে আমার ওজন ২২০-২২৫ পাউন্ডের মধ্যে, এবং অ্যালকোহল ছেড়ে দেওয়া এবং খুব বেশি ক্ষুধা না লাগার মধ্যে (অ্যালকোহল ছেড়ে দেওয়ার ফলেও) আমি স্কেলে বেশ বড় পার্থক্য দেখতে পাচ্ছি। আমি নিশ্চিত যে একবার আমার ক্ষুধা ফিরে এলে, এ"&amp;"ই পাউন্ডগুলির কিছু অবশ্যই ফিরে আসবে, কিন্তু আপাতত, আমি এটিকে একটি ভালো সামান্য প্লাস হিসেবে দেখছি। এবং আমি নিশ্চিত যে দীর্ঘমেয়াদে, অ্যালকোহল ছেড়ে দেওয়া আমার জন্য আবারও স্বাস্থ্যকর ওজনে পরিণত হবে।")</f>
        <v>সপ্তাহে আমি কত মদ্যপান করতাম তার একটা মোটামুটি অনুমান। খুব রক্ষণশীল অনুমান, মনে রাখবেন। আর এর মধ্যে রাত ১টার কথাও নেই? ওহ, আমার খুব ক্ষুধা লেগেছে? আমার মদ্যপানের সাথে DoorDash থেকে প্রচুর ফাস্ট ফুড অর্ডার এসেছিল। মূল কথা হল, আমি মাত্র ষষ্ঠ দিন শেষ করছি, এবং আমার ৭ পাউন্ড ওজন কমেছে। গত ২/৩ বছর ধরে আমার ওজন ২২০-২২৫ পাউন্ডের মধ্যে, এবং অ্যালকোহল ছেড়ে দেওয়া এবং খুব বেশি ক্ষুধা না লাগার মধ্যে (অ্যালকোহল ছেড়ে দেওয়ার ফলেও) আমি স্কেলে বেশ বড় পার্থক্য দেখতে পাচ্ছি। আমি নিশ্চিত যে একবার আমার ক্ষুধা ফিরে এলে, এই পাউন্ডগুলির কিছু অবশ্যই ফিরে আসবে, কিন্তু আপাতত, আমি এটিকে একটি ভালো সামান্য প্লাস হিসেবে দেখছি। এবং আমি নিশ্চিত যে দীর্ঘমেয়াদে, অ্যালকোহল ছেড়ে দেওয়া আমার জন্য আবারও স্বাস্থ্যকর ওজনে পরিণত হবে।</v>
      </c>
    </row>
    <row r="1932" spans="1:3" ht="15" x14ac:dyDescent="0.25">
      <c r="A1932" s="3" t="s">
        <v>1925</v>
      </c>
      <c r="B1932" s="3" t="s">
        <v>997</v>
      </c>
      <c r="C1932" s="4" t="str">
        <f ca="1">IFERROR(__xludf.DUMMYFUNCTION("GOOGLETRANSLATE(A1932, ""auto"", ""bn"")"),"মনে হচ্ছে সবাই মদ্যপান করছে। জিএফ তার বন্ধুর সাথে বারে ঘুরছে। আমার সব বন্ধুরা বন্ধুবান্ধব বা OS-এর সাথে মদ্যপান করছে। এদিকে, আমি বাড়িতে বসে আছি, একটু বিষণ্ণ এবং একা। মনে হচ্ছে মদ্যপান না করে লাভ নেই। কিন্তু আমি চাই এটা হোক। আমার মনে হয় আগামীকাল বা পরশু "&amp;"আমার আফসোস হবে না।")</f>
        <v>মনে হচ্ছে সবাই মদ্যপান করছে। জিএফ তার বন্ধুর সাথে বারে ঘুরছে। আমার সব বন্ধুরা বন্ধুবান্ধব বা OS-এর সাথে মদ্যপান করছে। এদিকে, আমি বাড়িতে বসে আছি, একটু বিষণ্ণ এবং একা। মনে হচ্ছে মদ্যপান না করে লাভ নেই। কিন্তু আমি চাই এটা হোক। আমার মনে হয় আগামীকাল বা পরশু আমার আফসোস হবে না।</v>
      </c>
    </row>
    <row r="1933" spans="1:3" ht="15" x14ac:dyDescent="0.25">
      <c r="A1933" s="3" t="s">
        <v>1926</v>
      </c>
      <c r="B1933" s="3" t="s">
        <v>997</v>
      </c>
      <c r="C1933" s="4" t="str">
        <f ca="1">IFERROR(__xludf.DUMMYFUNCTION("GOOGLETRANSLATE(A1933, ""auto"", ""bn"")"),"আমার ১৯ দিন হলো। গত রাতে প্রথমবারের মতো রাতের খাবার খেতে বেরিয়েছি। রাতের খাবার খেতে বেরোনো আমার কাছে সবসময়ই মদ্যপান করা উপভোগ্য। রেস্তোরাঁর সবাই বিয়ার এবং ওয়াইন পান করার সময় কোক-জিরো অর্ডার করাটা অদ্ভুত লাগছিল। আমি দেরি করে পার করে ফেললাম? দারুন থাই "&amp;"ডিনার করলাম, বাড়ি ফিরে সিনেমা দেখলাম। রাতটা দারুন ছিল, যদিও বিয়ার অর্ডার করার তাগিদটা সত্যিই খুব তীব্র ছিল।")</f>
        <v>আমার ১৯ দিন হলো। গত রাতে প্রথমবারের মতো রাতের খাবার খেতে বেরিয়েছি। রাতের খাবার খেতে বেরোনো আমার কাছে সবসময়ই মদ্যপান করা উপভোগ্য। রেস্তোরাঁর সবাই বিয়ার এবং ওয়াইন পান করার সময় কোক-জিরো অর্ডার করাটা অদ্ভুত লাগছিল। আমি দেরি করে পার করে ফেললাম? দারুন থাই ডিনার করলাম, বাড়ি ফিরে সিনেমা দেখলাম। রাতটা দারুন ছিল, যদিও বিয়ার অর্ডার করার তাগিদটা সত্যিই খুব তীব্র ছিল।</v>
      </c>
    </row>
    <row r="1934" spans="1:3" ht="15" x14ac:dyDescent="0.25">
      <c r="A1934" s="3" t="s">
        <v>1927</v>
      </c>
      <c r="B1934" s="3" t="s">
        <v>997</v>
      </c>
      <c r="C1934" s="4" t="str">
        <f ca="1">IFERROR(__xludf.DUMMYFUNCTION("GOOGLETRANSLATE(A1934, ""auto"", ""bn"")"),"আমার মনে হচ্ছে আমার জীবনের ভালো জিনিসগুলোর কোনওটাই আর ভালো নেই। শুধু সবকিছু নষ্ট করে দিতে ইচ্ছে করছে। আমার জীবন এতটাই ভালো যে আমি তা যাপন করার যোগ্য নই। মদ্যপানের নরক আমি প্রায় মিস করি কারণ এটি দৈনন্দিন জীবনের থেকে আলাদা ছিল। খুব বেশি সংগ্রাম ছাড়াই আমার"&amp;" সম্পূর্ণ অসাধারণ সহজ জীবন নিয়ে আমি বিরক্ত। তাছাড়া, আমি জানি, আমি এটি নিজের উপর আরও কঠিন করে তুলব। চলো সন্ধ্যাবেলা খুব বেশি মাতাল হই, বার বাথরুমে বমি করি, এবং খুব কমই মনে করি। পরের দিন আমি অসাড়। আমাকে এখানে আনা আবেগের কাছে অসাড়। আত্ম-নাশের আকাঙ্ক্ষার ক"&amp;"াছে নতি স্বীকার করার জন্য আমি নিজেই হতাশ। ওহ, পরের দিন যখন আমি আমার নিজের বিএস-এ ডুবে থাকি তখন কেমন লাগে। আমি এটি নিয়ে বিলাপ করতে পারি অথবা ব্যবহারিক কিছু করতে পারি। কিন্তু আমি বেশ ক্ষুধার্ত।")</f>
        <v>আমার মনে হচ্ছে আমার জীবনের ভালো জিনিসগুলোর কোনওটাই আর ভালো নেই। শুধু সবকিছু নষ্ট করে দিতে ইচ্ছে করছে। আমার জীবন এতটাই ভালো যে আমি তা যাপন করার যোগ্য নই। মদ্যপানের নরক আমি প্রায় মিস করি কারণ এটি দৈনন্দিন জীবনের থেকে আলাদা ছিল। খুব বেশি সংগ্রাম ছাড়াই আমার সম্পূর্ণ অসাধারণ সহজ জীবন নিয়ে আমি বিরক্ত। তাছাড়া, আমি জানি, আমি এটি নিজের উপর আরও কঠিন করে তুলব। চলো সন্ধ্যাবেলা খুব বেশি মাতাল হই, বার বাথরুমে বমি করি, এবং খুব কমই মনে করি। পরের দিন আমি অসাড়। আমাকে এখানে আনা আবেগের কাছে অসাড়। আত্ম-নাশের আকাঙ্ক্ষার কাছে নতি স্বীকার করার জন্য আমি নিজেই হতাশ। ওহ, পরের দিন যখন আমি আমার নিজের বিএস-এ ডুবে থাকি তখন কেমন লাগে। আমি এটি নিয়ে বিলাপ করতে পারি অথবা ব্যবহারিক কিছু করতে পারি। কিন্তু আমি বেশ ক্ষুধার্ত।</v>
      </c>
    </row>
    <row r="1935" spans="1:3" ht="15" x14ac:dyDescent="0.25">
      <c r="A1935" s="3" t="s">
        <v>1928</v>
      </c>
      <c r="B1935" s="3" t="s">
        <v>997</v>
      </c>
      <c r="C1935" s="4" t="str">
        <f ca="1">IFERROR(__xludf.DUMMYFUNCTION("GOOGLETRANSLATE(A1935, ""auto"", ""bn"")"),"মদ্যপান বন্ধ করার পর থেকে আমার ঘুম অনেক গুণ উন্নত হয়েছে। এখনও মাঝে মাঝে মাঝরাতে আমার ঘুম ভেঙে যায় (যেটা কয়েক ঘন্টা স্থায়ী হয়), এবং সন্ধ্যায় ঘুমানোর ঠিক আগে যখন আমি প্রচুর মিষ্টি মিষ্টি খেয়ে থাকি, তখন এই অনুভূতির সাথে এর সম্পর্ক আছে বলে মনে হয়। অ্য"&amp;"ালকোহল ছাড়া অন্য খাবার ঘুম নষ্ট করতে পারে, এটা আমার কখনও মনে হয়নি। কিন্তু চিনির ব্যাপারটা বাস্তব মনে হচ্ছে। আর কারো কি একই রকম অভিজ্ঞতা হয়েছে?")</f>
        <v>মদ্যপান বন্ধ করার পর থেকে আমার ঘুম অনেক গুণ উন্নত হয়েছে। এখনও মাঝে মাঝে মাঝরাতে আমার ঘুম ভেঙে যায় (যেটা কয়েক ঘন্টা স্থায়ী হয়), এবং সন্ধ্যায় ঘুমানোর ঠিক আগে যখন আমি প্রচুর মিষ্টি মিষ্টি খেয়ে থাকি, তখন এই অনুভূতির সাথে এর সম্পর্ক আছে বলে মনে হয়। অ্যালকোহল ছাড়া অন্য খাবার ঘুম নষ্ট করতে পারে, এটা আমার কখনও মনে হয়নি। কিন্তু চিনির ব্যাপারটা বাস্তব মনে হচ্ছে। আর কারো কি একই রকম অভিজ্ঞতা হয়েছে?</v>
      </c>
    </row>
    <row r="1936" spans="1:3" ht="15" x14ac:dyDescent="0.25">
      <c r="A1936" s="3" t="s">
        <v>1929</v>
      </c>
      <c r="B1936" s="3" t="s">
        <v>997</v>
      </c>
      <c r="C1936" s="4" t="str">
        <f ca="1">IFERROR(__xludf.DUMMYFUNCTION("GOOGLETRANSLATE(A1936, ""auto"", ""bn"")"),"আমি শুধু একটা পানীয় খেতে চাই যাতে আমার মন কিছুক্ষণের জন্য শান্ত থাকে যাতে আমি অজ্ঞান হয়ে যেতে পারি। ভাবলাম ট্রেনের গতি কমে যাচ্ছে এবং আমার স্বাভাবিক কোনও পদ্ধতিই আমার মনকে নষ্ট করছে না কারণ এতে আমার বাচ্চাদের অনুভূতি অন্যদের কাছে উপেক্ষা করা হচ্ছে এবং আম"&amp;"ি তাদের সাহায্য করতে পারছি না। আমার এখন মাথাব্যথা করছে।")</f>
        <v>আমি শুধু একটা পানীয় খেতে চাই যাতে আমার মন কিছুক্ষণের জন্য শান্ত থাকে যাতে আমি অজ্ঞান হয়ে যেতে পারি। ভাবলাম ট্রেনের গতি কমে যাচ্ছে এবং আমার স্বাভাবিক কোনও পদ্ধতিই আমার মনকে নষ্ট করছে না কারণ এতে আমার বাচ্চাদের অনুভূতি অন্যদের কাছে উপেক্ষা করা হচ্ছে এবং আমি তাদের সাহায্য করতে পারছি না। আমার এখন মাথাব্যথা করছে।</v>
      </c>
    </row>
    <row r="1937" spans="1:3" ht="15" x14ac:dyDescent="0.25">
      <c r="A1937" s="3" t="s">
        <v>1930</v>
      </c>
      <c r="B1937" s="3" t="s">
        <v>997</v>
      </c>
      <c r="C1937" s="4" t="str">
        <f ca="1">IFERROR(__xludf.DUMMYFUNCTION("GOOGLETRANSLATE(A1937, ""auto"", ""bn"")"),"রবিবার সকালে, সতর্ক, কাগজপত্রের সাথে, একটা ভালো কফি, দিনের পরিকল্পনা। আর এখনও সকাল ৯টাও বাজেনি। মদ্যপান বন্ধ করার ফলে যে সহজ জিনিসগুলো আমাকে ফিরে পেয়েছে - সময়, প্রেরণা, শক্তি - সেগুলোই আমাকে সার্থক করে তুলেছে।")</f>
        <v>রবিবার সকালে, সতর্ক, কাগজপত্রের সাথে, একটা ভালো কফি, দিনের পরিকল্পনা। আর এখনও সকাল ৯টাও বাজেনি। মদ্যপান বন্ধ করার ফলে যে সহজ জিনিসগুলো আমাকে ফিরে পেয়েছে - সময়, প্রেরণা, শক্তি - সেগুলোই আমাকে সার্থক করে তুলেছে।</v>
      </c>
    </row>
    <row r="1938" spans="1:3" ht="15" x14ac:dyDescent="0.25">
      <c r="A1938" s="3" t="s">
        <v>1931</v>
      </c>
      <c r="B1938" s="3" t="s">
        <v>997</v>
      </c>
      <c r="C1938" s="4" t="str">
        <f ca="1">IFERROR(__xludf.DUMMYFUNCTION("GOOGLETRANSLATE(A1938, ""auto"", ""bn"")"),"উপরে বামে ছিল ২০০৮ সালে আমার ২১তম জন্মদিনের পার্টি, ডানে ছিল ৪ বছর আগে একটা ক্রিসমাস পার্টিতে যখন আমার মদ্যপান সত্যিই খারাপ হতে শুরু করেছিল, আর নীচে বামে ছিল ২০২১ সালের মে মাসে মদ্যপান বন্ধ হয়ে যাওয়ার পর গত মাসের ছবি। আমার কাছে সেই সময়ের কোনও ছবি নেই য"&amp;"খন আমি খুব গভীর মদ্যপানে ছিলাম এবং কাজ করতে পারছিলাম না, কিন্তু ৪ বছর আগের ছবিতে আমি সবেমাত্র শারীরিকভাবে আসক্ত হতে শুরু করেছি।")</f>
        <v>উপরে বামে ছিল ২০০৮ সালে আমার ২১তম জন্মদিনের পার্টি, ডানে ছিল ৪ বছর আগে একটা ক্রিসমাস পার্টিতে যখন আমার মদ্যপান সত্যিই খারাপ হতে শুরু করেছিল, আর নীচে বামে ছিল ২০২১ সালের মে মাসে মদ্যপান বন্ধ হয়ে যাওয়ার পর গত মাসের ছবি। আমার কাছে সেই সময়ের কোনও ছবি নেই যখন আমি খুব গভীর মদ্যপানে ছিলাম এবং কাজ করতে পারছিলাম না, কিন্তু ৪ বছর আগের ছবিতে আমি সবেমাত্র শারীরিকভাবে আসক্ত হতে শুরু করেছি।</v>
      </c>
    </row>
    <row r="1939" spans="1:3" ht="15" x14ac:dyDescent="0.25">
      <c r="A1939" s="3" t="s">
        <v>1932</v>
      </c>
      <c r="B1939" s="3" t="s">
        <v>997</v>
      </c>
      <c r="C1939" s="4" t="str">
        <f ca="1">IFERROR(__xludf.DUMMYFUNCTION("GOOGLETRANSLATE(A1939, ""auto"", ""bn"")"),"৪১২ দিন। আমি খুব খুশি এবং নিজের উপর গর্বিত ছিলাম। গতকাল আমি সিদ্ধান্ত নিয়েছিলাম যে আমি আমার বন্ধুদের সাথে অনুশোচনা ছাড়াই কয়েকটি বিয়ার খেতে পারি। তিনটি বিয়ার। এটা একটা ভুল ছিল, আমি খুব বেশি উদাসীন এবং অপরাধী বোধ করছি। আমি মাতাল ছিলাম না বা আমার হ্যাংও"&amp;"ভার হয়নি। এটা ঠিক? কেন? আমি আই অ্যাম সোবার অ্যাপ ব্যবহার করছি? এখন আবার কাউন্টডাউন শূন্য থেকে শুরু হতে চলেছে? আমারও শূন্যের মতো লাগছে?..")</f>
        <v>৪১২ দিন। আমি খুব খুশি এবং নিজের উপর গর্বিত ছিলাম। গতকাল আমি সিদ্ধান্ত নিয়েছিলাম যে আমি আমার বন্ধুদের সাথে অনুশোচনা ছাড়াই কয়েকটি বিয়ার খেতে পারি। তিনটি বিয়ার। এটা একটা ভুল ছিল, আমি খুব বেশি উদাসীন এবং অপরাধী বোধ করছি। আমি মাতাল ছিলাম না বা আমার হ্যাংওভার হয়নি। এটা ঠিক? কেন? আমি আই অ্যাম সোবার অ্যাপ ব্যবহার করছি? এখন আবার কাউন্টডাউন শূন্য থেকে শুরু হতে চলেছে? আমারও শূন্যের মতো লাগছে?..</v>
      </c>
    </row>
    <row r="1940" spans="1:3" ht="15" x14ac:dyDescent="0.25">
      <c r="A1940" s="3" t="s">
        <v>1933</v>
      </c>
      <c r="B1940" s="3" t="s">
        <v>997</v>
      </c>
      <c r="C1940" s="4" t="str">
        <f ca="1">IFERROR(__xludf.DUMMYFUNCTION("GOOGLETRANSLATE(A1940, ""auto"", ""bn"")"),"শেষবার যখন আমি মদ্যপান করেছিলাম, তখন আমার অবস্থা ভয়াবহ ছিল, এবং আমি যা ভেবেছিলাম তার চেয়েও বেশি অসুস্থ হয়ে পড়েছিলাম। ৪৮ ঘন্টা ধরে কোনও ধরণের তরল পান করতে না পেরে আমি অবশেষে আমার মলত্যাগ করার সিদ্ধান্ত নিলাম। এই সময়টা ঠিক মনে হচ্ছে এবং আজ আমি শক্তিশাল"&amp;"ী বোধ করছি। আমি ৩৬ দিন ধরে আগাছা থেকে মুক্ত, যা আমার জন্য একটি অলৌকিক ঘটনা। সপ্তাহের ধূমপায়ীদের প্রতি আমার কোনও মতামত নেই, এমন কিছু যা আমার কখনও নিয়ন্ত্রণে ছিল না। আজ আমি আমার স্বামীর সাথে এই ডিনারে নাস্তা করতে গিয়েছিলাম, এবং মেনুতে লেখা দেখে খুব অদ্ভু"&amp;"ত লেগেছিল? সোমবার আপনার দিন শুরু করুন ব্লাডি মেরি অর্ধেক বন্ধ করে?, মদ্যপানের কথা ভাবলেই আমার কাঁপুনি লাগে। এই চিন্তায় আমার শরীর খারাপ লাগে।")</f>
        <v>শেষবার যখন আমি মদ্যপান করেছিলাম, তখন আমার অবস্থা ভয়াবহ ছিল, এবং আমি যা ভেবেছিলাম তার চেয়েও বেশি অসুস্থ হয়ে পড়েছিলাম। ৪৮ ঘন্টা ধরে কোনও ধরণের তরল পান করতে না পেরে আমি অবশেষে আমার মলত্যাগ করার সিদ্ধান্ত নিলাম। এই সময়টা ঠিক মনে হচ্ছে এবং আজ আমি শক্তিশালী বোধ করছি। আমি ৩৬ দিন ধরে আগাছা থেকে মুক্ত, যা আমার জন্য একটি অলৌকিক ঘটনা। সপ্তাহের ধূমপায়ীদের প্রতি আমার কোনও মতামত নেই, এমন কিছু যা আমার কখনও নিয়ন্ত্রণে ছিল না। আজ আমি আমার স্বামীর সাথে এই ডিনারে নাস্তা করতে গিয়েছিলাম, এবং মেনুতে লেখা দেখে খুব অদ্ভুত লেগেছিল? সোমবার আপনার দিন শুরু করুন ব্লাডি মেরি অর্ধেক বন্ধ করে?, মদ্যপানের কথা ভাবলেই আমার কাঁপুনি লাগে। এই চিন্তায় আমার শরীর খারাপ লাগে।</v>
      </c>
    </row>
    <row r="1941" spans="1:3" ht="15" x14ac:dyDescent="0.25">
      <c r="A1941" s="3" t="s">
        <v>1934</v>
      </c>
      <c r="B1941" s="3" t="s">
        <v>997</v>
      </c>
      <c r="C1941" s="4" t="str">
        <f ca="1">IFERROR(__xludf.DUMMYFUNCTION("GOOGLETRANSLATE(A1941, ""auto"", ""bn"")"),"আমি আমাদের সম্পর্ক নষ্ট করছি। আমি মাতাল হয়ে যাই এবং তার উপর রেগে যাই, তর্ক করি, তার সাথে খারাপ ব্যবহার করি। তাছাড়া, আমার মনে হয় আমার মদ্যপানের সমস্যা আছে। তাছাড়া, আমি খুব বেশি, খুব বেশি, প্রায়শই মদ্যপান করি। তাছাড়া, আমি থামতে খুব মরিয়া হয়ে চাই। তা"&amp;"ছাড়া, আমি আগেও অনেকবার চেষ্টা করেছি। এবং ব্যর্থ হয়েছি। যখন আমি এমন লোকদের কথা শুনি যারা মদ্যপান করে না, তখন আমার একটু ঈর্ষা হয়। আমি যদি এটা আমার ক্ষেত্রেও হয়। তাছাড়া, আমি সত্যিই আমার স্বাস্থ্য নষ্ট করে দিচ্ছি, হ্যাংওভার এখন 3 দিন স্থায়ী হয়, এই সময়"&amp;"ের মধ্যে আমি সাধারণত আবার মাতাল হয়ে যাই। তাই প্রায় মাতাল অথবা সব সময় হাংওভার। আমার থামা দরকার। আমি থামাতে চাই। তাছাড়া, আমি এখন 20 বছর ধরে মদ্যপান করছি। থামার সময় এসেছে।")</f>
        <v>আমি আমাদের সম্পর্ক নষ্ট করছি। আমি মাতাল হয়ে যাই এবং তার উপর রেগে যাই, তর্ক করি, তার সাথে খারাপ ব্যবহার করি। তাছাড়া, আমার মনে হয় আমার মদ্যপানের সমস্যা আছে। তাছাড়া, আমি খুব বেশি, খুব বেশি, প্রায়শই মদ্যপান করি। তাছাড়া, আমি থামতে খুব মরিয়া হয়ে চাই। তাছাড়া, আমি আগেও অনেকবার চেষ্টা করেছি। এবং ব্যর্থ হয়েছি। যখন আমি এমন লোকদের কথা শুনি যারা মদ্যপান করে না, তখন আমার একটু ঈর্ষা হয়। আমি যদি এটা আমার ক্ষেত্রেও হয়। তাছাড়া, আমি সত্যিই আমার স্বাস্থ্য নষ্ট করে দিচ্ছি, হ্যাংওভার এখন 3 দিন স্থায়ী হয়, এই সময়ের মধ্যে আমি সাধারণত আবার মাতাল হয়ে যাই। তাই প্রায় মাতাল অথবা সব সময় হাংওভার। আমার থামা দরকার। আমি থামাতে চাই। তাছাড়া, আমি এখন 20 বছর ধরে মদ্যপান করছি। থামার সময় এসেছে।</v>
      </c>
    </row>
    <row r="1942" spans="1:3" ht="15" x14ac:dyDescent="0.25">
      <c r="A1942" s="3" t="s">
        <v>1935</v>
      </c>
      <c r="B1942" s="3" t="s">
        <v>997</v>
      </c>
      <c r="C1942" s="4" t="str">
        <f ca="1">IFERROR(__xludf.DUMMYFUNCTION("GOOGLETRANSLATE(A1942, ""auto"", ""bn"")"),"সম্পূর্ণ প্রকাশ: আমার আর কখনও মদ্যপান করার কোনও ইচ্ছা নেই। আমার বয়স ২৪ বছর, এবং আমি সপ্তাহে কখনও মদ্যপান করি না। সপ্তাহান্তে, আমি বন্ধুদের সাথে মদ্যপান করি, কিন্তু সম্প্রতি আমি লক্ষ্য করেছি যে আমি যে মজা করি তা সবসময় মানসিক এবং শারীরিক প্রভাবের যোগ্য নয"&amp;"়। দুই সপ্তাহ আগে শুক্রবার এবং শনিবার উভয় দিনই আমার খুব মজার সময় কেটেছিল, কিন্তু তার পরের ৩ দিন আমার খুব খারাপ লাগছিল। তাই আমি পরের সপ্তাহান্তে মদ্যপান না করার সিদ্ধান্ত নিয়েছিলাম, এবং দেখি কেমন হয়। আমি পেরেছি, এবং এটি এত ভালো লেগেছে যে আমি এই সপ্তাহা"&amp;"ন্তেও মদ্যপান না করার সিদ্ধান্ত নিয়েছি এবং হ্যাঁ, আমার মনে হয়েছে এটি গত সপ্তাহান্তের চেয়েও সহজ। আমার অন্যান্য জিনিসের জন্য অনেক বেশি সময় আছে এবং আমি মানসিকভাবে অনেক ভালো বোধ করি। তদুপরি, আমি মনে করি এটি আমার জন্য একটি দুর্দান্ত ""পরীক্ষা"" ছিল কারণ এট"&amp;"ি আমাকে বুঝতে সাহায্য করেছে যে আমি প্রায়শই কিছু নির্দিষ্ট কার্যকলাপ (একটি গৃহস্থালি, বারে যাওয়া) অ্যালকোহলের সাথে যুক্ত করি, যেখানে এটি এমন হওয়ার দরকার নেই। তদুপরি, আমি মনে করি এটি সত্যিই আমাকে একটি নতুন দৃষ্টিভঙ্গি অর্জন করতে সাহায্য করেছে এবং আমি মনে"&amp;" করি আমি আরও কিছু সময়ের জন্য শান্ত থাকব।")</f>
        <v>সম্পূর্ণ প্রকাশ: আমার আর কখনও মদ্যপান করার কোনও ইচ্ছা নেই। আমার বয়স ২৪ বছর, এবং আমি সপ্তাহে কখনও মদ্যপান করি না। সপ্তাহান্তে, আমি বন্ধুদের সাথে মদ্যপান করি, কিন্তু সম্প্রতি আমি লক্ষ্য করেছি যে আমি যে মজা করি তা সবসময় মানসিক এবং শারীরিক প্রভাবের যোগ্য নয়। দুই সপ্তাহ আগে শুক্রবার এবং শনিবার উভয় দিনই আমার খুব মজার সময় কেটেছিল, কিন্তু তার পরের ৩ দিন আমার খুব খারাপ লাগছিল। তাই আমি পরের সপ্তাহান্তে মদ্যপান না করার সিদ্ধান্ত নিয়েছিলাম, এবং দেখি কেমন হয়। আমি পেরেছি, এবং এটি এত ভালো লেগেছে যে আমি এই সপ্তাহান্তেও মদ্যপান না করার সিদ্ধান্ত নিয়েছি এবং হ্যাঁ, আমার মনে হয়েছে এটি গত সপ্তাহান্তের চেয়েও সহজ। আমার অন্যান্য জিনিসের জন্য অনেক বেশি সময় আছে এবং আমি মানসিকভাবে অনেক ভালো বোধ করি। তদুপরি, আমি মনে করি এটি আমার জন্য একটি দুর্দান্ত "পরীক্ষা" ছিল কারণ এটি আমাকে বুঝতে সাহায্য করেছে যে আমি প্রায়শই কিছু নির্দিষ্ট কার্যকলাপ (একটি গৃহস্থালি, বারে যাওয়া) অ্যালকোহলের সাথে যুক্ত করি, যেখানে এটি এমন হওয়ার দরকার নেই। তদুপরি, আমি মনে করি এটি সত্যিই আমাকে একটি নতুন দৃষ্টিভঙ্গি অর্জন করতে সাহায্য করেছে এবং আমি মনে করি আমি আরও কিছু সময়ের জন্য শান্ত থাকব।</v>
      </c>
    </row>
    <row r="1943" spans="1:3" ht="15" x14ac:dyDescent="0.25">
      <c r="A1943" s="3" t="s">
        <v>1936</v>
      </c>
      <c r="B1943" s="3" t="s">
        <v>997</v>
      </c>
      <c r="C1943" s="4" t="str">
        <f ca="1">IFERROR(__xludf.DUMMYFUNCTION("GOOGLETRANSLATE(A1943, ""auto"", ""bn"")"),"বাবা আমার কয়েক বছর আগে মদ্যপান ছেড়ে দিয়েছিলেন। আমার আগেই সে গলফকে গুরুত্বের সাথে নিয়েছিল। আমার সবচেয়ে ভালো বন্ধু কোর্সে মদ্যপান সীমিত করে খেলতে এসেছিল। আমাদের মধ্যে রসায়ন ছিল টপ গিয়ার/গ্র্যান্ড ট্যুরের তিনজনের মতো। অনেক মজা হয়েছে, অবশেষে আমি আমার বাবাকে"&amp;" হারিয়ে ফেলেছি, আর আমি আমার বন্ধুকেও হারিয়ে ফেলেছি। আগের মতো মদ্যপান করলে এটা সম্ভব হতো না। এমনকি প্রতিবেশীর সাথে সিগারেট খাওয়ার সময় দাবায়ের কয়েকটি খেলাও জিততে পেরেছি। আর কাল আমি ক্ষুধার্ত থাকব না, তাই কিছু পাথর ভেঙে শুটিং রেঞ্জে যেতে পারব। গত এক দশকে এত "&amp;"ভালো জন্মদিনের সপ্তাহান্ত কাটানোর কথা মনে নেই। আবার আমার ২০ বছর বয়সের কোনও জন্মদিন মনে নেই। জীবনের ভালো সময় আসে, কঠিন সময়ও আসে, কিন্তু যতটা কঠিন হওয়া উচিত তার চেয়ে কঠিন না করে মাঝে মাঝেই এটা সহনীয় হয়ে যায়।")</f>
        <v>বাবা আমার কয়েক বছর আগে মদ্যপান ছেড়ে দিয়েছিলেন। আমার আগেই সে গলফকে গুরুত্বের সাথে নিয়েছিল। আমার সবচেয়ে ভালো বন্ধু কোর্সে মদ্যপান সীমিত করে খেলতে এসেছিল। আমাদের মধ্যে রসায়ন ছিল টপ গিয়ার/গ্র্যান্ড ট্যুরের তিনজনের মতো। অনেক মজা হয়েছে, অবশেষে আমি আমার বাবাকে হারিয়ে ফেলেছি, আর আমি আমার বন্ধুকেও হারিয়ে ফেলেছি। আগের মতো মদ্যপান করলে এটা সম্ভব হতো না। এমনকি প্রতিবেশীর সাথে সিগারেট খাওয়ার সময় দাবায়ের কয়েকটি খেলাও জিততে পেরেছি। আর কাল আমি ক্ষুধার্ত থাকব না, তাই কিছু পাথর ভেঙে শুটিং রেঞ্জে যেতে পারব। গত এক দশকে এত ভালো জন্মদিনের সপ্তাহান্ত কাটানোর কথা মনে নেই। আবার আমার ২০ বছর বয়সের কোনও জন্মদিন মনে নেই। জীবনের ভালো সময় আসে, কঠিন সময়ও আসে, কিন্তু যতটা কঠিন হওয়া উচিত তার চেয়ে কঠিন না করে মাঝে মাঝেই এটা সহনীয় হয়ে যায়।</v>
      </c>
    </row>
    <row r="1944" spans="1:3" ht="15" x14ac:dyDescent="0.25">
      <c r="A1944" s="3" t="s">
        <v>1937</v>
      </c>
      <c r="B1944" s="3" t="s">
        <v>997</v>
      </c>
      <c r="C1944" s="4" t="str">
        <f ca="1">IFERROR(__xludf.DUMMYFUNCTION("GOOGLETRANSLATE(A1944, ""auto"", ""bn"")"),"সব ঠিকঠাকই কেটেছে। গত সপ্তাহটা ছিল সবচেয়ে কঠিন, উদ্বেগের ঢেউ আমাকে ব্যথিত করেছিল। কিন্তু আজ রবিবার সকাল, আর আমি ঠিক আছি। ফেব্রুয়ারির শেষে কী করব তা নিয়ে খুব বেশি চিন্তা না করার চেষ্টা করছি। আমার একটা অংশ সংযত হতে চায়, আরেকটা অংশ একেবারেই থামতে চায়, আ"&amp;"র বেশিরভাগ সময় আমি সোফায় শুয়ে থাকতে চাই এবং কোনও কিছু নিয়ে চিন্তা না করে।")</f>
        <v>সব ঠিকঠাকই কেটেছে। গত সপ্তাহটা ছিল সবচেয়ে কঠিন, উদ্বেগের ঢেউ আমাকে ব্যথিত করেছিল। কিন্তু আজ রবিবার সকাল, আর আমি ঠিক আছি। ফেব্রুয়ারির শেষে কী করব তা নিয়ে খুব বেশি চিন্তা না করার চেষ্টা করছি। আমার একটা অংশ সংযত হতে চায়, আরেকটা অংশ একেবারেই থামতে চায়, আর বেশিরভাগ সময় আমি সোফায় শুয়ে থাকতে চাই এবং কোনও কিছু নিয়ে চিন্তা না করে।</v>
      </c>
    </row>
    <row r="1945" spans="1:3" ht="15" x14ac:dyDescent="0.25">
      <c r="A1945" s="3" t="s">
        <v>1937</v>
      </c>
      <c r="B1945" s="3" t="s">
        <v>997</v>
      </c>
      <c r="C1945" s="4" t="str">
        <f ca="1">IFERROR(__xludf.DUMMYFUNCTION("GOOGLETRANSLATE(A1945, ""auto"", ""bn"")"),"সব ঠিকঠাকই কেটেছে। গত সপ্তাহটা ছিল সবচেয়ে কঠিন, উদ্বেগের ঢেউ আমাকে ব্যথিত করেছিল। কিন্তু আজ রবিবার সকাল, আর আমি ঠিক আছি। ফেব্রুয়ারির শেষে কী করব তা নিয়ে খুব বেশি চিন্তা না করার চেষ্টা করছি। আমার একটা অংশ সংযত হতে চায়, আরেকটা অংশ একেবারেই থামতে চায়, আ"&amp;"র বেশিরভাগ সময় আমি সোফায় শুয়ে থাকতে চাই এবং কোনও কিছু নিয়ে চিন্তা না করে।")</f>
        <v>সব ঠিকঠাকই কেটেছে। গত সপ্তাহটা ছিল সবচেয়ে কঠিন, উদ্বেগের ঢেউ আমাকে ব্যথিত করেছিল। কিন্তু আজ রবিবার সকাল, আর আমি ঠিক আছি। ফেব্রুয়ারির শেষে কী করব তা নিয়ে খুব বেশি চিন্তা না করার চেষ্টা করছি। আমার একটা অংশ সংযত হতে চায়, আরেকটা অংশ একেবারেই থামতে চায়, আর বেশিরভাগ সময় আমি সোফায় শুয়ে থাকতে চাই এবং কোনও কিছু নিয়ে চিন্তা না করে।</v>
      </c>
    </row>
    <row r="1946" spans="1:3" ht="15" x14ac:dyDescent="0.25">
      <c r="A1946" s="3" t="s">
        <v>1938</v>
      </c>
      <c r="B1946" s="3" t="s">
        <v>997</v>
      </c>
      <c r="C1946" s="4" t="str">
        <f ca="1">IFERROR(__xludf.DUMMYFUNCTION("GOOGLETRANSLATE(A1946, ""auto"", ""bn"")"),"এটা আমার সঙ্গীর জন্মদিন ছিল তাই বেশিরভাগই তার বন্ধুরা ছিল। আমি প্রায় ২ ঘন্টা ছিলাম। আমার শরীর একটু অস্বস্তিকর লাগছিল এবং আমি মদ্যপানের সময় যতটা আড্ডা দিতাম ততটা ছিলাম না, তবুও আমি কথা বলতে পেরেছিলাম এবং কিছু লোককে হাসিয়েছিলাম। আমি মজা করছি না, আমার মনে"&amp;" নেই ১৫ বছর বয়স থেকে, প্রথমবার মদ্যপানের আগে, মদ্যপান ছাড়া কোনও পার্টিতে গিয়েছিলাম। আমি সপ্তাহান্তে প্রচুর পরিমাণে মদ্যপান করেছি এবং এখন ৫ সপ্তাহ ধরে আমি শান্ত। যাই হোক, তারপর ভারী ওষুধ বেরিয়ে এলো, এবং আমি ""হারিয়ে যাওয়ার ভয়?"" সামলাতে পারছিলাম না।"&amp;" তাই আমি চলে গেলাম। শুধু যোগ করার জন্য, আমার সঙ্গী কেবল মদ্যপান করে (কোনও মাদক নয়), এবং সে আমাকে যখন ইচ্ছা বাড়ি যেতে উৎসাহিত করেছিল কারণ সে জানে আমি আমার যাত্রার শুরুতে আছি।")</f>
        <v>এটা আমার সঙ্গীর জন্মদিন ছিল তাই বেশিরভাগই তার বন্ধুরা ছিল। আমি প্রায় ২ ঘন্টা ছিলাম। আমার শরীর একটু অস্বস্তিকর লাগছিল এবং আমি মদ্যপানের সময় যতটা আড্ডা দিতাম ততটা ছিলাম না, তবুও আমি কথা বলতে পেরেছিলাম এবং কিছু লোককে হাসিয়েছিলাম। আমি মজা করছি না, আমার মনে নেই ১৫ বছর বয়স থেকে, প্রথমবার মদ্যপানের আগে, মদ্যপান ছাড়া কোনও পার্টিতে গিয়েছিলাম। আমি সপ্তাহান্তে প্রচুর পরিমাণে মদ্যপান করেছি এবং এখন ৫ সপ্তাহ ধরে আমি শান্ত। যাই হোক, তারপর ভারী ওষুধ বেরিয়ে এলো, এবং আমি "হারিয়ে যাওয়ার ভয়?" সামলাতে পারছিলাম না। তাই আমি চলে গেলাম। শুধু যোগ করার জন্য, আমার সঙ্গী কেবল মদ্যপান করে (কোনও মাদক নয়), এবং সে আমাকে যখন ইচ্ছা বাড়ি যেতে উৎসাহিত করেছিল কারণ সে জানে আমি আমার যাত্রার শুরুতে আছি।</v>
      </c>
    </row>
    <row r="1947" spans="1:3" ht="15" x14ac:dyDescent="0.25">
      <c r="A1947" s="3" t="s">
        <v>1939</v>
      </c>
      <c r="B1947" s="3" t="s">
        <v>997</v>
      </c>
      <c r="C1947" s="4" t="str">
        <f ca="1">IFERROR(__xludf.DUMMYFUNCTION("GOOGLETRANSLATE(A1947, ""auto"", ""bn"")"),"এটা আমার সঙ্গীর জন্মদিন ছিল তাই বেশিরভাগই তার বন্ধুরা ছিল। আমি প্রায় ২ ঘন্টা ছিলাম। আমার শরীর একটু অস্বস্তিকর লাগছিল এবং আমি মদ্যপানের সময় যতটা আড্ডা দিতাম ততটা ছিলাম না, তবুও আমি কথা বলতে পেরেছিলাম এবং কিছু লোককে হাসিয়েছিলাম। আমি মজা করছি না, আমার মনে"&amp;" নেই ১৫ বছর বয়স থেকে, প্রথমবার মদ্যপানের আগে, মদ্যপান ছাড়া কোনও পার্টিতে গিয়েছিলাম। আমি সপ্তাহান্তে প্রচুর পরিমাণে মদ্যপান করেছি এবং এখন ৫ সপ্তাহ ধরে আমি শান্ত। যাই হোক, তারপর ভারী ওষুধ বেরিয়ে এল, এবং আমি ""হারিয়ে যাওয়ার ভয়?"" সহ্য করতে পারছিলাম না"&amp;", তাই আমি চলে গেলাম। শুধু যোগ করার জন্য, আমার সঙ্গী কেবল মদ্যপান করে (কোনও মাদক নেই), এবং সে আমাকে যখনই ইচ্ছা বাড়ি যেতে উৎসাহিত করেছিল কারণ সে জানে যে আমি আমার যাত্রার শুরুতে আছি। আমি বাড়িতে আরামে থাকতে পেরে খুশি, কিন্তু আমি এখনও ""ওহ, থাকা এবং বন্ধন কর"&amp;"া এবং প্রচুর মাদক এবং মদ্যপান করা দুর্দান্ত হত?"" বলে যন্ত্রণা পাচ্ছি। কিন্তু আমি মিস করছি না। আমাকে নিজেকে বারবার মনে করিয়ে দিতে হবে। আগামীকাল ঘুম থেকে উঠে আমি মনে করব কেন আমি সংযত থাকার সিদ্ধান্ত নিয়েছিলাম।")</f>
        <v>এটা আমার সঙ্গীর জন্মদিন ছিল তাই বেশিরভাগই তার বন্ধুরা ছিল। আমি প্রায় ২ ঘন্টা ছিলাম। আমার শরীর একটু অস্বস্তিকর লাগছিল এবং আমি মদ্যপানের সময় যতটা আড্ডা দিতাম ততটা ছিলাম না, তবুও আমি কথা বলতে পেরেছিলাম এবং কিছু লোককে হাসিয়েছিলাম। আমি মজা করছি না, আমার মনে নেই ১৫ বছর বয়স থেকে, প্রথমবার মদ্যপানের আগে, মদ্যপান ছাড়া কোনও পার্টিতে গিয়েছিলাম। আমি সপ্তাহান্তে প্রচুর পরিমাণে মদ্যপান করেছি এবং এখন ৫ সপ্তাহ ধরে আমি শান্ত। যাই হোক, তারপর ভারী ওষুধ বেরিয়ে এল, এবং আমি "হারিয়ে যাওয়ার ভয়?" সহ্য করতে পারছিলাম না, তাই আমি চলে গেলাম। শুধু যোগ করার জন্য, আমার সঙ্গী কেবল মদ্যপান করে (কোনও মাদক নেই), এবং সে আমাকে যখনই ইচ্ছা বাড়ি যেতে উৎসাহিত করেছিল কারণ সে জানে যে আমি আমার যাত্রার শুরুতে আছি। আমি বাড়িতে আরামে থাকতে পেরে খুশি, কিন্তু আমি এখনও "ওহ, থাকা এবং বন্ধন করা এবং প্রচুর মাদক এবং মদ্যপান করা দুর্দান্ত হত?" বলে যন্ত্রণা পাচ্ছি। কিন্তু আমি মিস করছি না। আমাকে নিজেকে বারবার মনে করিয়ে দিতে হবে। আগামীকাল ঘুম থেকে উঠে আমি মনে করব কেন আমি সংযত থাকার সিদ্ধান্ত নিয়েছিলাম।</v>
      </c>
    </row>
    <row r="1948" spans="1:3" ht="15" x14ac:dyDescent="0.25">
      <c r="A1948" s="3" t="s">
        <v>1940</v>
      </c>
      <c r="B1948" s="3" t="s">
        <v>997</v>
      </c>
      <c r="C1948" s="4" t="str">
        <f ca="1">IFERROR(__xludf.DUMMYFUNCTION("GOOGLETRANSLATE(A1948, ""auto"", ""bn"")"),"আমি জানি TRW সকালটা আমার নিজের উপর হতাশ হবে এবং খারাপ লাগবে। আজ সকালে আমার খুব ভালো লেগেছে এবং গত রাতে আমার লোভের কাছে হার না মানায় বলে আমি কৃতজ্ঞ। অ্যালকোহল আমাকে খুশি করবে না, শুধু মাতাল করে দেবে। আমি শুধু পান করতে চাই কারণ আমি একটু বিরক্ত এবং বিরক্ত।")</f>
        <v>আমি জানি TRW সকালটা আমার নিজের উপর হতাশ হবে এবং খারাপ লাগবে। আজ সকালে আমার খুব ভালো লেগেছে এবং গত রাতে আমার লোভের কাছে হার না মানায় বলে আমি কৃতজ্ঞ। অ্যালকোহল আমাকে খুশি করবে না, শুধু মাতাল করে দেবে। আমি শুধু পান করতে চাই কারণ আমি একটু বিরক্ত এবং বিরক্ত।</v>
      </c>
    </row>
    <row r="1949" spans="1:3" ht="15" x14ac:dyDescent="0.25">
      <c r="A1949" s="3" t="s">
        <v>1941</v>
      </c>
      <c r="B1949" s="3" t="s">
        <v>997</v>
      </c>
      <c r="C1949" s="4" t="str">
        <f ca="1">IFERROR(__xludf.DUMMYFUNCTION("GOOGLETRANSLATE(A1949, ""auto"", ""bn"")"),"গত সপ্তাহে বন্ধুদের সাথে রাতে বেরোনোর ​​সময় আমার ক্ষোভ বেড়ে গিয়েছিল, আর এটা আমাকে ভয় পাইয়ে দিয়েছিল। যদিও এর আগে, আমার মনে হয় যেন আমি অভ্যাসগতভাবে মদ্যপানের উপর নির্ভরশীল ছিলাম। যখন সপ্তাহান্ত আসত, বিয়ার। কিন্তু তার পরে আমি সবসময় আরও বেশি চাইতাম কারণ "&amp;"""আমি মাতাল ছিলাম না তাই আমি আরও বেশি সামলাতে পারতাম""। আমি আমার জীবন থেকে মদ্যপান বাদ দিতে চাই। আমি যথেষ্ট খেয়েছি। তাছাড়া, আমার একটি ছোট মেয়ে এবং একজন প্রেমময় স্ত্রী আছে। যেকোনো প্রলোভন দমন করার জন্য আপনি কী পরামর্শ দেবেন?")</f>
        <v>গত সপ্তাহে বন্ধুদের সাথে রাতে বেরোনোর ​​সময় আমার ক্ষোভ বেড়ে গিয়েছিল, আর এটা আমাকে ভয় পাইয়ে দিয়েছিল। যদিও এর আগে, আমার মনে হয় যেন আমি অভ্যাসগতভাবে মদ্যপানের উপর নির্ভরশীল ছিলাম। যখন সপ্তাহান্ত আসত, বিয়ার। কিন্তু তার পরে আমি সবসময় আরও বেশি চাইতাম কারণ "আমি মাতাল ছিলাম না তাই আমি আরও বেশি সামলাতে পারতাম"। আমি আমার জীবন থেকে মদ্যপান বাদ দিতে চাই। আমি যথেষ্ট খেয়েছি। তাছাড়া, আমার একটি ছোট মেয়ে এবং একজন প্রেমময় স্ত্রী আছে। যেকোনো প্রলোভন দমন করার জন্য আপনি কী পরামর্শ দেবেন?</v>
      </c>
    </row>
    <row r="1950" spans="1:3" ht="15" x14ac:dyDescent="0.25">
      <c r="A1950" s="3" t="s">
        <v>1942</v>
      </c>
      <c r="B1950" s="3" t="s">
        <v>997</v>
      </c>
      <c r="C1950" s="4" t="str">
        <f ca="1">IFERROR(__xludf.DUMMYFUNCTION("GOOGLETRANSLATE(A1950, ""auto"", ""bn"")"),"আমার স্ত্রী, আমার ভাই এবং এক বন্ধুর সাথে বাইরে বেরিয়েছিলাম। জীবনে প্রথমবারের মতো আমি ডিডি ছিলাম। আমার প্রিয় মানুষদের জন্য ভালো সময় কাটাতে পেরে সত্যিই ভালো লাগছে। সত্যি বলতে, এটি ছিল আমার খুব পছন্দের কয়েকটি রাতের মধ্যে একটি, তবে আমি খুশি এবং কৃতজ্ঞ যে "&amp;"আমি যখন ইচ্ছা তখন পান না করার ক্ষমতা পেয়েছি। অতীতের খারাপ অভ্যাসগুলি পরিবর্তন করতে এখনও আমার অনেক পথ পাড়ি দিতে হবে, তবে আজকের রাতটি অ্যালকোহলের সাথে আমার সম্পর্ক পরিবর্তনের ক্ষেত্রে একটি ছোট জয়ের মতো মনে হয়েছে।")</f>
        <v>আমার স্ত্রী, আমার ভাই এবং এক বন্ধুর সাথে বাইরে বেরিয়েছিলাম। জীবনে প্রথমবারের মতো আমি ডিডি ছিলাম। আমার প্রিয় মানুষদের জন্য ভালো সময় কাটাতে পেরে সত্যিই ভালো লাগছে। সত্যি বলতে, এটি ছিল আমার খুব পছন্দের কয়েকটি রাতের মধ্যে একটি, তবে আমি খুশি এবং কৃতজ্ঞ যে আমি যখন ইচ্ছা তখন পান না করার ক্ষমতা পেয়েছি। অতীতের খারাপ অভ্যাসগুলি পরিবর্তন করতে এখনও আমার অনেক পথ পাড়ি দিতে হবে, তবে আজকের রাতটি অ্যালকোহলের সাথে আমার সম্পর্ক পরিবর্তনের ক্ষেত্রে একটি ছোট জয়ের মতো মনে হয়েছে।</v>
      </c>
    </row>
    <row r="1951" spans="1:3" ht="15" x14ac:dyDescent="0.25">
      <c r="A1951" s="3" t="s">
        <v>1943</v>
      </c>
      <c r="B1951" s="3" t="s">
        <v>997</v>
      </c>
      <c r="C1951" s="4" t="str">
        <f ca="1">IFERROR(__xludf.DUMMYFUNCTION("GOOGLETRANSLATE(A1951, ""auto"", ""bn"")"),"আমার প্রেমিকের কাছ থেকে একটা মেসেজ পেলাম, অফিস থেকে বাড়ি ফেরার পথে ওর জন্য মাথাব্যথার ওষুধ আনতে পারব কিনা। এখন, আসলে কিছুই ""আমার পথে"" নেই - আমাকে বাড়ি থেকে উল্টো দিকে গাড়ি চালিয়ে যেতে হয় যেখানে কিছু বিক্রি হয়। দীর্ঘ সপ্তাহ ধরে দেরিতে কাজে আসার পর,"&amp;" এখন আমার শরীর শান্ত, তাই কি আমি আমার শেষ দিনটিকে আমার পথ থেকে আলাদা করে ফেলতে চেয়েছিলাম? হা হা, না। কিন্তু (হে) আমি কেবল ক্লান্ত ছিলাম, মদের জন্য উন্মত্তভাবে আকুল ছিলাম না, নিজেকে সামলানোর জন্য বাড়িতে ফিরে কিছু পানীয় পান করার তীব্র প্রয়োজন ছিল না। তা"&amp;"ই আমি ন্যূনতম (অভ্যন্তরীণ) অভিযোগের সাথে তাকে তার ওষুধ দিতে পেরেছিলাম এবং সাধারণত স্বার্থপর মাতালের পরিবর্তে একজন ভালো বান্ধবী হতে পেরেছিলাম, কেবল তার বিষের দিকে মনোযোগ দিয়ে।")</f>
        <v>আমার প্রেমিকের কাছ থেকে একটা মেসেজ পেলাম, অফিস থেকে বাড়ি ফেরার পথে ওর জন্য মাথাব্যথার ওষুধ আনতে পারব কিনা। এখন, আসলে কিছুই "আমার পথে" নেই - আমাকে বাড়ি থেকে উল্টো দিকে গাড়ি চালিয়ে যেতে হয় যেখানে কিছু বিক্রি হয়। দীর্ঘ সপ্তাহ ধরে দেরিতে কাজে আসার পর, এখন আমার শরীর শান্ত, তাই কি আমি আমার শেষ দিনটিকে আমার পথ থেকে আলাদা করে ফেলতে চেয়েছিলাম? হা হা, না। কিন্তু (হে) আমি কেবল ক্লান্ত ছিলাম, মদের জন্য উন্মত্তভাবে আকুল ছিলাম না, নিজেকে সামলানোর জন্য বাড়িতে ফিরে কিছু পানীয় পান করার তীব্র প্রয়োজন ছিল না। তাই আমি ন্যূনতম (অভ্যন্তরীণ) অভিযোগের সাথে তাকে তার ওষুধ দিতে পেরেছিলাম এবং সাধারণত স্বার্থপর মাতালের পরিবর্তে একজন ভালো বান্ধবী হতে পেরেছিলাম, কেবল তার বিষের দিকে মনোযোগ দিয়ে।</v>
      </c>
    </row>
    <row r="1952" spans="1:3" ht="15" x14ac:dyDescent="0.25">
      <c r="A1952" s="3" t="s">
        <v>1944</v>
      </c>
      <c r="B1952" s="3" t="s">
        <v>997</v>
      </c>
      <c r="C1952" s="4" t="str">
        <f ca="1">IFERROR(__xludf.DUMMYFUNCTION("GOOGLETRANSLATE(A1952, ""auto"", ""bn"")"),"হয়তো আরও কিছু উদাহরণ আছে। কিন্তু সিগারেট ছেড়ে দেওয়ার সময় কেউ আশা করে না যে তুমি ধূমপায়ীদের সাথে বাইরে আড্ডা দেবে। যারা ক্র্যাক আসক্ত, তারা সুস্থ হয়ে উঠছে, তাদের কাছ থেকে কেউ ক্র্যাক করতে দেখবে বলে আশা করা যায় না। আর তবুও আমি মদ্যপানে ভরা, পরিবারের লোকজন শ"&amp;"হরের বাইরে ঘুরতে আসে। (এখনও) কিছুই অগোছালো নয়, কিন্তু যদি নাও হয়, তাহলে আমি চলে গেলে অভদ্রতা হবে। আমি কখনো তাদের সাথে দেখা করতে পারি না, এটা একরকম বিরক্তিকর যে আমাকে এই পরিস্থিতিতে থাকতে হবে এবং নিজের এবং আমার সমস্যাগুলির সমাধান করতে হবে। এইভাবে চিকিৎসা ক"&amp;"রা অন্যান্য আসক্তি সম্পর্কে ভাবতে আমার কষ্ট হচ্ছে। তাছাড়া, আমি ভালো আছি, আমার এখনও সীমানা আছে, এটা ঠিক নয়, এবং আমি অভিযোগ করতে চাই!")</f>
        <v>হয়তো আরও কিছু উদাহরণ আছে। কিন্তু সিগারেট ছেড়ে দেওয়ার সময় কেউ আশা করে না যে তুমি ধূমপায়ীদের সাথে বাইরে আড্ডা দেবে। যারা ক্র্যাক আসক্ত, তারা সুস্থ হয়ে উঠছে, তাদের কাছ থেকে কেউ ক্র্যাক করতে দেখবে বলে আশা করা যায় না। আর তবুও আমি মদ্যপানে ভরা, পরিবারের লোকজন শহরের বাইরে ঘুরতে আসে। (এখনও) কিছুই অগোছালো নয়, কিন্তু যদি নাও হয়, তাহলে আমি চলে গেলে অভদ্রতা হবে। আমি কখনো তাদের সাথে দেখা করতে পারি না, এটা একরকম বিরক্তিকর যে আমাকে এই পরিস্থিতিতে থাকতে হবে এবং নিজের এবং আমার সমস্যাগুলির সমাধান করতে হবে। এইভাবে চিকিৎসা করা অন্যান্য আসক্তি সম্পর্কে ভাবতে আমার কষ্ট হচ্ছে। তাছাড়া, আমি ভালো আছি, আমার এখনও সীমানা আছে, এটা ঠিক নয়, এবং আমি অভিযোগ করতে চাই!</v>
      </c>
    </row>
    <row r="1953" spans="1:3" ht="15" x14ac:dyDescent="0.25">
      <c r="A1953" s="3" t="s">
        <v>1945</v>
      </c>
      <c r="B1953" s="3" t="s">
        <v>997</v>
      </c>
      <c r="C1953" s="4" t="str">
        <f ca="1">IFERROR(__xludf.DUMMYFUNCTION("GOOGLETRANSLATE(A1953, ""auto"", ""bn"")"),"আমি ১৭তম দিনে আছি এবং এখনও ক্লান্ত এবং শারীরিকভাবে দুর্বল বোধ করছি। আমি ভালো খাচ্ছি এবং সাপ্লিমেন্ট খাচ্ছি। পানি পান করছি। কয়েকদিন আগে থেকে ব্লাডওয়ার্ম ভালো আছে। যেকোনো উৎসাহব্যঞ্জক কথার জন্য আমি কৃতজ্ঞ।")</f>
        <v>আমি ১৭তম দিনে আছি এবং এখনও ক্লান্ত এবং শারীরিকভাবে দুর্বল বোধ করছি। আমি ভালো খাচ্ছি এবং সাপ্লিমেন্ট খাচ্ছি। পানি পান করছি। কয়েকদিন আগে থেকে ব্লাডওয়ার্ম ভালো আছে। যেকোনো উৎসাহব্যঞ্জক কথার জন্য আমি কৃতজ্ঞ।</v>
      </c>
    </row>
    <row r="1954" spans="1:3" ht="15" x14ac:dyDescent="0.25">
      <c r="A1954" s="3" t="s">
        <v>1946</v>
      </c>
      <c r="B1954" s="3" t="s">
        <v>997</v>
      </c>
      <c r="C1954" s="4" t="str">
        <f ca="1">IFERROR(__xludf.DUMMYFUNCTION("GOOGLETRANSLATE(A1954, ""auto"", ""bn"")"),"গত ১০ বছরে মদের পেছনে আমি যা খরচ করেছি তার তুলনায় এটা একটা মোটামুটি (সত্যি বলতে, সম্ভবত খুব কম দামের)। ৯৫,২৫০ ডলারের দুর্দশা। আমি এটা অবসর, শখ বা ছুটি কাটানোর জন্য ব্যবহার করতে পারতাম, যা আসলে আমার মনে থাকবে। আমি সবসময় এটা যোগ করতে ভয় পেতাম, কিন্তু কে জান"&amp;"তে চায়। প্রথম ৫ বছর আমি দামি স্কচ পান করে কাটিয়েছি তা তো বাদই দিলাম। অবশ্যই, সমস্ত মদ্যপদের মতো, আমি সস্তা হতে পারার ব্যাপারে ধূর্ত ছিলাম তাই প্রথম কয়েক বছর উপভোগ করতে পারতাম যতক্ষণ না অনিবার্য সর্পিল। অন্ধকার জায়গায় পড়ে যাই যেখানে অন্য লোকটি লুকিয়ে থাকে।"&amp;" তারপর তার সাথে আরও ১০টি সময় কাটাই যতক্ষণ না আমি অজ্ঞান হয়ে যাই এবং ভুলে যাই যে আমরা কে। বাস্তবতা হলো আমি এভাবে থাকতে পারছি না। মানসিক, শারীরিক, এমনকি আর্থিকভাবেও। আমার মনে হয় আমি অবশেষে অন্য লোকটিকে এত ঘৃণা করতে শিখছি যে আমি নিজেকে একটু বেশি পছন্দ করি।")</f>
        <v>গত ১০ বছরে মদের পেছনে আমি যা খরচ করেছি তার তুলনায় এটা একটা মোটামুটি (সত্যি বলতে, সম্ভবত খুব কম দামের)। ৯৫,২৫০ ডলারের দুর্দশা। আমি এটা অবসর, শখ বা ছুটি কাটানোর জন্য ব্যবহার করতে পারতাম, যা আসলে আমার মনে থাকবে। আমি সবসময় এটা যোগ করতে ভয় পেতাম, কিন্তু কে জানতে চায়। প্রথম ৫ বছর আমি দামি স্কচ পান করে কাটিয়েছি তা তো বাদই দিলাম। অবশ্যই, সমস্ত মদ্যপদের মতো, আমি সস্তা হতে পারার ব্যাপারে ধূর্ত ছিলাম তাই প্রথম কয়েক বছর উপভোগ করতে পারতাম যতক্ষণ না অনিবার্য সর্পিল। অন্ধকার জায়গায় পড়ে যাই যেখানে অন্য লোকটি লুকিয়ে থাকে। তারপর তার সাথে আরও ১০টি সময় কাটাই যতক্ষণ না আমি অজ্ঞান হয়ে যাই এবং ভুলে যাই যে আমরা কে। বাস্তবতা হলো আমি এভাবে থাকতে পারছি না। মানসিক, শারীরিক, এমনকি আর্থিকভাবেও। আমার মনে হয় আমি অবশেষে অন্য লোকটিকে এত ঘৃণা করতে শিখছি যে আমি নিজেকে একটু বেশি পছন্দ করি।</v>
      </c>
    </row>
    <row r="1955" spans="1:3" ht="15" x14ac:dyDescent="0.25">
      <c r="A1955" s="3" t="s">
        <v>1947</v>
      </c>
      <c r="B1955" s="3" t="s">
        <v>997</v>
      </c>
      <c r="C1955" s="4" t="str">
        <f ca="1">IFERROR(__xludf.DUMMYFUNCTION("GOOGLETRANSLATE(A1955, ""auto"", ""bn"")"),"অনেকবার রিস্টার্ট করার পর। আবারও শুরু করার জন্য কোভিডকে ধন্যবাদ জানাতে চাই। শেষ পানীয়টি ছিল ৮ম। ১০ দিন উদযাপন করছি, যার মধ্যে দুটি শুক্রবার এবং এখন শনিবার রাত রয়েছে, যার মধ্যে রয়েছে কোনও মদ ছাড়াই। অসুস্থ হওয়ার পর অবশেষে যখন আমি ভালো বোধ করতে শুরু করি"&amp;", তখন আমি এতটাই আশা করি যে দুর্বল অবস্থায় আর একবার পান করার মতো সুস্থ বোধ করছি না, আমি এক মুহূর্ত সময় কাটাতে পারি। আমি প্রতিদিন সন্ধ্যায় খুব ক্লান্ত এবং একঘেয়ে বোধ করি। আংশিকভাবে এখনও সুস্থ হয়ে ওঠার কারণে, কিন্তু কারণ আমি শান্ত হয়ে উঠছি এবং জীবনকে জ"&amp;"ীবন হিসেবে গ্রহণ করছি। এটিকে অসাড় করে দিচ্ছি না। শুধু কিছু ইতিবাচক চিন্তাভাবনা আমার দিকে ঠেলে দেব? এবং আমার শেষ দীর্ঘতম ২১ দিনের স্টেন্টের পর থেকে এটি পুরো এক বছর হয়ে যাবে। অন্তত ১৫ বছরে।")</f>
        <v>অনেকবার রিস্টার্ট করার পর। আবারও শুরু করার জন্য কোভিডকে ধন্যবাদ জানাতে চাই। শেষ পানীয়টি ছিল ৮ম। ১০ দিন উদযাপন করছি, যার মধ্যে দুটি শুক্রবার এবং এখন শনিবার রাত রয়েছে, যার মধ্যে রয়েছে কোনও মদ ছাড়াই। অসুস্থ হওয়ার পর অবশেষে যখন আমি ভালো বোধ করতে শুরু করি, তখন আমি এতটাই আশা করি যে দুর্বল অবস্থায় আর একবার পান করার মতো সুস্থ বোধ করছি না, আমি এক মুহূর্ত সময় কাটাতে পারি। আমি প্রতিদিন সন্ধ্যায় খুব ক্লান্ত এবং একঘেয়ে বোধ করি। আংশিকভাবে এখনও সুস্থ হয়ে ওঠার কারণে, কিন্তু কারণ আমি শান্ত হয়ে উঠছি এবং জীবনকে জীবন হিসেবে গ্রহণ করছি। এটিকে অসাড় করে দিচ্ছি না। শুধু কিছু ইতিবাচক চিন্তাভাবনা আমার দিকে ঠেলে দেব? এবং আমার শেষ দীর্ঘতম ২১ দিনের স্টেন্টের পর থেকে এটি পুরো এক বছর হয়ে যাবে। অন্তত ১৫ বছরে।</v>
      </c>
    </row>
    <row r="1956" spans="1:3" ht="15" x14ac:dyDescent="0.25">
      <c r="A1956" s="3" t="s">
        <v>1948</v>
      </c>
      <c r="B1956" s="3" t="s">
        <v>997</v>
      </c>
      <c r="C1956" s="4" t="str">
        <f ca="1">IFERROR(__xludf.DUMMYFUNCTION("GOOGLETRANSLATE(A1956, ""auto"", ""bn"")"),"প্রায় এক বছর ধরে একটা মদ্যপানও করিনি। কিন্তু আজকের দিনের একটা ব্যাপার আমাকে লোভ এড়িয়ে চলা কঠিন করে তুলছে। দিনটা খুব সুন্দর কিন্তু ভেতরে ভেতরে শূন্যতা অনুভব করছি, কারণ আমার মনে হয় আমি এখনও একা এবং এক গ্লাস ওয়াইন এখন খুব ভালো লাগবে। আজকের দিনটা পার করার জন্"&amp;"য আমার শুভকামনা। সম্পাদনা: গতকাল আমি পার করে ফেলেছি। আপনাদের সকলের সদয় কথার জন্য ধন্যবাদ। তারা আমার বলার চেয়ে বেশি সাহায্য করেছে।")</f>
        <v>প্রায় এক বছর ধরে একটা মদ্যপানও করিনি। কিন্তু আজকের দিনের একটা ব্যাপার আমাকে লোভ এড়িয়ে চলা কঠিন করে তুলছে। দিনটা খুব সুন্দর কিন্তু ভেতরে ভেতরে শূন্যতা অনুভব করছি, কারণ আমার মনে হয় আমি এখনও একা এবং এক গ্লাস ওয়াইন এখন খুব ভালো লাগবে। আজকের দিনটা পার করার জন্য আমার শুভকামনা। সম্পাদনা: গতকাল আমি পার করে ফেলেছি। আপনাদের সকলের সদয় কথার জন্য ধন্যবাদ। তারা আমার বলার চেয়ে বেশি সাহায্য করেছে।</v>
      </c>
    </row>
    <row r="1957" spans="1:3" ht="15" x14ac:dyDescent="0.25">
      <c r="A1957" s="3" t="s">
        <v>1949</v>
      </c>
      <c r="B1957" s="3" t="s">
        <v>997</v>
      </c>
      <c r="C1957" s="4" t="str">
        <f ca="1">IFERROR(__xludf.DUMMYFUNCTION("GOOGLETRANSLATE(A1957, ""auto"", ""bn"")"),"সম্ভবত TW, কারণ এটি ওজনের সাথেও সম্পর্কিত। আমি সংখ্যা ব্যবহার করব না, আমি জানি এটি কারও কারও জন্য ট্রিগার হতে পারে। আমি কেবল তখনই আমার ওজনের উপর নজর রাখি যখন আমার অবশ্যই কিছু কমানোর প্রয়োজন হয়, অন্যথায় আমি এটি সম্পর্কে বেশ নমনীয়। এই মুহূর্তে আমার Fitb"&amp;"it-এ আমার ওজনের লক্ষ্যটি আমি পূর্বে রেকর্ড করা সর্বনিম্ন ওজনের জন্য সেট করেছি। আগের ওজনটি ছিল 2016 থেকে - আমার পুনরুত্থানের আগে। সেখানে আমার শেষ রেকর্ড করা ওজন আমার শেষ পুনরুদ্ধারের সেই বিন্দুর প্রতীক যেখানে আমি বুঝতে পেরেছিলাম যে আমি যা ভেবেছিলাম তার চেয"&amp;"়ে বেশি হ্রাস পেয়েছি (স্পষ্টতই, এখনও সুস্থ ওজন) এবং এটি ট্র্যাক করা বন্ধ করার জন্য যথেষ্ট আত্মবিশ্বাসী ছিলাম। আমার আত্মবিশ্বাস ছিল যে আমি ততক্ষণে সেই ওজনের আশেপাশে থাকব এবং খুব বেশি আচ্ছন্ন হতে চাইনি কারণ আমি সুস্থ অঞ্চলে ফিরে এসেছি এবং কয়েক পাউন্ড কমাত"&amp;"ে বা বাড়াতেও ঠিক থাকব। এবং আমি ঠিক ছিলাম। 2016 সালের শেষের দিকে আমি পুনরায় অ্যালকোহলে আক্রান্ত না হওয়া পর্যন্ত; তারপর সবকিছু আবার শুরু হয় এবং তারপরে কিছুটা।")</f>
        <v>সম্ভবত TW, কারণ এটি ওজনের সাথেও সম্পর্কিত। আমি সংখ্যা ব্যবহার করব না, আমি জানি এটি কারও কারও জন্য ট্রিগার হতে পারে। আমি কেবল তখনই আমার ওজনের উপর নজর রাখি যখন আমার অবশ্যই কিছু কমানোর প্রয়োজন হয়, অন্যথায় আমি এটি সম্পর্কে বেশ নমনীয়। এই মুহূর্তে আমার Fitbit-এ আমার ওজনের লক্ষ্যটি আমি পূর্বে রেকর্ড করা সর্বনিম্ন ওজনের জন্য সেট করেছি। আগের ওজনটি ছিল 2016 থেকে - আমার পুনরুত্থানের আগে। সেখানে আমার শেষ রেকর্ড করা ওজন আমার শেষ পুনরুদ্ধারের সেই বিন্দুর প্রতীক যেখানে আমি বুঝতে পেরেছিলাম যে আমি যা ভেবেছিলাম তার চেয়ে বেশি হ্রাস পেয়েছি (স্পষ্টতই, এখনও সুস্থ ওজন) এবং এটি ট্র্যাক করা বন্ধ করার জন্য যথেষ্ট আত্মবিশ্বাসী ছিলাম। আমার আত্মবিশ্বাস ছিল যে আমি ততক্ষণে সেই ওজনের আশেপাশে থাকব এবং খুব বেশি আচ্ছন্ন হতে চাইনি কারণ আমি সুস্থ অঞ্চলে ফিরে এসেছি এবং কয়েক পাউন্ড কমাতে বা বাড়াতেও ঠিক থাকব। এবং আমি ঠিক ছিলাম। 2016 সালের শেষের দিকে আমি পুনরায় অ্যালকোহলে আক্রান্ত না হওয়া পর্যন্ত; তারপর সবকিছু আবার শুরু হয় এবং তারপরে কিছুটা।</v>
      </c>
    </row>
    <row r="1958" spans="1:3" ht="15" x14ac:dyDescent="0.25">
      <c r="A1958" s="3" t="s">
        <v>1950</v>
      </c>
      <c r="B1958" s="3" t="s">
        <v>997</v>
      </c>
      <c r="C1958" s="4" t="str">
        <f ca="1">IFERROR(__xludf.DUMMYFUNCTION("GOOGLETRANSLATE(A1958, ""auto"", ""bn"")"),"৭ম দিন চেক-ইন করছি। কতক্ষণ ধরে প্রতিদিন চেক-ইন করবো তা নিশ্চিত নই। দেখা যাক কেমন লাগছে। মুদির দোকানে গিয়েছিলাম, আর আমার প্রিয় আইপিএ-র জন্য বিয়ার কুলারটি দেখার কথাও মাথায় আসেনি। আগেরবারের চেষ্টা থেকে এটা কেমন লাগছে তা আমার মনে আছে। এটা অবশ্যই অগ্রগতির "&amp;"লক্ষণ হতে পারে, কিন্তু নতুনত্ব দ্রুত শেষ হয়ে যায় কারণ যেকোনো মুহূর্তে যেকোনো কিছু সহজেই তৃষ্ণা জাগাতে পারে। তাৎক্ষণিক তৃপ্তি প্রতারণামূলক এবং লোভনীয়। গত সপ্তাহে আমি আমার কিছুটা অবহেলিত ইনডোর গাছপালাও লালন করছি। ভাগ্যক্রমে, কোনও কারণ নেই। এক সপ্তাহ উদযা"&amp;"পনের জন্য আমি দোকান থেকে আরও কয়েকটি কিনেছিলাম।")</f>
        <v>৭ম দিন চেক-ইন করছি। কতক্ষণ ধরে প্রতিদিন চেক-ইন করবো তা নিশ্চিত নই। দেখা যাক কেমন লাগছে। মুদির দোকানে গিয়েছিলাম, আর আমার প্রিয় আইপিএ-র জন্য বিয়ার কুলারটি দেখার কথাও মাথায় আসেনি। আগেরবারের চেষ্টা থেকে এটা কেমন লাগছে তা আমার মনে আছে। এটা অবশ্যই অগ্রগতির লক্ষণ হতে পারে, কিন্তু নতুনত্ব দ্রুত শেষ হয়ে যায় কারণ যেকোনো মুহূর্তে যেকোনো কিছু সহজেই তৃষ্ণা জাগাতে পারে। তাৎক্ষণিক তৃপ্তি প্রতারণামূলক এবং লোভনীয়। গত সপ্তাহে আমি আমার কিছুটা অবহেলিত ইনডোর গাছপালাও লালন করছি। ভাগ্যক্রমে, কোনও কারণ নেই। এক সপ্তাহ উদযাপনের জন্য আমি দোকান থেকে আরও কয়েকটি কিনেছিলাম।</v>
      </c>
    </row>
    <row r="1959" spans="1:3" ht="15" x14ac:dyDescent="0.25">
      <c r="A1959" s="3" t="s">
        <v>1951</v>
      </c>
      <c r="B1959" s="3" t="s">
        <v>997</v>
      </c>
      <c r="C1959" s="4" t="str">
        <f ca="1">IFERROR(__xludf.DUMMYFUNCTION("GOOGLETRANSLATE(A1959, ""auto"", ""bn"")"),"এখনও খুব অস্থির এবং উদ্বিগ্ন বোধ করছি, ঘুমাতে বা খেতে পারছি না এবং এই মস্তিষ্কের কুয়াশা?.. এই পথে চলতে পারছি না?. আমি জানি একদিন না একদিন এটা বন্ধ করতে হবে কিন্তু এটা মেনে চলতে হবে?.. আমি নিজেকে এবং আমার প্রিয়জনদের যে যন্ত্রণা এবং দুর্দশা দিয়ে থাকি তা "&amp;"সহ্য করতে পারছি না?.. শুধু আরও শক্তিশালী হতে হবে")</f>
        <v>এখনও খুব অস্থির এবং উদ্বিগ্ন বোধ করছি, ঘুমাতে বা খেতে পারছি না এবং এই মস্তিষ্কের কুয়াশা?.. এই পথে চলতে পারছি না?. আমি জানি একদিন না একদিন এটা বন্ধ করতে হবে কিন্তু এটা মেনে চলতে হবে?.. আমি নিজেকে এবং আমার প্রিয়জনদের যে যন্ত্রণা এবং দুর্দশা দিয়ে থাকি তা সহ্য করতে পারছি না?.. শুধু আরও শক্তিশালী হতে হবে</v>
      </c>
    </row>
    <row r="1960" spans="1:3" ht="15" x14ac:dyDescent="0.25">
      <c r="A1960" s="3" t="s">
        <v>1952</v>
      </c>
      <c r="B1960" s="3" t="s">
        <v>997</v>
      </c>
      <c r="C1960" s="4" t="str">
        <f ca="1">IFERROR(__xludf.DUMMYFUNCTION("GOOGLETRANSLATE(A1960, ""auto"", ""bn"")"),"সবাই ভালো ছিল। আমি শুনলাম কিন্তু কথা বললাম না। এটা ছিল ছোট একটা দল, কারণ আমি একটা শান্ত এবং মৌসুমি সমুদ্র সৈকত শহরে থাকি। আমি মাত্র কয়েকদিন ধরেই শান্ত। এখন আমার মদ্যপানের কোনও ইচ্ছা নেই। আমি যাদের সবচেয়ে বেশি ভালোবাসি তাদের তিনজনকে হারিয়েছি এবং সত্যিই "&amp;"দুঃখিত এবং সামনের দিকে আরও ভালো করতে হবে।")</f>
        <v>সবাই ভালো ছিল। আমি শুনলাম কিন্তু কথা বললাম না। এটা ছিল ছোট একটা দল, কারণ আমি একটা শান্ত এবং মৌসুমি সমুদ্র সৈকত শহরে থাকি। আমি মাত্র কয়েকদিন ধরেই শান্ত। এখন আমার মদ্যপানের কোনও ইচ্ছা নেই। আমি যাদের সবচেয়ে বেশি ভালোবাসি তাদের তিনজনকে হারিয়েছি এবং সত্যিই দুঃখিত এবং সামনের দিকে আরও ভালো করতে হবে।</v>
      </c>
    </row>
    <row r="1961" spans="1:3" ht="15" x14ac:dyDescent="0.25">
      <c r="A1961" s="3" t="s">
        <v>1953</v>
      </c>
      <c r="B1961" s="3" t="s">
        <v>997</v>
      </c>
      <c r="C1961" s="4" t="str">
        <f ca="1">IFERROR(__xludf.DUMMYFUNCTION("GOOGLETRANSLATE(A1961, ""auto"", ""bn"")"),"""মদ্যপান ত্যাগ করো এবং আর কখনো নিজের উপর হাল ছাড়ো না"" - এই কথাগুলো আজ আমার মনে এলো যখন আমি প্রচণ্ড বাতাসের মুখোমুখি হয়েছিলাম, আমার প্রশিক্ষণ পরিকল্পনায় থাকা তিন মাইল পথ পাড়ি দেওয়ার সময়। আমি এটা করতে পারি, তুমি এটা করতে পারো, আমরা এটা করতে পারি, হ্"&amp;"যাঁ!!!!!")</f>
        <v>"মদ্যপান ত্যাগ করো এবং আর কখনো নিজের উপর হাল ছাড়ো না" - এই কথাগুলো আজ আমার মনে এলো যখন আমি প্রচণ্ড বাতাসের মুখোমুখি হয়েছিলাম, আমার প্রশিক্ষণ পরিকল্পনায় থাকা তিন মাইল পথ পাড়ি দেওয়ার সময়। আমি এটা করতে পারি, তুমি এটা করতে পারো, আমরা এটা করতে পারি, হ্যাঁ!!!!!</v>
      </c>
    </row>
    <row r="1962" spans="1:3" ht="15" x14ac:dyDescent="0.25">
      <c r="A1962" s="3" t="s">
        <v>1954</v>
      </c>
      <c r="B1962" s="3" t="s">
        <v>997</v>
      </c>
      <c r="C1962" s="4" t="str">
        <f ca="1">IFERROR(__xludf.DUMMYFUNCTION("GOOGLETRANSLATE(A1962, ""auto"", ""bn"")"),"আমার এক দারুন বন্ধু আছে যে অনেক দিন ধরেই আমাকে সুস্থ রাখতে সাহায্য করার চেষ্টা করছে। সে আমার সমস্ত বিএস-এর সাথে মানিয়ে নেয় এবং আমি তাকে পেয়ে ধন্য। কিন্তু গত রাতে আমি অনেক চেষ্টা করেছিলাম, তাকে মদ কিনতে সাহায্য করতে বলেছিলাম। সে এখন আমার উপর খুব বিরক্ত "&amp;"এবং আমি জানি না কী করব। আমিও তাকে এভাবে হারাতে পারছি না।")</f>
        <v>আমার এক দারুন বন্ধু আছে যে অনেক দিন ধরেই আমাকে সুস্থ রাখতে সাহায্য করার চেষ্টা করছে। সে আমার সমস্ত বিএস-এর সাথে মানিয়ে নেয় এবং আমি তাকে পেয়ে ধন্য। কিন্তু গত রাতে আমি অনেক চেষ্টা করেছিলাম, তাকে মদ কিনতে সাহায্য করতে বলেছিলাম। সে এখন আমার উপর খুব বিরক্ত এবং আমি জানি না কী করব। আমিও তাকে এভাবে হারাতে পারছি না।</v>
      </c>
    </row>
    <row r="1963" spans="1:3" ht="15" x14ac:dyDescent="0.25">
      <c r="A1963" s="3" t="s">
        <v>1955</v>
      </c>
      <c r="B1963" s="3" t="s">
        <v>997</v>
      </c>
      <c r="C1963" s="4" t="str">
        <f ca="1">IFERROR(__xludf.DUMMYFUNCTION("GOOGLETRANSLATE(A1963, ""auto"", ""bn"")"),"আমি AA হলগুলিতে বড় হয়েছি, আমার বাবা-মা যখন ৮/৯ বছর বয়সে শান্ত হয়ে গিয়েছিলেন - এবং আমি খুব জড়িত ছিলাম এবং পছন্দ করতাম, সেখানে সমস্ত ছোট বাচ্চাদের যত্ন নিতাম এবং জন্মদিনের রাতে যেতাম। আমাদের পরিবারের সকল বন্ধু AA থেকে এসেছিল অবশেষে আমার মা একজন বয়স্ক"&amp;" হয়ে ওঠেন এবং লোকেরা সবসময় তার কাছে পরামর্শের জন্য আসত, তিনি অনেক মহিলাকে স্পনসর করেছিলেন - আমি যখন ১৩ বছর বয়সে মদ্যপান এবং পার্টি করতে শুরু করি, তখন আমার বয়স এখন ৩৯ - এবং ধরা পড়লে লুকিয়ে মদ্যপান এবং তারপর মিথ্যা কথা না বলে কয়েক দিন থাকতে পারি না। "&amp;"যাই হোক - আমি আমার জীবনের উপর নিয়ন্ত্রণ চাই এবং আমি জানি যে মদ্যপান না করাই আমার পক্ষে একমাত্র উপায়। যাইহোক - AA এর প্রতি আমার এতটাই বিরক্তি যে ধাপে ধাপে কাজ করার বা এমনকি স্লোগান শোনার ধারণাটি আমার রক্তচাপকে আক্ষরিক অর্থেই বাড়িয়ে তোলে এবং আমি পাগল হয"&amp;"়ে যাই। বিসি আমি আমার সারা জীবন আমার পাগলাটে মাকে অনেক বাজে কথা বলে দেখেছি যখন সে আমাদের নির্যাতন করত এবং অবহেলা করত এবং বড়ি আসক্তিতে ভুগত যা সে কখনও সমাধান করেনি। কিন্তু এখনও দাবি করে যে 30 বছরেরও বেশি সময় ধরে সে সুস্থ। আমি জানি না যে আমি কখনো AA-এর প্"&amp;"রতি ঘৃণা কাটিয়ে সাফল্য পেতে পারব কিনা।")</f>
        <v>আমি AA হলগুলিতে বড় হয়েছি, আমার বাবা-মা যখন ৮/৯ বছর বয়সে শান্ত হয়ে গিয়েছিলেন - এবং আমি খুব জড়িত ছিলাম এবং পছন্দ করতাম, সেখানে সমস্ত ছোট বাচ্চাদের যত্ন নিতাম এবং জন্মদিনের রাতে যেতাম। আমাদের পরিবারের সকল বন্ধু AA থেকে এসেছিল অবশেষে আমার মা একজন বয়স্ক হয়ে ওঠেন এবং লোকেরা সবসময় তার কাছে পরামর্শের জন্য আসত, তিনি অনেক মহিলাকে স্পনসর করেছিলেন - আমি যখন ১৩ বছর বয়সে মদ্যপান এবং পার্টি করতে শুরু করি, তখন আমার বয়স এখন ৩৯ - এবং ধরা পড়লে লুকিয়ে মদ্যপান এবং তারপর মিথ্যা কথা না বলে কয়েক দিন থাকতে পারি না। যাই হোক - আমি আমার জীবনের উপর নিয়ন্ত্রণ চাই এবং আমি জানি যে মদ্যপান না করাই আমার পক্ষে একমাত্র উপায়। যাইহোক - AA এর প্রতি আমার এতটাই বিরক্তি যে ধাপে ধাপে কাজ করার বা এমনকি স্লোগান শোনার ধারণাটি আমার রক্তচাপকে আক্ষরিক অর্থেই বাড়িয়ে তোলে এবং আমি পাগল হয়ে যাই। বিসি আমি আমার সারা জীবন আমার পাগলাটে মাকে অনেক বাজে কথা বলে দেখেছি যখন সে আমাদের নির্যাতন করত এবং অবহেলা করত এবং বড়ি আসক্তিতে ভুগত যা সে কখনও সমাধান করেনি। কিন্তু এখনও দাবি করে যে 30 বছরেরও বেশি সময় ধরে সে সুস্থ। আমি জানি না যে আমি কখনো AA-এর প্রতি ঘৃণা কাটিয়ে সাফল্য পেতে পারব কিনা।</v>
      </c>
    </row>
    <row r="1964" spans="1:3" ht="15" x14ac:dyDescent="0.25">
      <c r="A1964" s="3" t="s">
        <v>1956</v>
      </c>
      <c r="B1964" s="3" t="s">
        <v>997</v>
      </c>
      <c r="C1964" s="4" t="str">
        <f ca="1">IFERROR(__xludf.DUMMYFUNCTION("GOOGLETRANSLATE(A1964, ""auto"", ""bn"")"),"আমি প্রায় ৮ মাস ধরে মদ্যপানে আসক্ত। এর আগে আমি প্রতিদিন (কিন্তু সবসময় অতিরিক্ত নয়) মদ্যপান করতাম এবং কিছু সময় ধরে মদ্যপান করতাম। প্রায় ২০ বছর ধরে মাঝে মাঝে কাজ করা একজন মদ্যপ। যাই হোক, আমার মনে হয় না যে আগে কখনও মদ্যপান ছাড়া আমাকে জীবনের কোনও গুরুত্বপূর্ণ"&amp;" সংকটের মুখোমুখি হতে হয়েছে এবং এখন পরিবারের কোনও সদস্য মারাত্মক অসুস্থ। আমি মদ্যপান করব না। আমি নিশ্চিত (যদিও পিছলে যাওয়ার সম্ভাবনার কথা মনে রেখে)। কিন্তু আজ আমি বুঝতে পেরেছি যে কঠিন জিনিস থেকে মুক্তি পেতে এখন আমার কাছে পানীয়ের দিকে হাত দেওয়ার মতো ক্ষমতা"&amp;" নেই। এবং যেহেতু আমি সবসময় মদ্যপান করতাম, তাই মৃত্যু বা ক্ষতির মতো কঠিন জিনিস মোকাবেলা করার জন্য আমি অন্য কোনও স্বাস্থ্যকর অভ্যাস বা পদ্ধতি তৈরি করতে পারিনি। আমি আমার দৌড়ের জুতা ধুলো ঝেড়ে ফেলার পরিকল্পনা করছি এবং থেরাপি বুক করেছি। কিন্তু আমি ভাবছি যে এই "&amp;"ভয়াবহ পরিস্থিতি মোকাবেলা করার জন্য কারও কাছে অন্য কোনও পরামর্শ আছে কিনা। ধন্যবাদ!")</f>
        <v>আমি প্রায় ৮ মাস ধরে মদ্যপানে আসক্ত। এর আগে আমি প্রতিদিন (কিন্তু সবসময় অতিরিক্ত নয়) মদ্যপান করতাম এবং কিছু সময় ধরে মদ্যপান করতাম। প্রায় ২০ বছর ধরে মাঝে মাঝে কাজ করা একজন মদ্যপ। যাই হোক, আমার মনে হয় না যে আগে কখনও মদ্যপান ছাড়া আমাকে জীবনের কোনও গুরুত্বপূর্ণ সংকটের মুখোমুখি হতে হয়েছে এবং এখন পরিবারের কোনও সদস্য মারাত্মক অসুস্থ। আমি মদ্যপান করব না। আমি নিশ্চিত (যদিও পিছলে যাওয়ার সম্ভাবনার কথা মনে রেখে)। কিন্তু আজ আমি বুঝতে পেরেছি যে কঠিন জিনিস থেকে মুক্তি পেতে এখন আমার কাছে পানীয়ের দিকে হাত দেওয়ার মতো ক্ষমতা নেই। এবং যেহেতু আমি সবসময় মদ্যপান করতাম, তাই মৃত্যু বা ক্ষতির মতো কঠিন জিনিস মোকাবেলা করার জন্য আমি অন্য কোনও স্বাস্থ্যকর অভ্যাস বা পদ্ধতি তৈরি করতে পারিনি। আমি আমার দৌড়ের জুতা ধুলো ঝেড়ে ফেলার পরিকল্পনা করছি এবং থেরাপি বুক করেছি। কিন্তু আমি ভাবছি যে এই ভয়াবহ পরিস্থিতি মোকাবেলা করার জন্য কারও কাছে অন্য কোনও পরামর্শ আছে কিনা। ধন্যবাদ!</v>
      </c>
    </row>
    <row r="1965" spans="1:3" ht="15" x14ac:dyDescent="0.25">
      <c r="A1965" s="3" t="s">
        <v>1957</v>
      </c>
      <c r="B1965" s="3" t="s">
        <v>997</v>
      </c>
      <c r="C1965" s="4" t="str">
        <f ca="1">IFERROR(__xludf.DUMMYFUNCTION("GOOGLETRANSLATE(A1965, ""auto"", ""bn"")"),"আমি অনেক ভালো করছি, বেশ কিছুদিন ধরে মদ্যপান করি না এবং এ নিয়ে অতিরিক্ত চিন্তাও করি না। কিন্তু আজ একটি টিভি অনুষ্ঠানের একটি চরিত্র বরফের ঝনঝন শব্দের ছোট গ্লাসে মদের আঙুল ঢুকিয়ে দিল, এবং প্রায় দশ মিনিট ধরে আমি দিবাস্বপ্ন দেখছিলাম যে ঘরে বসে একটি সুন্দর আ"&amp;"রামদায়ক রবিবার কাটানোর জন্য কোণায় বসে একটি বোতল তুলে নেব কারণ আমার বিরতি প্রাপ্য। আমি নিজেকে এই অবস্থা থেকে বের করে এনেছি এবং আমি একটু ভয় পেয়েছি, আমি ভেবেছিলাম আমি এই পরিস্থিতির মধ্য দিয়ে চলে এসেছি?")</f>
        <v>আমি অনেক ভালো করছি, বেশ কিছুদিন ধরে মদ্যপান করি না এবং এ নিয়ে অতিরিক্ত চিন্তাও করি না। কিন্তু আজ একটি টিভি অনুষ্ঠানের একটি চরিত্র বরফের ঝনঝন শব্দের ছোট গ্লাসে মদের আঙুল ঢুকিয়ে দিল, এবং প্রায় দশ মিনিট ধরে আমি দিবাস্বপ্ন দেখছিলাম যে ঘরে বসে একটি সুন্দর আরামদায়ক রবিবার কাটানোর জন্য কোণায় বসে একটি বোতল তুলে নেব কারণ আমার বিরতি প্রাপ্য। আমি নিজেকে এই অবস্থা থেকে বের করে এনেছি এবং আমি একটু ভয় পেয়েছি, আমি ভেবেছিলাম আমি এই পরিস্থিতির মধ্য দিয়ে চলে এসেছি?</v>
      </c>
    </row>
    <row r="1966" spans="1:3" ht="15" x14ac:dyDescent="0.25">
      <c r="A1966" s="3" t="s">
        <v>1958</v>
      </c>
      <c r="B1966" s="3" t="s">
        <v>997</v>
      </c>
      <c r="C1966" s="4" t="str">
        <f ca="1">IFERROR(__xludf.DUMMYFUNCTION("GOOGLETRANSLATE(A1966, ""auto"", ""bn"")"),"আমি আগে খুব মদ্যপান করতাম, কিন্তু কুকুরটা আমাকে খুব খুশি করে। আমি সাধারণত রাতে বাইরে গিয়ে পানীয় পান করতে পছন্দ করি, কিন্তু আমি ঘরে না থাকলে সে কাঁদতে শুরু করে। আর যখন আমি বাড়ি ফিরি তখন সে সাধারণত খুশি হয়। আমার মেয়ের বয়স যখন ৩ বছর তখনকার কথা মনে পড়ে"&amp;"। আজ আমি বাইরে গিয়েছিলাম ৪টি বিয়ার খেয়ে, দুই মাস ধরে মদ্যপান না করার পর, সাধারণত যে কোনও রাতে ১৮ থেকে ২৪ বিয়ার খেতে হত। মনে হচ্ছে আমার আবার একটা উদ্দেশ্য আছে। আমার কিশোরীকে ভালোবাসি, কিন্তু সে এত উদাসীন এবং আমাদের একসাথে একটা ব্যবসা আছে, তাই সারাদিন ত"&amp;"ার বিরক্তি শুনতে শুনতে আমি ক্লান্ত হয়ে পড়ি।")</f>
        <v>আমি আগে খুব মদ্যপান করতাম, কিন্তু কুকুরটা আমাকে খুব খুশি করে। আমি সাধারণত রাতে বাইরে গিয়ে পানীয় পান করতে পছন্দ করি, কিন্তু আমি ঘরে না থাকলে সে কাঁদতে শুরু করে। আর যখন আমি বাড়ি ফিরি তখন সে সাধারণত খুশি হয়। আমার মেয়ের বয়স যখন ৩ বছর তখনকার কথা মনে পড়ে। আজ আমি বাইরে গিয়েছিলাম ৪টি বিয়ার খেয়ে, দুই মাস ধরে মদ্যপান না করার পর, সাধারণত যে কোনও রাতে ১৮ থেকে ২৪ বিয়ার খেতে হত। মনে হচ্ছে আমার আবার একটা উদ্দেশ্য আছে। আমার কিশোরীকে ভালোবাসি, কিন্তু সে এত উদাসীন এবং আমাদের একসাথে একটা ব্যবসা আছে, তাই সারাদিন তার বিরক্তি শুনতে শুনতে আমি ক্লান্ত হয়ে পড়ি।</v>
      </c>
    </row>
    <row r="1967" spans="1:3" ht="15" x14ac:dyDescent="0.25">
      <c r="A1967" s="3" t="s">
        <v>1959</v>
      </c>
      <c r="B1967" s="3" t="s">
        <v>997</v>
      </c>
      <c r="C1967" s="4" t="str">
        <f ca="1">IFERROR(__xludf.DUMMYFUNCTION("GOOGLETRANSLATE(A1967, ""auto"", ""bn"")"),"আমি বেশিরভাগ সময়ই বেশ মিতব্যয়ী। গত ৭ বছর ধরে আমার ট্রাকের টাকা খরচ হয়নি। বাড়ির বেশিরভাগ জিনিসপত্র ঠিক করি কারণ আমি ঠিকাদারকে টাকা দিতে চাই না। আমাদের বেশিরভাগ খাবার বাড়িতেই তৈরি করি। কিন্তু মদ্যপানের ক্ষেত্রে মনে হয় এটা জানালার বাইরে চলে যায়। আমি ক"&amp;"িছুদিন ধরে একটা ভালো হেডফোনের জন্য অপেক্ষা করছিলাম কিন্তু টাকা খরচ করতে চাইনি বলে ট্রিগারটি টানতে পারিনি। ভুলে যাও ৩০ ডলারের তিন বিয়ারের লাঞ্চ, বিকেলে ৮ ডলারের ক্রাফট বিয়ারের জন্য পার্কিং লট পার হয়ে হেঁটে যাওয়া, এবং বাড়ি ফেরার পথে ২ ডলারের সস্তা বিয়"&amp;"ারের জন্য ডাইভিংয়ে থামানো। এখন পর্যন্ত বেশ কয়েক জোড়া সুন্দর হেডফোন কিনতে পারতাম। আমি পাগল হয়ে যাচ্ছি না, তবে কিছু সঞ্চয় করার পাশাপাশি পান করার পরিবর্তে কিছু ছোট জিনিস বদলানোর চেষ্টা করছি। আরও কিছু শান্ত দিন এবং সেই কানের বাডগুলি আমার হয়ে যাবে।")</f>
        <v>আমি বেশিরভাগ সময়ই বেশ মিতব্যয়ী। গত ৭ বছর ধরে আমার ট্রাকের টাকা খরচ হয়নি। বাড়ির বেশিরভাগ জিনিসপত্র ঠিক করি কারণ আমি ঠিকাদারকে টাকা দিতে চাই না। আমাদের বেশিরভাগ খাবার বাড়িতেই তৈরি করি। কিন্তু মদ্যপানের ক্ষেত্রে মনে হয় এটা জানালার বাইরে চলে যায়। আমি কিছুদিন ধরে একটা ভালো হেডফোনের জন্য অপেক্ষা করছিলাম কিন্তু টাকা খরচ করতে চাইনি বলে ট্রিগারটি টানতে পারিনি। ভুলে যাও ৩০ ডলারের তিন বিয়ারের লাঞ্চ, বিকেলে ৮ ডলারের ক্রাফট বিয়ারের জন্য পার্কিং লট পার হয়ে হেঁটে যাওয়া, এবং বাড়ি ফেরার পথে ২ ডলারের সস্তা বিয়ারের জন্য ডাইভিংয়ে থামানো। এখন পর্যন্ত বেশ কয়েক জোড়া সুন্দর হেডফোন কিনতে পারতাম। আমি পাগল হয়ে যাচ্ছি না, তবে কিছু সঞ্চয় করার পাশাপাশি পান করার পরিবর্তে কিছু ছোট জিনিস বদলানোর চেষ্টা করছি। আরও কিছু শান্ত দিন এবং সেই কানের বাডগুলি আমার হয়ে যাবে।</v>
      </c>
    </row>
    <row r="1968" spans="1:3" ht="15" x14ac:dyDescent="0.25">
      <c r="A1968" s="3" t="s">
        <v>1960</v>
      </c>
      <c r="B1968" s="3" t="s">
        <v>997</v>
      </c>
      <c r="C1968" s="4" t="str">
        <f ca="1">IFERROR(__xludf.DUMMYFUNCTION("GOOGLETRANSLATE(A1968, ""auto"", ""bn"")"),"আমি দারুন করছিলাম!! স্বাস্থ্যের দিক থেকে আমি খুব ভালো বোধ করছিলাম, ইত্যাদি!! তারপর ৫১ দিন পর, আমি মাত্র কয়েকটি বিয়ার খেয়েছিলাম। তারপর প্রায় এক সপ্তাহ পরে, আরেকটি বিয়ার নষ্ট হয়ে গেল। ইত্যাদি ইত্যাদি ইত্যাদি। একজনের কী হবে? আমার মনে হয় আবার শুরু করব "&amp;"এবং আমার ক্ষত চেটে দেব এবং স্বীকার করব যে আমি মানুষ?")</f>
        <v>আমি দারুন করছিলাম!! স্বাস্থ্যের দিক থেকে আমি খুব ভালো বোধ করছিলাম, ইত্যাদি!! তারপর ৫১ দিন পর, আমি মাত্র কয়েকটি বিয়ার খেয়েছিলাম। তারপর প্রায় এক সপ্তাহ পরে, আরেকটি বিয়ার নষ্ট হয়ে গেল। ইত্যাদি ইত্যাদি ইত্যাদি। একজনের কী হবে? আমার মনে হয় আবার শুরু করব এবং আমার ক্ষত চেটে দেব এবং স্বীকার করব যে আমি মানুষ?</v>
      </c>
    </row>
    <row r="1969" spans="1:3" ht="15" x14ac:dyDescent="0.25">
      <c r="A1969" s="3" t="s">
        <v>1961</v>
      </c>
      <c r="B1969" s="3" t="s">
        <v>997</v>
      </c>
      <c r="C1969" s="4" t="str">
        <f ca="1">IFERROR(__xludf.DUMMYFUNCTION("GOOGLETRANSLATE(A1969, ""auto"", ""bn"")"),"এবার কেন এমনটা হচ্ছে জানি না। এক মাস আগে পর্যন্ত আমি প্রতি রাতে হুইস্কি পান করতাম। আগের রেকর্ড ছিল ১৩ দিন। ""আপনি নিয়ন্ত্রণ করতে পারেন"" এই চিন্তাভাবনাটি কয়েকবার দেখা গেলেও তৃষ্ণা অনেক কমে গেছে। দারুন লাগছে এবং দেখতে অনেক ভালো লাগছে। ঘুমানো / ঘুম থেকে ও"&amp;"ঠা / উদ্বেগ / বিষণ্ণতা ১০০ গুণ ভালো। যখন আমি শুরু করেছিলাম তখন নিজেকে বলেছিলাম যে আমি ১৯তম অপরাধবোধমুক্ত অবস্থায় পান করতে পারি। আমি সত্যিই এই অগ্রগতিটি ফেলে দিতে চাই না, আমি খুব ভালো বোধ করছি।")</f>
        <v>এবার কেন এমনটা হচ্ছে জানি না। এক মাস আগে পর্যন্ত আমি প্রতি রাতে হুইস্কি পান করতাম। আগের রেকর্ড ছিল ১৩ দিন। "আপনি নিয়ন্ত্রণ করতে পারেন" এই চিন্তাভাবনাটি কয়েকবার দেখা গেলেও তৃষ্ণা অনেক কমে গেছে। দারুন লাগছে এবং দেখতে অনেক ভালো লাগছে। ঘুমানো / ঘুম থেকে ওঠা / উদ্বেগ / বিষণ্ণতা ১০০ গুণ ভালো। যখন আমি শুরু করেছিলাম তখন নিজেকে বলেছিলাম যে আমি ১৯তম অপরাধবোধমুক্ত অবস্থায় পান করতে পারি। আমি সত্যিই এই অগ্রগতিটি ফেলে দিতে চাই না, আমি খুব ভালো বোধ করছি।</v>
      </c>
    </row>
    <row r="1970" spans="1:3" ht="15" x14ac:dyDescent="0.25">
      <c r="A1970" s="3" t="s">
        <v>1962</v>
      </c>
      <c r="B1970" s="3" t="s">
        <v>997</v>
      </c>
      <c r="C1970" s="4" t="str">
        <f ca="1">IFERROR(__xludf.DUMMYFUNCTION("GOOGLETRANSLATE(A1970, ""auto"", ""bn"")"),"আমার কি একটু কষ্ট হচ্ছে? শনিবার রাত কি আমার? শুক্রবার রাত? আর যেহেতু আমি স্বাভাবিকভাবে বন্ধুদের সাথে বারে যাওয়ার সময় যেভাবে ঘুরতে যেতাম, তার বদলে সামাজিক যোগাযোগের কোনও উপায় খুঁজে পাওয়া কঠিন হয়ে পড়েছে। কাজ ছেড়ে বেরিয়ে আসার পর আমার মনে হয়েছে মদ্যপান সত্য"&amp;"িই খারাপ এবং আমার মস্তিষ্ক আমাকে বোঝানোর চেষ্টা করছে যে এটা মজার। যখন আমি মদ্যপান করি না তখন আমার এমন কিছু থাকে না যা আমাকে জাগিয়ে রাখে, তাই কাজের পরে আমি ক্লান্ত থাকি এবং কিছুই করতে আকর্ষণীয় মনে হয় না। তারপর আমি বাড়ি গিয়ে বিরক্ত হয়ে ৪৫ মিনিট গোসল করি, "&amp;"ঘুমাতে যাওয়ার আগে সময়টা পূরণ করার জন্য। আমি আমার মানসিকতা পরিবর্তন করে সকালের জন্য উত্তেজিত হওয়ার চেষ্টা করছি। যত তাড়াতাড়ি সম্ভব বন্ধুদের সাথে কফির পরিকল্পনা করি। হয়তো এই উপায়েই আমি আমার সংযমকে আরও দৃঢ় করতে পারি, কারণ আমার বয়স মাত্র ১৫ দিন। আমি খুব বি"&amp;"রক্ত এবং একাকী বোধ করি। আমি অবিবাহিত থাকি এবং শূন্যস্থান পূরণ করার জন্য আমার প্রাক্তনের সাথে বন্ধুত্ব করার চেষ্টা করি, তাতে কোন লাভ হয় না। এটা জটিল।")</f>
        <v>আমার কি একটু কষ্ট হচ্ছে? শনিবার রাত কি আমার? শুক্রবার রাত? আর যেহেতু আমি স্বাভাবিকভাবে বন্ধুদের সাথে বারে যাওয়ার সময় যেভাবে ঘুরতে যেতাম, তার বদলে সামাজিক যোগাযোগের কোনও উপায় খুঁজে পাওয়া কঠিন হয়ে পড়েছে। কাজ ছেড়ে বেরিয়ে আসার পর আমার মনে হয়েছে মদ্যপান সত্যিই খারাপ এবং আমার মস্তিষ্ক আমাকে বোঝানোর চেষ্টা করছে যে এটা মজার। যখন আমি মদ্যপান করি না তখন আমার এমন কিছু থাকে না যা আমাকে জাগিয়ে রাখে, তাই কাজের পরে আমি ক্লান্ত থাকি এবং কিছুই করতে আকর্ষণীয় মনে হয় না। তারপর আমি বাড়ি গিয়ে বিরক্ত হয়ে ৪৫ মিনিট গোসল করি, ঘুমাতে যাওয়ার আগে সময়টা পূরণ করার জন্য। আমি আমার মানসিকতা পরিবর্তন করে সকালের জন্য উত্তেজিত হওয়ার চেষ্টা করছি। যত তাড়াতাড়ি সম্ভব বন্ধুদের সাথে কফির পরিকল্পনা করি। হয়তো এই উপায়েই আমি আমার সংযমকে আরও দৃঢ় করতে পারি, কারণ আমার বয়স মাত্র ১৫ দিন। আমি খুব বিরক্ত এবং একাকী বোধ করি। আমি অবিবাহিত থাকি এবং শূন্যস্থান পূরণ করার জন্য আমার প্রাক্তনের সাথে বন্ধুত্ব করার চেষ্টা করি, তাতে কোন লাভ হয় না। এটা জটিল।</v>
      </c>
    </row>
    <row r="1971" spans="1:3" ht="15" x14ac:dyDescent="0.25">
      <c r="A1971" s="3" t="s">
        <v>1963</v>
      </c>
      <c r="B1971" s="3" t="s">
        <v>997</v>
      </c>
      <c r="C1971" s="4" t="str">
        <f ca="1">IFERROR(__xludf.DUMMYFUNCTION("GOOGLETRANSLATE(A1971, ""auto"", ""bn"")"),"আমি এখন কয়েকবার মদ্যপান ছেড়ে দিয়েছি, চিরতরে নয় (কিন্তু সবসময়ের জন্য)। বন্ধুদের সাথে দেখা করে কেনাকাটা করার পরিকল্পনা করেছিলাম, কিন্তু গত রাতে আমি অতিরিক্ত মদ্যপান করার কারণে, আমাদের দেখা হওয়ার ১৫ মিনিট পরে ঘুম থেকে উঠেছিলাম। আমার কুকুরটি ঠিকমতো হাঁটতে পার"&amp;"েনি কারণ আমি আমার বন্ধুদের কাছে তাড়াহুড়ো করছিলাম, আর সে একটি দোকানে প্রস্রাব করছিল। আমি তাদের দেরি করে আসার কারণ সম্পর্কে মিথ্যা বলেছিলাম। এখানে আসার জন্য ধন্যবাদ। আবার শুরু করার সময়।")</f>
        <v>আমি এখন কয়েকবার মদ্যপান ছেড়ে দিয়েছি, চিরতরে নয় (কিন্তু সবসময়ের জন্য)। বন্ধুদের সাথে দেখা করে কেনাকাটা করার পরিকল্পনা করেছিলাম, কিন্তু গত রাতে আমি অতিরিক্ত মদ্যপান করার কারণে, আমাদের দেখা হওয়ার ১৫ মিনিট পরে ঘুম থেকে উঠেছিলাম। আমার কুকুরটি ঠিকমতো হাঁটতে পারেনি কারণ আমি আমার বন্ধুদের কাছে তাড়াহুড়ো করছিলাম, আর সে একটি দোকানে প্রস্রাব করছিল। আমি তাদের দেরি করে আসার কারণ সম্পর্কে মিথ্যা বলেছিলাম। এখানে আসার জন্য ধন্যবাদ। আবার শুরু করার সময়।</v>
      </c>
    </row>
    <row r="1972" spans="1:3" ht="15" x14ac:dyDescent="0.25">
      <c r="A1972" s="3" t="s">
        <v>1964</v>
      </c>
      <c r="B1972" s="3" t="s">
        <v>997</v>
      </c>
      <c r="C1972" s="4" t="str">
        <f ca="1">IFERROR(__xludf.DUMMYFUNCTION("GOOGLETRANSLATE(A1972, ""auto"", ""bn"")"),"এটা এখন সত্যিই ক্লান্তিকর হয়ে উঠছে। গত বছরের আগস্ট পর্যন্ত আমার আঠারো মাস ধরে সংযত জীবনযাপন ছিল এবং তারপর থেকে সবকিছু একটা বাজে অনুষ্ঠানের মতো হয়ে গেছে। আমি বারবার আবার থামতে চেয়েছি কিন্তু এক সপ্তাহেরও বেশি সময় ধরে পারিনি। আগে যা সাহায্য করত - ডায়েরি"&amp;" লেখা, সংযত পডকাস্ট, পড়া - এগুলো এখন আর কোন প্রভাব ফেলে না। আমি যা করি না কেন, থামতে পারছি না। আমি জানি না কোথায় যাব। মদ্যপানের এই সময়টা এখনকার সবচেয়ে খারাপ সময় এবং আমি কেবল থামতে চাই।")</f>
        <v>এটা এখন সত্যিই ক্লান্তিকর হয়ে উঠছে। গত বছরের আগস্ট পর্যন্ত আমার আঠারো মাস ধরে সংযত জীবনযাপন ছিল এবং তারপর থেকে সবকিছু একটা বাজে অনুষ্ঠানের মতো হয়ে গেছে। আমি বারবার আবার থামতে চেয়েছি কিন্তু এক সপ্তাহেরও বেশি সময় ধরে পারিনি। আগে যা সাহায্য করত - ডায়েরি লেখা, সংযত পডকাস্ট, পড়া - এগুলো এখন আর কোন প্রভাব ফেলে না। আমি যা করি না কেন, থামতে পারছি না। আমি জানি না কোথায় যাব। মদ্যপানের এই সময়টা এখনকার সবচেয়ে খারাপ সময় এবং আমি কেবল থামতে চাই।</v>
      </c>
    </row>
    <row r="1973" spans="1:3" ht="15" x14ac:dyDescent="0.25">
      <c r="A1973" s="3" t="s">
        <v>1965</v>
      </c>
      <c r="B1973" s="3" t="s">
        <v>997</v>
      </c>
      <c r="C1973" s="4" t="str">
        <f ca="1">IFERROR(__xludf.DUMMYFUNCTION("GOOGLETRANSLATE(A1973, ""auto"", ""bn"")"),"আমি সাধারণত এখন মাতাল, আর রাত ৯টাও বাজেনি। আজ দ্বিতীয় দিন, গতকাল আমি ক্ষুধার্ত ছিলাম এবং আমার কোনও কাজ ছিল না। আমি কিছুদিন ধরে এই সাব-এ ছিলাম কিন্তু পোস্ট করার জন্য সময় বের করতে চেয়েছিলাম কারণ অবশেষে আমি মদ্যপান বন্ধ করতে প্রস্তুত। আমি একজন কার্যকরী মদ"&amp;"্যপ। তাছাড়া, আমি একজন একক মা এবং আমার একটি দুর্দান্ত কাজ আছে - অনেক কিছু হারানোর আছে। তাছাড়া, আমি এই সংগ্রাম পরিচালনা করতে করতে ক্লান্ত। মানসিক চাপ আমাকে মদ্যপান করায়, এবং আমি প্রতিদিন চাপে থাকি। কিন্তু মদ্যপান পরিস্থিতি আরও খারাপ করে তুলছে। আজ রাতে আম"&amp;"ি মদ্যপান না করার জন্য লড়াই করছি। আমি তিনটি ভিন্ন নন-অ্যালকোহলযুক্ত পানীয় খেয়েছি যা আমি রাতে কখনও বানাই না, কেবল পরপর ঠান্ডা কিছু পান করার জন্য। তাছাড়া, আমি নিজেকে বারবার বলি যে আমি আজ রাতে বিব্রতকর কিছু করতে চাই না, আমি এমন কোনও কথা বলতে চাই না যা আম"&amp;"ার মনে নেই, আমি আরও উপস্থিত মা হতে চাই এবং আগামীকাল আমি হ্যাংওভার ছাড়াই ঘুম থেকে উঠতে চাই। দুঃখের বিষয় হল তিন দিন আমার জন্য উদযাপনের মতো হবে। আমি আশা করছি আমি এর চেয়েও বেশি সময় ধরে এটি করতে পারব।")</f>
        <v>আমি সাধারণত এখন মাতাল, আর রাত ৯টাও বাজেনি। আজ দ্বিতীয় দিন, গতকাল আমি ক্ষুধার্ত ছিলাম এবং আমার কোনও কাজ ছিল না। আমি কিছুদিন ধরে এই সাব-এ ছিলাম কিন্তু পোস্ট করার জন্য সময় বের করতে চেয়েছিলাম কারণ অবশেষে আমি মদ্যপান বন্ধ করতে প্রস্তুত। আমি একজন কার্যকরী মদ্যপ। তাছাড়া, আমি একজন একক মা এবং আমার একটি দুর্দান্ত কাজ আছে - অনেক কিছু হারানোর আছে। তাছাড়া, আমি এই সংগ্রাম পরিচালনা করতে করতে ক্লান্ত। মানসিক চাপ আমাকে মদ্যপান করায়, এবং আমি প্রতিদিন চাপে থাকি। কিন্তু মদ্যপান পরিস্থিতি আরও খারাপ করে তুলছে। আজ রাতে আমি মদ্যপান না করার জন্য লড়াই করছি। আমি তিনটি ভিন্ন নন-অ্যালকোহলযুক্ত পানীয় খেয়েছি যা আমি রাতে কখনও বানাই না, কেবল পরপর ঠান্ডা কিছু পান করার জন্য। তাছাড়া, আমি নিজেকে বারবার বলি যে আমি আজ রাতে বিব্রতকর কিছু করতে চাই না, আমি এমন কোনও কথা বলতে চাই না যা আমার মনে নেই, আমি আরও উপস্থিত মা হতে চাই এবং আগামীকাল আমি হ্যাংওভার ছাড়াই ঘুম থেকে উঠতে চাই। দুঃখের বিষয় হল তিন দিন আমার জন্য উদযাপনের মতো হবে। আমি আশা করছি আমি এর চেয়েও বেশি সময় ধরে এটি করতে পারব।</v>
      </c>
    </row>
    <row r="1974" spans="1:3" ht="15" x14ac:dyDescent="0.25">
      <c r="A1974" s="3" t="s">
        <v>1966</v>
      </c>
      <c r="B1974" s="3" t="s">
        <v>997</v>
      </c>
      <c r="C1974" s="4" t="str">
        <f ca="1">IFERROR(__xludf.DUMMYFUNCTION("GOOGLETRANSLATE(A1974, ""auto"", ""bn"")"),"নিজেকে না ভালোবাসলে কাউকে কিভাবে ভালোবাসতে পারো?! পরিবর্তন না করে কিভাবে পরিবর্তন চাও?! পুনরুদ্ধার = মানসিক, শারীরিক, মানসিক এবং আধ্যাত্মিক সুস্থতা। রবিবারের বন্ধুটি ভালো কাটুক।")</f>
        <v>নিজেকে না ভালোবাসলে কাউকে কিভাবে ভালোবাসতে পারো?! পরিবর্তন না করে কিভাবে পরিবর্তন চাও?! পুনরুদ্ধার = মানসিক, শারীরিক, মানসিক এবং আধ্যাত্মিক সুস্থতা। রবিবারের বন্ধুটি ভালো কাটুক।</v>
      </c>
    </row>
    <row r="1975" spans="1:3" ht="15" x14ac:dyDescent="0.25">
      <c r="A1975" s="3" t="s">
        <v>1967</v>
      </c>
      <c r="B1975" s="3" t="s">
        <v>997</v>
      </c>
      <c r="C1975" s="4" t="str">
        <f ca="1">IFERROR(__xludf.DUMMYFUNCTION("GOOGLETRANSLATE(A1975, ""auto"", ""bn"")"),"১১ বছরেরও বেশি সময় ধরে প্রথমবারের মতো সংযত থাকা আমাকে ছোট ছোট জিনিসের প্রতি কৃতজ্ঞতা প্রকাশ করতে শেখাচ্ছে। আমার মনে হয় মাতাল হয়ে আমরা নিজেদেরকে বোঝাই যে খাবারই পান করা ভালো, কিন্তু মদ্যপান ছেড়ে দেওয়ার পর থেকে আমি রান্নায় সেই সূক্ষ্ম স্বাদগুলি আরও বে"&amp;"শি লক্ষ্য করেছি। যারা সন্ধ্যায় রান্না করতে সমস্যায় পড়েন, তাদের জন্য আপনার খাবারের স্বাদ কতটা বেশি তা দেখে আপনি নিজেই অবাক হয়ে যেতে পারেন।")</f>
        <v>১১ বছরেরও বেশি সময় ধরে প্রথমবারের মতো সংযত থাকা আমাকে ছোট ছোট জিনিসের প্রতি কৃতজ্ঞতা প্রকাশ করতে শেখাচ্ছে। আমার মনে হয় মাতাল হয়ে আমরা নিজেদেরকে বোঝাই যে খাবারই পান করা ভালো, কিন্তু মদ্যপান ছেড়ে দেওয়ার পর থেকে আমি রান্নায় সেই সূক্ষ্ম স্বাদগুলি আরও বেশি লক্ষ্য করেছি। যারা সন্ধ্যায় রান্না করতে সমস্যায় পড়েন, তাদের জন্য আপনার খাবারের স্বাদ কতটা বেশি তা দেখে আপনি নিজেই অবাক হয়ে যেতে পারেন।</v>
      </c>
    </row>
    <row r="1976" spans="1:3" ht="15" x14ac:dyDescent="0.25">
      <c r="A1976" s="3" t="s">
        <v>1968</v>
      </c>
      <c r="B1976" s="3" t="s">
        <v>997</v>
      </c>
      <c r="C1976" s="4" t="str">
        <f ca="1">IFERROR(__xludf.DUMMYFUNCTION("GOOGLETRANSLATE(A1976, ""auto"", ""bn"")"),"এই সপ্তাহটা এমন ছিল যখন, আগে, আমাকে সরাসরি বিয়ারের দোকানে ""কিছুটা ধোঁয়া বের করার জন্য"" পাঠিয়ে দিত? আর এতে আমার ঘুম ভেঙে যেত, ক্ষুধার্ত হয়ে উঠতাম এবং নিজেকে ঘৃণা করতাম। বরং, আজ বন্ধুদের সাথে বোর্ড গেম খেলে এবং লা ক্রোইক্সের ১২ প্যাকেট খেলে ক্লান্ত হয"&amp;"়ে ঘুম থেকে উঠেছি। এই সম্প্রদায়টি একটি আশ্চর্যজনক জায়গা এবং এখানকার সমর্থন এবং উৎসাহ সত্যিই অবিশ্বাস্য। তোমরা সবাই রক তারকা। এই সম্প্রদায়ের জন্য অনেক ভালোবাসা।")</f>
        <v>এই সপ্তাহটা এমন ছিল যখন, আগে, আমাকে সরাসরি বিয়ারের দোকানে "কিছুটা ধোঁয়া বের করার জন্য" পাঠিয়ে দিত? আর এতে আমার ঘুম ভেঙে যেত, ক্ষুধার্ত হয়ে উঠতাম এবং নিজেকে ঘৃণা করতাম। বরং, আজ বন্ধুদের সাথে বোর্ড গেম খেলে এবং লা ক্রোইক্সের ১২ প্যাকেট খেলে ক্লান্ত হয়ে ঘুম থেকে উঠেছি। এই সম্প্রদায়টি একটি আশ্চর্যজনক জায়গা এবং এখানকার সমর্থন এবং উৎসাহ সত্যিই অবিশ্বাস্য। তোমরা সবাই রক তারকা। এই সম্প্রদায়ের জন্য অনেক ভালোবাসা।</v>
      </c>
    </row>
    <row r="1977" spans="1:3" ht="15" x14ac:dyDescent="0.25">
      <c r="A1977" s="3" t="s">
        <v>1969</v>
      </c>
      <c r="B1977" s="3" t="s">
        <v>997</v>
      </c>
      <c r="C1977" s="4" t="str">
        <f ca="1">IFERROR(__xludf.DUMMYFUNCTION("GOOGLETRANSLATE(A1977, ""auto"", ""bn"")"),"করোনাভাইরাসের সমস্ত লকডাউনের সময় আমি আবারও আসক্ত হয়ে পড়েছিলাম এবং অবশ্যই, প্রথমে আমি ভাবিনি যে এটি কোনও সমস্যা হবে। প্রায় দুই বছর পরে এটি অবশ্যই একটি সমস্যা হয়ে দাঁড়িয়েছে, এটি আমার সম্পর্কের উপর প্রভাব ফেলছে, অবশ্যই আমাকে আর্থিকভাবে প্রভাবিত করছে এ"&amp;"বং আমার মানসিক স্বাস্থ্য সর্বকালের সর্বনিম্ন পর্যায়ে রয়েছে। যদিও এটি আমার মদ্যপানের সবচেয়ে খারাপ স্থানগুলির মধ্যে একটি, কোনও কারণে আমার জীবনে প্রথমবারের মতো, ত্যাগ করা আগের চেয়েও বেশি অপ্রতিরোধ্য বলে মনে হচ্ছে। পূর্বে যখন আমি নিজেকে এই পথে চলতে দেখেছি"&amp;"লাম তখন আমি ""একবারে একবারে এটি গ্রহণ করতে"" সক্ষম হয়েছিলাম ইত্যাদি অনেক সাফল্যের সাথে, কিন্তু যে ব্যক্তি এইভাবে দায়িত্ব নিতে পেরেছিলেন তার সাথে আমি মোটেও সংযুক্ত বোধ করি না, আমি কেবল ক্ষতির সম্মুখীন হই।")</f>
        <v>করোনাভাইরাসের সমস্ত লকডাউনের সময় আমি আবারও আসক্ত হয়ে পড়েছিলাম এবং অবশ্যই, প্রথমে আমি ভাবিনি যে এটি কোনও সমস্যা হবে। প্রায় দুই বছর পরে এটি অবশ্যই একটি সমস্যা হয়ে দাঁড়িয়েছে, এটি আমার সম্পর্কের উপর প্রভাব ফেলছে, অবশ্যই আমাকে আর্থিকভাবে প্রভাবিত করছে এবং আমার মানসিক স্বাস্থ্য সর্বকালের সর্বনিম্ন পর্যায়ে রয়েছে। যদিও এটি আমার মদ্যপানের সবচেয়ে খারাপ স্থানগুলির মধ্যে একটি, কোনও কারণে আমার জীবনে প্রথমবারের মতো, ত্যাগ করা আগের চেয়েও বেশি অপ্রতিরোধ্য বলে মনে হচ্ছে। পূর্বে যখন আমি নিজেকে এই পথে চলতে দেখেছিলাম তখন আমি "একবারে একবারে এটি গ্রহণ করতে" সক্ষম হয়েছিলাম ইত্যাদি অনেক সাফল্যের সাথে, কিন্তু যে ব্যক্তি এইভাবে দায়িত্ব নিতে পেরেছিলেন তার সাথে আমি মোটেও সংযুক্ত বোধ করি না, আমি কেবল ক্ষতির সম্মুখীন হই।</v>
      </c>
    </row>
    <row r="1978" spans="1:3" ht="15" x14ac:dyDescent="0.25">
      <c r="A1978" s="3" t="s">
        <v>1970</v>
      </c>
      <c r="B1978" s="3" t="s">
        <v>997</v>
      </c>
      <c r="C1978" s="4" t="str">
        <f ca="1">IFERROR(__xludf.DUMMYFUNCTION("GOOGLETRANSLATE(A1978, ""auto"", ""bn"")"),"বহু বছর পর প্রথম শান্ত সপ্তাহান্ত। পিৎজা এখন ওভেনে আছে। কিছু সোডা উপভোগ করছি। সিনেমা দেখতে যাচ্ছি এবং ঘুমানোর আগে পড়তে যাচ্ছি। আমার ভালো লাগছে। কিন্তু খুব লজ্জা লাগছে যে আমার বয়স আড়াই সপ্তাহ ধরে ৩০। আমার বয়স বিশের কোঠায় মদ্যপানের কারণে কমে গেছে। মানস"&amp;"িক সমস্যা দূর করার জন্য আমি পান করেছি। এটা ভালো হয়ে উঠছে। আমি আমার বাকি জীবন নষ্ট করব না। এই সম্প্রদায়ের সকলকে ধন্যবাদ।")</f>
        <v>বহু বছর পর প্রথম শান্ত সপ্তাহান্ত। পিৎজা এখন ওভেনে আছে। কিছু সোডা উপভোগ করছি। সিনেমা দেখতে যাচ্ছি এবং ঘুমানোর আগে পড়তে যাচ্ছি। আমার ভালো লাগছে। কিন্তু খুব লজ্জা লাগছে যে আমার বয়স আড়াই সপ্তাহ ধরে ৩০। আমার বয়স বিশের কোঠায় মদ্যপানের কারণে কমে গেছে। মানসিক সমস্যা দূর করার জন্য আমি পান করেছি। এটা ভালো হয়ে উঠছে। আমি আমার বাকি জীবন নষ্ট করব না। এই সম্প্রদায়ের সকলকে ধন্যবাদ।</v>
      </c>
    </row>
    <row r="1979" spans="1:3" ht="15" x14ac:dyDescent="0.25">
      <c r="A1979" s="3" t="s">
        <v>1971</v>
      </c>
      <c r="B1979" s="3" t="s">
        <v>997</v>
      </c>
      <c r="C1979" s="4" t="str">
        <f ca="1">IFERROR(__xludf.DUMMYFUNCTION("GOOGLETRANSLATE(A1979, ""auto"", ""bn"")"),"আমি এখন মিডওয়েস্টে বিমানবন্দরে আছি, বাড়ি ফেরার ফ্লাইটে উঠতে যাচ্ছি। বন্ধুরা, আমি নিজেকে নিয়ে খুব গর্বিত। এই ব্যবসায়িক ভ্রমণ নিয়ে আমি বেশ কিছুদিন ধরেই চিন্তিত কারণ জানুয়ারিতে মদ্যপান ছেড়ে দেওয়ার পর এটি আমার প্রথম রাজ্যের বাইরে ভ্রমণ। দীর্ঘ দিন কাজ "&amp;"করার পর হোটেল রুমে ফিরে আসার পর দু-এক রাত ছিল যখন আমি সত্যিই এক বোতল (অথবা ২) ওয়াইন কিনতে চেয়েছিলাম। আমি টেপটি চালিয়ে প্রতিদিন এই সাবটি পড়তাম/পোস্ট করতাম। কয়েক মাস আগে, আমি কি একদিনেরও বেশি সময় ধরে মদ্যপান ছেড়ে দিতে পারতাম? আর আমি এখানে, ৫০ দিনের ক"&amp;"াছাকাছি।")</f>
        <v>আমি এখন মিডওয়েস্টে বিমানবন্দরে আছি, বাড়ি ফেরার ফ্লাইটে উঠতে যাচ্ছি। বন্ধুরা, আমি নিজেকে নিয়ে খুব গর্বিত। এই ব্যবসায়িক ভ্রমণ নিয়ে আমি বেশ কিছুদিন ধরেই চিন্তিত কারণ জানুয়ারিতে মদ্যপান ছেড়ে দেওয়ার পর এটি আমার প্রথম রাজ্যের বাইরে ভ্রমণ। দীর্ঘ দিন কাজ করার পর হোটেল রুমে ফিরে আসার পর দু-এক রাত ছিল যখন আমি সত্যিই এক বোতল (অথবা ২) ওয়াইন কিনতে চেয়েছিলাম। আমি টেপটি চালিয়ে প্রতিদিন এই সাবটি পড়তাম/পোস্ট করতাম। কয়েক মাস আগে, আমি কি একদিনেরও বেশি সময় ধরে মদ্যপান ছেড়ে দিতে পারতাম? আর আমি এখানে, ৫০ দিনের কাছাকাছি।</v>
      </c>
    </row>
    <row r="1980" spans="1:3" ht="15" x14ac:dyDescent="0.25">
      <c r="A1980" s="3" t="s">
        <v>1972</v>
      </c>
      <c r="B1980" s="3" t="s">
        <v>997</v>
      </c>
      <c r="C1980" s="4" t="str">
        <f ca="1">IFERROR(__xludf.DUMMYFUNCTION("GOOGLETRANSLATE(A1980, ""auto"", ""bn"")"),"আর আমি এটা করেছি, পানি ছাড়া আর কিছুই পান করিনি। পুল আর ডার্ট খেলতাম, দারুন সময় কাটিয়েছিলাম, আর ঘুম থেকে উঠেই বেরিয়েছিলাম। আজ ঘুম থেকে উঠে আমার কোনও লজ্জা বা অনুশোচনা ছিল না, আমি কেবল নিজের উপর খুশি, ক্ষুধার্ত নই। পান করার লোভ ছিল, জানতাম কত সহজে আমি একটা"&amp;" পানীয় অর্ডার করতে পারি, কিন্তু আমি দৃঢ়ভাবে ধরেছিলাম এবং হাল ছাড়িনি। আমি আজ পোস্ট করতে চেয়েছিলাম কারণ আমি এটা করতে পেরে খুব খুশি। ২ মাস ধরে।")</f>
        <v>আর আমি এটা করেছি, পানি ছাড়া আর কিছুই পান করিনি। পুল আর ডার্ট খেলতাম, দারুন সময় কাটিয়েছিলাম, আর ঘুম থেকে উঠেই বেরিয়েছিলাম। আজ ঘুম থেকে উঠে আমার কোনও লজ্জা বা অনুশোচনা ছিল না, আমি কেবল নিজের উপর খুশি, ক্ষুধার্ত নই। পান করার লোভ ছিল, জানতাম কত সহজে আমি একটা পানীয় অর্ডার করতে পারি, কিন্তু আমি দৃঢ়ভাবে ধরেছিলাম এবং হাল ছাড়িনি। আমি আজ পোস্ট করতে চেয়েছিলাম কারণ আমি এটা করতে পেরে খুব খুশি। ২ মাস ধরে।</v>
      </c>
    </row>
    <row r="1981" spans="1:3" ht="15" x14ac:dyDescent="0.25">
      <c r="A1981" s="3" t="s">
        <v>1973</v>
      </c>
      <c r="B1981" s="3" t="s">
        <v>997</v>
      </c>
      <c r="C1981" s="4" t="str">
        <f ca="1">IFERROR(__xludf.DUMMYFUNCTION("GOOGLETRANSLATE(A1981, ""auto"", ""bn"")"),"এই গ্রুপের নতুন সকলের সাথে শেয়ার করতে চাইলাম, শুধু প্রতিদিন এটা করো। শুরুতে আমি এই সাবটি পড়তাম এবং এত বড় বড় দিন গণনা করতে দেখে এবং আমার ভেঙে পড়ার সাথে সাথে সবকিছু কীভাবে একসাথে হচ্ছে তা নিয়ে লোকেরা মন্তব্য করতে দেখে খুব হতাশ এবং হতাশ বোধ করতাম। আজই যা কর"&amp;"া উচিত তা করো, মদ্যপান না করে। আমি তোমাকে প্রতিশ্রুতি দিচ্ছি যে অন্য সব জিনিস সময়মতো তোমার কাছে আসবে। তুমি একা নও। এখন আমার ভেতরের সন্তানের জন্য... ৯৬৯ দিন! চমৎকার")</f>
        <v>এই গ্রুপের নতুন সকলের সাথে শেয়ার করতে চাইলাম, শুধু প্রতিদিন এটা করো। শুরুতে আমি এই সাবটি পড়তাম এবং এত বড় বড় দিন গণনা করতে দেখে এবং আমার ভেঙে পড়ার সাথে সাথে সবকিছু কীভাবে একসাথে হচ্ছে তা নিয়ে লোকেরা মন্তব্য করতে দেখে খুব হতাশ এবং হতাশ বোধ করতাম। আজই যা করা উচিত তা করো, মদ্যপান না করে। আমি তোমাকে প্রতিশ্রুতি দিচ্ছি যে অন্য সব জিনিস সময়মতো তোমার কাছে আসবে। তুমি একা নও। এখন আমার ভেতরের সন্তানের জন্য... ৯৬৯ দিন! চমৎকার</v>
      </c>
    </row>
    <row r="1982" spans="1:3" ht="15" x14ac:dyDescent="0.25">
      <c r="A1982" s="3" t="s">
        <v>1974</v>
      </c>
      <c r="B1982" s="3" t="s">
        <v>997</v>
      </c>
      <c r="C1982" s="4" t="str">
        <f ca="1">IFERROR(__xludf.DUMMYFUNCTION("GOOGLETRANSLATE(A1982, ""auto"", ""bn"")"),"আমি মদ্যপানের নেশায় এত ক্লান্ত এবং ক্লান্ত যে, কিন্তু আমি তা ত্যাগ করতে পারছি না। আমি এটি ত্যাগ করার জন্য বিভিন্ন পদ্ধতি ব্যবহার করেছি কিন্তু সফল হইনি। সমস্যা হল আমার মস্তিষ্ক ১. বছরের পর বছর ধরে অতিরিক্ত মদ্যপানের ফলে ক্ষতিগ্রস্ত এবং ২. মদ্যপানের উপর নির"&amp;"্ভরশীল। এভাবে বেঁচে থাকাটা খুবই দুঃখজনক। এটা সত্যিই দুঃখজনক। আমার ছেলের আরও অনেক ভালো পাওয়ার যোগ্য।")</f>
        <v>আমি মদ্যপানের নেশায় এত ক্লান্ত এবং ক্লান্ত যে, কিন্তু আমি তা ত্যাগ করতে পারছি না। আমি এটি ত্যাগ করার জন্য বিভিন্ন পদ্ধতি ব্যবহার করেছি কিন্তু সফল হইনি। সমস্যা হল আমার মস্তিষ্ক ১. বছরের পর বছর ধরে অতিরিক্ত মদ্যপানের ফলে ক্ষতিগ্রস্ত এবং ২. মদ্যপানের উপর নির্ভরশীল। এভাবে বেঁচে থাকাটা খুবই দুঃখজনক। এটা সত্যিই দুঃখজনক। আমার ছেলের আরও অনেক ভালো পাওয়ার যোগ্য।</v>
      </c>
    </row>
    <row r="1983" spans="1:3" ht="15" x14ac:dyDescent="0.25">
      <c r="A1983" s="3" t="s">
        <v>1975</v>
      </c>
      <c r="B1983" s="3" t="s">
        <v>997</v>
      </c>
      <c r="C1983" s="4" t="str">
        <f ca="1">IFERROR(__xludf.DUMMYFUNCTION("GOOGLETRANSLATE(A1983, ""auto"", ""bn"")"),"তাই আমি বেশ কিছুদিন ধরে খুব একটা সক্রিয় ছিলাম না, গোলাপী মেঘ আমার গায়ে নিষ্ঠুরভাবে আঘাত করার পর আমি বেশ অন্ধকার জায়গায় চলে গিয়েছিলাম এবং কিছু কঠিন পরিস্থিতির মধ্য দিয়েছি, কিন্তু আমি এখনও এখানেই আছি। আমি সংযমের প্রেমে পড়ে গিয়েছিলাম, এখন আমি এটাকে আমার (অথ"&amp;"বা আমি আর নেই) একটা অংশ হিসেবে দেখি, তাই আমার মনে হয়েছে যে অনেকদিন ধরে স্থগিত রেখেছিলাম এমন কিছু করার সময় এসেছে: কিছু বই পড়া। আমি একজন নারীর মতো ছেড়েছি এবং আমি এটা ভালোবাসবো বলে আশা করিনি, আমি কেবল এই ধারণায় ছিলাম যে আমি সঠিক কাজটি করছি, কিন্তু বইটি আসলে"&amp;" নিখুঁত, এবং আমি ধীরে ধীরে আবার নিজেকে নিয়ে গর্বিত হচ্ছি। তাছাড়া, গত এক মাস ধরে মদ্যপানের জন্য আমার অনেক অজুহাত থাকতে পারত, তবুও, আমি গর্বের সাথে বলতে পারি যে আমার দিন গণনা পুনরায় সেট করার দরকার নেই। তাছাড়া, আমি আমার জীবনে কিছু গুরুত্বপূর্ণ এবং অত্যন্ত"&amp;" প্রয়োজনীয় ইতিবাচক পরিবর্তনও করেছি, যখন আমি খারাপ অনুভব করছি, এবং এটি একটি বড় জয়ের মতো অনুভব করছি।")</f>
        <v>তাই আমি বেশ কিছুদিন ধরে খুব একটা সক্রিয় ছিলাম না, গোলাপী মেঘ আমার গায়ে নিষ্ঠুরভাবে আঘাত করার পর আমি বেশ অন্ধকার জায়গায় চলে গিয়েছিলাম এবং কিছু কঠিন পরিস্থিতির মধ্য দিয়েছি, কিন্তু আমি এখনও এখানেই আছি। আমি সংযমের প্রেমে পড়ে গিয়েছিলাম, এখন আমি এটাকে আমার (অথবা আমি আর নেই) একটা অংশ হিসেবে দেখি, তাই আমার মনে হয়েছে যে অনেকদিন ধরে স্থগিত রেখেছিলাম এমন কিছু করার সময় এসেছে: কিছু বই পড়া। আমি একজন নারীর মতো ছেড়েছি এবং আমি এটা ভালোবাসবো বলে আশা করিনি, আমি কেবল এই ধারণায় ছিলাম যে আমি সঠিক কাজটি করছি, কিন্তু বইটি আসলে নিখুঁত, এবং আমি ধীরে ধীরে আবার নিজেকে নিয়ে গর্বিত হচ্ছি। তাছাড়া, গত এক মাস ধরে মদ্যপানের জন্য আমার অনেক অজুহাত থাকতে পারত, তবুও, আমি গর্বের সাথে বলতে পারি যে আমার দিন গণনা পুনরায় সেট করার দরকার নেই। তাছাড়া, আমি আমার জীবনে কিছু গুরুত্বপূর্ণ এবং অত্যন্ত প্রয়োজনীয় ইতিবাচক পরিবর্তনও করেছি, যখন আমি খারাপ অনুভব করছি, এবং এটি একটি বড় জয়ের মতো অনুভব করছি।</v>
      </c>
    </row>
    <row r="1984" spans="1:3" ht="15" x14ac:dyDescent="0.25">
      <c r="A1984" s="3" t="s">
        <v>1976</v>
      </c>
      <c r="B1984" s="3" t="s">
        <v>997</v>
      </c>
      <c r="C1984" s="4" t="str">
        <f ca="1">IFERROR(__xludf.DUMMYFUNCTION("GOOGLETRANSLATE(A1984, ""auto"", ""bn"")"),"এমন কয়েকটা দিন ছিল যখন আমি সবকিছু ফেলে দিতে চাইতাম যাতে আমি নিজেকে একটা পানীয় ""আনন্দ"" দিতে পারি। অন্ধকার দিন, উৎসবের দিন, একঘেয়েমিপূর্ণ দিন। আমি শুধু এই দিনটির কথাই ভাবছিলাম। ছয় মাস। বছরের পর বছর ধরে আমি এই দিনটির স্বপ্ন দেখছিলাম।")</f>
        <v>এমন কয়েকটা দিন ছিল যখন আমি সবকিছু ফেলে দিতে চাইতাম যাতে আমি নিজেকে একটা পানীয় "আনন্দ" দিতে পারি। অন্ধকার দিন, উৎসবের দিন, একঘেয়েমিপূর্ণ দিন। আমি শুধু এই দিনটির কথাই ভাবছিলাম। ছয় মাস। বছরের পর বছর ধরে আমি এই দিনটির স্বপ্ন দেখছিলাম।</v>
      </c>
    </row>
    <row r="1985" spans="1:3" ht="15" x14ac:dyDescent="0.25">
      <c r="A1985" s="3" t="s">
        <v>1977</v>
      </c>
      <c r="B1985" s="3" t="s">
        <v>997</v>
      </c>
      <c r="C1985" s="4" t="str">
        <f ca="1">IFERROR(__xludf.DUMMYFUNCTION("GOOGLETRANSLATE(A1985, ""auto"", ""bn"")"),"আমার পুরো প্রাপ্তবয়স্ক জীবনে সবচেয়ে বেশি সময় ধরে আমি পানীয় ছাড়া কাটিয়েছি এবং আমার বয়স ৩০ এর কোঠায়। আর আমি একজন বারটেন্ডার। শুধু এমন কাউকে খুঁজছি যে আমাকে বলবে আমি ভালো আছি। আজ রাতে টিভি দেখছি আর আঙ্গুরের সোডা খাচ্ছি, একাকী লাগছে।")</f>
        <v>আমার পুরো প্রাপ্তবয়স্ক জীবনে সবচেয়ে বেশি সময় ধরে আমি পানীয় ছাড়া কাটিয়েছি এবং আমার বয়স ৩০ এর কোঠায়। আর আমি একজন বারটেন্ডার। শুধু এমন কাউকে খুঁজছি যে আমাকে বলবে আমি ভালো আছি। আজ রাতে টিভি দেখছি আর আঙ্গুরের সোডা খাচ্ছি, একাকী লাগছে।</v>
      </c>
    </row>
    <row r="1986" spans="1:3" ht="15" x14ac:dyDescent="0.25">
      <c r="A1986" s="3" t="s">
        <v>1978</v>
      </c>
      <c r="B1986" s="3" t="s">
        <v>997</v>
      </c>
      <c r="C1986" s="4" t="str">
        <f ca="1">IFERROR(__xludf.DUMMYFUNCTION("GOOGLETRANSLATE(A1986, ""auto"", ""bn"")"),"আমি ড্রাই জানুয়ারী করার সিদ্ধান্ত নিলাম কারণ আমি জানতাম যে বছরের পর বছর ধরে আমার মদ্যপান আরও খারাপ হয়ে গেছে এবং আমি ভেবেছিলাম এটি একটি বিরতি অনুভব করতে সাহায্য করবে। আসলে আমি কখনই ছেড়ে দেওয়ার ইচ্ছা করিনি, কেবল একটি বিরতি। তৃতীয় সপ্তাহের পর আমি নিখুঁত"&amp;" বোধ করছিলাম। আমি কর্মক্ষেত্রে উৎপাদনশীল ছিলাম, সপ্তাহান্তে আমি বিশ্রাম অনুভব করতাম এবং আমি কখনও ওয়ার্কআউট মিস করতাম না। আমি সত্যিই কেবল একসাথে অ্যালকোহল ছেড়ে দেওয়ার কথা ভাবতে শুরু করেছিলাম কারণ আমি খুব ভালো অনুভব করতাম। তারপর জানুয়ারী শেষ হয়ে গেল এব"&amp;"ং সেই চিন্তাগুলি আমার মাথায় আবার ফিরে এলো? তুমি কি সত্যিই মনে করো যে তুমি মৃত্যুর দিন পর্যন্ত আর কখনও আর পান করবে না? চলো, মানুষ, আগের চেয়ে ভালো থাকো, এবং তুমি এটা সামলাতে পারো, তুমি ইতিমধ্যেই তোমার লক্ষ্যে পৌঁছে গেছো। এবং আমি এটা সামলে নিয়েছি, আমি একট"&amp;"ু পান করেছি এবং কিছু মজা করেছি এবং ভেঙে পড়েনি। ঠিক মনে হচ্ছে।")</f>
        <v>আমি ড্রাই জানুয়ারী করার সিদ্ধান্ত নিলাম কারণ আমি জানতাম যে বছরের পর বছর ধরে আমার মদ্যপান আরও খারাপ হয়ে গেছে এবং আমি ভেবেছিলাম এটি একটি বিরতি অনুভব করতে সাহায্য করবে। আসলে আমি কখনই ছেড়ে দেওয়ার ইচ্ছা করিনি, কেবল একটি বিরতি। তৃতীয় সপ্তাহের পর আমি নিখুঁত বোধ করছিলাম। আমি কর্মক্ষেত্রে উৎপাদনশীল ছিলাম, সপ্তাহান্তে আমি বিশ্রাম অনুভব করতাম এবং আমি কখনও ওয়ার্কআউট মিস করতাম না। আমি সত্যিই কেবল একসাথে অ্যালকোহল ছেড়ে দেওয়ার কথা ভাবতে শুরু করেছিলাম কারণ আমি খুব ভালো অনুভব করতাম। তারপর জানুয়ারী শেষ হয়ে গেল এবং সেই চিন্তাগুলি আমার মাথায় আবার ফিরে এলো? তুমি কি সত্যিই মনে করো যে তুমি মৃত্যুর দিন পর্যন্ত আর কখনও আর পান করবে না? চলো, মানুষ, আগের চেয়ে ভালো থাকো, এবং তুমি এটা সামলাতে পারো, তুমি ইতিমধ্যেই তোমার লক্ষ্যে পৌঁছে গেছো। এবং আমি এটা সামলে নিয়েছি, আমি একটু পান করেছি এবং কিছু মজা করেছি এবং ভেঙে পড়েনি। ঠিক মনে হচ্ছে।</v>
      </c>
    </row>
    <row r="1987" spans="1:3" ht="15" x14ac:dyDescent="0.25">
      <c r="A1987" s="3" t="s">
        <v>1979</v>
      </c>
      <c r="B1987" s="3" t="s">
        <v>997</v>
      </c>
      <c r="C1987" s="4" t="str">
        <f ca="1">IFERROR(__xludf.DUMMYFUNCTION("GOOGLETRANSLATE(A1987, ""auto"", ""bn"")"),"চিন্তা করো না, আমি মদ্যপান করিনি, কিন্তু রাত ১টা পর্যন্ত জেগে টিভি দেখছিলাম আর এখন ক্লান্ত। রাতের মদ্যপানের চেয়ে এখনও আমার ভালো লাগছে! শনিবারটা ভালো কাটুক বন্ধুরা! আমি জানি পরে খোঁজ নেব। শ্বশুরবাড়ির সাথে বাইরে ডিনারে যাচ্ছি (আমার জন্য দ্বিগুণ ট্রিগার)।")</f>
        <v>চিন্তা করো না, আমি মদ্যপান করিনি, কিন্তু রাত ১টা পর্যন্ত জেগে টিভি দেখছিলাম আর এখন ক্লান্ত। রাতের মদ্যপানের চেয়ে এখনও আমার ভালো লাগছে! শনিবারটা ভালো কাটুক বন্ধুরা! আমি জানি পরে খোঁজ নেব। শ্বশুরবাড়ির সাথে বাইরে ডিনারে যাচ্ছি (আমার জন্য দ্বিগুণ ট্রিগার)।</v>
      </c>
    </row>
    <row r="1988" spans="1:3" ht="15" x14ac:dyDescent="0.25">
      <c r="A1988" s="3" t="s">
        <v>1980</v>
      </c>
      <c r="B1988" s="3" t="s">
        <v>997</v>
      </c>
      <c r="C1988" s="4" t="str">
        <f ca="1">IFERROR(__xludf.DUMMYFUNCTION("GOOGLETRANSLATE(A1988, ""auto"", ""bn"")"),"হ্যাঁ, এটা প্রায়ই ঘটে। আগস্টে আমি মদ্যপান ছেড়ে দিয়েছিলাম এবং খুব খুশি ছিলাম, তারপর জীবন আমাকে দু'সপ্তাহেরও বেশি সময় ধরে চুষে নিয়েছিল, আর সেই বিষয়টা সামলাতে আমি নিজের মধ্যে ঢেলে দিয়েছিলাম। আমি লক্ষ্য করেছি যে আমি খুব দ্রুত নিয়ন্ত্রণ হারিয়ে ফেলেছি, তাই গত"&amp;"কাল সকালে আমি হাসপাতালে গিয়ে তাদের এই বিষয়টি জানিয়েছিলাম। ৩১ ঘন্টা ধরে আমি সুস্থ এবং ইতিমধ্যেই ভালো বোধ করছি, যদিও আমার শরীরে কোনওভাবে নেশার স্মৃতিশক্তি প্রবল, তাই আমার এখনও খুব চাপযুক্ত প্রত্যাহারের লক্ষণ রয়েছে। সবসময় মনে রাখবেন, মদ্যপান করবেন না! কখনও"&amp;" না, এটি আপনার মস্তিষ্কের জন্য কখনই একটি বিকল্প হতে পারে না। কিন্তু যদি তা হয়, তাহলে সাহায্যের জন্য যান। যারা ছেড়ে দিতে চান তাদের সকলের প্রতি ভালোবাসা। এমনকি যদি কোনও বাধা থাকে, আপনি তা করতে পারেন।")</f>
        <v>হ্যাঁ, এটা প্রায়ই ঘটে। আগস্টে আমি মদ্যপান ছেড়ে দিয়েছিলাম এবং খুব খুশি ছিলাম, তারপর জীবন আমাকে দু'সপ্তাহেরও বেশি সময় ধরে চুষে নিয়েছিল, আর সেই বিষয়টা সামলাতে আমি নিজের মধ্যে ঢেলে দিয়েছিলাম। আমি লক্ষ্য করেছি যে আমি খুব দ্রুত নিয়ন্ত্রণ হারিয়ে ফেলেছি, তাই গতকাল সকালে আমি হাসপাতালে গিয়ে তাদের এই বিষয়টি জানিয়েছিলাম। ৩১ ঘন্টা ধরে আমি সুস্থ এবং ইতিমধ্যেই ভালো বোধ করছি, যদিও আমার শরীরে কোনওভাবে নেশার স্মৃতিশক্তি প্রবল, তাই আমার এখনও খুব চাপযুক্ত প্রত্যাহারের লক্ষণ রয়েছে। সবসময় মনে রাখবেন, মদ্যপান করবেন না! কখনও না, এটি আপনার মস্তিষ্কের জন্য কখনই একটি বিকল্প হতে পারে না। কিন্তু যদি তা হয়, তাহলে সাহায্যের জন্য যান। যারা ছেড়ে দিতে চান তাদের সকলের প্রতি ভালোবাসা। এমনকি যদি কোনও বাধা থাকে, আপনি তা করতে পারেন।</v>
      </c>
    </row>
    <row r="1989" spans="1:3" ht="15" x14ac:dyDescent="0.25">
      <c r="A1989" s="3" t="s">
        <v>1981</v>
      </c>
      <c r="B1989" s="3" t="s">
        <v>997</v>
      </c>
      <c r="C1989" s="4" t="str">
        <f ca="1">IFERROR(__xludf.DUMMYFUNCTION("GOOGLETRANSLATE(A1989, ""auto"", ""bn"")"),"সংক্ষেপে বলতে গেলে, আমি ১১ বছর বয়স থেকে দৌড়াচ্ছিলাম এবং গত সপ্তাহে আমার বয়স ৩৩ বছর। ২০ বছরেরও বেশি সময় ধরে দৌড়েছি, খেলাধুলা থেকে খুব কম সময় দূরে থাকতে। জীবন বাধাগ্রস্ত হয়েছিল এবং আমি ৪ মাসেরও বেশি সময় ধরে বিরতি নেওয়ার সিদ্ধান্ত নিয়েছি এবং এখন আব"&amp;"ার এতে ফিরে আসার চেষ্টা করছি। দৌড়ের ইতিহাসে, বেশ কয়েক বছর ধরে আমি সপ্তাহে গড়ে ১০০ মাইলেরও বেশি দৌড়াতাম এবং আমার জীবদ্দশায় গড়ে ৫০ মাইল প্রতি ঘণ্টা গতিতে দৌড়াতাম। ৪ মাসের বিরতির সময় আমার ওজন সম্ভবত প্রায় ৩০ পাউন্ড বেড়েছিল কারণ আমি প্রশিক্ষণের সময়"&amp;" যা খাচ্ছিলাম তার চেয়ে অনেক আলাদা খাবার খাচ্ছিলাম, সেই সময় আমি আরও অনেক বেশি পান করেছি। আমি যখন আবার দৌড়াচ্ছি, তখন আমি মদ্যপান এবং খারাপ খাদ্যাভ্যাস ত্যাগ করছি। অভিজ্ঞতা থেকে কেউ জানেন যে অতিরিক্ত ওজন কমাতে আমার কত সময় লাগবে?")</f>
        <v>সংক্ষেপে বলতে গেলে, আমি ১১ বছর বয়স থেকে দৌড়াচ্ছিলাম এবং গত সপ্তাহে আমার বয়স ৩৩ বছর। ২০ বছরেরও বেশি সময় ধরে দৌড়েছি, খেলাধুলা থেকে খুব কম সময় দূরে থাকতে। জীবন বাধাগ্রস্ত হয়েছিল এবং আমি ৪ মাসেরও বেশি সময় ধরে বিরতি নেওয়ার সিদ্ধান্ত নিয়েছি এবং এখন আবার এতে ফিরে আসার চেষ্টা করছি। দৌড়ের ইতিহাসে, বেশ কয়েক বছর ধরে আমি সপ্তাহে গড়ে ১০০ মাইলেরও বেশি দৌড়াতাম এবং আমার জীবদ্দশায় গড়ে ৫০ মাইল প্রতি ঘণ্টা গতিতে দৌড়াতাম। ৪ মাসের বিরতির সময় আমার ওজন সম্ভবত প্রায় ৩০ পাউন্ড বেড়েছিল কারণ আমি প্রশিক্ষণের সময় যা খাচ্ছিলাম তার চেয়ে অনেক আলাদা খাবার খাচ্ছিলাম, সেই সময় আমি আরও অনেক বেশি পান করেছি। আমি যখন আবার দৌড়াচ্ছি, তখন আমি মদ্যপান এবং খারাপ খাদ্যাভ্যাস ত্যাগ করছি। অভিজ্ঞতা থেকে কেউ জানেন যে অতিরিক্ত ওজন কমাতে আমার কত সময় লাগবে?</v>
      </c>
    </row>
    <row r="1990" spans="1:3" ht="15" x14ac:dyDescent="0.25">
      <c r="A1990" s="3" t="s">
        <v>1982</v>
      </c>
      <c r="B1990" s="3" t="s">
        <v>997</v>
      </c>
      <c r="C1990" s="4" t="str">
        <f ca="1">IFERROR(__xludf.DUMMYFUNCTION("GOOGLETRANSLATE(A1990, ""auto"", ""bn"")"),"স্পষ্ট করে বলতে গেলে, আমি আমার বাচ্চাদের মদ্যপানের কারণে কখনও অবহেলা করিনি বা তাদের ক্ষতি করিনি। কিন্তু কিছু সকালে আমি অবশ্যই খুব ক্লান্ত থাকি, আমার শরীর খারাপ থাকে কারণ আমি কাজ থেকে বের হওয়ার সাথে সাথেই মদ্যপান শুরু করতে চাই এবং তারপর সারা রাত খেতে চাই।"&amp;" আমি তাদের জীবনের প্রথম 4 মাস থামিয়েছিলাম এবং অনেক ভালো বোধ করেছি, তারপর জীবনের চাপের কারণে পুরানো খারাপ অভ্যাসে পড়ে গিয়েছিলাম। আজ সকালে আমি এবং আমার স্ত্রী রান্নাঘরে স্ট্রিমার ঝুলিয়েছিলাম এবং তাদের জন্মদিনের নাস্তার জন্য রেইনবো প্যানকেক তৈরি করেছিলাম"&amp;" এবং আমি তাদের দুজনকেই গোপনে বলেছিলাম যে আমি এই বছর আরও ভালো, সুস্থ বাবা হওয়ার জন্য কিছু পরিবর্তন আনব যাতে তারা যখন বাড়ির উঠোনে দৌড়াতে শিখবে, তখন আমি যত খুশি খেলতে পারব। আমাকে এটি করতে অনুপ্রাণিত করার জন্য এই গ্রুপটিকে ধন্যবাদ। আমি ""সঠিক সময়ের"" জন্য"&amp;" এটি স্থগিত রেখেছি এবং আমার মনে হয় এটিই শেষ।")</f>
        <v>স্পষ্ট করে বলতে গেলে, আমি আমার বাচ্চাদের মদ্যপানের কারণে কখনও অবহেলা করিনি বা তাদের ক্ষতি করিনি। কিন্তু কিছু সকালে আমি অবশ্যই খুব ক্লান্ত থাকি, আমার শরীর খারাপ থাকে কারণ আমি কাজ থেকে বের হওয়ার সাথে সাথেই মদ্যপান শুরু করতে চাই এবং তারপর সারা রাত খেতে চাই। আমি তাদের জীবনের প্রথম 4 মাস থামিয়েছিলাম এবং অনেক ভালো বোধ করেছি, তারপর জীবনের চাপের কারণে পুরানো খারাপ অভ্যাসে পড়ে গিয়েছিলাম। আজ সকালে আমি এবং আমার স্ত্রী রান্নাঘরে স্ট্রিমার ঝুলিয়েছিলাম এবং তাদের জন্মদিনের নাস্তার জন্য রেইনবো প্যানকেক তৈরি করেছিলাম এবং আমি তাদের দুজনকেই গোপনে বলেছিলাম যে আমি এই বছর আরও ভালো, সুস্থ বাবা হওয়ার জন্য কিছু পরিবর্তন আনব যাতে তারা যখন বাড়ির উঠোনে দৌড়াতে শিখবে, তখন আমি যত খুশি খেলতে পারব। আমাকে এটি করতে অনুপ্রাণিত করার জন্য এই গ্রুপটিকে ধন্যবাদ। আমি "সঠিক সময়ের" জন্য এটি স্থগিত রেখেছি এবং আমার মনে হয় এটিই শেষ।</v>
      </c>
    </row>
    <row r="1991" spans="1:3" ht="15" x14ac:dyDescent="0.25">
      <c r="A1991" s="3" t="s">
        <v>1983</v>
      </c>
      <c r="B1991" s="3" t="s">
        <v>997</v>
      </c>
      <c r="C1991" s="4" t="str">
        <f ca="1">IFERROR(__xludf.DUMMYFUNCTION("GOOGLETRANSLATE(A1991, ""auto"", ""bn"")"),"আমি বিস্তারিত বলব না, কিন্তু আমি এমন কিছু খুঁজে পেয়েছি যা আমাকে খুব কষ্ট দিয়েছে। আমি এতটাই বলতে বাধ্য হচ্ছি যে, এটাকে ফাক করে কিছু একটা ধরতে হবে যাতে এ থেকে বাঁচতে পারি। তাছাড়া, আমি একটা ধ্বংসস্তূপে পরিণত হয়েছি এবং নিজেকে এত মূল্যহীন মনে হচ্ছে যে, এক "&amp;"বোতল কি করবে? কিছুই না, বা এখনই তেমন লাগছে। আমি নিশ্চিত নই কেন আমি এটা লিখছি।")</f>
        <v>আমি বিস্তারিত বলব না, কিন্তু আমি এমন কিছু খুঁজে পেয়েছি যা আমাকে খুব কষ্ট দিয়েছে। আমি এতটাই বলতে বাধ্য হচ্ছি যে, এটাকে ফাক করে কিছু একটা ধরতে হবে যাতে এ থেকে বাঁচতে পারি। তাছাড়া, আমি একটা ধ্বংসস্তূপে পরিণত হয়েছি এবং নিজেকে এত মূল্যহীন মনে হচ্ছে যে, এক বোতল কি করবে? কিছুই না, বা এখনই তেমন লাগছে। আমি নিশ্চিত নই কেন আমি এটা লিখছি।</v>
      </c>
    </row>
    <row r="1992" spans="1:3" ht="15" x14ac:dyDescent="0.25">
      <c r="A1992" s="3" t="s">
        <v>1984</v>
      </c>
      <c r="B1992" s="3" t="s">
        <v>997</v>
      </c>
      <c r="C1992" s="4" t="str">
        <f ca="1">IFERROR(__xludf.DUMMYFUNCTION("GOOGLETRANSLATE(A1992, ""auto"", ""bn"")"),"ঘুম থেকে উঠেছিলাম উদ্বিগ্ন বোধ করছি কিন্তু অন্যথায় ভালো লাগছে?.. এখনও ক্ষুধা লাগছে, কিন্তু আমার মনে হয় এটা আমার উদ্বেগের কারণে? আশা করি আজকে পরিস্থিতি স্বাভাবিক হবে কারণ আমাকে আগামীকাল কাজে যেতে হবে এবং সেখানে পৌঁছানোর জন্য আমাকে ৬০ কিলোমিটার গাড়ি চালা"&amp;"তে হবে? শুধু তোমার প্রার্থনায় আমাকে রাখো? ডিম, টোস্ট এবং ভিটামিন বি খাওয়ার পরিকল্পনা করো আশা করি এটা সাহায্য করবে।")</f>
        <v>ঘুম থেকে উঠেছিলাম উদ্বিগ্ন বোধ করছি কিন্তু অন্যথায় ভালো লাগছে?.. এখনও ক্ষুধা লাগছে, কিন্তু আমার মনে হয় এটা আমার উদ্বেগের কারণে? আশা করি আজকে পরিস্থিতি স্বাভাবিক হবে কারণ আমাকে আগামীকাল কাজে যেতে হবে এবং সেখানে পৌঁছানোর জন্য আমাকে ৬০ কিলোমিটার গাড়ি চালাতে হবে? শুধু তোমার প্রার্থনায় আমাকে রাখো? ডিম, টোস্ট এবং ভিটামিন বি খাওয়ার পরিকল্পনা করো আশা করি এটা সাহায্য করবে।</v>
      </c>
    </row>
    <row r="1993" spans="1:3" ht="15" x14ac:dyDescent="0.25">
      <c r="A1993" s="3" t="s">
        <v>1985</v>
      </c>
      <c r="B1993" s="3" t="s">
        <v>997</v>
      </c>
      <c r="C1993" s="4" t="str">
        <f ca="1">IFERROR(__xludf.DUMMYFUNCTION("GOOGLETRANSLATE(A1993, ""auto"", ""bn"")"),"আমার ঘুমের সময়সূচী সাধারণত খারাপ, কিন্তু আমি ক্ষুধার্ত এবং ব্যথায় ঘুম থেকে ওঠার চেয়ে খারাপ ঘুম পেয়ে খুশি। আমি যে হোটেলে কাজ করি সেখানে ভোর ৫টায় হেঁটে গিয়েছিলাম, যাতে আমার বিড়ালের সাথে রাত কাটানোর পর, ঝলমলে জল এবং সোডা পান করার পর এবং রেডিট ব্রাউজ ক"&amp;"রার পর আমার কাপড় ধোয়ার কাজ শেষ করতে পারি। সারা রাত ধরে ঘুমানোর পর হাঁটতে হাঁটতে আমি বেশি তৃপ্তি পেয়েছি, পরের দিন সকালে নিজেকে মদ্যপান করে কাজের জন্য একটি নকল হাসি দিয়ে দেখার চেয়ে। সেরা ঘুম না পেয়ে আমি খারাপ বোধ করছি, তবে আমি কৃতজ্ঞ যে আমি উৎপাদনশীল "&amp;"এবং স্বাস্থ্যকর উপায়ে খারাপ বোধ করছি।")</f>
        <v>আমার ঘুমের সময়সূচী সাধারণত খারাপ, কিন্তু আমি ক্ষুধার্ত এবং ব্যথায় ঘুম থেকে ওঠার চেয়ে খারাপ ঘুম পেয়ে খুশি। আমি যে হোটেলে কাজ করি সেখানে ভোর ৫টায় হেঁটে গিয়েছিলাম, যাতে আমার বিড়ালের সাথে রাত কাটানোর পর, ঝলমলে জল এবং সোডা পান করার পর এবং রেডিট ব্রাউজ করার পর আমার কাপড় ধোয়ার কাজ শেষ করতে পারি। সারা রাত ধরে ঘুমানোর পর হাঁটতে হাঁটতে আমি বেশি তৃপ্তি পেয়েছি, পরের দিন সকালে নিজেকে মদ্যপান করে কাজের জন্য একটি নকল হাসি দিয়ে দেখার চেয়ে। সেরা ঘুম না পেয়ে আমি খারাপ বোধ করছি, তবে আমি কৃতজ্ঞ যে আমি উৎপাদনশীল এবং স্বাস্থ্যকর উপায়ে খারাপ বোধ করছি।</v>
      </c>
    </row>
    <row r="1994" spans="1:3" ht="15" x14ac:dyDescent="0.25">
      <c r="A1994" s="3" t="s">
        <v>1986</v>
      </c>
      <c r="B1994" s="3" t="s">
        <v>997</v>
      </c>
      <c r="C1994" s="4" t="str">
        <f ca="1">IFERROR(__xludf.DUMMYFUNCTION("GOOGLETRANSLATE(A1994, ""auto"", ""bn"")"),"ঘুম থেকে উঠেই আমি am sober অ্যাপে টাইমারটা দেখলাম, আর সত্যিই আমার চোখে জল এসে গেল। সংযত থাকাটা কঠিন ছিল। গত ৭ বছরে এতদূর আসতে পারিনি, হয়তো আরও বেশি সময় লেগেছে। পার্টি পরিষ্কার করার সময় এসেছে, আর প্রতিদিন নিজের উপর একটু বেশি বিশ্বাস করাটা খুব ভালো লাগছে"&amp;"। অ্যালকোহল সত্যিই আমার উপর থেকে সেই বিশ্বাস কেড়ে নিয়েছে যা আমার কঠিন কাজ করার জন্য ছিল। নিজেকে প্রথমে রাখার জন্য। এটি আমার জীবনের অনেক ক্ষেত্রেই ছড়িয়ে পড়েছে। সীমানা কঠিন, কিন্তু সেগুলি সুন্দরও। আমি শিখেছি কঠিন কাজ খারাপ নয়। এই সম্প্রদায়ের জন্য ধন্"&amp;"যবাদ, আমি এখানে আসার জন্য অনেক পোস্ট করেছি, এবং আমরা যেমন গর্বের সাথে বলি!")</f>
        <v>ঘুম থেকে উঠেই আমি am sober অ্যাপে টাইমারটা দেখলাম, আর সত্যিই আমার চোখে জল এসে গেল। সংযত থাকাটা কঠিন ছিল। গত ৭ বছরে এতদূর আসতে পারিনি, হয়তো আরও বেশি সময় লেগেছে। পার্টি পরিষ্কার করার সময় এসেছে, আর প্রতিদিন নিজের উপর একটু বেশি বিশ্বাস করাটা খুব ভালো লাগছে। অ্যালকোহল সত্যিই আমার উপর থেকে সেই বিশ্বাস কেড়ে নিয়েছে যা আমার কঠিন কাজ করার জন্য ছিল। নিজেকে প্রথমে রাখার জন্য। এটি আমার জীবনের অনেক ক্ষেত্রেই ছড়িয়ে পড়েছে। সীমানা কঠিন, কিন্তু সেগুলি সুন্দরও। আমি শিখেছি কঠিন কাজ খারাপ নয়। এই সম্প্রদায়ের জন্য ধন্যবাদ, আমি এখানে আসার জন্য অনেক পোস্ট করেছি, এবং আমরা যেমন গর্বের সাথে বলি!</v>
      </c>
    </row>
    <row r="1995" spans="1:3" ht="15" x14ac:dyDescent="0.25">
      <c r="A1995" s="3" t="s">
        <v>1987</v>
      </c>
      <c r="B1995" s="3" t="s">
        <v>997</v>
      </c>
      <c r="C1995" s="4" t="str">
        <f ca="1">IFERROR(__xludf.DUMMYFUNCTION("GOOGLETRANSLATE(A1995, ""auto"", ""bn"")"),"মোটামুটি এটাই। আবার সুস্থ হয়ে ওঠার পর খারাপ লাগছে। বাড়ি ফেরার পথে মদের দোকানে যাওয়া বাদ পড়েছিলাম, আর অর্ধেক যুদ্ধ শেষ হয়ে গেল, শুধু রুমমেটদের কাছ থেকে দূরে থাকতে হবে। আজ বিকেলে এবং আজ রাতের পরে দুটো মিটিং লিখে রেখেছি, যদি আমার প্রয়োজন হয়।")</f>
        <v>মোটামুটি এটাই। আবার সুস্থ হয়ে ওঠার পর খারাপ লাগছে। বাড়ি ফেরার পথে মদের দোকানে যাওয়া বাদ পড়েছিলাম, আর অর্ধেক যুদ্ধ শেষ হয়ে গেল, শুধু রুমমেটদের কাছ থেকে দূরে থাকতে হবে। আজ বিকেলে এবং আজ রাতের পরে দুটো মিটিং লিখে রেখেছি, যদি আমার প্রয়োজন হয়।</v>
      </c>
    </row>
    <row r="1996" spans="1:3" ht="15" x14ac:dyDescent="0.25">
      <c r="A1996" s="3" t="s">
        <v>1988</v>
      </c>
      <c r="B1996" s="3" t="s">
        <v>997</v>
      </c>
      <c r="C1996" s="4" t="str">
        <f ca="1">IFERROR(__xludf.DUMMYFUNCTION("GOOGLETRANSLATE(A1996, ""auto"", ""bn"")"),"আমি ২৮ দিন ধরে সুস্থ আছি এবং এখনও খারাপ লাগছে। আমি এটা কাটিয়ে উঠব। যাই হোক, আমি যে পোস্ট পড়ি তাতেই বলা হয় এটা কতটা কঠিন। বিশ্বাস করো, আমি জানি। কিন্তু কেউ কি ভেবে দেখেছে যে তারা কত টাকা সঞ্চয় করছে। ধূমপানের সময় তুমি অনেক শুনেছো যে এটা কতটা ব্যয়বহুল।"&amp;" কিন্তু মদ্যপানের সময় নয়। উদাহরণস্বরূপ, আমি সপ্তাহে ২০০ ডলারেরও বেশি বোরবন এবং ভদকার পেছনে খরচ করছিলাম। আমার ব্যাংক অ্যাকাউন্ট এখন কতটা ভালো দেখাচ্ছে তা আমি বিশ্বাস করতে পারছি না। আমি এমনকি একটি ETF-তে টাকা বিনিয়োগ করতে শুরু করেছি। এবং এটা নিয়ে খুব ভা"&amp;"লো লাগছে। আমার কাছে টাকা সঞ্চয় করা মদ্যপান না করাটা একটা অসংবেদনশীলতা। কোন চিন্তা নেই...")</f>
        <v>আমি ২৮ দিন ধরে সুস্থ আছি এবং এখনও খারাপ লাগছে। আমি এটা কাটিয়ে উঠব। যাই হোক, আমি যে পোস্ট পড়ি তাতেই বলা হয় এটা কতটা কঠিন। বিশ্বাস করো, আমি জানি। কিন্তু কেউ কি ভেবে দেখেছে যে তারা কত টাকা সঞ্চয় করছে। ধূমপানের সময় তুমি অনেক শুনেছো যে এটা কতটা ব্যয়বহুল। কিন্তু মদ্যপানের সময় নয়। উদাহরণস্বরূপ, আমি সপ্তাহে ২০০ ডলারেরও বেশি বোরবন এবং ভদকার পেছনে খরচ করছিলাম। আমার ব্যাংক অ্যাকাউন্ট এখন কতটা ভালো দেখাচ্ছে তা আমি বিশ্বাস করতে পারছি না। আমি এমনকি একটি ETF-তে টাকা বিনিয়োগ করতে শুরু করেছি। এবং এটা নিয়ে খুব ভালো লাগছে। আমার কাছে টাকা সঞ্চয় করা মদ্যপান না করাটা একটা অসংবেদনশীলতা। কোন চিন্তা নেই...</v>
      </c>
    </row>
    <row r="1997" spans="1:3" ht="15" x14ac:dyDescent="0.25">
      <c r="A1997" s="3" t="s">
        <v>1989</v>
      </c>
      <c r="B1997" s="3" t="s">
        <v>997</v>
      </c>
      <c r="C1997" s="4" t="str">
        <f ca="1">IFERROR(__xludf.DUMMYFUNCTION("GOOGLETRANSLATE(A1997, ""auto"", ""bn"")"),"সারাদিন সবাই কী করে? হা হা, আমার নিজেকে বিরক্ত লাগছে, মনে হচ্ছে আর কিছু করার নেই। আগে রাতে ওই পানীয়গুলো খাওয়ার জন্য আমি অধীর আগ্রহে অপেক্ষা করতাম, কিন্তু এখন কী? আর, মদ্যপানের সময় যে আবেগগুলো বেরিয়ে আসে সেগুলো নিয়ে আমরা কী করব? আমি এমন কিছু কথা বলেছি"&amp;" যার জন্য আমার খারাপ লাগে। আমার কি শুধু এটা নিয়েই বেঁচে থাকা উচিত? এটা ঠিক আছে, আমি জানি না এটা নিয়ে কী করব?")</f>
        <v>সারাদিন সবাই কী করে? হা হা, আমার নিজেকে বিরক্ত লাগছে, মনে হচ্ছে আর কিছু করার নেই। আগে রাতে ওই পানীয়গুলো খাওয়ার জন্য আমি অধীর আগ্রহে অপেক্ষা করতাম, কিন্তু এখন কী? আর, মদ্যপানের সময় যে আবেগগুলো বেরিয়ে আসে সেগুলো নিয়ে আমরা কী করব? আমি এমন কিছু কথা বলেছি যার জন্য আমার খারাপ লাগে। আমার কি শুধু এটা নিয়েই বেঁচে থাকা উচিত? এটা ঠিক আছে, আমি জানি না এটা নিয়ে কী করব?</v>
      </c>
    </row>
    <row r="1998" spans="1:3" ht="15" x14ac:dyDescent="0.25">
      <c r="A1998" s="3" t="s">
        <v>1990</v>
      </c>
      <c r="B1998" s="3" t="s">
        <v>997</v>
      </c>
      <c r="C1998" s="4" t="str">
        <f ca="1">IFERROR(__xludf.DUMMYFUNCTION("GOOGLETRANSLATE(A1998, ""auto"", ""bn"")"),"এর মধ্যে প্রায় ১১৭৫ দিন আমি সহজেই এসডিতে গিয়েছি। ভ্রমণ বা কম্পিউটার বন্ধ থাকার জন্য খুব কম ছুটি। আর বেশিরভাগ দিনই আমি সকাল ৭টা থেকে রাত ১১টা (পূর্ব ইউরোপীয় সময়) পর্যন্ত যাই। প্রথমে এসডিতে সুস্থ থাকার জন্য আমার সাহায্য পেয়েছিলাম। এখন আমি যেখানে ছিলাম সেখ"&amp;"ানে থাকা অন্যদের সাহায্য করতে পারি। সবাইকে জানানো সহজ নয়, করা যেতে পারে এবং এর সুবিধাগুলি স্মরণীয়। সবাই ভালো থাকুন।")</f>
        <v>এর মধ্যে প্রায় ১১৭৫ দিন আমি সহজেই এসডিতে গিয়েছি। ভ্রমণ বা কম্পিউটার বন্ধ থাকার জন্য খুব কম ছুটি। আর বেশিরভাগ দিনই আমি সকাল ৭টা থেকে রাত ১১টা (পূর্ব ইউরোপীয় সময়) পর্যন্ত যাই। প্রথমে এসডিতে সুস্থ থাকার জন্য আমার সাহায্য পেয়েছিলাম। এখন আমি যেখানে ছিলাম সেখানে থাকা অন্যদের সাহায্য করতে পারি। সবাইকে জানানো সহজ নয়, করা যেতে পারে এবং এর সুবিধাগুলি স্মরণীয়। সবাই ভালো থাকুন।</v>
      </c>
    </row>
    <row r="1999" spans="1:3" ht="15" x14ac:dyDescent="0.25">
      <c r="A1999" s="3" t="s">
        <v>1991</v>
      </c>
      <c r="B1999" s="3" t="s">
        <v>1992</v>
      </c>
      <c r="C1999" s="4" t="str">
        <f ca="1">IFERROR(__xludf.DUMMYFUNCTION("GOOGLETRANSLATE(A1999, ""auto"", ""bn"")"),"এটা হয়তো বিষয়বস্তুর বাইরের শোনাতে পারে, কিন্তু প্রযুক্তির 3D গ্রাফিক্স কীভাবে ক্রমশ বাস্তবসম্মত হচ্ছে তা দেখে আমি সত্যিই ভীত, ভবিষ্যতে হিংসাত্মক গেমগুলি কীভাবে অত্যন্ত বাস্তবসম্মত হবে তা ভেবে আমি অত্যন্ত উদ্বিগ্ন।")</f>
        <v>এটা হয়তো বিষয়বস্তুর বাইরের শোনাতে পারে, কিন্তু প্রযুক্তির 3D গ্রাফিক্স কীভাবে ক্রমশ বাস্তবসম্মত হচ্ছে তা দেখে আমি সত্যিই ভীত, ভবিষ্যতে হিংসাত্মক গেমগুলি কীভাবে অত্যন্ত বাস্তবসম্মত হবে তা ভেবে আমি অত্যন্ত উদ্বিগ্ন।</v>
      </c>
    </row>
    <row r="2000" spans="1:3" ht="15" x14ac:dyDescent="0.25">
      <c r="A2000" s="3" t="s">
        <v>1993</v>
      </c>
      <c r="B2000" s="3" t="s">
        <v>1992</v>
      </c>
      <c r="C2000" s="4" t="str">
        <f ca="1">IFERROR(__xludf.DUMMYFUNCTION("GOOGLETRANSLATE(A2000, ""auto"", ""bn"")"),"আমি অবশ্যই বলবো যে আমি মর্টাল কম্ব্যাটের একজন বড় ভক্ত, গেমগুলোতে সহিংসতা নিয়ে আমার কোনও সমস্যা নেই, কিন্তু গেমগুলো ক্রমশ বাস্তবসম্মত হওয়ায় আমি সত্যিই ভয় পাই।")</f>
        <v>আমি অবশ্যই বলবো যে আমি মর্টাল কম্ব্যাটের একজন বড় ভক্ত, গেমগুলোতে সহিংসতা নিয়ে আমার কোনও সমস্যা নেই, কিন্তু গেমগুলো ক্রমশ বাস্তবসম্মত হওয়ায় আমি সত্যিই ভয় পাই।</v>
      </c>
    </row>
    <row r="2001" spans="1:3" ht="15" x14ac:dyDescent="0.25">
      <c r="A2001" s="3" t="s">
        <v>1994</v>
      </c>
      <c r="B2001" s="3" t="s">
        <v>1992</v>
      </c>
      <c r="C2001" s="4" t="str">
        <f ca="1">IFERROR(__xludf.DUMMYFUNCTION("GOOGLETRANSLATE(A2001, ""auto"", ""bn"")"),"ধুর, তুমি কি উদ্বিগ্ন? আমি জানি এটা শুধু একটা চিন্তা, কিন্তু আমার মস্তিষ্ক যেভাবে আমাকে বোঝানোর চেষ্টা করে যে আমি সবসময় মৃত্যুর দ্বারপ্রান্তে আছি, তা আমার ঘৃণা করে।")</f>
        <v>ধুর, তুমি কি উদ্বিগ্ন? আমি জানি এটা শুধু একটা চিন্তা, কিন্তু আমার মস্তিষ্ক যেভাবে আমাকে বোঝানোর চেষ্টা করে যে আমি সবসময় মৃত্যুর দ্বারপ্রান্তে আছি, তা আমার ঘৃণা করে।</v>
      </c>
    </row>
    <row r="2002" spans="1:3" ht="15" x14ac:dyDescent="0.25">
      <c r="A2002" s="3" t="s">
        <v>1995</v>
      </c>
      <c r="B2002" s="3" t="s">
        <v>1992</v>
      </c>
      <c r="C2002" s="4" t="str">
        <f ca="1">IFERROR(__xludf.DUMMYFUNCTION("GOOGLETRANSLATE(A2002, ""auto"", ""bn"")"),"যখন তারা ভালো এবং উদ্বেগমুক্ত বোধ করে, তখন কি অন্য কেউ তাদের নিজেদের এই প্রশ্নটি করে, হঠাৎ করেই একটা বিষণ্ণ উদ্বেগ এবং ভয় এসে আপনার দিন নষ্ট করে দেয়!!")</f>
        <v>যখন তারা ভালো এবং উদ্বেগমুক্ত বোধ করে, তখন কি অন্য কেউ তাদের নিজেদের এই প্রশ্নটি করে, হঠাৎ করেই একটা বিষণ্ণ উদ্বেগ এবং ভয় এসে আপনার দিন নষ্ট করে দেয়!!</v>
      </c>
    </row>
    <row r="2003" spans="1:3" ht="15" x14ac:dyDescent="0.25">
      <c r="A2003" s="3" t="s">
        <v>1996</v>
      </c>
      <c r="B2003" s="3" t="s">
        <v>1992</v>
      </c>
      <c r="C2003" s="4" t="str">
        <f ca="1">IFERROR(__xludf.DUMMYFUNCTION("GOOGLETRANSLATE(A2003, ""auto"", ""bn"")"),"আমি হয়তো আমার ৪ বছরের ছেলের সাথে খেলছি আর আমার মাথার ভেতরের সেই কণ্ঠস্বর আমাকে বিরক্ত করবে।")</f>
        <v>আমি হয়তো আমার ৪ বছরের ছেলের সাথে খেলছি আর আমার মাথার ভেতরের সেই কণ্ঠস্বর আমাকে বিরক্ত করবে।</v>
      </c>
    </row>
    <row r="2004" spans="1:3" ht="15" x14ac:dyDescent="0.25">
      <c r="A2004" s="3" t="s">
        <v>1997</v>
      </c>
      <c r="B2004" s="3" t="s">
        <v>1992</v>
      </c>
      <c r="C2004" s="4" t="str">
        <f ca="1">IFERROR(__xludf.DUMMYFUNCTION("GOOGLETRANSLATE(A2004, ""auto"", ""bn"")"),"আমার সঙ্গী সোফায় বসে আমার কাছে যেতে পারে... বাবু, তুমি কি এই সপ্তাহান্তে অমুকের সাথে কিছু খাবারের জন্য দেখা করতে চাও....... তারপর আমি নিজেকে জিজ্ঞাসা করি ""কিন্তু যদি আমি সেখানে থাকাকালীন উদ্বিগ্ন হই, এবং এটি আমার শক্তি নষ্ট করে দেয় এবং আমি নিজেকে উপভোগ "&amp;"করতে না পারি এবং আমি ভয় পেতে পারি""?")</f>
        <v>আমার সঙ্গী সোফায় বসে আমার কাছে যেতে পারে... বাবু, তুমি কি এই সপ্তাহান্তে অমুকের সাথে কিছু খাবারের জন্য দেখা করতে চাও....... তারপর আমি নিজেকে জিজ্ঞাসা করি "কিন্তু যদি আমি সেখানে থাকাকালীন উদ্বিগ্ন হই, এবং এটি আমার শক্তি নষ্ট করে দেয় এবং আমি নিজেকে উপভোগ করতে না পারি এবং আমি ভয় পেতে পারি"?</v>
      </c>
    </row>
    <row r="2005" spans="1:3" ht="15" x14ac:dyDescent="0.25">
      <c r="A2005" s="3" t="s">
        <v>1998</v>
      </c>
      <c r="B2005" s="3" t="s">
        <v>1992</v>
      </c>
      <c r="C2005" s="4" t="str">
        <f ca="1">IFERROR(__xludf.DUMMYFUNCTION("GOOGLETRANSLATE(A2005, ""auto"", ""bn"")"),"এই বিষয়ে সবার মতামত কী এবং তুমি কি তোমার চিন্তাভাবনা এমনভাবে পরিবর্তন করতে পেরেছো যাতে এটি তোমাকে প্রভাবিত না করে??? আমাকে শেখাও!")</f>
        <v>এই বিষয়ে সবার মতামত কী এবং তুমি কি তোমার চিন্তাভাবনা এমনভাবে পরিবর্তন করতে পেরেছো যাতে এটি তোমাকে প্রভাবিত না করে??? আমাকে শেখাও!</v>
      </c>
    </row>
    <row r="2006" spans="1:3" ht="15" x14ac:dyDescent="0.25">
      <c r="A2006" s="3" t="s">
        <v>1999</v>
      </c>
      <c r="B2006" s="3" t="s">
        <v>1992</v>
      </c>
      <c r="C2006" s="4" t="str">
        <f ca="1">IFERROR(__xludf.DUMMYFUNCTION("GOOGLETRANSLATE(A2006, ""auto"", ""bn"")"),"এই পৃথিবী/সমাজ প্রায়শই একটি কঠোর জায়গা। আপনি যদি এর সাথে মানিয়ে নিতে না পারেন তবে এটি আপনার দোষ নয়। আপনি যদি অন্যদের তুলনায় বেশি সংবেদনশীল হন তবে এটি আপনার দোষ নয়। বিশ্রামের জন্য সময় নিন এবং আত্ম-যত্ন অনুশীলন করুন। আপনি একা নন।")</f>
        <v>এই পৃথিবী/সমাজ প্রায়শই একটি কঠোর জায়গা। আপনি যদি এর সাথে মানিয়ে নিতে না পারেন তবে এটি আপনার দোষ নয়। আপনি যদি অন্যদের তুলনায় বেশি সংবেদনশীল হন তবে এটি আপনার দোষ নয়। বিশ্রামের জন্য সময় নিন এবং আত্ম-যত্ন অনুশীলন করুন। আপনি একা নন।</v>
      </c>
    </row>
    <row r="2007" spans="1:3" ht="15" x14ac:dyDescent="0.25">
      <c r="A2007" s="3" t="s">
        <v>2000</v>
      </c>
      <c r="B2007" s="3" t="s">
        <v>1992</v>
      </c>
      <c r="C2007" s="4" t="str">
        <f ca="1">IFERROR(__xludf.DUMMYFUNCTION("GOOGLETRANSLATE(A2007, ""auto"", ""bn"")"),"আমি একটি নতুন চাকরি শুরু করছি, এবং আজ আমার ২ ঘন্টার অনলাইন ওরিয়েন্টেশন ছিল যেখানে একজন ম্যানেজার আমার সাথে এবং অন্যান্য নতুন নিয়োগপ্রাপ্তদের সাথে চাকরি সম্পর্কে কথা বলেছেন।")</f>
        <v>আমি একটি নতুন চাকরি শুরু করছি, এবং আজ আমার ২ ঘন্টার অনলাইন ওরিয়েন্টেশন ছিল যেখানে একজন ম্যানেজার আমার সাথে এবং অন্যান্য নতুন নিয়োগপ্রাপ্তদের সাথে চাকরি সম্পর্কে কথা বলেছেন।</v>
      </c>
    </row>
    <row r="2008" spans="1:3" ht="15" x14ac:dyDescent="0.25">
      <c r="A2008" s="3" t="s">
        <v>2001</v>
      </c>
      <c r="B2008" s="3" t="s">
        <v>1992</v>
      </c>
      <c r="C2008" s="4" t="str">
        <f ca="1">IFERROR(__xludf.DUMMYFUNCTION("GOOGLETRANSLATE(A2008, ""auto"", ""bn"")"),"আমি ভাবছিলাম আমার চাকরির শুরুর তারিখ কখন, আর শেষে ম্যানেজার বললেন ""প্রশ্ন?"" আমার সামাজিক উদ্বেগের কারণে আমি সেখান থেকে এটি বুক করতে বাধ্য হয়েছিলাম এবং আমি ফোন রেখে দিয়েছিলাম। কিন্তু তারপর আমি বুঝতে পারলাম যে আমার চাকরির শুরুর তারিখ জিজ্ঞাসা করা উচিত ছ"&amp;"িল কারণ আমি উদ্বিগ্নভাবে এটির জন্য অপেক্ষা করছি, ভয়ে যে আমি এটি সম্পর্কে কোনও ইমেল না পাই এবং আমার চাকরির শুরুর তারিখ মিস না করি এবং কাজ শুরু করার আগেই আমাকে চাকরি থেকে বরখাস্ত করা হয়। আমি জানি এটা হাস্যকর, এই জায়গায় অনেক কর্মচারী আছে, এবং তারা সবাই ঠ"&amp;"িকঠাক কাজ শুরু করেছে।")</f>
        <v>আমি ভাবছিলাম আমার চাকরির শুরুর তারিখ কখন, আর শেষে ম্যানেজার বললেন "প্রশ্ন?" আমার সামাজিক উদ্বেগের কারণে আমি সেখান থেকে এটি বুক করতে বাধ্য হয়েছিলাম এবং আমি ফোন রেখে দিয়েছিলাম। কিন্তু তারপর আমি বুঝতে পারলাম যে আমার চাকরির শুরুর তারিখ জিজ্ঞাসা করা উচিত ছিল কারণ আমি উদ্বিগ্নভাবে এটির জন্য অপেক্ষা করছি, ভয়ে যে আমি এটি সম্পর্কে কোনও ইমেল না পাই এবং আমার চাকরির শুরুর তারিখ মিস না করি এবং কাজ শুরু করার আগেই আমাকে চাকরি থেকে বরখাস্ত করা হয়। আমি জানি এটা হাস্যকর, এই জায়গায় অনেক কর্মচারী আছে, এবং তারা সবাই ঠিকঠাক কাজ শুরু করেছে।</v>
      </c>
    </row>
    <row r="2009" spans="1:3" ht="15" x14ac:dyDescent="0.25">
      <c r="A2009" s="3" t="s">
        <v>2002</v>
      </c>
      <c r="B2009" s="3" t="s">
        <v>1992</v>
      </c>
      <c r="C2009" s="4" t="str">
        <f ca="1">IFERROR(__xludf.DUMMYFUNCTION("GOOGLETRANSLATE(A2009, ""auto"", ""bn"")"),"আমি নিজেকে জিজ্ঞাসা না করার জন্য ঘৃণা করা থামাতে পারছি না। এটা এত সহজ হত, এবং আমি উত্তরটি জানতাম, তাই আমাকে এখানে উদ্বিগ্নভাবে অপেক্ষা করতে হত না যে কখন না জানি রহস্যময় ইমেলের জন্য। এখন আমি এই দীর্ঘমেয়াদী অপেক্ষার উদ্বেগের জন্য সামাজিক উদ্বেগকে লেনদেন ন"&amp;"া করার জন্য অনুশোচনা করছি। আমি একেবারেই শান্ত হতে পারছি না। আমি আমার মস্তিষ্ক থেকে এটি বের করতে পারছি না, আমার শুরুর তারিখ অপেক্ষা করার/না জানা/মিস করার উদ্বেগ এবং প্রশ্নটি না করার জন্য আমার নিজের প্রতি ঘৃণা উভয়ই। তাছাড়া, আমি জানি না আজ রাতে আমি আসলে ঘুম"&amp;"াতে পারব কিনা, আমি সকালে প্রথমেই আমার ইমেলটি পরীক্ষা করব। তাছাড়া, আমি জানি যে আমি যখন এটি পরীক্ষা করব তখন এটি পরীক্ষা করব এবং উদ্বেগ এটি পরিবর্তন করবে না, তবে এটি আমাকে এমনভাবে জাগিয়ে রাখবে যে যাই হোক না কেন কিছু পরিবর্তন করবে। আমার মনে হচ্ছে যেন আমাকে ভ"&amp;"েতর থেকে জীবন্তভাবে খাওয়া হচ্ছে।")</f>
        <v>আমি নিজেকে জিজ্ঞাসা না করার জন্য ঘৃণা করা থামাতে পারছি না। এটা এত সহজ হত, এবং আমি উত্তরটি জানতাম, তাই আমাকে এখানে উদ্বিগ্নভাবে অপেক্ষা করতে হত না যে কখন না জানি রহস্যময় ইমেলের জন্য। এখন আমি এই দীর্ঘমেয়াদী অপেক্ষার উদ্বেগের জন্য সামাজিক উদ্বেগকে লেনদেন না করার জন্য অনুশোচনা করছি। আমি একেবারেই শান্ত হতে পারছি না। আমি আমার মস্তিষ্ক থেকে এটি বের করতে পারছি না, আমার শুরুর তারিখ অপেক্ষা করার/না জানা/মিস করার উদ্বেগ এবং প্রশ্নটি না করার জন্য আমার নিজের প্রতি ঘৃণা উভয়ই। তাছাড়া, আমি জানি না আজ রাতে আমি আসলে ঘুমাতে পারব কিনা, আমি সকালে প্রথমেই আমার ইমেলটি পরীক্ষা করব। তাছাড়া, আমি জানি যে আমি যখন এটি পরীক্ষা করব তখন এটি পরীক্ষা করব এবং উদ্বেগ এটি পরিবর্তন করবে না, তবে এটি আমাকে এমনভাবে জাগিয়ে রাখবে যে যাই হোক না কেন কিছু পরিবর্তন করবে। আমার মনে হচ্ছে যেন আমাকে ভেতর থেকে জীবন্তভাবে খাওয়া হচ্ছে।</v>
      </c>
    </row>
    <row r="2010" spans="1:3" ht="15" x14ac:dyDescent="0.25">
      <c r="A2010" s="3" t="s">
        <v>2003</v>
      </c>
      <c r="B2010" s="3" t="s">
        <v>1992</v>
      </c>
      <c r="C2010" s="4" t="str">
        <f ca="1">IFERROR(__xludf.DUMMYFUNCTION("GOOGLETRANSLATE(A2010, ""auto"", ""bn"")"),"আমার মনে হচ্ছে যেন আমাকে ভেতর থেকে জীবন্তভাবে গ্রাস করা হচ্ছে। টাকা না কামানোর ব্যাপারে আমার সত্যিই নেতিবাচক চিন্তাভাবনা আছে। এর ফলে আমি ৪ বছরে প্রায় ১০০,০০০ ডলার সাশ্রয় করতে পেরেছি। সপ্তাহান্তে কাজ এবং সময়ের সাথে সাথে। আর আমি এখন কর্পোরেট ব্যবসা থেকে "&amp;"ব্যবসা বিক্রিতে ব্যস্ত এবং লক্ষ্যমাত্রা থেকে ক্লান্ত বোধ করছি এবং মনে হচ্ছে আমি কাজটি করতে পারছি না।")</f>
        <v>আমার মনে হচ্ছে যেন আমাকে ভেতর থেকে জীবন্তভাবে গ্রাস করা হচ্ছে। টাকা না কামানোর ব্যাপারে আমার সত্যিই নেতিবাচক চিন্তাভাবনা আছে। এর ফলে আমি ৪ বছরে প্রায় ১০০,০০০ ডলার সাশ্রয় করতে পেরেছি। সপ্তাহান্তে কাজ এবং সময়ের সাথে সাথে। আর আমি এখন কর্পোরেট ব্যবসা থেকে ব্যবসা বিক্রিতে ব্যস্ত এবং লক্ষ্যমাত্রা থেকে ক্লান্ত বোধ করছি এবং মনে হচ্ছে আমি কাজটি করতে পারছি না।</v>
      </c>
    </row>
    <row r="2011" spans="1:3" ht="15" x14ac:dyDescent="0.25">
      <c r="A2011" s="3" t="s">
        <v>2004</v>
      </c>
      <c r="B2011" s="3" t="s">
        <v>1992</v>
      </c>
      <c r="C2011" s="4" t="str">
        <f ca="1">IFERROR(__xludf.DUMMYFUNCTION("GOOGLETRANSLATE(A2011, ""auto"", ""bn"")"),"২৫ বছর বয়স পর্যন্ত আমার ঠিকমতো আয় হয়নি। তার আগে আমি বিশ্ববিদ্যালয়ে পড়তাম, এক-একটা করে ১ ঘন্টা করে এদিক-ওদিক ভ্রমণ করতাম এবং তারপর সপ্তাহে ৩ বার ডাক্তারের ক্লিনিকে চিকিৎসার জন্য যেতাম। ছুটির দিনের সাধারণ কাজ ছাড়া আমি খুব বেশি আয় করতে পারতাম না। কেন জানি ন"&amp;"া, কিন্তু পড়াশোনা, ক্যাম্পাস এবং ডাক্তারের ক্লিনিকে যাতায়াত এবং কাজ করতে না পেরে আমার ক্লান্তি লাগছে। এতটাই ক্লান্ত যে আমি অনেক টাকা বাঁচাতে বাধ্য হয়েছি কারণ আমার মনে হচ্ছিল যে হারানো সময়ের ক্ষতিপূরণ আমাকেই দিতে হবে। আর এখন আমি এমন একটা ক্যারিয়ারে আছি যা"&amp;" আমার পছন্দ নয়। অনেক চাপ এবং লক্ষ্যবস্তু থাকায় সোমবার আমি পদত্যাগ করেছি।")</f>
        <v>২৫ বছর বয়স পর্যন্ত আমার ঠিকমতো আয় হয়নি। তার আগে আমি বিশ্ববিদ্যালয়ে পড়তাম, এক-একটা করে ১ ঘন্টা করে এদিক-ওদিক ভ্রমণ করতাম এবং তারপর সপ্তাহে ৩ বার ডাক্তারের ক্লিনিকে চিকিৎসার জন্য যেতাম। ছুটির দিনের সাধারণ কাজ ছাড়া আমি খুব বেশি আয় করতে পারতাম না। কেন জানি না, কিন্তু পড়াশোনা, ক্যাম্পাস এবং ডাক্তারের ক্লিনিকে যাতায়াত এবং কাজ করতে না পেরে আমার ক্লান্তি লাগছে। এতটাই ক্লান্ত যে আমি অনেক টাকা বাঁচাতে বাধ্য হয়েছি কারণ আমার মনে হচ্ছিল যে হারানো সময়ের ক্ষতিপূরণ আমাকেই দিতে হবে। আর এখন আমি এমন একটা ক্যারিয়ারে আছি যা আমার পছন্দ নয়। অনেক চাপ এবং লক্ষ্যবস্তু থাকায় সোমবার আমি পদত্যাগ করেছি।</v>
      </c>
    </row>
    <row r="2012" spans="1:3" ht="15" x14ac:dyDescent="0.25">
      <c r="A2012" s="3" t="s">
        <v>2005</v>
      </c>
      <c r="B2012" s="3" t="s">
        <v>1992</v>
      </c>
      <c r="C2012" s="4" t="str">
        <f ca="1">IFERROR(__xludf.DUMMYFUNCTION("GOOGLETRANSLATE(A2012, ""auto"", ""bn"")"),"তাই আমি নতুন কাজ শুরু করতে দেরি করছি। আমি খুব ভয় পাচ্ছি। আমি প্রায় এক বছর ধরে একটি কোম্পানিতে কাজ করছিলাম, এবং তারা আমাকে সাময়িক বরখাস্ত করেছে কারণ আমি এমন কিছু করতে চাইনি যা আমার ইচ্ছার বিরুদ্ধে। তাই আমি আমার শহরে ফিরে এসে কিছু বিরতি নিয়েছি এবং নাচ/স্ট্র"&amp;"িপিং জব (যা আমি আগে করতাম) করতে চাইছি কিন্তু তারপর আমি বুঝতে পেরেছি যে আমি কিছুটা মানসিক আঘাত পেয়েছি যদি আমি এটাকে এভাবে বলতে পারি এবং আমি সেখানে যেতে ভয় পাচ্ছি। সত্যি বলতে, আমি জানি না কী হয়েছে। বহু বছর ধরে আমি একজন স্ট্রিপার হিসেবে কাজ করেছি এবং ক্লাব "&amp;"পরিবর্তন করেছি, কখনও সেই সমস্যা হয়নি। আমি নার্ভাস ছিলাম কিন্তু এতটা না যে আমি সিদ্ধান্ত নিতে পারি না এবং আমি সম্পূর্ণরূপে পক্ষাঘাতগ্রস্ত। কর্পোরেশনের সেই কাজ আমাকে উদ্বেগ, আতঙ্কের আক্রমণ ইত্যাদি দিত। আমি ওভারটাইম কাজ করছিলাম, তারা আমাকে কঠোর চাপ দিচ্ছিল,"&amp;" এবং আমিও এর সাথে একমত ছিলাম। এটা কি পাগলামি নয় যে স্ট্রিপ ক্লাবে কাজ করা আমার জন্য অফিসের চাকরির চেয়ে বেশি স্বাস্থ্যকর ছিল?! এখন আমি আফসোস করছি কারণ আমি খুব ভেঙে পড়েছি। আমি যদি কাজে যেতে এত ভয় পাই, তাহলে কীভাবে বাঁচবো তা আমার কোনও ধারণা নেই। আমি। শুধ"&amp;"ু নিজেকে আগামী সপ্তাহে, আগামী সপ্তাহে বলাটা স্থগিত করছি...")</f>
        <v>তাই আমি নতুন কাজ শুরু করতে দেরি করছি। আমি খুব ভয় পাচ্ছি। আমি প্রায় এক বছর ধরে একটি কোম্পানিতে কাজ করছিলাম, এবং তারা আমাকে সাময়িক বরখাস্ত করেছে কারণ আমি এমন কিছু করতে চাইনি যা আমার ইচ্ছার বিরুদ্ধে। তাই আমি আমার শহরে ফিরে এসে কিছু বিরতি নিয়েছি এবং নাচ/স্ট্রিপিং জব (যা আমি আগে করতাম) করতে চাইছি কিন্তু তারপর আমি বুঝতে পেরেছি যে আমি কিছুটা মানসিক আঘাত পেয়েছি যদি আমি এটাকে এভাবে বলতে পারি এবং আমি সেখানে যেতে ভয় পাচ্ছি। সত্যি বলতে, আমি জানি না কী হয়েছে। বহু বছর ধরে আমি একজন স্ট্রিপার হিসেবে কাজ করেছি এবং ক্লাব পরিবর্তন করেছি, কখনও সেই সমস্যা হয়নি। আমি নার্ভাস ছিলাম কিন্তু এতটা না যে আমি সিদ্ধান্ত নিতে পারি না এবং আমি সম্পূর্ণরূপে পক্ষাঘাতগ্রস্ত। কর্পোরেশনের সেই কাজ আমাকে উদ্বেগ, আতঙ্কের আক্রমণ ইত্যাদি দিত। আমি ওভারটাইম কাজ করছিলাম, তারা আমাকে কঠোর চাপ দিচ্ছিল, এবং আমিও এর সাথে একমত ছিলাম। এটা কি পাগলামি নয় যে স্ট্রিপ ক্লাবে কাজ করা আমার জন্য অফিসের চাকরির চেয়ে বেশি স্বাস্থ্যকর ছিল?! এখন আমি আফসোস করছি কারণ আমি খুব ভেঙে পড়েছি। আমি যদি কাজে যেতে এত ভয় পাই, তাহলে কীভাবে বাঁচবো তা আমার কোনও ধারণা নেই। আমি। শুধু নিজেকে আগামী সপ্তাহে, আগামী সপ্তাহে বলাটা স্থগিত করছি...</v>
      </c>
    </row>
    <row r="2013" spans="1:3" ht="15" x14ac:dyDescent="0.25">
      <c r="A2013" s="3" t="s">
        <v>2006</v>
      </c>
      <c r="B2013" s="3" t="s">
        <v>1992</v>
      </c>
      <c r="C2013" s="4" t="str">
        <f ca="1">IFERROR(__xludf.DUMMYFUNCTION("GOOGLETRANSLATE(A2013, ""auto"", ""bn"")"),"আমি একটা পরীক্ষা দিয়েছিলাম, আর আমি কেমন করেছি তা নিয়ে আমার ভীষণ দুশ্চিন্তা হচ্ছে। আমি আতঙ্কিত কারণ আমি জানি যে এতে অনেক পয়েন্টের মূল্য আছে এবং আমি জানি যে আমার অনেক প্রশ্ন ভুল হয়েছে। তাছাড়া, আমি এটা নিয়ে চিন্তা করা থামাতে পারছি না, এবং এটি আমাকে আমা"&amp;"র অন্যান্য অ্যাসাইনমেন্টে এগিয়ে যেতে বাধা দিচ্ছে। একবার গ্রেড জানার পর, আমি পরবর্তী অ্যাসাইনমেন্টের জন্য পরিকল্পনা করতে পারি। তাহলে, তোমার কি মনে হয় আমার একটি ইমেল পাঠানো উচিত?")</f>
        <v>আমি একটা পরীক্ষা দিয়েছিলাম, আর আমি কেমন করেছি তা নিয়ে আমার ভীষণ দুশ্চিন্তা হচ্ছে। আমি আতঙ্কিত কারণ আমি জানি যে এতে অনেক পয়েন্টের মূল্য আছে এবং আমি জানি যে আমার অনেক প্রশ্ন ভুল হয়েছে। তাছাড়া, আমি এটা নিয়ে চিন্তা করা থামাতে পারছি না, এবং এটি আমাকে আমার অন্যান্য অ্যাসাইনমেন্টে এগিয়ে যেতে বাধা দিচ্ছে। একবার গ্রেড জানার পর, আমি পরবর্তী অ্যাসাইনমেন্টের জন্য পরিকল্পনা করতে পারি। তাহলে, তোমার কি মনে হয় আমার একটি ইমেল পাঠানো উচিত?</v>
      </c>
    </row>
    <row r="2014" spans="1:3" ht="15" x14ac:dyDescent="0.25">
      <c r="A2014" s="3" t="s">
        <v>2007</v>
      </c>
      <c r="B2014" s="3" t="s">
        <v>1992</v>
      </c>
      <c r="C2014" s="4" t="str">
        <f ca="1">IFERROR(__xludf.DUMMYFUNCTION("GOOGLETRANSLATE(A2014, ""auto"", ""bn"")"),"কাজের সময় হয়ে গেলে, দুপুরের খাবারের বিরতির সময় হয়ে গেলে, কাজ থেকে বেরোনোর ​​সময় হয়ে গেলে, দোকানে প্রথমবারের মতো ঢুকলে, চেকআউট করার সময় হলে, আর মাঝে মাঝে খুব বেশি কথা বলতে গেলে আমার খুব উদ্বেগ হয়।")</f>
        <v>কাজের সময় হয়ে গেলে, দুপুরের খাবারের বিরতির সময় হয়ে গেলে, কাজ থেকে বেরোনোর ​​সময় হয়ে গেলে, দোকানে প্রথমবারের মতো ঢুকলে, চেকআউট করার সময় হলে, আর মাঝে মাঝে খুব বেশি কথা বলতে গেলে আমার খুব উদ্বেগ হয়।</v>
      </c>
    </row>
    <row r="2015" spans="1:3" ht="15" x14ac:dyDescent="0.25">
      <c r="A2015" s="3" t="s">
        <v>2008</v>
      </c>
      <c r="B2015" s="3" t="s">
        <v>1992</v>
      </c>
      <c r="C2015" s="4" t="str">
        <f ca="1">IFERROR(__xludf.DUMMYFUNCTION("GOOGLETRANSLATE(A2015, ""auto"", ""bn"")"),"আমার কোন কারণ নেই, কিন্তু আমার কেবল অদ্ভুত অনুভূতি হয় যা আসে আর যায়। আমার মাথা গরম হয়ে যায়, মাথা ঘোরা শুরু হয়, হৃদস্পন্দন বেড়ে যায় এবং হাত ঘামতে থাকে, তাই আমি আমার কাজগুলো দ্রুত সেরে তাড়াতাড়ি বাড়ি ফিরে যেতে চাই।")</f>
        <v>আমার কোন কারণ নেই, কিন্তু আমার কেবল অদ্ভুত অনুভূতি হয় যা আসে আর যায়। আমার মাথা গরম হয়ে যায়, মাথা ঘোরা শুরু হয়, হৃদস্পন্দন বেড়ে যায় এবং হাত ঘামতে থাকে, তাই আমি আমার কাজগুলো দ্রুত সেরে তাড়াতাড়ি বাড়ি ফিরে যেতে চাই।</v>
      </c>
    </row>
    <row r="2016" spans="1:3" ht="15" x14ac:dyDescent="0.25">
      <c r="A2016" s="3" t="s">
        <v>2009</v>
      </c>
      <c r="B2016" s="3" t="s">
        <v>1992</v>
      </c>
      <c r="C2016" s="4" t="str">
        <f ca="1">IFERROR(__xludf.DUMMYFUNCTION("GOOGLETRANSLATE(A2016, ""auto"", ""bn"")"),"এটা অনেক দিন আগে শুরু হয়েছিল যখন আমি গাড়ির ব্যাটারি কিনতে গিয়েছিলাম এবং আমার উদ্বেগের কারণে টাকাও দিতে পারিনি। একবার আমি আমার শ্যালকের সাথে টরাসে গিয়েছিলাম যখন আমরা নিন্টেন্ডো সুইচের জন্য লাইনে অপেক্ষা করছিলাম। কিছুক্ষণ বাইরে অপেক্ষা করেছিলাম এবং অবশে"&amp;"ষে যখন আমরা ভেতরে ঢুকলাম, এবং আমি টাকা দিচ্ছিলাম তখন আমার উদ্বেগ বেড়ে গেল।")</f>
        <v>এটা অনেক দিন আগে শুরু হয়েছিল যখন আমি গাড়ির ব্যাটারি কিনতে গিয়েছিলাম এবং আমার উদ্বেগের কারণে টাকাও দিতে পারিনি। একবার আমি আমার শ্যালকের সাথে টরাসে গিয়েছিলাম যখন আমরা নিন্টেন্ডো সুইচের জন্য লাইনে অপেক্ষা করছিলাম। কিছুক্ষণ বাইরে অপেক্ষা করেছিলাম এবং অবশেষে যখন আমরা ভেতরে ঢুকলাম, এবং আমি টাকা দিচ্ছিলাম তখন আমার উদ্বেগ বেড়ে গেল।</v>
      </c>
    </row>
    <row r="2017" spans="1:3" ht="15" x14ac:dyDescent="0.25">
      <c r="A2017" s="3" t="s">
        <v>2010</v>
      </c>
      <c r="B2017" s="3" t="s">
        <v>1992</v>
      </c>
      <c r="C2017" s="4" t="str">
        <f ca="1">IFERROR(__xludf.DUMMYFUNCTION("GOOGLETRANSLATE(A2017, ""auto"", ""bn"")"),"যখন আমি আসলে কথা বলতে শুরু করি, তখন খুব বেশি কথা বলার পর আমার উদ্বেগ এবং মাথা খারাপ হয়ে যায়।")</f>
        <v>যখন আমি আসলে কথা বলতে শুরু করি, তখন খুব বেশি কথা বলার পর আমার উদ্বেগ এবং মাথা খারাপ হয়ে যায়।</v>
      </c>
    </row>
    <row r="2018" spans="1:3" ht="15" x14ac:dyDescent="0.25">
      <c r="A2018" s="3" t="s">
        <v>2011</v>
      </c>
      <c r="B2018" s="3" t="s">
        <v>1992</v>
      </c>
      <c r="C2018" s="4" t="str">
        <f ca="1">IFERROR(__xludf.DUMMYFUNCTION("GOOGLETRANSLATE(A2018, ""auto"", ""bn"")"),"এটা অদ্ভুত কারণ আমার কোনও সামাজিক উদ্বেগ বা কেনাকাটার ভয় নেই। আমি খুব কথাবার্তা এবং বহির্মুখী ব্যক্তি, কিন্তু আমি এই অদ্ভুত উদ্বেগের মুহূর্তগুলিকে নীল রঙে বের করে আনি যা আমি এখন এড়িয়ে চলতে শিখেছি কারণ এগুলি দ্রুত আসে এবং চলে যায়।")</f>
        <v>এটা অদ্ভুত কারণ আমার কোনও সামাজিক উদ্বেগ বা কেনাকাটার ভয় নেই। আমি খুব কথাবার্তা এবং বহির্মুখী ব্যক্তি, কিন্তু আমি এই অদ্ভুত উদ্বেগের মুহূর্তগুলিকে নীল রঙে বের করে আনি যা আমি এখন এড়িয়ে চলতে শিখেছি কারণ এগুলি দ্রুত আসে এবং চলে যায়।</v>
      </c>
    </row>
    <row r="2019" spans="1:3" ht="15" x14ac:dyDescent="0.25">
      <c r="A2019" s="3" t="s">
        <v>2012</v>
      </c>
      <c r="B2019" s="3" t="s">
        <v>1992</v>
      </c>
      <c r="C2019" s="4" t="str">
        <f ca="1">IFERROR(__xludf.DUMMYFUNCTION("GOOGLETRANSLATE(A2019, ""auto"", ""bn"")"),"আমাকে GERD ওষুধ, উদ্বেগের ওষুধ, নিম্ন উদ্বেগের ওষুধ, রক্তের পরীক্ষা এবং ECG পরীক্ষা সবই স্বাভাবিক দেওয়া হয়েছে। আমি কিছুদিন আগে ওষুধ ছেড়ে দিয়েছিলাম, কিন্তু আমার মনে হচ্ছে নভেম্বরে যখন আমি কোভিড আক্রান্ত হলাম তখন আমার উদ্বেগ আবার ফিরে এসেছিল। তাছাড়া, গত কয়ে"&amp;"ক বছর ধরে আমি সিগারেট, হুক্কা, ভ্যাপিং-এর প্রতি আসক্ত ছিলাম, কোভিডের পর ভ্যাপিংও করতে পারছিলাম না, প্রায় গাড়ি চালানোর সময় আমি অজ্ঞান হয়ে গিয়েছিলাম। তাছাড়া, আমি ভ্যাপিং ছেড়ে দিয়েছিলাম, কিন্তু তখনই আমার উদ্বেগ শুরু হয়েছিল।")</f>
        <v>আমাকে GERD ওষুধ, উদ্বেগের ওষুধ, নিম্ন উদ্বেগের ওষুধ, রক্তের পরীক্ষা এবং ECG পরীক্ষা সবই স্বাভাবিক দেওয়া হয়েছে। আমি কিছুদিন আগে ওষুধ ছেড়ে দিয়েছিলাম, কিন্তু আমার মনে হচ্ছে নভেম্বরে যখন আমি কোভিড আক্রান্ত হলাম তখন আমার উদ্বেগ আবার ফিরে এসেছিল। তাছাড়া, গত কয়েক বছর ধরে আমি সিগারেট, হুক্কা, ভ্যাপিং-এর প্রতি আসক্ত ছিলাম, কোভিডের পর ভ্যাপিংও করতে পারছিলাম না, প্রায় গাড়ি চালানোর সময় আমি অজ্ঞান হয়ে গিয়েছিলাম। তাছাড়া, আমি ভ্যাপিং ছেড়ে দিয়েছিলাম, কিন্তু তখনই আমার উদ্বেগ শুরু হয়েছিল।</v>
      </c>
    </row>
    <row r="2020" spans="1:3" ht="15" x14ac:dyDescent="0.25">
      <c r="A2020" s="3" t="s">
        <v>2013</v>
      </c>
      <c r="B2020" s="3" t="s">
        <v>1992</v>
      </c>
      <c r="C2020" s="4" t="str">
        <f ca="1">IFERROR(__xludf.DUMMYFUNCTION("GOOGLETRANSLATE(A2020, ""auto"", ""bn"")"),"হাই বন্ধুরা। আমার যদি GAD এবং অনিদ্রা ধরা পড়ে, তাহলে কি আমি ড্রাইভিং লাইসেন্স পেতে পারব? আমার দেশে মানসিক ব্যাধিতে আক্রান্ত ব্যক্তিদের লাইসেন্স দেওয়া যাবে না, এবং আমি নিশ্চিত নই যে কীভাবে এটি করব, কারণ আমি ইতিমধ্যেই ড্রাইভিং শিক্ষা নিয়েছি এবং রাস্তায় "&amp;"আমার কোনও উদ্বেগ নেই। আমি যেকোনো পরামর্শের জন্য কৃতজ্ঞ থাকব। আগাম ধন্যবাদ।")</f>
        <v>হাই বন্ধুরা। আমার যদি GAD এবং অনিদ্রা ধরা পড়ে, তাহলে কি আমি ড্রাইভিং লাইসেন্স পেতে পারব? আমার দেশে মানসিক ব্যাধিতে আক্রান্ত ব্যক্তিদের লাইসেন্স দেওয়া যাবে না, এবং আমি নিশ্চিত নই যে কীভাবে এটি করব, কারণ আমি ইতিমধ্যেই ড্রাইভিং শিক্ষা নিয়েছি এবং রাস্তায় আমার কোনও উদ্বেগ নেই। আমি যেকোনো পরামর্শের জন্য কৃতজ্ঞ থাকব। আগাম ধন্যবাদ।</v>
      </c>
    </row>
    <row r="2021" spans="1:3" ht="15" x14ac:dyDescent="0.25">
      <c r="A2021" s="3" t="s">
        <v>2014</v>
      </c>
      <c r="B2021" s="3" t="s">
        <v>1992</v>
      </c>
      <c r="C2021" s="4" t="str">
        <f ca="1">IFERROR(__xludf.DUMMYFUNCTION("GOOGLETRANSLATE(A2021, ""auto"", ""bn"")"),"হাই, যদি এখানে না আসে, তাহলে আমি দুঃখিত, কিন্তু আমি সত্যিই উদ্বিগ্ন আরএন। তাই আমি জানতাম যে এই মাসে আমার ডেন্টিস্টের সাথে অ্যাপয়েন্টমেন্ট আছে, ঠিক কখন হবে তা আমি জানতাম না। তাছাড়া, আমি অসুস্থ থাকায় এটি বাতিল করতে চেয়েছিলাম। আর কয়েক মিনিট আগে আমি বুঝত"&amp;"ে পারলাম যে আমি আমার নোটে অ্যাপয়েন্টমেন্টের তারিখ লিখে রেখেছি এবং আমি জানতে পেরেছি যে এটি গতকাল হওয়ার কথা ছিল। আমার কী করা উচিত? আমি কাউকে বলতে সত্যিই ভয় পাচ্ছি কারণ তারা রেগে যাবে, এবং ডেন্টিস্ট অবশ্যই রেগে যাবে।")</f>
        <v>হাই, যদি এখানে না আসে, তাহলে আমি দুঃখিত, কিন্তু আমি সত্যিই উদ্বিগ্ন আরএন। তাই আমি জানতাম যে এই মাসে আমার ডেন্টিস্টের সাথে অ্যাপয়েন্টমেন্ট আছে, ঠিক কখন হবে তা আমি জানতাম না। তাছাড়া, আমি অসুস্থ থাকায় এটি বাতিল করতে চেয়েছিলাম। আর কয়েক মিনিট আগে আমি বুঝতে পারলাম যে আমি আমার নোটে অ্যাপয়েন্টমেন্টের তারিখ লিখে রেখেছি এবং আমি জানতে পেরেছি যে এটি গতকাল হওয়ার কথা ছিল। আমার কী করা উচিত? আমি কাউকে বলতে সত্যিই ভয় পাচ্ছি কারণ তারা রেগে যাবে, এবং ডেন্টিস্ট অবশ্যই রেগে যাবে।</v>
      </c>
    </row>
    <row r="2022" spans="1:3" ht="15" x14ac:dyDescent="0.25">
      <c r="A2022" s="3" t="s">
        <v>2015</v>
      </c>
      <c r="B2022" s="3" t="s">
        <v>1992</v>
      </c>
      <c r="C2022" s="4" t="str">
        <f ca="1">IFERROR(__xludf.DUMMYFUNCTION("GOOGLETRANSLATE(A2022, ""auto"", ""bn"")"),"আমার উদ্বেগজনিত ব্যাধি এবং PTSD ধরা পড়েছে, যা আমি জানিও না, এমনকি যদি আমি কেবল বৈধতা খুঁজছি। সম্ভবত এটি একটি মিশ্রণ। আমি আমার পেট থেকে ঘাড় পর্যন্ত 24/7 হৃদস্পন্দন অনুভব করতে করতে ক্লান্ত। এটি অত্যন্ত ক্লান্তিকর এবং বিরক্তিকর। সর্বদা মাদক, অ্যালকোহল বা স"&amp;"্বাস্থ্যকর বিকল্প: দৌড়ানো এবং ওজন তোলার মাধ্যমে এর বিরুদ্ধে লড়াই করার চেষ্টা করি। দীর্ঘমেয়াদে কিছুই কাজ করে না। আমি মরতে চাই না, তবে আমার মনে হয় আমি আর বেশিক্ষণ এই পরিস্থিতি সহ্য করতে পারব না। আমি প্রতিদিন আত্মহত্যার কথা ভাবি। তাছাড়া, আমি প্যানিক-অ্যা"&amp;"টাক এবং বিষণ্ণতা নিয়ে বেঁচে থাকতে পারি কিন্তু এই? কেউ এভাবে বাঁচতে পারে না। আমি অন্তত পারি না। আমি অনেক চেক-আপ করেছি। কিছুই ভুল নয়। এটি দৃশ্যত কেবল এক পাউন্ড উদ্বেগ এবং অ্যাড্রেনালিনের ক্রমাগত চাপ। এই খারাপ জিনিসটিকে ইট দিয়ে ধুয়ে ফেলুন।")</f>
        <v>আমার উদ্বেগজনিত ব্যাধি এবং PTSD ধরা পড়েছে, যা আমি জানিও না, এমনকি যদি আমি কেবল বৈধতা খুঁজছি। সম্ভবত এটি একটি মিশ্রণ। আমি আমার পেট থেকে ঘাড় পর্যন্ত 24/7 হৃদস্পন্দন অনুভব করতে করতে ক্লান্ত। এটি অত্যন্ত ক্লান্তিকর এবং বিরক্তিকর। সর্বদা মাদক, অ্যালকোহল বা স্বাস্থ্যকর বিকল্প: দৌড়ানো এবং ওজন তোলার মাধ্যমে এর বিরুদ্ধে লড়াই করার চেষ্টা করি। দীর্ঘমেয়াদে কিছুই কাজ করে না। আমি মরতে চাই না, তবে আমার মনে হয় আমি আর বেশিক্ষণ এই পরিস্থিতি সহ্য করতে পারব না। আমি প্রতিদিন আত্মহত্যার কথা ভাবি। তাছাড়া, আমি প্যানিক-অ্যাটাক এবং বিষণ্ণতা নিয়ে বেঁচে থাকতে পারি কিন্তু এই? কেউ এভাবে বাঁচতে পারে না। আমি অন্তত পারি না। আমি অনেক চেক-আপ করেছি। কিছুই ভুল নয়। এটি দৃশ্যত কেবল এক পাউন্ড উদ্বেগ এবং অ্যাড্রেনালিনের ক্রমাগত চাপ। এই খারাপ জিনিসটিকে ইট দিয়ে ধুয়ে ফেলুন।</v>
      </c>
    </row>
    <row r="2023" spans="1:3" ht="15" x14ac:dyDescent="0.25">
      <c r="A2023" s="3" t="s">
        <v>2016</v>
      </c>
      <c r="B2023" s="3" t="s">
        <v>1992</v>
      </c>
      <c r="C2023" s="4" t="str">
        <f ca="1">IFERROR(__xludf.DUMMYFUNCTION("GOOGLETRANSLATE(A2023, ""auto"", ""bn"")"),"১৪ বছর বা তার কম বয়স থেকেই আমার উদ্বেগ/বিষণ্ণতা ছিল। আর আমি নিজেই অক্ষমতায় ভুগছি। প্যানিক অ্যাটাকের কারণে আমি ১০টিরও বেশি চাকরি হারিয়েছি এবং আমি এখন চরম বিপদে। ব্যর্থ হতে করতে করতে আমি ক্লান্ত। আমার বয়স ২৯ বছর এবং আমি একটি সাধারণ চাকরিও ধরে রাখতে পারি "&amp;"না। তাছাড়া, আমি শুনেছি অক্ষমতা কাটিয়ে ওঠা সত্যিই কঠিন কিন্তু আমি চেষ্টা করতে ইচ্ছুক। তাছাড়া, আমি ক্যালিফোর্নিয়ায়ও থাকি।")</f>
        <v>১৪ বছর বা তার কম বয়স থেকেই আমার উদ্বেগ/বিষণ্ণতা ছিল। আর আমি নিজেই অক্ষমতায় ভুগছি। প্যানিক অ্যাটাকের কারণে আমি ১০টিরও বেশি চাকরি হারিয়েছি এবং আমি এখন চরম বিপদে। ব্যর্থ হতে করতে করতে আমি ক্লান্ত। আমার বয়স ২৯ বছর এবং আমি একটি সাধারণ চাকরিও ধরে রাখতে পারি না। তাছাড়া, আমি শুনেছি অক্ষমতা কাটিয়ে ওঠা সত্যিই কঠিন কিন্তু আমি চেষ্টা করতে ইচ্ছুক। তাছাড়া, আমি ক্যালিফোর্নিয়ায়ও থাকি।</v>
      </c>
    </row>
    <row r="2024" spans="1:3" ht="15" x14ac:dyDescent="0.25">
      <c r="A2024" s="3" t="s">
        <v>2017</v>
      </c>
      <c r="B2024" s="3" t="s">
        <v>1992</v>
      </c>
      <c r="C2024" s="4" t="str">
        <f ca="1">IFERROR(__xludf.DUMMYFUNCTION("GOOGLETRANSLATE(A2024, ""auto"", ""bn"")"),"সবাইকে নমস্কার, যদি আপনি OCD আক্রান্ত কিশোর হন, তাহলে আমি জানি এটি কতটা কঠিন হতে পারে। আমি বিশেষভাবে OCD আক্রান্ত কিশোরদের জন্য আমাদের নিজস্ব Subreddit তৈরি করেছি, দয়া করে এটি দেখুন! R/teenswithOCD")</f>
        <v>সবাইকে নমস্কার, যদি আপনি OCD আক্রান্ত কিশোর হন, তাহলে আমি জানি এটি কতটা কঠিন হতে পারে। আমি বিশেষভাবে OCD আক্রান্ত কিশোরদের জন্য আমাদের নিজস্ব Subreddit তৈরি করেছি, দয়া করে এটি দেখুন! R/teenswithOCD</v>
      </c>
    </row>
    <row r="2025" spans="1:3" ht="15" x14ac:dyDescent="0.25">
      <c r="A2025" s="3" t="s">
        <v>2018</v>
      </c>
      <c r="B2025" s="3" t="s">
        <v>1992</v>
      </c>
      <c r="C2025" s="4" t="str">
        <f ca="1">IFERROR(__xludf.DUMMYFUNCTION("GOOGLETRANSLATE(A2025, ""auto"", ""bn"")"),"এই! উদ্বেগ এবং প্যানিক অ্যাটাকের সাথে তোমরা কীভাবে ব্যায়াম করো? আমি এটা করতে ভয় পাচ্ছি কারণ ব্যায়ামের সময় আমার হৃদস্পন্দন বেড়ে যায় ইত্যাদি। আজ আমি ৩০ মিনিটের জন্য লো-ইম্প্যাক্ট অ্যারোবিক করেছি এবং মাথা ঘোরা ইত্যাদি। কোন টিপস আছে? আমি কয়েক বছর ধরে দ"&amp;"ৌড়াচ্ছি কিন্তু ৫ বছর আগে থামিয়ে দিয়েছিলাম কারণ একবার দৌড়ানোর সময় প্যানিক অ্যাটাকের শিকার হয়েছিলাম। মনে হচ্ছে এটা উদ্বেগ হতে পারে না। আমি এতটাই বিচ্ছিন্ন যে আমি সম্পূর্ণ অসাড় বোধ করি এবং বাস্তব নয়। কিন্তু অন্যদিকে আমার অঙ্গ-প্রত্যঙ্গ সবসময় সত্যিই "&amp;"অদ্ভুত বোধ করে, এবং আমার মনে হয় আমার এত অভ্যন্তরীণ ব্যথা হয় যে আমি স্পষ্টতই বাস্তব। প্যানিক অ্যাটাকের ফলে আমার মনে হয় আমি মারা যাচ্ছি যদিও আমি ইতিমধ্যেই মৃত বোধ করছি। আমি আশা করি এটি কারো কাছে যুক্তিসঙ্গত হবে। বন এবং সীমাহীন খাবারের কাছাকাছি একটি সুন্দ"&amp;"র কুটিরে থাকো, টিভি শো এবং সিনেমা দেখো এবং যতক্ষণ না আমি ভালো বোধ করতে শুরু করি এবং সুস্থ অভ্যাস গড়ে তোলার চেষ্টা করো এবং সুচিন্তিত পরিকল্পনা করো, এমন একটি শান্ত পরিবেশে থাকো যখন কেউ আমার উদ্বেগ বা প্যানিক অ্যাটাকের কারণ হবে না। আমার মনে হয় আমার সেরে উঠ"&amp;"তে কমপক্ষে তিন মাস সময় লাগবে। তাছাড়া, আমি উদ্বিগ্ন বোধ করা বন্ধ করতে চাই, আমি আগের মতো থাকতে চাই। কিন্তু আমার জীবন, অর্থাৎ পরিবেশের চাপে এটা সম্ভব নয়। আমার প্রশান্তি, নীরবতা, স্থান, প্রকৃতি প্রয়োজন। আমি নিজেকে এবং আমার জীবনকে ভালোবাসতে শিখতে চাই, কিন্তু "&amp;"যখন আমি প্রতিদিন সত্যিই অসুস্থ বোধ করি তখন আমি তা করতে পারি না। তারপর আমি ফিরে আসব এবং কেউ জানবে না এবং কোনও প্রশ্ন জিজ্ঞাসা করবে না এবং আমার কাছে স্থান থাকবে এবং সাহায্য পেতে ভয় পাব না। আমি জানি এটি প্রকাশ করার চেয়ে বেশি দিবাস্বপ্ন। যাইহোক, এটাই একমাত্"&amp;"র ভালো জিনিস যা আমি অবশিষ্ট রেখেছি, কারণ সবকিছুই নিস্তেজ বা ভীতিকর, এবং আমি সুখী মুহূর্তগুলির স্ফুলিঙ্গে ""বেঁচে"" থাকতে ক্লান্ত, যা খুব কমই কয়েক ঘন্টার বেশি স্থায়ী হয় যতক্ষণ না আমার উদ্বেগ বা হতাশাজনক চিন্তাভাবনা তাদের ধ্বংস করে দেয়।")</f>
        <v>এই! উদ্বেগ এবং প্যানিক অ্যাটাকের সাথে তোমরা কীভাবে ব্যায়াম করো? আমি এটা করতে ভয় পাচ্ছি কারণ ব্যায়ামের সময় আমার হৃদস্পন্দন বেড়ে যায় ইত্যাদি। আজ আমি ৩০ মিনিটের জন্য লো-ইম্প্যাক্ট অ্যারোবিক করেছি এবং মাথা ঘোরা ইত্যাদি। কোন টিপস আছে? আমি কয়েক বছর ধরে দৌড়াচ্ছি কিন্তু ৫ বছর আগে থামিয়ে দিয়েছিলাম কারণ একবার দৌড়ানোর সময় প্যানিক অ্যাটাকের শিকার হয়েছিলাম। মনে হচ্ছে এটা উদ্বেগ হতে পারে না। আমি এতটাই বিচ্ছিন্ন যে আমি সম্পূর্ণ অসাড় বোধ করি এবং বাস্তব নয়। কিন্তু অন্যদিকে আমার অঙ্গ-প্রত্যঙ্গ সবসময় সত্যিই অদ্ভুত বোধ করে, এবং আমার মনে হয় আমার এত অভ্যন্তরীণ ব্যথা হয় যে আমি স্পষ্টতই বাস্তব। প্যানিক অ্যাটাকের ফলে আমার মনে হয় আমি মারা যাচ্ছি যদিও আমি ইতিমধ্যেই মৃত বোধ করছি। আমি আশা করি এটি কারো কাছে যুক্তিসঙ্গত হবে। বন এবং সীমাহীন খাবারের কাছাকাছি একটি সুন্দর কুটিরে থাকো, টিভি শো এবং সিনেমা দেখো এবং যতক্ষণ না আমি ভালো বোধ করতে শুরু করি এবং সুস্থ অভ্যাস গড়ে তোলার চেষ্টা করো এবং সুচিন্তিত পরিকল্পনা করো, এমন একটি শান্ত পরিবেশে থাকো যখন কেউ আমার উদ্বেগ বা প্যানিক অ্যাটাকের কারণ হবে না। আমার মনে হয় আমার সেরে উঠতে কমপক্ষে তিন মাস সময় লাগবে। তাছাড়া, আমি উদ্বিগ্ন বোধ করা বন্ধ করতে চাই, আমি আগের মতো থাকতে চাই। কিন্তু আমার জীবন, অর্থাৎ পরিবেশের চাপে এটা সম্ভব নয়। আমার প্রশান্তি, নীরবতা, স্থান, প্রকৃতি প্রয়োজন। আমি নিজেকে এবং আমার জীবনকে ভালোবাসতে শিখতে চাই, কিন্তু যখন আমি প্রতিদিন সত্যিই অসুস্থ বোধ করি তখন আমি তা করতে পারি না। তারপর আমি ফিরে আসব এবং কেউ জানবে না এবং কোনও প্রশ্ন জিজ্ঞাসা করবে না এবং আমার কাছে স্থান থাকবে এবং সাহায্য পেতে ভয় পাব না। আমি জানি এটি প্রকাশ করার চেয়ে বেশি দিবাস্বপ্ন। যাইহোক, এটাই একমাত্র ভালো জিনিস যা আমি অবশিষ্ট রেখেছি, কারণ সবকিছুই নিস্তেজ বা ভীতিকর, এবং আমি সুখী মুহূর্তগুলির স্ফুলিঙ্গে "বেঁচে" থাকতে ক্লান্ত, যা খুব কমই কয়েক ঘন্টার বেশি স্থায়ী হয় যতক্ষণ না আমার উদ্বেগ বা হতাশাজনক চিন্তাভাবনা তাদের ধ্বংস করে দেয়।</v>
      </c>
    </row>
    <row r="2026" spans="1:3" ht="15" x14ac:dyDescent="0.25">
      <c r="A2026" s="3" t="s">
        <v>2019</v>
      </c>
      <c r="B2026" s="3" t="s">
        <v>1992</v>
      </c>
      <c r="C2026" s="4" t="str">
        <f ca="1">IFERROR(__xludf.DUMMYFUNCTION("GOOGLETRANSLATE(A2026, ""auto"", ""bn"")"),"সম্প্রতি আমার অনেক মানসিক চাপ হয়েছে এবং শেষ দিনটাতেও জ্বর অনুভব করছিলাম (অন্য কোনও লক্ষণ নেই) তবে যখন আমি আমার তাপমাত্রা পরীক্ষা করি তখন স্বাভাবিক বলে মনে হয়।")</f>
        <v>সম্প্রতি আমার অনেক মানসিক চাপ হয়েছে এবং শেষ দিনটাতেও জ্বর অনুভব করছিলাম (অন্য কোনও লক্ষণ নেই) তবে যখন আমি আমার তাপমাত্রা পরীক্ষা করি তখন স্বাভাবিক বলে মনে হয়।</v>
      </c>
    </row>
    <row r="2027" spans="1:3" ht="15" x14ac:dyDescent="0.25">
      <c r="A2027" s="3" t="s">
        <v>2020</v>
      </c>
      <c r="B2027" s="3" t="s">
        <v>1992</v>
      </c>
      <c r="C2027" s="4" t="str">
        <f ca="1">IFERROR(__xludf.DUMMYFUNCTION("GOOGLETRANSLATE(A2027, ""auto"", ""bn"")"),"সবাইকে নমস্কার, আমি ভাবছিলাম যে মদ্যপানের ফলে উদ্বেগের সৃষ্টি হয় কিনা, কিন্তু মদ্যপানের সময় নয়, বরং এক বা দুই দিন পরে। আমি প্রায় ৬ মাস আগে মদ্যপান বন্ধ করে দিয়েছিলাম, কারণ আমি কখনও পরিমিত পরিমাণে মদ্যপান করতাম না, এবং এটি একটি নিত্যদিনের ব্যাপার হয়ে"&amp;" দাঁড়িয়েছিল যার উপর আমি নিয়ন্ত্রণ হারিয়ে ফেলি। আমি লক্ষ্য করেছি যে এভাবে মদ্যপানের সময় আমার বিষণ্ণতা এবং উদ্বেগ নিয়ন্ত্রণের বাইরে চলে যায় (সত্যি বলতে, আমি কয়েক বছর ধরে প্রচুর পরিমাণে মদ্যপান করছিলাম), এবং ভেবেছিলাম যে অ্যালকোহল এতে একটি বিশাল ভূমি"&amp;"কা পালন করছে। তবে রবিবার আমি ভ্যালেন্টাইন্স ডে-তে কিছু ওয়াইন এবং শ্যাম্পেন খাওয়ার সিদ্ধান্ত নিয়েছিলাম, এবং আমার মধ্যে একটা ভালো উত্তেজিত ভাব তৈরি হয়েছিল। সোমবার পুরোটা বিছানায় কাটিয়েছি এবং শুয়ে আছি, কিছুটা উদ্বেগের সাথে সাথে কিন্তু খুব খারাপ কিছু হ"&amp;"য়নি। তবে আজ আমার দুটি পূর্ণাঙ্গ উদ্বেগের আক্রমণ হয়েছে, যা হঠাৎ করেই এসেছিল, কোনও কারণ সম্পর্কে সম্পূর্ণ অনিশ্চিত।")</f>
        <v>সবাইকে নমস্কার, আমি ভাবছিলাম যে মদ্যপানের ফলে উদ্বেগের সৃষ্টি হয় কিনা, কিন্তু মদ্যপানের সময় নয়, বরং এক বা দুই দিন পরে। আমি প্রায় ৬ মাস আগে মদ্যপান বন্ধ করে দিয়েছিলাম, কারণ আমি কখনও পরিমিত পরিমাণে মদ্যপান করতাম না, এবং এটি একটি নিত্যদিনের ব্যাপার হয়ে দাঁড়িয়েছিল যার উপর আমি নিয়ন্ত্রণ হারিয়ে ফেলি। আমি লক্ষ্য করেছি যে এভাবে মদ্যপানের সময় আমার বিষণ্ণতা এবং উদ্বেগ নিয়ন্ত্রণের বাইরে চলে যায় (সত্যি বলতে, আমি কয়েক বছর ধরে প্রচুর পরিমাণে মদ্যপান করছিলাম), এবং ভেবেছিলাম যে অ্যালকোহল এতে একটি বিশাল ভূমিকা পালন করছে। তবে রবিবার আমি ভ্যালেন্টাইন্স ডে-তে কিছু ওয়াইন এবং শ্যাম্পেন খাওয়ার সিদ্ধান্ত নিয়েছিলাম, এবং আমার মধ্যে একটা ভালো উত্তেজিত ভাব তৈরি হয়েছিল। সোমবার পুরোটা বিছানায় কাটিয়েছি এবং শুয়ে আছি, কিছুটা উদ্বেগের সাথে সাথে কিন্তু খুব খারাপ কিছু হয়নি। তবে আজ আমার দুটি পূর্ণাঙ্গ উদ্বেগের আক্রমণ হয়েছে, যা হঠাৎ করেই এসেছিল, কোনও কারণ সম্পর্কে সম্পূর্ণ অনিশ্চিত।</v>
      </c>
    </row>
    <row r="2028" spans="1:3" ht="15" x14ac:dyDescent="0.25">
      <c r="A2028" s="3" t="s">
        <v>2021</v>
      </c>
      <c r="B2028" s="3" t="s">
        <v>1992</v>
      </c>
      <c r="C2028" s="4" t="str">
        <f ca="1">IFERROR(__xludf.DUMMYFUNCTION("GOOGLETRANSLATE(A2028, ""auto"", ""bn"")"),"আমি ভাবছিলাম এটা কি মদ্যপানের কারণে হতে পারে? অথবা হয়তো আমার উদ্বেগ আজকে শুধু একটা বিষয় নিয়েই। আগে থেকে কিছু জানানোর জন্য ধন্যবাদ। ?? এছাড়াও, যদি কারো কাছে এমন কিছু থাকে যা তাদের শান্ত ও শান্ত করতে সাহায্য করে, তাহলে দয়া করে শেয়ার করতে দ্বিধা করবেন না!")</f>
        <v>আমি ভাবছিলাম এটা কি মদ্যপানের কারণে হতে পারে? অথবা হয়তো আমার উদ্বেগ আজকে শুধু একটা বিষয় নিয়েই। আগে থেকে কিছু জানানোর জন্য ধন্যবাদ। ?? এছাড়াও, যদি কারো কাছে এমন কিছু থাকে যা তাদের শান্ত ও শান্ত করতে সাহায্য করে, তাহলে দয়া করে শেয়ার করতে দ্বিধা করবেন না!</v>
      </c>
    </row>
    <row r="2029" spans="1:3" ht="15" x14ac:dyDescent="0.25">
      <c r="A2029" s="3" t="s">
        <v>2022</v>
      </c>
      <c r="B2029" s="3" t="s">
        <v>1992</v>
      </c>
      <c r="C2029" s="4" t="str">
        <f ca="1">IFERROR(__xludf.DUMMYFUNCTION("GOOGLETRANSLATE(A2029, ""auto"", ""bn"")"),"গত রাতে আমার তীব্র আতঙ্কের আক্রমণ হয়েছিল। হঠাৎ ঘুম ভেঙে যায় কারণ আমার বিড়ালটি অন্য একটি বিড়ালের সাথে ঝগড়া করছিল এবং আমার হৃদস্পন্দন তীব্র হয়ে উঠছিল, কাঁপছিল এবং হৃদস্পন্দন তীব্র হয়ে উঠছিল। আমি ভেবেছিলাম আমি মারা যাচ্ছি বা অন্য কিছু। যখন আমি বুঝতে পারি যে "&amp;"এটি একটি আতঙ্কের আক্রমণ (কারণ প্রথমে আমি ভেবেছিলাম যে আমি যে প্যারোক্সেটিন খাচ্ছি তাতে আমার খারাপ প্রতিক্রিয়া হচ্ছে, এবং আমি আক্ষরিক অর্থেই মারা যাচ্ছি, আমি বেঁচে ছিলাম হা হা হা) তখন আমি শান্ত হয়ে আবার ঘুমিয়ে পড়ি। কিন্তু তারপর আমি আবার জেগে উঠি কারণ আমা"&amp;"র বিড়ালটিকে খাওয়ানোর প্রয়োজন ছিল এবং আমি আবার একই রকম অনুভব করি কিন্তু কম আতঙ্কিত হই কারণ আমি জানতাম যে আমি নিরাপদ। কিন্তু এখন দিনের বেলায় আমার হঠাৎ করেই হট ফ্ল্যাশ হচ্ছে, আমি আতঙ্কিত হই না, তবে এটি বিরক্তিকর। কীভাবে এগুলি দূর করা যায় বা নিজেকে আরও আরামদ"&amp;"ায়ক করা যায় সে সম্পর্কে কারও কি কোন টিপস আছে? আমার মনে হয় প্রতিবার যখনই আমি ভবিষ্যতের কথা ভাবতে শুরু করি তখনই আমি উদ্বিগ্ন হই এবং একটি পাই ?? আমি নিজেকে বিভ্রান্ত করার চেষ্টা করি, কিন্তু আমি এটিকে থামাতে পারি না।")</f>
        <v>গত রাতে আমার তীব্র আতঙ্কের আক্রমণ হয়েছিল। হঠাৎ ঘুম ভেঙে যায় কারণ আমার বিড়ালটি অন্য একটি বিড়ালের সাথে ঝগড়া করছিল এবং আমার হৃদস্পন্দন তীব্র হয়ে উঠছিল, কাঁপছিল এবং হৃদস্পন্দন তীব্র হয়ে উঠছিল। আমি ভেবেছিলাম আমি মারা যাচ্ছি বা অন্য কিছু। যখন আমি বুঝতে পারি যে এটি একটি আতঙ্কের আক্রমণ (কারণ প্রথমে আমি ভেবেছিলাম যে আমি যে প্যারোক্সেটিন খাচ্ছি তাতে আমার খারাপ প্রতিক্রিয়া হচ্ছে, এবং আমি আক্ষরিক অর্থেই মারা যাচ্ছি, আমি বেঁচে ছিলাম হা হা হা) তখন আমি শান্ত হয়ে আবার ঘুমিয়ে পড়ি। কিন্তু তারপর আমি আবার জেগে উঠি কারণ আমার বিড়ালটিকে খাওয়ানোর প্রয়োজন ছিল এবং আমি আবার একই রকম অনুভব করি কিন্তু কম আতঙ্কিত হই কারণ আমি জানতাম যে আমি নিরাপদ। কিন্তু এখন দিনের বেলায় আমার হঠাৎ করেই হট ফ্ল্যাশ হচ্ছে, আমি আতঙ্কিত হই না, তবে এটি বিরক্তিকর। কীভাবে এগুলি দূর করা যায় বা নিজেকে আরও আরামদায়ক করা যায় সে সম্পর্কে কারও কি কোন টিপস আছে? আমার মনে হয় প্রতিবার যখনই আমি ভবিষ্যতের কথা ভাবতে শুরু করি তখনই আমি উদ্বিগ্ন হই এবং একটি পাই ?? আমি নিজেকে বিভ্রান্ত করার চেষ্টা করি, কিন্তু আমি এটিকে থামাতে পারি না।</v>
      </c>
    </row>
    <row r="2030" spans="1:3" ht="15" x14ac:dyDescent="0.25">
      <c r="A2030" s="3" t="s">
        <v>2023</v>
      </c>
      <c r="B2030" s="3" t="s">
        <v>1992</v>
      </c>
      <c r="C2030" s="4" t="str">
        <f ca="1">IFERROR(__xludf.DUMMYFUNCTION("GOOGLETRANSLATE(A2030, ""auto"", ""bn"")"),"আমি একাদশ শ্রেণীতে পড়ি (১৬ বছর বয়স), এবং প্রথম বর্ষ থেকেই আমি একটি নির্দিষ্ট কলেজে যাওয়ার উপর মনোযোগী। আমার গ্রেড ভালো ছিল, এবং জুমের দিন থেকে, আমার গ্রেড গড়ে বি এবং সি হচ্ছে, আমার কাজ করার ইচ্ছা কেবল হ্রাস পাচ্ছে, এবং আমার বেঁচে থাকার ইচ্ছাও হ্রাস পাচ্"&amp;"ছে। আমি ভবিষ্যৎ নিয়ে, বড় হওয়ার ব্যাপারে ভীত। তাছাড়া, আমার মনে হয় আমি কেবল ব্যর্থ হব। তাছাড়া, আমি আমার বাবা-মায়ের ইচ্ছা অনুযায়ী হতে পারছি না, আমি তাদের খুশি করার মতো যথেষ্ট বুদ্ধিমান নই। কলেজে যাওয়া এবং স্বাধীন হওয়ার ধারণা আমাকে মেরে ফেলছে। আমি সবসময় আমা"&amp;"র ভবিষ্যৎ নিয়ে চিন্তিত থাকি। আমি জানি না কী করব বা কীভাবে আমার উদ্বেগ দূর করব। তাছাড়া, আমি কেবল মরতে চাই।")</f>
        <v>আমি একাদশ শ্রেণীতে পড়ি (১৬ বছর বয়স), এবং প্রথম বর্ষ থেকেই আমি একটি নির্দিষ্ট কলেজে যাওয়ার উপর মনোযোগী। আমার গ্রেড ভালো ছিল, এবং জুমের দিন থেকে, আমার গ্রেড গড়ে বি এবং সি হচ্ছে, আমার কাজ করার ইচ্ছা কেবল হ্রাস পাচ্ছে, এবং আমার বেঁচে থাকার ইচ্ছাও হ্রাস পাচ্ছে। আমি ভবিষ্যৎ নিয়ে, বড় হওয়ার ব্যাপারে ভীত। তাছাড়া, আমার মনে হয় আমি কেবল ব্যর্থ হব। তাছাড়া, আমি আমার বাবা-মায়ের ইচ্ছা অনুযায়ী হতে পারছি না, আমি তাদের খুশি করার মতো যথেষ্ট বুদ্ধিমান নই। কলেজে যাওয়া এবং স্বাধীন হওয়ার ধারণা আমাকে মেরে ফেলছে। আমি সবসময় আমার ভবিষ্যৎ নিয়ে চিন্তিত থাকি। আমি জানি না কী করব বা কীভাবে আমার উদ্বেগ দূর করব। তাছাড়া, আমি কেবল মরতে চাই।</v>
      </c>
    </row>
    <row r="2031" spans="1:3" ht="15" x14ac:dyDescent="0.25">
      <c r="A2031" s="3" t="s">
        <v>2024</v>
      </c>
      <c r="B2031" s="3" t="s">
        <v>1992</v>
      </c>
      <c r="C2031" s="4" t="str">
        <f ca="1">IFERROR(__xludf.DUMMYFUNCTION("GOOGLETRANSLATE(A2031, ""auto"", ""bn"")"),"আবারও এমন হচ্ছে। আমার কর্মক্ষেত্রে একটা নতুন কাজ আছে এবং আমি বুঝতে পারছি না কিভাবে এটা করবো। সাধারণত আমি উদ্বিগ্ন হই এবং ভাবি ""আমি কিভাবে এই কাজটা শেষ করবো?"" কিন্তু এবার আমি আসলে পরাজিত বোধ করছি। আমি আসলে মনে হচ্ছে আমি হাল ছেড়ে দিয়েছি, আর আমি জানি না "&amp;"কি করবো। আমি এখানে বসে আছি, কাঁদতে ইচ্ছে করছে। তাছাড়া, আয়নায় তাকালে আমি এটা দেখতে পাই, আমি কাজে এতটাই ডুবে আছি যে আমার হৃদয় ব্যাথা করছে। আমার প্রশ্নগুলোর সমাধানের জন্য যদি আমাকে কিছু সাহায্য করা হত তবে আমার খুব খারাপ লাগত না, কিন্তু সত্যিই মনে হচ্ছিল "&amp;"যেন আমাকে ডুবে থাকতে দেওয়া হচ্ছে। আমি সত্যিই বাড়ি যেতে চাই, বিছানায় হামাগুড়ি দিতে চাই, এবং কয়েক সপ্তাহের জন্য পৃথিবীর সাথে মোকাবিলা করতে না হয়। আমার ম্যানেজার যখন আমার কাজটা দেখবে এবং আমি তাদের কোন অগ্রগতি দেখাতে লড়াই করব তখন কী ঘটবে তা নিয়ে আমি স"&amp;"ত্যিই ভয় পাচ্ছি। তাছাড়া, আমি ব্যর্থ বোধ করছি, আমি ইঞ্জিনিয়ারিং ডিগ্রি পেয়েছি শুধুমাত্র কাজে এসে বুঝতে পেরেছি যে আমি এটা করতে খুব খারাপ। আমি খুব ভয় পাচ্ছি যে আমি এতে ভালো হব না, এবং তারপর আমি কী করব তা জানি না।")</f>
        <v>আবারও এমন হচ্ছে। আমার কর্মক্ষেত্রে একটা নতুন কাজ আছে এবং আমি বুঝতে পারছি না কিভাবে এটা করবো। সাধারণত আমি উদ্বিগ্ন হই এবং ভাবি "আমি কিভাবে এই কাজটা শেষ করবো?" কিন্তু এবার আমি আসলে পরাজিত বোধ করছি। আমি আসলে মনে হচ্ছে আমি হাল ছেড়ে দিয়েছি, আর আমি জানি না কি করবো। আমি এখানে বসে আছি, কাঁদতে ইচ্ছে করছে। তাছাড়া, আয়নায় তাকালে আমি এটা দেখতে পাই, আমি কাজে এতটাই ডুবে আছি যে আমার হৃদয় ব্যাথা করছে। আমার প্রশ্নগুলোর সমাধানের জন্য যদি আমাকে কিছু সাহায্য করা হত তবে আমার খুব খারাপ লাগত না, কিন্তু সত্যিই মনে হচ্ছিল যেন আমাকে ডুবে থাকতে দেওয়া হচ্ছে। আমি সত্যিই বাড়ি যেতে চাই, বিছানায় হামাগুড়ি দিতে চাই, এবং কয়েক সপ্তাহের জন্য পৃথিবীর সাথে মোকাবিলা করতে না হয়। আমার ম্যানেজার যখন আমার কাজটা দেখবে এবং আমি তাদের কোন অগ্রগতি দেখাতে লড়াই করব তখন কী ঘটবে তা নিয়ে আমি সত্যিই ভয় পাচ্ছি। তাছাড়া, আমি ব্যর্থ বোধ করছি, আমি ইঞ্জিনিয়ারিং ডিগ্রি পেয়েছি শুধুমাত্র কাজে এসে বুঝতে পেরেছি যে আমি এটা করতে খুব খারাপ। আমি খুব ভয় পাচ্ছি যে আমি এতে ভালো হব না, এবং তারপর আমি কী করব তা জানি না।</v>
      </c>
    </row>
    <row r="2032" spans="1:3" ht="15" x14ac:dyDescent="0.25">
      <c r="A2032" s="3" t="s">
        <v>2025</v>
      </c>
      <c r="B2032" s="3" t="s">
        <v>1992</v>
      </c>
      <c r="C2032" s="4" t="str">
        <f ca="1">IFERROR(__xludf.DUMMYFUNCTION("GOOGLETRANSLATE(A2032, ""auto"", ""bn"")"),"আমার হোমওয়ার্ক সেরে ফেলা দরকার, কিন্তু আমি বারবার ক্লান্ত হয়ে পড়ছি, আর আমার এটা ক্লাসে করা উচিত ছিল, কিন্তু আমার একটা প্রচণ্ড আতঙ্কের আক্রমণ হয়েছিল এবং আমি কিছুই করতে পারিনি এবং আমার বন্ধু আমাকে শান্ত করেছিল কিন্তু আমি আবার ক্লান্ত হয়ে পড়ছি এবং আমার"&amp;" মস্তিষ্ক যেভাবে কাজ করে তা আমার খুব খারাপ লাগে।")</f>
        <v>আমার হোমওয়ার্ক সেরে ফেলা দরকার, কিন্তু আমি বারবার ক্লান্ত হয়ে পড়ছি, আর আমার এটা ক্লাসে করা উচিত ছিল, কিন্তু আমার একটা প্রচণ্ড আতঙ্কের আক্রমণ হয়েছিল এবং আমি কিছুই করতে পারিনি এবং আমার বন্ধু আমাকে শান্ত করেছিল কিন্তু আমি আবার ক্লান্ত হয়ে পড়ছি এবং আমার মস্তিষ্ক যেভাবে কাজ করে তা আমার খুব খারাপ লাগে।</v>
      </c>
    </row>
    <row r="2033" spans="1:3" ht="15" x14ac:dyDescent="0.25">
      <c r="A2033" s="3" t="s">
        <v>2026</v>
      </c>
      <c r="B2033" s="3" t="s">
        <v>1992</v>
      </c>
      <c r="C2033" s="4" t="str">
        <f ca="1">IFERROR(__xludf.DUMMYFUNCTION("GOOGLETRANSLATE(A2033, ""auto"", ""bn"")"),"আমার এই বন্ধু আছে, কিন্তু মাঝে মাঝে আমি প্রশ্ন করি যে সে কি সত্যিকারের বন্ধু কিনা কিন্তু নিশ্চিত নই যে শুধু আমার উদ্বেগই কি জিনিসগুলিকে অতিরিক্ত ভাবিয়ে তুলছে। প্রথমে, সে সবসময় আমাকে তার বন্ধুদের দলে অন্তর্ভুক্ত করার চেষ্টা করত কিন্তু যেহেতু আমি সবসময় উ"&amp;"দ্বেগের সাথে মোকাবিলা করি তাই আমার তার সাথে খোলামেলাভাবে কথা বলতে আমার কষ্ট হতো, কিন্তু সে সবসময় ধৈর্য ধরে আমাকে কথা বলার জন্য চাপ না দেওয়ার চেষ্টা করত। যা ধীরে ধীরে আমি তার সাথে কথা বলতে আরও স্বাচ্ছন্দ্য বোধ করতে শুরু করি এবং আমরা একে অপরের সাথে অনেক ব"&amp;"েশি কথা বলা বন্ধ করে দিই। এমনকি আমি তাকে বললাম কেন আমরা সবাই একসাথে আড্ডা দেওয়ার সময় এত বেশি কথা বলি না। সে আমাকে বলেছিল যে সে কখনও আশা করেনি যে আমি কখনই নিজেকে কথা বলতে বাধ্য করব। যা শুনে আমি এত খুশি হয়েছিলাম যে সে বুঝতে পেরেছিল যে আমি কী মোকাবেলা করছ"&amp;"ি। দুঃখের বিষয় হল, অনেক সময় আমরা সবাই একসাথে আড্ডা দেওয়ার সময় মনে হয়েছিল যে তার সবসময় দলের বাকিদের সাথে কথা বলার কিছু থাকে এবং আমার সাথে খুব কম কথা বলেছি এবং আমি কখনই বুঝতে পারিনি কেন আমি যখন তার সাথে আমার শখ এবং তার সাথে আমার পছন্দের জিনিসগুলি নিয়"&amp;"ে কথা বলি। তাই আমি বুঝতে পারিনি কেন আমার সাথে কথা বলার জন্য তার জন্য কিছু থাকা এত কঠিন বলে মনে হয়েছিল। আমি জানি না, আমার উদ্বেগের কারণে তার সাথে বন্ধুত্ব করা আমার জন্য এতটাই কঠিন হয়ে পড়েছে যে আমি প্রশ্ন করি যে সে কি আমার আসল বন্ধু নাকি সে আমাকে শুধু আম"&amp;"ার সাথে রাখে কারণ সে আমার জন্য খারাপ বোধ করে। আমি আরও মনে করি যে আমাকে এই বাস্তবতার মুখোমুখি হতে হবে যে আমি বেশিরভাগ সময় কথা বলি না বলে লোকেরা আমার সাথে কথা বলতে স্বাচ্ছন্দ্য বোধ করবে না কারণ আমি খুব চুপচাপ থাকতে পারি। যা আমি বুঝতে পারি কারণ আমি আসলে দলে"&amp;"র সাথে কথা বলতে স্বাচ্ছন্দ্য বোধ করি না, কিন্তু আমি বুঝতে পারি না যে আমার বন্ধু আমার সাথে এমন করছে।")</f>
        <v>আমার এই বন্ধু আছে, কিন্তু মাঝে মাঝে আমি প্রশ্ন করি যে সে কি সত্যিকারের বন্ধু কিনা কিন্তু নিশ্চিত নই যে শুধু আমার উদ্বেগই কি জিনিসগুলিকে অতিরিক্ত ভাবিয়ে তুলছে। প্রথমে, সে সবসময় আমাকে তার বন্ধুদের দলে অন্তর্ভুক্ত করার চেষ্টা করত কিন্তু যেহেতু আমি সবসময় উদ্বেগের সাথে মোকাবিলা করি তাই আমার তার সাথে খোলামেলাভাবে কথা বলতে আমার কষ্ট হতো, কিন্তু সে সবসময় ধৈর্য ধরে আমাকে কথা বলার জন্য চাপ না দেওয়ার চেষ্টা করত। যা ধীরে ধীরে আমি তার সাথে কথা বলতে আরও স্বাচ্ছন্দ্য বোধ করতে শুরু করি এবং আমরা একে অপরের সাথে অনেক বেশি কথা বলা বন্ধ করে দিই। এমনকি আমি তাকে বললাম কেন আমরা সবাই একসাথে আড্ডা দেওয়ার সময় এত বেশি কথা বলি না। সে আমাকে বলেছিল যে সে কখনও আশা করেনি যে আমি কখনই নিজেকে কথা বলতে বাধ্য করব। যা শুনে আমি এত খুশি হয়েছিলাম যে সে বুঝতে পেরেছিল যে আমি কী মোকাবেলা করছি। দুঃখের বিষয় হল, অনেক সময় আমরা সবাই একসাথে আড্ডা দেওয়ার সময় মনে হয়েছিল যে তার সবসময় দলের বাকিদের সাথে কথা বলার কিছু থাকে এবং আমার সাথে খুব কম কথা বলেছি এবং আমি কখনই বুঝতে পারিনি কেন আমি যখন তার সাথে আমার শখ এবং তার সাথে আমার পছন্দের জিনিসগুলি নিয়ে কথা বলি। তাই আমি বুঝতে পারিনি কেন আমার সাথে কথা বলার জন্য তার জন্য কিছু থাকা এত কঠিন বলে মনে হয়েছিল। আমি জানি না, আমার উদ্বেগের কারণে তার সাথে বন্ধুত্ব করা আমার জন্য এতটাই কঠিন হয়ে পড়েছে যে আমি প্রশ্ন করি যে সে কি আমার আসল বন্ধু নাকি সে আমাকে শুধু আমার সাথে রাখে কারণ সে আমার জন্য খারাপ বোধ করে। আমি আরও মনে করি যে আমাকে এই বাস্তবতার মুখোমুখি হতে হবে যে আমি বেশিরভাগ সময় কথা বলি না বলে লোকেরা আমার সাথে কথা বলতে স্বাচ্ছন্দ্য বোধ করবে না কারণ আমি খুব চুপচাপ থাকতে পারি। যা আমি বুঝতে পারি কারণ আমি আসলে দলের সাথে কথা বলতে স্বাচ্ছন্দ্য বোধ করি না, কিন্তু আমি বুঝতে পারি না যে আমার বন্ধু আমার সাথে এমন করছে।</v>
      </c>
    </row>
    <row r="2034" spans="1:3" ht="15" x14ac:dyDescent="0.25">
      <c r="A2034" s="3" t="s">
        <v>2027</v>
      </c>
      <c r="B2034" s="3" t="s">
        <v>1992</v>
      </c>
      <c r="C2034" s="4" t="str">
        <f ca="1">IFERROR(__xludf.DUMMYFUNCTION("GOOGLETRANSLATE(A2034, ""auto"", ""bn"")"),"মূলত আমেরিকায় দরিদ্র থাকা এবং চাকরির মাঝে থাকা। আমি উদ্বেগ এবং মাঝে মাঝে প্যানিক অ্যাটাকের শিকার হই। যদিও আমি জানি না এটি GAD-এর পর্যায়ে পৌঁছায় কিনা, তবে এটি অবশ্যই আমার জীবনে প্রভাব ফেলছে। আমার জীবনযাত্রার পরিস্থিতি এবং আমার জীবন আমার উদ্বেগকে আরও বাড়ি"&amp;"য়ে তোলে। আমার বয়স ৩০-এর কোঠার প্রথম দিকে, এবং আমি দরিদ্র, কোনও চাকরির ATM ছিল না (এবং যখন আমি চাকরি করতাম, তখন আমি সবসময় আমার চাকরিগুলোকে ঘৃণা করতাম), এক দশকেরও বেশি সময় ধরে আমার কোনও প্রকৃত IRL বন্ধু ছিল না, কখনও ডেট করিনি এবং আমার কোনও GF নেই, পরিবার"&amp;"ের সাথে থাকি, আমার লিজ (গাড়ি) ফেরত দিতে হয়েছিল কারণ আমি দরিদ্র, আমি অন্তর্মুখী এবং কিছুটা গৃহবধূ, ইত্যাদি।")</f>
        <v>মূলত আমেরিকায় দরিদ্র থাকা এবং চাকরির মাঝে থাকা। আমি উদ্বেগ এবং মাঝে মাঝে প্যানিক অ্যাটাকের শিকার হই। যদিও আমি জানি না এটি GAD-এর পর্যায়ে পৌঁছায় কিনা, তবে এটি অবশ্যই আমার জীবনে প্রভাব ফেলছে। আমার জীবনযাত্রার পরিস্থিতি এবং আমার জীবন আমার উদ্বেগকে আরও বাড়িয়ে তোলে। আমার বয়স ৩০-এর কোঠার প্রথম দিকে, এবং আমি দরিদ্র, কোনও চাকরির ATM ছিল না (এবং যখন আমি চাকরি করতাম, তখন আমি সবসময় আমার চাকরিগুলোকে ঘৃণা করতাম), এক দশকেরও বেশি সময় ধরে আমার কোনও প্রকৃত IRL বন্ধু ছিল না, কখনও ডেট করিনি এবং আমার কোনও GF নেই, পরিবারের সাথে থাকি, আমার লিজ (গাড়ি) ফেরত দিতে হয়েছিল কারণ আমি দরিদ্র, আমি অন্তর্মুখী এবং কিছুটা গৃহবধূ, ইত্যাদি।</v>
      </c>
    </row>
    <row r="2035" spans="1:3" ht="15" x14ac:dyDescent="0.25">
      <c r="A2035" s="3" t="s">
        <v>2028</v>
      </c>
      <c r="B2035" s="3" t="s">
        <v>1992</v>
      </c>
      <c r="C2035" s="4" t="str">
        <f ca="1">IFERROR(__xludf.DUMMYFUNCTION("GOOGLETRANSLATE(A2035, ""auto"", ""bn"")"),"সে আমাকে বললো যে সে আগামীকাল আমার সাথে আসতে পারবে না কারণ সে বেবিসিটিং করছে এবং আক্ষরিক অর্থেই আর কেউ নেই যে আগামীকাল আমার ছোট চাচাতো ভাইকে নিয়ে যেতে পারবে। আমি যাদের বিশ্বাস করি তাদের সকলকে জিজ্ঞাসা করেছি, এবং তাদের সকলেরই কাজ/অন্যান্য প্রতিশ্রুতি রয়েছ"&amp;"ে। একমাত্র ব্যক্তি যিনি মুক্ত আছেন তিনি হলেন আমার নানী, যাকে আমি জিজ্ঞাসাও করিনি কারণ তিনি খুব একপেশে এবং বিশ্বাস করেন যে আমার ভয় ""অতি নাটকীয়"" এবং আমি যদি তাকে সাথে নিয়ে আসি তবে সক্রিয়ভাবে আমার আরও খারাপ করবে। অনলাইনে আমি যে রিসোর্সগুলি পেয়েছি তা হ"&amp;"ল ""সুইয়ের দিকে তাকাও না!"", কিন্তু কেবল জেনে রাখা যে কেউ সক্রিয়ভাবে আমার দিকে আসছে তা আমার পালাতে বা লড়াই করতে এতটাই উত্তেজিত করে যে আমি কাউকে তাদের উপর আঘাত না করে আমাকে স্পর্শ করতেও দিই না, যা আমাকে এবং নার্সের জন্য বিপদ ডেকে আনে।")</f>
        <v>সে আমাকে বললো যে সে আগামীকাল আমার সাথে আসতে পারবে না কারণ সে বেবিসিটিং করছে এবং আক্ষরিক অর্থেই আর কেউ নেই যে আগামীকাল আমার ছোট চাচাতো ভাইকে নিয়ে যেতে পারবে। আমি যাদের বিশ্বাস করি তাদের সকলকে জিজ্ঞাসা করেছি, এবং তাদের সকলেরই কাজ/অন্যান্য প্রতিশ্রুতি রয়েছে। একমাত্র ব্যক্তি যিনি মুক্ত আছেন তিনি হলেন আমার নানী, যাকে আমি জিজ্ঞাসাও করিনি কারণ তিনি খুব একপেশে এবং বিশ্বাস করেন যে আমার ভয় "অতি নাটকীয়" এবং আমি যদি তাকে সাথে নিয়ে আসি তবে সক্রিয়ভাবে আমার আরও খারাপ করবে। অনলাইনে আমি যে রিসোর্সগুলি পেয়েছি তা হল "সুইয়ের দিকে তাকাও না!", কিন্তু কেবল জেনে রাখা যে কেউ সক্রিয়ভাবে আমার দিকে আসছে তা আমার পালাতে বা লড়াই করতে এতটাই উত্তেজিত করে যে আমি কাউকে তাদের উপর আঘাত না করে আমাকে স্পর্শ করতেও দিই না, যা আমাকে এবং নার্সের জন্য বিপদ ডেকে আনে।</v>
      </c>
    </row>
    <row r="2036" spans="1:3" ht="15" x14ac:dyDescent="0.25">
      <c r="A2036" s="3" t="s">
        <v>2029</v>
      </c>
      <c r="B2036" s="3" t="s">
        <v>1992</v>
      </c>
      <c r="C2036" s="4" t="str">
        <f ca="1">IFERROR(__xludf.DUMMYFUNCTION("GOOGLETRANSLATE(A2036, ""auto"", ""bn"")"),"অনলাইনে আমি যতগুলো রিসোর্স পেয়েছি, সেগুলো হলো ""সুইয়ের দিকে তাকাও না!"", কিন্তু কেউ আমার দিকে সক্রিয়ভাবে আসছে জেনেই আমি পালিয়ে যাই বা এতটাই মারামারি করি যে আমি কাউকে আঘাত না করে আমাকে স্পর্শ করতেও দেই না, যার ফলে আমি নার্স এবং আমার জন্য বিপদের কারণ হয"&amp;"়ে দাঁড়াই।")</f>
        <v>অনলাইনে আমি যতগুলো রিসোর্স পেয়েছি, সেগুলো হলো "সুইয়ের দিকে তাকাও না!", কিন্তু কেউ আমার দিকে সক্রিয়ভাবে আসছে জেনেই আমি পালিয়ে যাই বা এতটাই মারামারি করি যে আমি কাউকে আঘাত না করে আমাকে স্পর্শ করতেও দেই না, যার ফলে আমি নার্স এবং আমার জন্য বিপদের কারণ হয়ে দাঁড়াই।</v>
      </c>
    </row>
    <row r="2037" spans="1:3" ht="15" x14ac:dyDescent="0.25">
      <c r="A2037" s="3" t="s">
        <v>2030</v>
      </c>
      <c r="B2037" s="3" t="s">
        <v>1992</v>
      </c>
      <c r="C2037" s="4" t="str">
        <f ca="1">IFERROR(__xludf.DUMMYFUNCTION("GOOGLETRANSLATE(A2037, ""auto"", ""bn"")"),"আমি কী করব বুঝতে পারছি না, আর আমি প্রচণ্ড আতঙ্কে ভুগছি আরএন, আর নিজেকে শান্ত করতে পারছি না। শুধু শ্বাস নেওয়ার চেষ্টা করছি আরএন।")</f>
        <v>আমি কী করব বুঝতে পারছি না, আর আমি প্রচণ্ড আতঙ্কে ভুগছি আরএন, আর নিজেকে শান্ত করতে পারছি না। শুধু শ্বাস নেওয়ার চেষ্টা করছি আরএন।</v>
      </c>
    </row>
    <row r="2038" spans="1:3" ht="15" x14ac:dyDescent="0.25">
      <c r="A2038" s="3" t="s">
        <v>2031</v>
      </c>
      <c r="B2038" s="3" t="s">
        <v>1992</v>
      </c>
      <c r="C2038" s="4" t="str">
        <f ca="1">IFERROR(__xludf.DUMMYFUNCTION("GOOGLETRANSLATE(A2038, ""auto"", ""bn"")"),"হ্যালো, অফিসে নতুন চাকরির প্রথম দিন হওয়ার কথা ছিল তার আগেই গত সোমবার আমার করোনা পজিটিভ ধরা পড়ে। সোমবার আমি তেমন অসুস্থ ছিলাম না, তাই গতকালই দূর থেকে শুরু করেছিলাম, আজ আমার খুব খারাপ লাগছে, তাই অসুস্থতার কথা বলে ফোন করেছি। তারা বুঝতে পারছে, কিন্তু শুরুটা"&amp;" খারাপ হওয়ায় আমি অপরাধী বোধ করছি? কেউ কি এরকম কিছু অনুভব করেছেন?")</f>
        <v>হ্যালো, অফিসে নতুন চাকরির প্রথম দিন হওয়ার কথা ছিল তার আগেই গত সোমবার আমার করোনা পজিটিভ ধরা পড়ে। সোমবার আমি তেমন অসুস্থ ছিলাম না, তাই গতকালই দূর থেকে শুরু করেছিলাম, আজ আমার খুব খারাপ লাগছে, তাই অসুস্থতার কথা বলে ফোন করেছি। তারা বুঝতে পারছে, কিন্তু শুরুটা খারাপ হওয়ায় আমি অপরাধী বোধ করছি? কেউ কি এরকম কিছু অনুভব করেছেন?</v>
      </c>
    </row>
    <row r="2039" spans="1:3" ht="15" x14ac:dyDescent="0.25">
      <c r="A2039" s="3" t="s">
        <v>2032</v>
      </c>
      <c r="B2039" s="3" t="s">
        <v>1992</v>
      </c>
      <c r="C2039" s="4" t="str">
        <f ca="1">IFERROR(__xludf.DUMMYFUNCTION("GOOGLETRANSLATE(A2039, ""auto"", ""bn"")"),"যারা উদ্বেগের জন্য প্রোজ্যাক খেয়েছেন - তাদের কি কোন খারাপ পার্শ্বপ্রতিক্রিয়া হয়েছে? আর এর খারাপ পার্শ্বপ্রতিক্রিয়ার সম্ভাবনা কতটা? আমাকে প্রোজ্যাক লিখে দেওয়া হয়েছে, কিন্তু এর সম্ভাব্য পার্শ্বপ্রতিক্রিয়া নিয়ে আমি খুব চিন্তিত। আমি জানি না আমি অ্যান্"&amp;"টিডিপ্রেসেন্টের জন্য প্রস্তুত কিনা, তবে আমার ডাক্তার আমাকে অ্যান্টিডিপ্রেসেন্ট লিখে দিয়েছেন তাই... তাছাড়া, আমি জানি না। আমার উদ্বেগের কারণে আমি এমন কিছু খেতে চাই না যা আমাকে সাহায্য করতে পারে।")</f>
        <v>যারা উদ্বেগের জন্য প্রোজ্যাক খেয়েছেন - তাদের কি কোন খারাপ পার্শ্বপ্রতিক্রিয়া হয়েছে? আর এর খারাপ পার্শ্বপ্রতিক্রিয়ার সম্ভাবনা কতটা? আমাকে প্রোজ্যাক লিখে দেওয়া হয়েছে, কিন্তু এর সম্ভাব্য পার্শ্বপ্রতিক্রিয়া নিয়ে আমি খুব চিন্তিত। আমি জানি না আমি অ্যান্টিডিপ্রেসেন্টের জন্য প্রস্তুত কিনা, তবে আমার ডাক্তার আমাকে অ্যান্টিডিপ্রেসেন্ট লিখে দিয়েছেন তাই... তাছাড়া, আমি জানি না। আমার উদ্বেগের কারণে আমি এমন কিছু খেতে চাই না যা আমাকে সাহায্য করতে পারে।</v>
      </c>
    </row>
    <row r="2040" spans="1:3" ht="15" x14ac:dyDescent="0.25">
      <c r="A2040" s="3" t="s">
        <v>2033</v>
      </c>
      <c r="B2040" s="3" t="s">
        <v>1992</v>
      </c>
      <c r="C2040" s="4" t="str">
        <f ca="1">IFERROR(__xludf.DUMMYFUNCTION("GOOGLETRANSLATE(A2040, ""auto"", ""bn"")"),"কেউ কি আমাকে সাহায্য করতে পারেন? আমাকে প্রোপ্রানোলল এবং সেরট্রালিন (প্রধানত বিষণ্ণতার জন্য) লিখে দেওয়া হত। কিন্তু বাবা-মায়ের বীমা শেষ হওয়ার পর আমি প্রায় বন্ধ করে দিই।")</f>
        <v>কেউ কি আমাকে সাহায্য করতে পারেন? আমাকে প্রোপ্রানোলল এবং সেরট্রালিন (প্রধানত বিষণ্ণতার জন্য) লিখে দেওয়া হত। কিন্তু বাবা-মায়ের বীমা শেষ হওয়ার পর আমি প্রায় বন্ধ করে দিই।</v>
      </c>
    </row>
    <row r="2041" spans="1:3" ht="15" x14ac:dyDescent="0.25">
      <c r="A2041" s="3" t="s">
        <v>2034</v>
      </c>
      <c r="B2041" s="3" t="s">
        <v>1992</v>
      </c>
      <c r="C2041" s="4" t="str">
        <f ca="1">IFERROR(__xludf.DUMMYFUNCTION("GOOGLETRANSLATE(A2041, ""auto"", ""bn"")"),"আমি জানি গুডরার মতো জিনিস এখন আছে এবং দাম আসলে খুব একটা খারাপ নয়। কিন্তু আমি এখনও জানি না কিভাবে লিখিত প্রেসক্রিপশন নেব। আমি অন্য ওষুধও বিবেচনা করতে চাই কারণ আমি নিশ্চিত নই যে সেরট্রালাইন আসলে আমার দীর্ঘমেয়াদী উদ্বেগ দূর করতে সাহায্য করছে কিনা। এটা কি আ"&amp;"মি অনলাইনে করতে পারি? আমি আর আমার পুরনো ডাক্তারের কাছে থাকি না এবং সত্যিই ডাক্তারের সাথে ১৫ মিনিটের জন্য ১০০ ডলার+ দিতে চাই না।")</f>
        <v>আমি জানি গুডরার মতো জিনিস এখন আছে এবং দাম আসলে খুব একটা খারাপ নয়। কিন্তু আমি এখনও জানি না কিভাবে লিখিত প্রেসক্রিপশন নেব। আমি অন্য ওষুধও বিবেচনা করতে চাই কারণ আমি নিশ্চিত নই যে সেরট্রালাইন আসলে আমার দীর্ঘমেয়াদী উদ্বেগ দূর করতে সাহায্য করছে কিনা। এটা কি আমি অনলাইনে করতে পারি? আমি আর আমার পুরনো ডাক্তারের কাছে থাকি না এবং সত্যিই ডাক্তারের সাথে ১৫ মিনিটের জন্য ১০০ ডলার+ দিতে চাই না।</v>
      </c>
    </row>
    <row r="2042" spans="1:3" ht="15" x14ac:dyDescent="0.25">
      <c r="A2042" s="3" t="s">
        <v>2035</v>
      </c>
      <c r="B2042" s="3" t="s">
        <v>1992</v>
      </c>
      <c r="C2042" s="4" t="str">
        <f ca="1">IFERROR(__xludf.DUMMYFUNCTION("GOOGLETRANSLATE(A2042, ""auto"", ""bn"")"),"সামাজিক এবং সাধারণ উদ্বেগ উভয়ের জন্য ওষুধের জন্য যেকোনো পরামর্শের জন্য কৃতজ্ঞ থাকব।")</f>
        <v>সামাজিক এবং সাধারণ উদ্বেগ উভয়ের জন্য ওষুধের জন্য যেকোনো পরামর্শের জন্য কৃতজ্ঞ থাকব।</v>
      </c>
    </row>
    <row r="2043" spans="1:3" ht="15" x14ac:dyDescent="0.25">
      <c r="A2043" s="3" t="s">
        <v>2036</v>
      </c>
      <c r="B2043" s="3" t="s">
        <v>1992</v>
      </c>
      <c r="C2043" s="4" t="str">
        <f ca="1">IFERROR(__xludf.DUMMYFUNCTION("GOOGLETRANSLATE(A2043, ""auto"", ""bn"")"),"অন্য কারোরও এই অভিজ্ঞতা হয়েছে, আমি জানি আমি আমার চিন্তাভাবনা নই, কিন্তু সে অবজ্ঞাপূর্ণ ছিল বলে আমার মনে হয়, এবং আমার মনে সহিংসতার অনুপ্রবেশকারী চিন্তাভাবনা ছিল, কিন্তু সত্যি বলতে, আমরা আমাদের চিন্তাভাবনা নই, তবুও বিরক্তিকর।")</f>
        <v>অন্য কারোরও এই অভিজ্ঞতা হয়েছে, আমি জানি আমি আমার চিন্তাভাবনা নই, কিন্তু সে অবজ্ঞাপূর্ণ ছিল বলে আমার মনে হয়, এবং আমার মনে সহিংসতার অনুপ্রবেশকারী চিন্তাভাবনা ছিল, কিন্তু সত্যি বলতে, আমরা আমাদের চিন্তাভাবনা নই, তবুও বিরক্তিকর।</v>
      </c>
    </row>
    <row r="2044" spans="1:3" ht="15" x14ac:dyDescent="0.25">
      <c r="A2044" s="3" t="s">
        <v>2037</v>
      </c>
      <c r="B2044" s="3" t="s">
        <v>1992</v>
      </c>
      <c r="C2044" s="4" t="str">
        <f ca="1">IFERROR(__xludf.DUMMYFUNCTION("GOOGLETRANSLATE(A2044, ""auto"", ""bn"")"),"আমি প্রায় ৩ বছর ধরে ডেন্টাল স্কুলে ভর্তির চেষ্টা করছি (আমি একাধিকবার প্রত্যাখ্যাত হয়েছি)। প্রথমবারের মতো আমি ইন্টারভিউ পর্বে পৌঁছেছি এবং আশা করছিলাম যে এটি শুরু হওয়ার সাথে সাথেই আমার আতঙ্কিত হওয়ার আক্রমণ হবে এবং কান্নাকাটি হবে, এবং এটি ছিল প্রক্রিয়াটির"&amp;" সবচেয়ে ভয়ঙ্কর জিনিসগুলির মধ্যে একটি, আমি আসলে এটি পার করে এসেছি এবং আসলে কথা বলতে এবং বলতে সক্ষম হয়েছি (ঠিক সঠিক জিনিস নয়), আমি বুঝতে পারছিলাম যে আমি যা বলতে চেয়েছিলাম তা বলছি না, কিন্তু আমি চালিয়ে গিয়েছি। সবচেয়ে কঠিন অংশ হল আমি দন্তচিকিৎসার প্রত"&amp;"ি এত আগ্রহী, এবং আমি এতে অনেক সময় এবং প্রচেষ্টা ব্যয় করেছি এবং প্রতিবারই আমাকে বলা হয় যে আপনি যথেষ্ট ভাল নন। আপনি যেভাবে দেখাতে চান সেভাবে দেখা খুব কঠিন, কিন্তু আমার মনে হয় আমি তা বুঝতে পারিনি। লোকেরা আমাকে বলেছে যে আমি একজন হওয়ার যোগ্য নই, এবং আজ আম"&amp;"ি আসলে এটি বিশ্বাস করি। আমার ইন্টারভিউ প্রত্যাখ্যান হয়েছে, আর দিনের বেশিরভাগ সময় আমি কাঁদতে কাঁদতে কাটিয়েছি, শুধু লক্ষ্য করেছি যে এটা বিষয়বস্তুর বাইরে চলে গেছে। আমি দুঃখিত।")</f>
        <v>আমি প্রায় ৩ বছর ধরে ডেন্টাল স্কুলে ভর্তির চেষ্টা করছি (আমি একাধিকবার প্রত্যাখ্যাত হয়েছি)। প্রথমবারের মতো আমি ইন্টারভিউ পর্বে পৌঁছেছি এবং আশা করছিলাম যে এটি শুরু হওয়ার সাথে সাথেই আমার আতঙ্কিত হওয়ার আক্রমণ হবে এবং কান্নাকাটি হবে, এবং এটি ছিল প্রক্রিয়াটির সবচেয়ে ভয়ঙ্কর জিনিসগুলির মধ্যে একটি, আমি আসলে এটি পার করে এসেছি এবং আসলে কথা বলতে এবং বলতে সক্ষম হয়েছি (ঠিক সঠিক জিনিস নয়), আমি বুঝতে পারছিলাম যে আমি যা বলতে চেয়েছিলাম তা বলছি না, কিন্তু আমি চালিয়ে গিয়েছি। সবচেয়ে কঠিন অংশ হল আমি দন্তচিকিৎসার প্রতি এত আগ্রহী, এবং আমি এতে অনেক সময় এবং প্রচেষ্টা ব্যয় করেছি এবং প্রতিবারই আমাকে বলা হয় যে আপনি যথেষ্ট ভাল নন। আপনি যেভাবে দেখাতে চান সেভাবে দেখা খুব কঠিন, কিন্তু আমার মনে হয় আমি তা বুঝতে পারিনি। লোকেরা আমাকে বলেছে যে আমি একজন হওয়ার যোগ্য নই, এবং আজ আমি আসলে এটি বিশ্বাস করি। আমার ইন্টারভিউ প্রত্যাখ্যান হয়েছে, আর দিনের বেশিরভাগ সময় আমি কাঁদতে কাঁদতে কাটিয়েছি, শুধু লক্ষ্য করেছি যে এটা বিষয়বস্তুর বাইরে চলে গেছে। আমি দুঃখিত।</v>
      </c>
    </row>
    <row r="2045" spans="1:3" ht="15" x14ac:dyDescent="0.25">
      <c r="A2045" s="3" t="s">
        <v>2038</v>
      </c>
      <c r="B2045" s="3" t="s">
        <v>1992</v>
      </c>
      <c r="C2045" s="4" t="str">
        <f ca="1">IFERROR(__xludf.DUMMYFUNCTION("GOOGLETRANSLATE(A2045, ""auto"", ""bn"")"),"গত কয়েক বছর ধরে আমি পঙ্গু করে দেওয়া উদ্বেগ এবং বিষণ্ণতার সাথে লড়াই করেছি, এবং এটি এত সহজ করে তোলেনি, আমার সত্যিই একটি ভয়াবহ ঘরোয়া জীবন আছে যা নিজেই আরেকটি সমস্যা। দন্তচিকিৎসায় আসার একটি কারণ ছিল কারণ আমি আগে দাঁতের উদ্বেগে ভুগতাম এবং একই রকম সমস্যাযু"&amp;"ক্ত লোকেদের সাহায্য করতে চাইতাম, কিন্তু হয়তো আমি এই কাজের জন্য উপযুক্ত ব্যক্তি নই, তবে যারা একই সমস্যায় ভুগছেন তাদের জন্য আমি জানতে চাই যে আপনি কোন ধরণের দন্তচিকিৎসা করতে চান?")</f>
        <v>গত কয়েক বছর ধরে আমি পঙ্গু করে দেওয়া উদ্বেগ এবং বিষণ্ণতার সাথে লড়াই করেছি, এবং এটি এত সহজ করে তোলেনি, আমার সত্যিই একটি ভয়াবহ ঘরোয়া জীবন আছে যা নিজেই আরেকটি সমস্যা। দন্তচিকিৎসায় আসার একটি কারণ ছিল কারণ আমি আগে দাঁতের উদ্বেগে ভুগতাম এবং একই রকম সমস্যাযুক্ত লোকেদের সাহায্য করতে চাইতাম, কিন্তু হয়তো আমি এই কাজের জন্য উপযুক্ত ব্যক্তি নই, তবে যারা একই সমস্যায় ভুগছেন তাদের জন্য আমি জানতে চাই যে আপনি কোন ধরণের দন্তচিকিৎসা করতে চান?</v>
      </c>
    </row>
    <row r="2046" spans="1:3" ht="15" x14ac:dyDescent="0.25">
      <c r="A2046" s="3" t="s">
        <v>2039</v>
      </c>
      <c r="B2046" s="3" t="s">
        <v>1992</v>
      </c>
      <c r="C2046" s="4" t="str">
        <f ca="1">IFERROR(__xludf.DUMMYFUNCTION("GOOGLETRANSLATE(A2046, ""auto"", ""bn"")"),"গত দুই বছরে আমার উদ্বেগ এতটাই নিয়ন্ত্রণের বাইরে চলে গেছে যে। আমি আমার জন্য কাজ করে এমন কোনও থেরাপিস্ট খুঁজে পাচ্ছি না, আমি ঠিক বুঝতে পারছি না কারণ মনে হচ্ছে আমি কাউকে এক ঘন্টার জন্য কথা বলার জন্য অর্থ প্রদান করছি এবং কোনও প্রকৃত নির্দেশনা পাইনি। যখন আমার"&amp;" বন্ধুবান্ধব এবং পরিবার বিনামূল্যে আমার কথা শুনবে তখন আমি কখনই এর জন্য অর্থ প্রদান করতে পারি না।")</f>
        <v>গত দুই বছরে আমার উদ্বেগ এতটাই নিয়ন্ত্রণের বাইরে চলে গেছে যে। আমি আমার জন্য কাজ করে এমন কোনও থেরাপিস্ট খুঁজে পাচ্ছি না, আমি ঠিক বুঝতে পারছি না কারণ মনে হচ্ছে আমি কাউকে এক ঘন্টার জন্য কথা বলার জন্য অর্থ প্রদান করছি এবং কোনও প্রকৃত নির্দেশনা পাইনি। যখন আমার বন্ধুবান্ধব এবং পরিবার বিনামূল্যে আমার কথা শুনবে তখন আমি কখনই এর জন্য অর্থ প্রদান করতে পারি না।</v>
      </c>
    </row>
    <row r="2047" spans="1:3" ht="15" x14ac:dyDescent="0.25">
      <c r="A2047" s="3" t="s">
        <v>2040</v>
      </c>
      <c r="B2047" s="3" t="s">
        <v>1992</v>
      </c>
      <c r="C2047" s="4" t="str">
        <f ca="1">IFERROR(__xludf.DUMMYFUNCTION("GOOGLETRANSLATE(A2047, ""auto"", ""bn"")"),"আমি জানি ওষুধগুলো আমার সত্যিই উপকার করবে, কিন্তু আমি বর্তমানে বুকের দুধ খাওয়াচ্ছি এবং শেষ না হওয়া পর্যন্ত এটা করার জন্য নিজেকে প্রস্তুত করতে পারছি না (মে মাসের শেষের দিকে আমার দুধ ছাড়ানোর কথা ভাবছি), তাই আমার খাওয়া শেষ হওয়ার খুব কাছাকাছি। কিন্তু তবুও"&amp;", ওষুধগুলো আমার উদ্বেগ কমাতে পারে জেনেও, আমি ওষুধগুলো শুরু করার এবং পার্শ্বপ্রতিক্রিয়া অনুভব করার বিষয়ে খুব উদ্বিগ্ন।")</f>
        <v>আমি জানি ওষুধগুলো আমার সত্যিই উপকার করবে, কিন্তু আমি বর্তমানে বুকের দুধ খাওয়াচ্ছি এবং শেষ না হওয়া পর্যন্ত এটা করার জন্য নিজেকে প্রস্তুত করতে পারছি না (মে মাসের শেষের দিকে আমার দুধ ছাড়ানোর কথা ভাবছি), তাই আমার খাওয়া শেষ হওয়ার খুব কাছাকাছি। কিন্তু তবুও, ওষুধগুলো আমার উদ্বেগ কমাতে পারে জেনেও, আমি ওষুধগুলো শুরু করার এবং পার্শ্বপ্রতিক্রিয়া অনুভব করার বিষয়ে খুব উদ্বিগ্ন।</v>
      </c>
    </row>
    <row r="2048" spans="1:3" ht="15" x14ac:dyDescent="0.25">
      <c r="A2048" s="3" t="s">
        <v>2041</v>
      </c>
      <c r="B2048" s="3" t="s">
        <v>1992</v>
      </c>
      <c r="C2048" s="4" t="str">
        <f ca="1">IFERROR(__xludf.DUMMYFUNCTION("GOOGLETRANSLATE(A2048, ""auto"", ""bn"")"),"আমি কীভাবে নিজেকে এবং পার্শ্বপ্রতিক্রিয়ার দুশ্চিন্তা কাটিয়ে উঠব যাতে আমি একটু স্বাভাবিক বোধ করতে পারি? আমার মনে এই চিন্তাটা এসেছিল। এটা আমাকে ভয় পাইয়ে দিয়েছিল? এটা আমাকে বন্ধ করে দিয়েছিল, আর এখন আমি জানি না কী করব? আমি তোমাকে ভালোবাসি,")</f>
        <v>আমি কীভাবে নিজেকে এবং পার্শ্বপ্রতিক্রিয়ার দুশ্চিন্তা কাটিয়ে উঠব যাতে আমি একটু স্বাভাবিক বোধ করতে পারি? আমার মনে এই চিন্তাটা এসেছিল। এটা আমাকে ভয় পাইয়ে দিয়েছিল? এটা আমাকে বন্ধ করে দিয়েছিল, আর এখন আমি জানি না কী করব? আমি তোমাকে ভালোবাসি,</v>
      </c>
    </row>
    <row r="2049" spans="1:3" ht="15" x14ac:dyDescent="0.25">
      <c r="A2049" s="3" t="s">
        <v>2042</v>
      </c>
      <c r="B2049" s="3" t="s">
        <v>1992</v>
      </c>
      <c r="C2049" s="4" t="str">
        <f ca="1">IFERROR(__xludf.DUMMYFUNCTION("GOOGLETRANSLATE(A2049, ""auto"", ""bn"")"),"এমনকি যখন তুমি নিজেকে ভালোবাসো না, তখনও তোমার মূল্য থাকা বন্ধ হয় না, কেবল তোমার উপলব্ধি বদলে যায়।")</f>
        <v>এমনকি যখন তুমি নিজেকে ভালোবাসো না, তখনও তোমার মূল্য থাকা বন্ধ হয় না, কেবল তোমার উপলব্ধি বদলে যায়।</v>
      </c>
    </row>
    <row r="2050" spans="1:3" ht="15" x14ac:dyDescent="0.25">
      <c r="A2050" s="3" t="s">
        <v>2043</v>
      </c>
      <c r="B2050" s="3" t="s">
        <v>1992</v>
      </c>
      <c r="C2050" s="4" t="str">
        <f ca="1">IFERROR(__xludf.DUMMYFUNCTION("GOOGLETRANSLATE(A2050, ""auto"", ""bn"")"),"তোমার জানা দরকার যে নতুন দিনের সাথে সাথে নতুন দৃষ্টিভঙ্গি আসবে এবং সময়ের সাথে সাথে তুমি আরোগ্য লাভ করতে শিখতে পারবে।")</f>
        <v>তোমার জানা দরকার যে নতুন দিনের সাথে সাথে নতুন দৃষ্টিভঙ্গি আসবে এবং সময়ের সাথে সাথে তুমি আরোগ্য লাভ করতে শিখতে পারবে।</v>
      </c>
    </row>
    <row r="2051" spans="1:3" ht="15" x14ac:dyDescent="0.25">
      <c r="A2051" s="3" t="s">
        <v>2044</v>
      </c>
      <c r="B2051" s="3" t="s">
        <v>1992</v>
      </c>
      <c r="C2051" s="4" t="str">
        <f ca="1">IFERROR(__xludf.DUMMYFUNCTION("GOOGLETRANSLATE(A2051, ""auto"", ""bn"")"),"আমি জানি না কে এই মুহূর্তে এই লেখাটা পড়ছে, কিন্তু একটা জিনিসের উপর তুমি মাঝে মাঝে বিশ্বাস হারিয়ে ফেলতে পারো, আর সেটা হলো এই সংগ্রামের মূল্য তোমার। তোমার মূল্য শুধু তোমার বর্তমান মেজাজের চেয়েও বেশি কিছু।")</f>
        <v>আমি জানি না কে এই মুহূর্তে এই লেখাটা পড়ছে, কিন্তু একটা জিনিসের উপর তুমি মাঝে মাঝে বিশ্বাস হারিয়ে ফেলতে পারো, আর সেটা হলো এই সংগ্রামের মূল্য তোমার। তোমার মূল্য শুধু তোমার বর্তমান মেজাজের চেয়েও বেশি কিছু।</v>
      </c>
    </row>
    <row r="2052" spans="1:3" ht="15" x14ac:dyDescent="0.25">
      <c r="A2052" s="3" t="s">
        <v>2045</v>
      </c>
      <c r="B2052" s="3" t="s">
        <v>1992</v>
      </c>
      <c r="C2052" s="4" t="str">
        <f ca="1">IFERROR(__xludf.DUMMYFUNCTION("GOOGLETRANSLATE(A2052, ""auto"", ""bn"")"),"তোমার প্রশংসার প্রতি আরও মনোযোগ দেওয়ার জন্য যথাসাধ্য চেষ্টা করো এবং তোমাকে বলা খারাপ কথাগুলো ভুলে যাও। আমি জানি আমি সবসময় অতিরিক্ত চিন্তা করি এবং আমার ভুলগুলো পুনরুজ্জীবিত করি, তাই আমি তোমাকে বিচার করার চেষ্টা করছি না। তোমার সাথে আমার এই লড়াই চলছে এবং আ"&amp;"মি এটা লিখছি নিজের উপর এবং তোমার উপর আমার বিশ্বাসের প্রতিফলন হিসেবে।")</f>
        <v>তোমার প্রশংসার প্রতি আরও মনোযোগ দেওয়ার জন্য যথাসাধ্য চেষ্টা করো এবং তোমাকে বলা খারাপ কথাগুলো ভুলে যাও। আমি জানি আমি সবসময় অতিরিক্ত চিন্তা করি এবং আমার ভুলগুলো পুনরুজ্জীবিত করি, তাই আমি তোমাকে বিচার করার চেষ্টা করছি না। তোমার সাথে আমার এই লড়াই চলছে এবং আমি এটা লিখছি নিজের উপর এবং তোমার উপর আমার বিশ্বাসের প্রতিফলন হিসেবে।</v>
      </c>
    </row>
    <row r="2053" spans="1:3" ht="15" x14ac:dyDescent="0.25">
      <c r="A2053" s="3" t="s">
        <v>2046</v>
      </c>
      <c r="B2053" s="3" t="s">
        <v>1992</v>
      </c>
      <c r="C2053" s="4" t="str">
        <f ca="1">IFERROR(__xludf.DUMMYFUNCTION("GOOGLETRANSLATE(A2053, ""auto"", ""bn"")"),"এক বছরের মধ্যে আমার প্রথম চাকরির সুযোগ পেলাম। সাক্ষাৎকারের জন্য আমি নার্ভাস ছিলাম, কিন্তু এটাই আশা করা যায়। দিনটির সবকিছুই ঠিকঠাক চলছিল। আমি উদ্বিগ্ন, ভীত এবং সত্যিই ভীত ছিলাম, কিন্তু আমি চেষ্টা করছিলাম এবং কাজটি সম্পন্ন করার জন্য প্রস্তুত ছিলাম। আমি জায়গ"&amp;"ায় পৌঁছাই, ভেতরে যাই এবং সবকিছু দিনের জন্য বন্ধ। তাছাড়া, আমি জানি সময়, তারিখ এবং অবস্থান একেবারে সঠিক ছিল। তাছাড়া, আতঙ্ক শুরু হওয়ার আগে আমি কয়েক মিনিট অপেক্ষা করি, এবং আমার মনে হয় আমি ভেঙে পড়ব। এই সমস্ত চাপ, উদ্বেগ এবং প্রস্তুতি এই সময়ের জন্য তৈরি হচ্ছ"&amp;"ে। আমি তাড়াতাড়ি আমার গাড়িতে ফিরে যাই এবং সেখানে বসে থাকি। আমি সম্পূর্ণ ফ্রিজ মোডে আছি, আমি বিরক্ত, আমি রেগে আছি, আমি জানি না আমি পরবর্তীতে কী করতে যাচ্ছি কিন্তু আমি শুধু থামার সময় চাই এবং সবকিছু বন্ধ হোক। তাছাড়া, আমি জানি এই মুহুর্তে সাক্ষাৎকারগুলি খুব খ"&amp;"ারাপ, আমি খুব হতাশ এবং বিচলিত, এবং আমি কেবল এই পরিস্থিতি থেকে বেরিয়ে আসতে চাই।")</f>
        <v>এক বছরের মধ্যে আমার প্রথম চাকরির সুযোগ পেলাম। সাক্ষাৎকারের জন্য আমি নার্ভাস ছিলাম, কিন্তু এটাই আশা করা যায়। দিনটির সবকিছুই ঠিকঠাক চলছিল। আমি উদ্বিগ্ন, ভীত এবং সত্যিই ভীত ছিলাম, কিন্তু আমি চেষ্টা করছিলাম এবং কাজটি সম্পন্ন করার জন্য প্রস্তুত ছিলাম। আমি জায়গায় পৌঁছাই, ভেতরে যাই এবং সবকিছু দিনের জন্য বন্ধ। তাছাড়া, আমি জানি সময়, তারিখ এবং অবস্থান একেবারে সঠিক ছিল। তাছাড়া, আতঙ্ক শুরু হওয়ার আগে আমি কয়েক মিনিট অপেক্ষা করি, এবং আমার মনে হয় আমি ভেঙে পড়ব। এই সমস্ত চাপ, উদ্বেগ এবং প্রস্তুতি এই সময়ের জন্য তৈরি হচ্ছে। আমি তাড়াতাড়ি আমার গাড়িতে ফিরে যাই এবং সেখানে বসে থাকি। আমি সম্পূর্ণ ফ্রিজ মোডে আছি, আমি বিরক্ত, আমি রেগে আছি, আমি জানি না আমি পরবর্তীতে কী করতে যাচ্ছি কিন্তু আমি শুধু থামার সময় চাই এবং সবকিছু বন্ধ হোক। তাছাড়া, আমি জানি এই মুহুর্তে সাক্ষাৎকারগুলি খুব খারাপ, আমি খুব হতাশ এবং বিচলিত, এবং আমি কেবল এই পরিস্থিতি থেকে বেরিয়ে আসতে চাই।</v>
      </c>
    </row>
    <row r="2054" spans="1:3" ht="15" x14ac:dyDescent="0.25">
      <c r="A2054" s="3" t="s">
        <v>2047</v>
      </c>
      <c r="B2054" s="3" t="s">
        <v>1992</v>
      </c>
      <c r="C2054" s="4" t="str">
        <f ca="1">IFERROR(__xludf.DUMMYFUNCTION("GOOGLETRANSLATE(A2054, ""auto"", ""bn"")"),"এখন আমাকে পরবর্তী পদক্ষেপগুলি মোকাবেলা করতে হবে। সাক্ষাৎকারগ্রহীতাকে আবার ডাকা, নতুন তারিখ নির্ধারণ করা, এই সমস্ত লজ্জা এবং লজ্জার সাথে মোকাবিলা করা। আমি কেবল তৈরি এবং রাগান্বিত যে এটি এত কঠিন হতে হবে, যে জিনিসগুলি সহজেই চলতে পারে না। আমি কেবল সবকিছুকে ভয"&amp;"় পাই এবং আমি এটি ঘৃণা করি কারণ আমার এর জন্য কোনও মানিয়ে নেওয়ার দক্ষতা নেই, এবং আমার কখনও ছিল না। আমার সাথে সবসময়ই এটি হয়। আমি হিক্কা না হওয়া পর্যন্ত ভাল থাকি এবং আমাকে পথ পরিবর্তন করতে হয় এবং জিনিসগুলি আর মসৃণ এবং সহজ থাকে না। এটি আমাকে সত্যিই হতাশ"&amp;"াগ্রস্ত করে তোলে কারণ আমি অবশেষে এমন একটি ওষুধ খাচ্ছি যা আমার মনে হয় কাজ করে, তবে আমি মনে করি কেবল আমার প্রতিদিনের উদ্বেগের স্তরকে সাহায্য করার জন্য। এটি আমাকে এর সাথে মোকাবিলার দক্ষতা দিতে পারে না। আমি যদি এখনও থেরাপিতে থাকতাম, তবে আমি টেলিথেরাপি করতে প"&amp;"ারি না তাই এই মুহূর্তে এটি সত্যিই সম্ভব নয়। যাই হোক। আমার কথা শোনার জন্য ধন্যবাদ। এটি একটি বাজে দিন ছিল।")</f>
        <v>এখন আমাকে পরবর্তী পদক্ষেপগুলি মোকাবেলা করতে হবে। সাক্ষাৎকারগ্রহীতাকে আবার ডাকা, নতুন তারিখ নির্ধারণ করা, এই সমস্ত লজ্জা এবং লজ্জার সাথে মোকাবিলা করা। আমি কেবল তৈরি এবং রাগান্বিত যে এটি এত কঠিন হতে হবে, যে জিনিসগুলি সহজেই চলতে পারে না। আমি কেবল সবকিছুকে ভয় পাই এবং আমি এটি ঘৃণা করি কারণ আমার এর জন্য কোনও মানিয়ে নেওয়ার দক্ষতা নেই, এবং আমার কখনও ছিল না। আমার সাথে সবসময়ই এটি হয়। আমি হিক্কা না হওয়া পর্যন্ত ভাল থাকি এবং আমাকে পথ পরিবর্তন করতে হয় এবং জিনিসগুলি আর মসৃণ এবং সহজ থাকে না। এটি আমাকে সত্যিই হতাশাগ্রস্ত করে তোলে কারণ আমি অবশেষে এমন একটি ওষুধ খাচ্ছি যা আমার মনে হয় কাজ করে, তবে আমি মনে করি কেবল আমার প্রতিদিনের উদ্বেগের স্তরকে সাহায্য করার জন্য। এটি আমাকে এর সাথে মোকাবিলার দক্ষতা দিতে পারে না। আমি যদি এখনও থেরাপিতে থাকতাম, তবে আমি টেলিথেরাপি করতে পারি না তাই এই মুহূর্তে এটি সত্যিই সম্ভব নয়। যাই হোক। আমার কথা শোনার জন্য ধন্যবাদ। এটি একটি বাজে দিন ছিল।</v>
      </c>
    </row>
    <row r="2055" spans="1:3" ht="15" x14ac:dyDescent="0.25">
      <c r="A2055" s="3" t="s">
        <v>2048</v>
      </c>
      <c r="B2055" s="3" t="s">
        <v>1992</v>
      </c>
      <c r="C2055" s="4" t="str">
        <f ca="1">IFERROR(__xludf.DUMMYFUNCTION("GOOGLETRANSLATE(A2055, ""auto"", ""bn"")"),"যারা ঠান্ডা আবহাওয়ায় থাকেন এবং উদ্বেগ দূর করার জন্য জিমে যান তাদের জন্য। যদি আপনি নিজেকে আঘাত করার কারণে অথবা ছুটিতে থাকার কারণে এক সপ্তাহ জিমে যেতে না পারেন, তাহলে উদ্বেগ দূর করার জন্য আপনি কী করবেন? দৌড়াতে যাওয়ার জন্য খুব ঠান্ডা এবং আমার পিঠে ব্যথা হয়ে"&amp;" যায়, তাই বিশ্রাম নিচ্ছি। শুধু কিছু পরামর্শের প্রয়োজন। আমার সারাদিন ধরে প্যানিক অ্যাটাক হচ্ছে। আমি জানি না কী করব।")</f>
        <v>যারা ঠান্ডা আবহাওয়ায় থাকেন এবং উদ্বেগ দূর করার জন্য জিমে যান তাদের জন্য। যদি আপনি নিজেকে আঘাত করার কারণে অথবা ছুটিতে থাকার কারণে এক সপ্তাহ জিমে যেতে না পারেন, তাহলে উদ্বেগ দূর করার জন্য আপনি কী করবেন? দৌড়াতে যাওয়ার জন্য খুব ঠান্ডা এবং আমার পিঠে ব্যথা হয়ে যায়, তাই বিশ্রাম নিচ্ছি। শুধু কিছু পরামর্শের প্রয়োজন। আমার সারাদিন ধরে প্যানিক অ্যাটাক হচ্ছে। আমি জানি না কী করব।</v>
      </c>
    </row>
    <row r="2056" spans="1:3" ht="15" x14ac:dyDescent="0.25">
      <c r="A2056" s="3" t="s">
        <v>2049</v>
      </c>
      <c r="B2056" s="3" t="s">
        <v>1992</v>
      </c>
      <c r="C2056" s="4" t="str">
        <f ca="1">IFERROR(__xludf.DUMMYFUNCTION("GOOGLETRANSLATE(A2056, ""auto"", ""bn"")"),"এই খারাপ লাগা থেকে আমি কীভাবে মুক্তি পাব?? সামাজিক পরিস্থিতিতে এভাবে জীবনযাপন করা আমার এখন বন্ধ হয়ে গেছে, এবং স্বাভাবিক বোধ করার জন্য আমি যেকোনো কিছু করতে প্রস্তুত। এমন কোন থেরাপি আছে কি যা আমাকে সাহায্য করতে পারে? আমি অতীতে কিছু ETF ট্যাপিং চেষ্টা করেছি"&amp;"লাম, কিন্তু আমি জানি না এটি সম্পর্কে কী ভাবব। মনে হচ্ছে না এটি সাহায্য করছে। যদিও আমি সবসময় এইভাবে অনুভব করি না। এটা মাঝে মাঝে হয় - বিশেষ করে আজকাল")</f>
        <v>এই খারাপ লাগা থেকে আমি কীভাবে মুক্তি পাব?? সামাজিক পরিস্থিতিতে এভাবে জীবনযাপন করা আমার এখন বন্ধ হয়ে গেছে, এবং স্বাভাবিক বোধ করার জন্য আমি যেকোনো কিছু করতে প্রস্তুত। এমন কোন থেরাপি আছে কি যা আমাকে সাহায্য করতে পারে? আমি অতীতে কিছু ETF ট্যাপিং চেষ্টা করেছিলাম, কিন্তু আমি জানি না এটি সম্পর্কে কী ভাবব। মনে হচ্ছে না এটি সাহায্য করছে। যদিও আমি সবসময় এইভাবে অনুভব করি না। এটা মাঝে মাঝে হয় - বিশেষ করে আজকাল</v>
      </c>
    </row>
    <row r="2057" spans="1:3" ht="15" x14ac:dyDescent="0.25">
      <c r="A2057" s="3" t="s">
        <v>2050</v>
      </c>
      <c r="B2057" s="3" t="s">
        <v>1992</v>
      </c>
      <c r="C2057" s="4" t="str">
        <f ca="1">IFERROR(__xludf.DUMMYFUNCTION("GOOGLETRANSLATE(A2057, ""auto"", ""bn"")"),"শুরু করার জন্য, ৩৫ বছর বয়স, ১০ বছর আগে আমার OCD, GAD, MDD ধরা পড়ে - আমি এক ডজন SSRI/SNRI/Tricyclics খেয়েছিলাম - যার কোনটিই অন্যদের তুলনায় খুব বেশি ভালো কাজ করেনি। বর্তমানে, দৈনিক সহায়তার জন্য ৬০ মিলিগ্রাম প্রোজ্যাক এবং ২ মিলিগ্রাম ক্লোনাজেপাম। কে আমা"&amp;"র প্রশ্নে ফিরে আসে, আমি কী অনুভব করি?")</f>
        <v>শুরু করার জন্য, ৩৫ বছর বয়স, ১০ বছর আগে আমার OCD, GAD, MDD ধরা পড়ে - আমি এক ডজন SSRI/SNRI/Tricyclics খেয়েছিলাম - যার কোনটিই অন্যদের তুলনায় খুব বেশি ভালো কাজ করেনি। বর্তমানে, দৈনিক সহায়তার জন্য ৬০ মিলিগ্রাম প্রোজ্যাক এবং ২ মিলিগ্রাম ক্লোনাজেপাম। কে আমার প্রশ্নে ফিরে আসে, আমি কী অনুভব করি?</v>
      </c>
    </row>
    <row r="2058" spans="1:3" ht="15" x14ac:dyDescent="0.25">
      <c r="A2058" s="3" t="s">
        <v>2051</v>
      </c>
      <c r="B2058" s="3" t="s">
        <v>1992</v>
      </c>
      <c r="C2058" s="4" t="str">
        <f ca="1">IFERROR(__xludf.DUMMYFUNCTION("GOOGLETRANSLATE(A2058, ""auto"", ""bn"")"),"আমার মস্তিষ্ক যখনই কোনও কাজ সম্পন্ন করার প্রয়োজন বোধ করে, তখনই বিচ্ছিন্নতা বা বিচ্ছিন্নতার অনুভূতির মতো। আমার মাথা চাপে ভরা অনুভব করতে শুরু করে, আমি তথ্যও বুঝতে পারি না - এটি এমন যে আমি হঠাৎ মাতাল হয়ে যাই, মাতাল হওয়ার সমস্ত মজাদার অংশ ছাড়াই। আমার মস্ত"&amp;"িষ্ক খারাপ পেট্রোল ব্যবহার করে, ঘুম না পেয়ে বা খাবার ছাড়া দিন কাটানোর মতো। যে কোনও ক্রিয়াকলাপের জন্য জ্ঞানের প্রয়োজন হয়, আমার মস্তিষ্ক কাজ করে না, এবং আমি আক্ষরিক অর্থেই এটি ঘটছে তা অনুভব করতে পারি। অতিরিক্ত চিন্তাভাবনা করে বুকে অদ্ভুত অনুভূতি হয়।")</f>
        <v>আমার মস্তিষ্ক যখনই কোনও কাজ সম্পন্ন করার প্রয়োজন বোধ করে, তখনই বিচ্ছিন্নতা বা বিচ্ছিন্নতার অনুভূতির মতো। আমার মাথা চাপে ভরা অনুভব করতে শুরু করে, আমি তথ্যও বুঝতে পারি না - এটি এমন যে আমি হঠাৎ মাতাল হয়ে যাই, মাতাল হওয়ার সমস্ত মজাদার অংশ ছাড়াই। আমার মস্তিষ্ক খারাপ পেট্রোল ব্যবহার করে, ঘুম না পেয়ে বা খাবার ছাড়া দিন কাটানোর মতো। যে কোনও ক্রিয়াকলাপের জন্য জ্ঞানের প্রয়োজন হয়, আমার মস্তিষ্ক কাজ করে না, এবং আমি আক্ষরিক অর্থেই এটি ঘটছে তা অনুভব করতে পারি। অতিরিক্ত চিন্তাভাবনা করে বুকে অদ্ভুত অনুভূতি হয়।</v>
      </c>
    </row>
    <row r="2059" spans="1:3" ht="15" x14ac:dyDescent="0.25">
      <c r="A2059" s="3" t="s">
        <v>2052</v>
      </c>
      <c r="B2059" s="3" t="s">
        <v>1992</v>
      </c>
      <c r="C2059" s="4" t="str">
        <f ca="1">IFERROR(__xludf.DUMMYFUNCTION("GOOGLETRANSLATE(A2059, ""auto"", ""bn"")"),"প্রথমে আমি এটা নিয়ে ভাবছিলাম না? তারপর আমি স্বাভাবিকভাবেই অতিরিক্ত চিন্তা করতে শুরু করলাম এবং এখন আমি থামতে পারছি না। এর ফলে কী হবে তা নিয়ে আমি একেবারেই ভীত, আমি ভাবতেও পারছি না যে আমরা সবাই ধ্বংস হয়ে যাচ্ছি? আমি সম্পূর্ণরূপে কাজ করা বন্ধ করে দিয়েছি, "&amp;"আমি খেতে বা বিশ্রাম নিতে পারছি না। পৃথিবী কেন এমন হতে চলেছে?")</f>
        <v>প্রথমে আমি এটা নিয়ে ভাবছিলাম না? তারপর আমি স্বাভাবিকভাবেই অতিরিক্ত চিন্তা করতে শুরু করলাম এবং এখন আমি থামতে পারছি না। এর ফলে কী হবে তা নিয়ে আমি একেবারেই ভীত, আমি ভাবতেও পারছি না যে আমরা সবাই ধ্বংস হয়ে যাচ্ছি? আমি সম্পূর্ণরূপে কাজ করা বন্ধ করে দিয়েছি, আমি খেতে বা বিশ্রাম নিতে পারছি না। পৃথিবী কেন এমন হতে চলেছে?</v>
      </c>
    </row>
    <row r="2060" spans="1:3" ht="15" x14ac:dyDescent="0.25">
      <c r="A2060" s="3" t="s">
        <v>2053</v>
      </c>
      <c r="B2060" s="3" t="s">
        <v>1992</v>
      </c>
      <c r="C2060" s="4" t="str">
        <f ca="1">IFERROR(__xludf.DUMMYFUNCTION("GOOGLETRANSLATE(A2060, ""auto"", ""bn"")"),"আবারও আমি এই সাব-এ আসছি। সবসময় পাশে থাকার জন্য ধন্যবাদ &lt;3 তাই আমার উদ্বেগ বেড়ে গেল এবং কর্মক্ষেত্রে প্রচুর চাপও ছিল। তিন মাস ধরে কাজ না করে থেরাপি নেওয়ার পর অবশেষে আমি ভালো বোধ করতে শুরু করেছি। এই মাসে আমার কোনও প্যানিক অ্যাটাকও হয়নি এবং প্রথম লক্ষণহী"&amp;"ন সপ্তাহে আমি প্রায় দুই বছর? আজ পর্যন্ত। আজ রাতে আমি আমার বাবার সাথে কয়েকটি বিয়ারের জন্য দেখা করেছি এবং আমরা খুব মজা করেছি। আমরা যে পাবটিতে গিয়েছিলাম তা আমার এলাকার জন্য খুবই ঐতিহ্যবাহী ছিল। আমার বাবা আর আমার শহরে থাকেন না, তবে তিনি কাছের একটি শহরে বে"&amp;"ড়াতে এসেছিলেন। আমি যে শহরে থাকি তা জার্মানির সবচেয়ে বড় শহরগুলির মধ্যে একটি, তবুও সবাই সবাইকে চেনে। তাই আমরা পাবটিতে এই লোকদের সাথে দেখা করি যারা আমার শৈশব থেকে অনেক লোককে চিনত যাদের আমি ঘৃণা করি। আমরা পাব ছেড়ে যাওয়ার পর আমি আমার বাবাকে স্টেশনে নিয়ে "&amp;"গেলাম যাতে তিনি হোটেলে ফিরে যেতে পারেন। আমি যখন তার জন্য টিকিট কিনছিলাম, তখন তিনি বাথরুমে গেলেন। তিনি ফিরে আসেননি তাই আমি বাথরুমের সামনে তার জন্য অপেক্ষা করার সিদ্ধান্ত নিলাম। হঠাৎ একজন মহিলা প্রায় দৌড়ে এসে আমার সাথে দেখা করলেন। আমি যখন তার পথ থেকে লাফি"&amp;"য়ে পড়লাম, তখনই এটা এড়ানো সম্ভব হল। আমি যখন তার কাছে গেলাম, তখন সে যেখান থেকে এসেছিল সেখানেই ফিরে গেল। কয়েক সেকেন্ড পরে একজন লোক টয়লেট থেকে বেরিয়ে গেল। ভদ্রমহিলা তাকে কিছু একটা চিৎকার করে বললেন এবং ভীত বলে মনে হচ্ছিল। তারপর তিনি প্রবেশদ্বারের সামনে অ"&amp;"পেক্ষারত অন্য একজন লোকের কাছে গেলেন, এবং তারা কিছু একটা নিয়ে কথা বলছিলেন। কিন্তু আমি মনোযোগ না দিয়ে আমার ফোনের দিকে তাকালাম। আরও কয়েক সেকেন্ড পরে ভদ্রমহিলা আবার আমার দিকে দৌড়ে গেলেন এবং আমাকে জিজ্ঞাসা করলেন যে আমি কি সেই অন্য লোকের সাথে কাজ করা একজন প"&amp;"্রাইভেট ইন্সপেক্টর যার সাথে তিনি আগে কথা বলেছিলেন। এই মুহুর্তে আমি বুঝতে পারলাম যে তিনি অত্যন্ত মানসিক রোগী এবং ""কাজের মোডে"" চলে গেছেন (আমি একজন সমাজকর্মী যিনি মানসিকভাবে অসুস্থ ক্লায়েন্টদের সাথে কাজ করতাম)। তাই আমি তার সাথে কথা বললাম যতক্ষণ না আমার বা"&amp;"বা আসেন, এবং আমি তাকে প্ল্যাটফর্মে নিয়ে যেতে পারি। তাকে নামিয়ে দেওয়ার পর আমি বাড়িতে গিয়েছিলাম এবং প্যানিক অ্যাটাক হয়েছিল।")</f>
        <v>আবারও আমি এই সাব-এ আসছি। সবসময় পাশে থাকার জন্য ধন্যবাদ &lt;3 তাই আমার উদ্বেগ বেড়ে গেল এবং কর্মক্ষেত্রে প্রচুর চাপও ছিল। তিন মাস ধরে কাজ না করে থেরাপি নেওয়ার পর অবশেষে আমি ভালো বোধ করতে শুরু করেছি। এই মাসে আমার কোনও প্যানিক অ্যাটাকও হয়নি এবং প্রথম লক্ষণহীন সপ্তাহে আমি প্রায় দুই বছর? আজ পর্যন্ত। আজ রাতে আমি আমার বাবার সাথে কয়েকটি বিয়ারের জন্য দেখা করেছি এবং আমরা খুব মজা করেছি। আমরা যে পাবটিতে গিয়েছিলাম তা আমার এলাকার জন্য খুবই ঐতিহ্যবাহী ছিল। আমার বাবা আর আমার শহরে থাকেন না, তবে তিনি কাছের একটি শহরে বেড়াতে এসেছিলেন। আমি যে শহরে থাকি তা জার্মানির সবচেয়ে বড় শহরগুলির মধ্যে একটি, তবুও সবাই সবাইকে চেনে। তাই আমরা পাবটিতে এই লোকদের সাথে দেখা করি যারা আমার শৈশব থেকে অনেক লোককে চিনত যাদের আমি ঘৃণা করি। আমরা পাব ছেড়ে যাওয়ার পর আমি আমার বাবাকে স্টেশনে নিয়ে গেলাম যাতে তিনি হোটেলে ফিরে যেতে পারেন। আমি যখন তার জন্য টিকিট কিনছিলাম, তখন তিনি বাথরুমে গেলেন। তিনি ফিরে আসেননি তাই আমি বাথরুমের সামনে তার জন্য অপেক্ষা করার সিদ্ধান্ত নিলাম। হঠাৎ একজন মহিলা প্রায় দৌড়ে এসে আমার সাথে দেখা করলেন। আমি যখন তার পথ থেকে লাফিয়ে পড়লাম, তখনই এটা এড়ানো সম্ভব হল। আমি যখন তার কাছে গেলাম, তখন সে যেখান থেকে এসেছিল সেখানেই ফিরে গেল। কয়েক সেকেন্ড পরে একজন লোক টয়লেট থেকে বেরিয়ে গেল। ভদ্রমহিলা তাকে কিছু একটা চিৎকার করে বললেন এবং ভীত বলে মনে হচ্ছিল। তারপর তিনি প্রবেশদ্বারের সামনে অপেক্ষারত অন্য একজন লোকের কাছে গেলেন, এবং তারা কিছু একটা নিয়ে কথা বলছিলেন। কিন্তু আমি মনোযোগ না দিয়ে আমার ফোনের দিকে তাকালাম। আরও কয়েক সেকেন্ড পরে ভদ্রমহিলা আবার আমার দিকে দৌড়ে গেলেন এবং আমাকে জিজ্ঞাসা করলেন যে আমি কি সেই অন্য লোকের সাথে কাজ করা একজন প্রাইভেট ইন্সপেক্টর যার সাথে তিনি আগে কথা বলেছিলেন। এই মুহুর্তে আমি বুঝতে পারলাম যে তিনি অত্যন্ত মানসিক রোগী এবং "কাজের মোডে" চলে গেছেন (আমি একজন সমাজকর্মী যিনি মানসিকভাবে অসুস্থ ক্লায়েন্টদের সাথে কাজ করতাম)। তাই আমি তার সাথে কথা বললাম যতক্ষণ না আমার বাবা আসেন, এবং আমি তাকে প্ল্যাটফর্মে নিয়ে যেতে পারি। তাকে নামিয়ে দেওয়ার পর আমি বাড়িতে গিয়েছিলাম এবং প্যানিক অ্যাটাক হয়েছিল।</v>
      </c>
    </row>
    <row r="2061" spans="1:3" ht="15" x14ac:dyDescent="0.25">
      <c r="A2061" s="3" t="s">
        <v>2054</v>
      </c>
      <c r="B2061" s="3" t="s">
        <v>1992</v>
      </c>
      <c r="C2061" s="4" t="str">
        <f ca="1">IFERROR(__xludf.DUMMYFUNCTION("GOOGLETRANSLATE(A2061, ""auto"", ""bn"")"),"আমি কেন এটা বলছি? সম্ভবত কারণ আমি রাত ১১ টায় আমার থেরাপিস্টকে ফোন করতে খুব উদ্বিগ্ন এবং কিছুটা মাতাল। আর আমার কাছে সত্যিই হাস্যকর লাগছে যে, বেশিরভাগ মানুষই এমন একটি সাক্ষাৎকে অদ্ভুত বলে চিহ্নিত করে এবং আর এটি নিয়ে ভাবে না। উফ :(")</f>
        <v>আমি কেন এটা বলছি? সম্ভবত কারণ আমি রাত ১১ টায় আমার থেরাপিস্টকে ফোন করতে খুব উদ্বিগ্ন এবং কিছুটা মাতাল। আর আমার কাছে সত্যিই হাস্যকর লাগছে যে, বেশিরভাগ মানুষই এমন একটি সাক্ষাৎকে অদ্ভুত বলে চিহ্নিত করে এবং আর এটি নিয়ে ভাবে না। উফ :(</v>
      </c>
    </row>
    <row r="2062" spans="1:3" ht="15" x14ac:dyDescent="0.25">
      <c r="A2062" s="3" t="s">
        <v>2055</v>
      </c>
      <c r="B2062" s="3" t="s">
        <v>1992</v>
      </c>
      <c r="C2062" s="4" t="str">
        <f ca="1">IFERROR(__xludf.DUMMYFUNCTION("GOOGLETRANSLATE(A2062, ""auto"", ""bn"")"),"আজ আমার উদ্বেগ ভয়াবহ, আমি সত্যিই বুঝতে পারছি না কী করব। আমার শরীরটা হুড়মুড় করে বেরিয়ে আসছে এবং আমি স্থির হয়ে বসতে পারছি না। আমি বিরক্ত এবং বিচ্ছিন্ন হয়ে যাচ্ছি। কোন ধারণা?")</f>
        <v>আজ আমার উদ্বেগ ভয়াবহ, আমি সত্যিই বুঝতে পারছি না কী করব। আমার শরীরটা হুড়মুড় করে বেরিয়ে আসছে এবং আমি স্থির হয়ে বসতে পারছি না। আমি বিরক্ত এবং বিচ্ছিন্ন হয়ে যাচ্ছি। কোন ধারণা?</v>
      </c>
    </row>
    <row r="2063" spans="1:3" ht="15" x14ac:dyDescent="0.25">
      <c r="A2063" s="3" t="s">
        <v>2056</v>
      </c>
      <c r="B2063" s="3" t="s">
        <v>1992</v>
      </c>
      <c r="C2063" s="4" t="str">
        <f ca="1">IFERROR(__xludf.DUMMYFUNCTION("GOOGLETRANSLATE(A2063, ""auto"", ""bn"")"),"আমি খুব শান্ত ঘরে আছি এবং আমার হাঁচি দেওয়ার দরকার ছিল কিন্তু খুব বেশি শব্দ করতে চাইনি, তাই আমি মুখ বন্ধ করে হাঁচি দিলাম এবং আমার নজরে এসেছে যে আমি মুখ বন্ধ করে অনেকবার হাঁচি দিই, তাই আমি গুগলে এটি খুঁজলাম এবং এখন আমার চাপ শুরু হয়েছে। যেন এটা করা আমার জন"&amp;"্য ভালো নয়। এখন আমার বুকে মজার অনুভূতি হচ্ছে যদি এটি হাঁচি বা আমার উদ্বেগের কারণে হয় এবং আমার বমি বমি ভাব হয় যদি কোনও প্যানিক অ্যাটাক আসে বা আমি নিজেকে শান্ত করার চেষ্টা করি তবে IDK এর মতো অনুভূতি হয় কিন্তু ক্লাসে থাকাকালীন এটি কঠিন। দয়া করে সাহায্য ক"&amp;"রুন আমি এখন মনোযোগ দিতে পারছি না।")</f>
        <v>আমি খুব শান্ত ঘরে আছি এবং আমার হাঁচি দেওয়ার দরকার ছিল কিন্তু খুব বেশি শব্দ করতে চাইনি, তাই আমি মুখ বন্ধ করে হাঁচি দিলাম এবং আমার নজরে এসেছে যে আমি মুখ বন্ধ করে অনেকবার হাঁচি দিই, তাই আমি গুগলে এটি খুঁজলাম এবং এখন আমার চাপ শুরু হয়েছে। যেন এটা করা আমার জন্য ভালো নয়। এখন আমার বুকে মজার অনুভূতি হচ্ছে যদি এটি হাঁচি বা আমার উদ্বেগের কারণে হয় এবং আমার বমি বমি ভাব হয় যদি কোনও প্যানিক অ্যাটাক আসে বা আমি নিজেকে শান্ত করার চেষ্টা করি তবে IDK এর মতো অনুভূতি হয় কিন্তু ক্লাসে থাকাকালীন এটি কঠিন। দয়া করে সাহায্য করুন আমি এখন মনোযোগ দিতে পারছি না।</v>
      </c>
    </row>
    <row r="2064" spans="1:3" ht="15" x14ac:dyDescent="0.25">
      <c r="A2064" s="3" t="s">
        <v>2057</v>
      </c>
      <c r="B2064" s="3" t="s">
        <v>1992</v>
      </c>
      <c r="C2064" s="4" t="str">
        <f ca="1">IFERROR(__xludf.DUMMYFUNCTION("GOOGLETRANSLATE(A2064, ""auto"", ""bn"")"),"হাত কাঁপানো কি উদ্বেগের লক্ষণ নাকি এটা স্বাভাবিক, শুধু একটু ধারণা পাচ্ছিলাম আমি গণিত পরীক্ষা দিচ্ছিলাম এবং যখন আমি আমার উত্তর লিখতে যাচ্ছিলাম তখন আমার হাত কাঁপতে শুরু করে।")</f>
        <v>হাত কাঁপানো কি উদ্বেগের লক্ষণ নাকি এটা স্বাভাবিক, শুধু একটু ধারণা পাচ্ছিলাম আমি গণিত পরীক্ষা দিচ্ছিলাম এবং যখন আমি আমার উত্তর লিখতে যাচ্ছিলাম তখন আমার হাত কাঁপতে শুরু করে।</v>
      </c>
    </row>
    <row r="2065" spans="1:3" ht="15" x14ac:dyDescent="0.25">
      <c r="A2065" s="3" t="s">
        <v>2058</v>
      </c>
      <c r="B2065" s="3" t="s">
        <v>1992</v>
      </c>
      <c r="C2065" s="4" t="str">
        <f ca="1">IFERROR(__xludf.DUMMYFUNCTION("GOOGLETRANSLATE(A2065, ""auto"", ""bn"")"),"আমার শৈশব জুড়ে আমি কোন না কোনভাবে বিশ্বাস করতাম যে আমার জন্য একটি নির্দিষ্ট জীবন লেখা আছে যা অনেক যন্ত্রণা বা শোক থেকে মুক্ত, কিন্তু বয়স বাড়ার সাথে সাথে এটা স্পষ্ট হয়ে ওঠে যে খারাপ জিনিস যে কারো সাথেই ঘটতে পারে এবং ঘটতে পারে। আমি ধার্মিক নই কিন্তু আমা"&amp;"র মনে হয় আমার নিজস্ব একটি ছদ্ম ধর্ম ছিল যা এখন বয়স বাড়ার সাথে সাথে ম্লান হয়ে যাচ্ছে।")</f>
        <v>আমার শৈশব জুড়ে আমি কোন না কোনভাবে বিশ্বাস করতাম যে আমার জন্য একটি নির্দিষ্ট জীবন লেখা আছে যা অনেক যন্ত্রণা বা শোক থেকে মুক্ত, কিন্তু বয়স বাড়ার সাথে সাথে এটা স্পষ্ট হয়ে ওঠে যে খারাপ জিনিস যে কারো সাথেই ঘটতে পারে এবং ঘটতে পারে। আমি ধার্মিক নই কিন্তু আমার মনে হয় আমার নিজস্ব একটি ছদ্ম ধর্ম ছিল যা এখন বয়স বাড়ার সাথে সাথে ম্লান হয়ে যাচ্ছে।</v>
      </c>
    </row>
    <row r="2066" spans="1:3" ht="15" x14ac:dyDescent="0.25">
      <c r="A2066" s="3" t="s">
        <v>2059</v>
      </c>
      <c r="B2066" s="3" t="s">
        <v>1992</v>
      </c>
      <c r="C2066" s="4" t="str">
        <f ca="1">IFERROR(__xludf.DUMMYFUNCTION("GOOGLETRANSLATE(A2066, ""auto"", ""bn"")"),"এখন প্রতিটি জাগ্রত মুহূর্তে আমি কেবল প্রিয়জনদের আসন্ন মৃত্যুর কথাই ভাবি। আমি তাদের অনেকের চেয়েও বেশি বেঁচে থাকব এবং আমি এমন জীবনযাপন করতে চাই না যেখানে আমি আমার দুঃখকে মেনে নিতে এবং যন্ত্রণার মধ্যে বেঁচে থাকতে বাধ্য হব। আমি চিন্তিত যে এমনকি যদি এটি অসীম"&amp;" বেদনাদায়ক হয়ে ওঠে তবে আমি আমার বিদায় নিতে পারব না কারণ এমন আরও কিছু থাকবে যাদের আমি আঘাত করতে পারব না কারণ এটি তাদের একইভাবে আঘাত করবে। ধর্ম ছাড়া মৃত্যুকে যুক্তিসঙ্গত করার কোনও উপায় নেই, এবং আমি ধার্মিক নই। আমি ভীত।")</f>
        <v>এখন প্রতিটি জাগ্রত মুহূর্তে আমি কেবল প্রিয়জনদের আসন্ন মৃত্যুর কথাই ভাবি। আমি তাদের অনেকের চেয়েও বেশি বেঁচে থাকব এবং আমি এমন জীবনযাপন করতে চাই না যেখানে আমি আমার দুঃখকে মেনে নিতে এবং যন্ত্রণার মধ্যে বেঁচে থাকতে বাধ্য হব। আমি চিন্তিত যে এমনকি যদি এটি অসীম বেদনাদায়ক হয়ে ওঠে তবে আমি আমার বিদায় নিতে পারব না কারণ এমন আরও কিছু থাকবে যাদের আমি আঘাত করতে পারব না কারণ এটি তাদের একইভাবে আঘাত করবে। ধর্ম ছাড়া মৃত্যুকে যুক্তিসঙ্গত করার কোনও উপায় নেই, এবং আমি ধার্মিক নই। আমি ভীত।</v>
      </c>
    </row>
    <row r="2067" spans="1:3" ht="15" x14ac:dyDescent="0.25">
      <c r="A2067" s="3" t="s">
        <v>2060</v>
      </c>
      <c r="B2067" s="3" t="s">
        <v>1992</v>
      </c>
      <c r="C2067" s="4" t="str">
        <f ca="1">IFERROR(__xludf.DUMMYFUNCTION("GOOGLETRANSLATE(A2067, ""auto"", ""bn"")"),"আমি জানি এর সুস্পষ্ট উত্তর হল ""যেহেতু এটি যাই ঘটুক না কেন, তাদের আরও লালন করুন এবং তাদের সাথে আরও অভিজ্ঞতা অর্জন করুন"" কিন্তু এটি কি অনিবার্যভাবে ঘটলে আরও বেশি ক্ষতি করবে না, আরও বেশি শোক করার অভিজ্ঞতা হবে? আমার মনে হয় আমি আমার জীবনের বেশিরভাগ সময় ধরে"&amp;" এর সাথে লড়াই করেছি, কিন্তু এখন যখন আমি 60 মিলিগ্রাম প্রোজ্যাক গ্রহণ কমিয়ে দিচ্ছি, তখন আমার মনে হয় আমার স্বাস্থ্যের উদ্বেগ আরও খারাপ হচ্ছে যে আমি যা অনুভব করি তা হ'ল কোনও বিরল রোগ বা ক্যান্সার হওয়ার ভয়। আমি আপাতত 40 ধরে থাকব (আমি যে 20 টির চেয়ে বেশি"&amp;" ছিলাম) কিন্তু আমার প্রতিদিন বিকেলে এই অনুভূতি হয় যা আমি নিশ্চিত যে কেবল ক্যাফিন ক্র্যাশ হতে পারে, যেখানে আমার পুরো শরীর ব্যথা করে এবং আমি খুব উদ্বিগ্ন বোধ করি যে আমি অজ্ঞান হয়ে যাব বা হাসপাতালে যাব অথবা ক্যান্সারে আক্রান্ত হব। এই চিন্তাভাবনাগুলি মোকাবে"&amp;"লা করার জন্য কারও কাছে কি কোনও টিপস আছে?")</f>
        <v>আমি জানি এর সুস্পষ্ট উত্তর হল "যেহেতু এটি যাই ঘটুক না কেন, তাদের আরও লালন করুন এবং তাদের সাথে আরও অভিজ্ঞতা অর্জন করুন" কিন্তু এটি কি অনিবার্যভাবে ঘটলে আরও বেশি ক্ষতি করবে না, আরও বেশি শোক করার অভিজ্ঞতা হবে? আমার মনে হয় আমি আমার জীবনের বেশিরভাগ সময় ধরে এর সাথে লড়াই করেছি, কিন্তু এখন যখন আমি 60 মিলিগ্রাম প্রোজ্যাক গ্রহণ কমিয়ে দিচ্ছি, তখন আমার মনে হয় আমার স্বাস্থ্যের উদ্বেগ আরও খারাপ হচ্ছে যে আমি যা অনুভব করি তা হ'ল কোনও বিরল রোগ বা ক্যান্সার হওয়ার ভয়। আমি আপাতত 40 ধরে থাকব (আমি যে 20 টির চেয়ে বেশি ছিলাম) কিন্তু আমার প্রতিদিন বিকেলে এই অনুভূতি হয় যা আমি নিশ্চিত যে কেবল ক্যাফিন ক্র্যাশ হতে পারে, যেখানে আমার পুরো শরীর ব্যথা করে এবং আমি খুব উদ্বিগ্ন বোধ করি যে আমি অজ্ঞান হয়ে যাব বা হাসপাতালে যাব অথবা ক্যান্সারে আক্রান্ত হব। এই চিন্তাভাবনাগুলি মোকাবেলা করার জন্য কারও কাছে কি কোনও টিপস আছে?</v>
      </c>
    </row>
    <row r="2068" spans="1:3" ht="15" x14ac:dyDescent="0.25">
      <c r="A2068" s="3" t="s">
        <v>2061</v>
      </c>
      <c r="B2068" s="3" t="s">
        <v>1992</v>
      </c>
      <c r="C2068" s="4" t="str">
        <f ca="1">IFERROR(__xludf.DUMMYFUNCTION("GOOGLETRANSLATE(A2068, ""auto"", ""bn"")"),"মনে হচ্ছে এখন ৪০ বছর বয়সেও উদ্বেগ এবং বিষণ্ণতা কেবল ধ্রুবক। আমি আগে বলতে পারতাম ""এটা একটা বিষণ্ণতার আক্রমণ।"" অথবা ""এটা একটা প্যানিক অ্যাটাক।"" বছরের পর বছর ধরে পরিস্থিতি আরও খারাপ হয়েছে, এবং আমি এখন পর্যন্ত এর জন্য যত ওষুধ ব্যবহার করেছি সবই সেবন করেছ"&amp;"ি। এখন আমি আমার জীবনের ১০০% এমন জায়গায় বাস করি যেখানে তরুণরা সম্ভবত অনুভব করে যে তারা এখনই আছে। আমি জানি না এই পোস্টের উদ্দেশ্য কী ছিল, আমি মনে করি এই মুহূর্তে আমার বুক থেকে কিছু একটা বের করে আনা উচিত।")</f>
        <v>মনে হচ্ছে এখন ৪০ বছর বয়সেও উদ্বেগ এবং বিষণ্ণতা কেবল ধ্রুবক। আমি আগে বলতে পারতাম "এটা একটা বিষণ্ণতার আক্রমণ।" অথবা "এটা একটা প্যানিক অ্যাটাক।" বছরের পর বছর ধরে পরিস্থিতি আরও খারাপ হয়েছে, এবং আমি এখন পর্যন্ত এর জন্য যত ওষুধ ব্যবহার করেছি সবই সেবন করেছি। এখন আমি আমার জীবনের ১০০% এমন জায়গায় বাস করি যেখানে তরুণরা সম্ভবত অনুভব করে যে তারা এখনই আছে। আমি জানি না এই পোস্টের উদ্দেশ্য কী ছিল, আমি মনে করি এই মুহূর্তে আমার বুক থেকে কিছু একটা বের করে আনা উচিত।</v>
      </c>
    </row>
    <row r="2069" spans="1:3" ht="15" x14ac:dyDescent="0.25">
      <c r="A2069" s="3" t="s">
        <v>2062</v>
      </c>
      <c r="B2069" s="3" t="s">
        <v>1992</v>
      </c>
      <c r="C2069" s="4" t="str">
        <f ca="1">IFERROR(__xludf.DUMMYFUNCTION("GOOGLETRANSLATE(A2069, ""auto"", ""bn"")"),"আমি মাঝে মাঝে লক্ষ্য করি যে আমার চোয়ালে ব্যথা হচ্ছে? আর বুঝতে পারি যে আমি ঘন্টার পর ঘন্টা ধরে চাপ/উদ্বেগের মধ্যে (সবসময়) আমার চোয়াল চেপে ধরেছি, একবার আমি আমার চোয়াল শিথিল করলে তা প্রায় অস্বস্তিকর/অস্বাভাবিক মনে হয়। অন্য কেউ কি এটা করে?")</f>
        <v>আমি মাঝে মাঝে লক্ষ্য করি যে আমার চোয়ালে ব্যথা হচ্ছে? আর বুঝতে পারি যে আমি ঘন্টার পর ঘন্টা ধরে চাপ/উদ্বেগের মধ্যে (সবসময়) আমার চোয়াল চেপে ধরেছি, একবার আমি আমার চোয়াল শিথিল করলে তা প্রায় অস্বস্তিকর/অস্বাভাবিক মনে হয়। অন্য কেউ কি এটা করে?</v>
      </c>
    </row>
    <row r="2070" spans="1:3" ht="15" x14ac:dyDescent="0.25">
      <c r="A2070" s="3" t="s">
        <v>2063</v>
      </c>
      <c r="B2070" s="3" t="s">
        <v>1992</v>
      </c>
      <c r="C2070" s="4" t="str">
        <f ca="1">IFERROR(__xludf.DUMMYFUNCTION("GOOGLETRANSLATE(A2070, ""auto"", ""bn"")"),"আমি ২ দিনের ছুটি শেষ করে কাজে ফিরে যেতে প্রস্তুত ছিলাম না, তাই আমি বাড়ি থেকে কাজ করতে বলেছিলাম। আমার বেশিরভাগ কাজ শারীরিক, তাই আমার খুব খারাপ লাগছে। আমি যখন কাজে যেতে প্রস্তুত ছিলাম না তখনকার চেয়েও খারাপ লাগছে।")</f>
        <v>আমি ২ দিনের ছুটি শেষ করে কাজে ফিরে যেতে প্রস্তুত ছিলাম না, তাই আমি বাড়ি থেকে কাজ করতে বলেছিলাম। আমার বেশিরভাগ কাজ শারীরিক, তাই আমার খুব খারাপ লাগছে। আমি যখন কাজে যেতে প্রস্তুত ছিলাম না তখনকার চেয়েও খারাপ লাগছে।</v>
      </c>
    </row>
    <row r="2071" spans="1:3" ht="15" x14ac:dyDescent="0.25">
      <c r="A2071" s="3" t="s">
        <v>2064</v>
      </c>
      <c r="B2071" s="3" t="s">
        <v>1992</v>
      </c>
      <c r="C2071" s="4" t="str">
        <f ca="1">IFERROR(__xludf.DUMMYFUNCTION("GOOGLETRANSLATE(A2071, ""auto"", ""bn"")"),"আমার সহকর্মীরা আমার উপর ঘুরপাক খাচ্ছে এবং আমার ছুটির প্রতিটি খুঁটিনাটি সম্পর্কে জিজ্ঞাসা করছে এই চিন্তা আমাকে ক্রমশ ক্ষেপিয়ে তুলছিল। এখন এটা হবে + ""তুমি গতকাল কেন আসোনি?""")</f>
        <v>আমার সহকর্মীরা আমার উপর ঘুরপাক খাচ্ছে এবং আমার ছুটির প্রতিটি খুঁটিনাটি সম্পর্কে জিজ্ঞাসা করছে এই চিন্তা আমাকে ক্রমশ ক্ষেপিয়ে তুলছিল। এখন এটা হবে + "তুমি গতকাল কেন আসোনি?"</v>
      </c>
    </row>
    <row r="2072" spans="1:3" ht="15" x14ac:dyDescent="0.25">
      <c r="A2072" s="3" t="s">
        <v>2065</v>
      </c>
      <c r="B2072" s="3" t="s">
        <v>1992</v>
      </c>
      <c r="C2072" s="4" t="str">
        <f ca="1">IFERROR(__xludf.DUMMYFUNCTION("GOOGLETRANSLATE(A2072, ""auto"", ""bn"")"),"মাঝে মাঝে এমন একটা মুহূর্ত আসে যখন হঠাৎ করে আমি গিলতে পারার ক্ষমতা হারিয়ে ফেলি? মাঝে মাঝে আমি খাই/পান করি, মাঝে মাঝে না। যখন এমনটা হয় তখন আমি আতঙ্কিত হই এবং মনে করি মৃত্যু আসন্ন। এটা লজ্জাজনক। আমার মনে হয় এটা উদ্বেগের সাথে সম্পর্কিত কারণ সাধারণত আমি নি"&amp;"জেকে শান্তভাবে বলতে পারি, নিজেকে বোঝাতে পারি যে গিলতে সচেতন প্রচেষ্টার প্রয়োজন হয় না। আমি কখনও অন্য কারও এই সমস্যা আছে বলে শুনিনি, যদিও আমি আশা করি এটি ভালভাবে নথিভুক্ত। আমি আসলে কখনও দম বন্ধ করিনি যার ফলে আমি বিশ্বাস করি যে এটি আমার উদ্বিগ্ন ছোট্ট মস্ত"&amp;"িষ্ক একটি কৌশল খেলছে।")</f>
        <v>মাঝে মাঝে এমন একটা মুহূর্ত আসে যখন হঠাৎ করে আমি গিলতে পারার ক্ষমতা হারিয়ে ফেলি? মাঝে মাঝে আমি খাই/পান করি, মাঝে মাঝে না। যখন এমনটা হয় তখন আমি আতঙ্কিত হই এবং মনে করি মৃত্যু আসন্ন। এটা লজ্জাজনক। আমার মনে হয় এটা উদ্বেগের সাথে সম্পর্কিত কারণ সাধারণত আমি নিজেকে শান্তভাবে বলতে পারি, নিজেকে বোঝাতে পারি যে গিলতে সচেতন প্রচেষ্টার প্রয়োজন হয় না। আমি কখনও অন্য কারও এই সমস্যা আছে বলে শুনিনি, যদিও আমি আশা করি এটি ভালভাবে নথিভুক্ত। আমি আসলে কখনও দম বন্ধ করিনি যার ফলে আমি বিশ্বাস করি যে এটি আমার উদ্বিগ্ন ছোট্ট মস্তিষ্ক একটি কৌশল খেলছে।</v>
      </c>
    </row>
    <row r="2073" spans="1:3" ht="15" x14ac:dyDescent="0.25">
      <c r="A2073" s="3" t="s">
        <v>2066</v>
      </c>
      <c r="B2073" s="3" t="s">
        <v>1992</v>
      </c>
      <c r="C2073" s="4" t="str">
        <f ca="1">IFERROR(__xludf.DUMMYFUNCTION("GOOGLETRANSLATE(A2073, ""auto"", ""bn"")"),"আমার এই অযৌক্তিক ভয় যে আমার তীব্র অ্যালার্জির প্রতিক্রিয়া হবে। আমার আসলে কখনও কোনও তীব্র অ্যালার্জি হয়নি, তবে আমি খুব ভয় পাচ্ছি। উদাহরণস্বরূপ, আজ আমি ব্রোকলি খেতে চেয়েছিলাম, আমি বছরের পর বছর ধরে ব্রোকলি খাইনি। আমি জানি না কেন আমি কিছুদিন ধরে এটি খাওয"&amp;"়া বন্ধ করে দিয়েছি। এবং এখন যেহেতু আমি এটি না খেয়ে আছি, আমি ভয় পাচ্ছি যে আমার এটির প্রতিক্রিয়া হবে। অন্যান্য অনেক খাবারের ক্ষেত্রেও একই কথা। আমার পরীক্ষা করা হয়েছে, কিন্তু ডাক্তার আমাকে বলেছিলেন যে তিনি কেবল গমের দুধের ডিম এবং সয়া পরীক্ষা করবেন। আমি"&amp;" জানি এর জন্য আমার একজন ডাক্তারের সাথে দেখা করা দরকার কিন্তু যারা একই রকম অভিজ্ঞতা পেয়েছেন, অথবা যাদের আমার মতো স্বাস্থ্যগত উদ্বেগ রয়েছে তাদের কাছ থেকে কি আমার জন্য কোন পরামর্শ আছে?")</f>
        <v>আমার এই অযৌক্তিক ভয় যে আমার তীব্র অ্যালার্জির প্রতিক্রিয়া হবে। আমার আসলে কখনও কোনও তীব্র অ্যালার্জি হয়নি, তবে আমি খুব ভয় পাচ্ছি। উদাহরণস্বরূপ, আজ আমি ব্রোকলি খেতে চেয়েছিলাম, আমি বছরের পর বছর ধরে ব্রোকলি খাইনি। আমি জানি না কেন আমি কিছুদিন ধরে এটি খাওয়া বন্ধ করে দিয়েছি। এবং এখন যেহেতু আমি এটি না খেয়ে আছি, আমি ভয় পাচ্ছি যে আমার এটির প্রতিক্রিয়া হবে। অন্যান্য অনেক খাবারের ক্ষেত্রেও একই কথা। আমার পরীক্ষা করা হয়েছে, কিন্তু ডাক্তার আমাকে বলেছিলেন যে তিনি কেবল গমের দুধের ডিম এবং সয়া পরীক্ষা করবেন। আমি জানি এর জন্য আমার একজন ডাক্তারের সাথে দেখা করা দরকার কিন্তু যারা একই রকম অভিজ্ঞতা পেয়েছেন, অথবা যাদের আমার মতো স্বাস্থ্যগত উদ্বেগ রয়েছে তাদের কাছ থেকে কি আমার জন্য কোন পরামর্শ আছে?</v>
      </c>
    </row>
    <row r="2074" spans="1:3" ht="15" x14ac:dyDescent="0.25">
      <c r="A2074" s="3" t="s">
        <v>2067</v>
      </c>
      <c r="B2074" s="3" t="s">
        <v>1992</v>
      </c>
      <c r="C2074" s="4" t="str">
        <f ca="1">IFERROR(__xludf.DUMMYFUNCTION("GOOGLETRANSLATE(A2074, ""auto"", ""bn"")"),"হে সকল, কাল আমার জন্মদিন এবং আমি জানি আমার খুশি থাকার কথা কিন্তু আমি চাই এই দিনটা যেন কেটে যায়। আমার আগে থেকেই প্যানিক অ্যাটাক হয়েছিল কারণ আমি বড় হতে চাই না, কিন্তু আমি জানি এটা জীবনের একটা অংশ। অনেক মানুষ আমার দিকে মনোযোগ দেবে, এটা আমাকে সত্যিই উদ্বিগ্ন "&amp;"করে তোলে। কেউ কি বলতে পারে এটা এতটা ভয়াবহ নয়? আমার হৃদস্পন্দন এত দ্রুত হচ্ছে এবং আমি কাঁদছি। সারাদিন আমার উদ্বেগ সত্যিই বেশি ছিল এবং আমার মনে হচ্ছে আমি ক্রমাগত পূর্ণাঙ্গ প্যানিক অ্যাটাকের দ্বারপ্রান্তে। আমি মনোযোগ দিতে পারছি না বা খেতে পারছি না এবং আমি খু"&amp;"ব অস্থির বোধ করছি। আমার মন ক্রমাগত খারাপের দিকে যাচ্ছে... আমার বাবা বয়স্ক এবং তার অনেক স্বাস্থ্য সমস্যা রয়েছে। আজ তিনি পড়ে গেছেন, তার পায়ে (যা আগে তার রক্ত ​​জমাট বাঁধা ছিল), তার বাহু এবং পাঁজরে ব্যথা করছে। তিনি ঠিকমতো শ্বাস নিতে পারছেন না এবং ঘন্টার পর "&amp;"ঘন্টা ব্যথা করছেন কিন্তু এখন পর্যন্ত হাসপাতালে যেতে রাজি হননি। তিনি তার সমস্ত ওষুধ খেয়েছেন কিন্তু কিছুই সাহায্য করেনি, এমনকি তিনি তার হাতও তুলতে পারছিলেন না। তাছাড়া, তার ক্যান্সার, রক্ত ​​জমাট বাঁধা এবং রক্ত ​​সঞ্চালনের সমস্যাসহ অন্যান্য সমস্যা রয়েছে, ত"&amp;"াই আমি চিন্তিত যে পড়ে যাওয়া তার জন্য কতটা খারাপ হতে পারে।")</f>
        <v>হে সকল, কাল আমার জন্মদিন এবং আমি জানি আমার খুশি থাকার কথা কিন্তু আমি চাই এই দিনটা যেন কেটে যায়। আমার আগে থেকেই প্যানিক অ্যাটাক হয়েছিল কারণ আমি বড় হতে চাই না, কিন্তু আমি জানি এটা জীবনের একটা অংশ। অনেক মানুষ আমার দিকে মনোযোগ দেবে, এটা আমাকে সত্যিই উদ্বিগ্ন করে তোলে। কেউ কি বলতে পারে এটা এতটা ভয়াবহ নয়? আমার হৃদস্পন্দন এত দ্রুত হচ্ছে এবং আমি কাঁদছি। সারাদিন আমার উদ্বেগ সত্যিই বেশি ছিল এবং আমার মনে হচ্ছে আমি ক্রমাগত পূর্ণাঙ্গ প্যানিক অ্যাটাকের দ্বারপ্রান্তে। আমি মনোযোগ দিতে পারছি না বা খেতে পারছি না এবং আমি খুব অস্থির বোধ করছি। আমার মন ক্রমাগত খারাপের দিকে যাচ্ছে... আমার বাবা বয়স্ক এবং তার অনেক স্বাস্থ্য সমস্যা রয়েছে। আজ তিনি পড়ে গেছেন, তার পায়ে (যা আগে তার রক্ত ​​জমাট বাঁধা ছিল), তার বাহু এবং পাঁজরে ব্যথা করছে। তিনি ঠিকমতো শ্বাস নিতে পারছেন না এবং ঘন্টার পর ঘন্টা ব্যথা করছেন কিন্তু এখন পর্যন্ত হাসপাতালে যেতে রাজি হননি। তিনি তার সমস্ত ওষুধ খেয়েছেন কিন্তু কিছুই সাহায্য করেনি, এমনকি তিনি তার হাতও তুলতে পারছিলেন না। তাছাড়া, তার ক্যান্সার, রক্ত ​​জমাট বাঁধা এবং রক্ত ​​সঞ্চালনের সমস্যাসহ অন্যান্য সমস্যা রয়েছে, তাই আমি চিন্তিত যে পড়ে যাওয়া তার জন্য কতটা খারাপ হতে পারে।</v>
      </c>
    </row>
    <row r="2075" spans="1:3" ht="15" x14ac:dyDescent="0.25">
      <c r="A2075" s="3" t="s">
        <v>2068</v>
      </c>
      <c r="B2075" s="3" t="s">
        <v>1992</v>
      </c>
      <c r="C2075" s="4" t="str">
        <f ca="1">IFERROR(__xludf.DUMMYFUNCTION("GOOGLETRANSLATE(A2075, ""auto"", ""bn"")"),"সর্বোপরি, আমাদের হাসপাতালের সবচেয়ে খারাপ অন-কল ডাক্তারদের মধ্যে একজন আছেন। ডাক্তারের কারণেই আমার চিকিৎসা সংক্রান্ত উদ্বেগ। এই ডাক্তার সম্পর্কে স্থানীয়ভাবে অনেক ভৌতিক গল্প প্রচলিত আছে, এবং আমি খুব ভয় পাচ্ছি যে তিনি এই ডাক্তারের সাথে দেখা করবেন কিনা।")</f>
        <v>সর্বোপরি, আমাদের হাসপাতালের সবচেয়ে খারাপ অন-কল ডাক্তারদের মধ্যে একজন আছেন। ডাক্তারের কারণেই আমার চিকিৎসা সংক্রান্ত উদ্বেগ। এই ডাক্তার সম্পর্কে স্থানীয়ভাবে অনেক ভৌতিক গল্প প্রচলিত আছে, এবং আমি খুব ভয় পাচ্ছি যে তিনি এই ডাক্তারের সাথে দেখা করবেন কিনা।</v>
      </c>
    </row>
    <row r="2076" spans="1:3" ht="15" x14ac:dyDescent="0.25">
      <c r="A2076" s="3" t="s">
        <v>2069</v>
      </c>
      <c r="B2076" s="3" t="s">
        <v>1992</v>
      </c>
      <c r="C2076" s="4" t="str">
        <f ca="1">IFERROR(__xludf.DUMMYFUNCTION("GOOGLETRANSLATE(A2076, ""auto"", ""bn"")"),"ঘন্টার পর ঘন্টা হয়তো আর কিছু শুনতে পাবো না, এখানে জরুরি বিভাগে অপেক্ষা করার সময়গুলো হাস্যকর। আমার কখনোই আনুষ্ঠানিকভাবে উদ্বেগ ধরা পড়েনি, কিন্তু আমার থেরাপিস্ট মনে করেন আমার মধ্যে উদ্বেগ আছে। কয়েক মাস আগে আমি প্রথমবারের মতো থেরাপিতে যেতে শুরু করেছিলাম,"&amp;" কারণ আমি খুব বেশি চাপে ছিলাম, খেতে বা ঘুমাতে পারছিলাম না। এবং এটি আমার কাজে হস্তক্ষেপ করছিল, যার মধ্যে আমার উৎপাদনশীলতা এবং স্মৃতিশক্তির উপরও প্রভাব ফেলছিল।")</f>
        <v>ঘন্টার পর ঘন্টা হয়তো আর কিছু শুনতে পাবো না, এখানে জরুরি বিভাগে অপেক্ষা করার সময়গুলো হাস্যকর। আমার কখনোই আনুষ্ঠানিকভাবে উদ্বেগ ধরা পড়েনি, কিন্তু আমার থেরাপিস্ট মনে করেন আমার মধ্যে উদ্বেগ আছে। কয়েক মাস আগে আমি প্রথমবারের মতো থেরাপিতে যেতে শুরু করেছিলাম, কারণ আমি খুব বেশি চাপে ছিলাম, খেতে বা ঘুমাতে পারছিলাম না। এবং এটি আমার কাজে হস্তক্ষেপ করছিল, যার মধ্যে আমার উৎপাদনশীলতা এবং স্মৃতিশক্তির উপরও প্রভাব ফেলছিল।</v>
      </c>
    </row>
    <row r="2077" spans="1:3" ht="15" x14ac:dyDescent="0.25">
      <c r="A2077" s="3" t="s">
        <v>2070</v>
      </c>
      <c r="B2077" s="3" t="s">
        <v>1992</v>
      </c>
      <c r="C2077" s="4" t="str">
        <f ca="1">IFERROR(__xludf.DUMMYFUNCTION("GOOGLETRANSLATE(A2077, ""auto"", ""bn"")"),"থেরাপি কিছুটা সাহায্য করছে। কিন্তু প্রতি দুই সপ্তাহ বা তারও বেশি সময় ধরে, আমি এক ধরণের উদ্বেগের মধ্যে পড়ে যাই এবং টানা কয়েক দিন ধরে খুব একটা কাজ করতে পারি না।")</f>
        <v>থেরাপি কিছুটা সাহায্য করছে। কিন্তু প্রতি দুই সপ্তাহ বা তারও বেশি সময় ধরে, আমি এক ধরণের উদ্বেগের মধ্যে পড়ে যাই এবং টানা কয়েক দিন ধরে খুব একটা কাজ করতে পারি না।</v>
      </c>
    </row>
    <row r="2078" spans="1:3" ht="15" x14ac:dyDescent="0.25">
      <c r="A2078" s="3" t="s">
        <v>2071</v>
      </c>
      <c r="B2078" s="3" t="s">
        <v>1992</v>
      </c>
      <c r="C2078" s="4" t="str">
        <f ca="1">IFERROR(__xludf.DUMMYFUNCTION("GOOGLETRANSLATE(A2078, ""auto"", ""bn"")"),"গত দুই সপ্তাহ সবচেয়ে খারাপ কেটেছে। গুরুত্বপূর্ণ বিষয়গুলো নিয়ে আমি ভয়ে ভয়ে ভুগছি। আর ভয়ে তাড়াহুড়ো করে সিদ্ধান্ত নেওয়া, যেগুলো আবার আমাকে কামড়িয়ে দেয়। মানসিক স্বাস্থ্য দিবস হিসেবে আমি দুই দিন ছুটি নিয়েছিলাম কারণ আমি আক্ষরিক অর্থেই ঘুমাতে পারছিলাম না এবং কাজ"&amp;"ে মনোযোগ দিতে পারছিলাম না। পরের দিন, আমার থেরাপিস্টের সাথে আমার অ্যাপয়েন্টমেন্ট ছিল, এবং তিনি আমাকে কিছু নতুন কৌশল চেষ্টা করার পরামর্শ দিয়েছিলেন। এবং সেগুলি সাহায্য করেছিল, কিন্তু এখন আমি আবারও অসুস্থ, এবং আমি জানি না কী করব। আমি শুক্রবার আমার প্রাথমিক চ"&amp;"িকিৎসা প্রদানকারীর সাথে একটি অ্যাপয়েন্টমেন্ট নির্ধারণ করেছি, হয়তো একটি সরকারী রোগ নির্ণয় বা ওষুধ নেওয়ার চেষ্টা করার জন্য। কিন্তু তারপর আমার অপরাধবোধ হচ্ছিল যে আমি সম্প্রতি (মানসিক স্বাস্থ্য দিবস এবং থেরাপি সেশনের মধ্যে) অনেক কাজ মিস করেছি, তাই আমি এটি বা"&amp;"তিল করেছি।")</f>
        <v>গত দুই সপ্তাহ সবচেয়ে খারাপ কেটেছে। গুরুত্বপূর্ণ বিষয়গুলো নিয়ে আমি ভয়ে ভয়ে ভুগছি। আর ভয়ে তাড়াহুড়ো করে সিদ্ধান্ত নেওয়া, যেগুলো আবার আমাকে কামড়িয়ে দেয়। মানসিক স্বাস্থ্য দিবস হিসেবে আমি দুই দিন ছুটি নিয়েছিলাম কারণ আমি আক্ষরিক অর্থেই ঘুমাতে পারছিলাম না এবং কাজে মনোযোগ দিতে পারছিলাম না। পরের দিন, আমার থেরাপিস্টের সাথে আমার অ্যাপয়েন্টমেন্ট ছিল, এবং তিনি আমাকে কিছু নতুন কৌশল চেষ্টা করার পরামর্শ দিয়েছিলেন। এবং সেগুলি সাহায্য করেছিল, কিন্তু এখন আমি আবারও অসুস্থ, এবং আমি জানি না কী করব। আমি শুক্রবার আমার প্রাথমিক চিকিৎসা প্রদানকারীর সাথে একটি অ্যাপয়েন্টমেন্ট নির্ধারণ করেছি, হয়তো একটি সরকারী রোগ নির্ণয় বা ওষুধ নেওয়ার চেষ্টা করার জন্য। কিন্তু তারপর আমার অপরাধবোধ হচ্ছিল যে আমি সম্প্রতি (মানসিক স্বাস্থ্য দিবস এবং থেরাপি সেশনের মধ্যে) অনেক কাজ মিস করেছি, তাই আমি এটি বাতিল করেছি।</v>
      </c>
    </row>
    <row r="2079" spans="1:3" ht="15" x14ac:dyDescent="0.25">
      <c r="A2079" s="3" t="s">
        <v>2072</v>
      </c>
      <c r="B2079" s="3" t="s">
        <v>1992</v>
      </c>
      <c r="C2079" s="4" t="str">
        <f ca="1">IFERROR(__xludf.DUMMYFUNCTION("GOOGLETRANSLATE(A2079, ""auto"", ""bn"")"),"আমি জানি না কী করব। এটা আমার কাজে প্রভাব ফেলছে, এবং আমি ভীত যে এটি আরও বেশি নিয়ন্ত্রণহীন হয়ে উঠবে। এবং আমি নিশ্চিত যে আমার সুপারভাইজার বা সহকর্মীরা অনুমান করতে পারবেন যে কিছু একটা হয়েছে। আমি জানি আমি অদ্ভুত আচরণ করছি। কিন্তু আমি এটা নিয়ে কথা বলতে পারছ"&amp;"ি না, ভয়ে যে এটি সম্পর্কে কলঙ্ক থাকবে। তাই আমি যতটা সম্ভব ভালোভাবে কাজ করার চেষ্টা করছি, ভান করছি সবকিছু ঠিক আছে। o, আমার সম্পর্কে একটু পটভূমি। গত দশ বছর ধরে ক্রমবর্ধমান উদ্বেগের সাথে মোকাবিলা করার পর, আমি প্রায় তিন মাস আগে উদ্বেগের জন্য সেরট্রালিন খাওয"&amp;"়া শুরু করেছিলাম। আমার ডাক্তার আমাকে 25 মিলিগ্রাম দিয়ে শুরু করেছিলেন, এবং এখন আমি 50 মিলিগ্রামে আছি। আমি এই ওষুধটি নিয়ে একেবারে ভালো বোধ করছি - আমার মনে হয় আমার উদ্বেগের উপর আমার আরও নিয়ন্ত্রণ আছে এবং সম্প্রতি প্যানিক অ্যাটাক হওয়ার আগে নিজেকে থামানোর"&amp;" ক্ষমতা আছে। এর অর্থ এই নয় যে এটি সম্পূর্ণরূপে চলে গেছে, তবে এটি অবশ্যই ভালো।")</f>
        <v>আমি জানি না কী করব। এটা আমার কাজে প্রভাব ফেলছে, এবং আমি ভীত যে এটি আরও বেশি নিয়ন্ত্রণহীন হয়ে উঠবে। এবং আমি নিশ্চিত যে আমার সুপারভাইজার বা সহকর্মীরা অনুমান করতে পারবেন যে কিছু একটা হয়েছে। আমি জানি আমি অদ্ভুত আচরণ করছি। কিন্তু আমি এটা নিয়ে কথা বলতে পারছি না, ভয়ে যে এটি সম্পর্কে কলঙ্ক থাকবে। তাই আমি যতটা সম্ভব ভালোভাবে কাজ করার চেষ্টা করছি, ভান করছি সবকিছু ঠিক আছে। o, আমার সম্পর্কে একটু পটভূমি। গত দশ বছর ধরে ক্রমবর্ধমান উদ্বেগের সাথে মোকাবিলা করার পর, আমি প্রায় তিন মাস আগে উদ্বেগের জন্য সেরট্রালিন খাওয়া শুরু করেছিলাম। আমার ডাক্তার আমাকে 25 মিলিগ্রাম দিয়ে শুরু করেছিলেন, এবং এখন আমি 50 মিলিগ্রামে আছি। আমি এই ওষুধটি নিয়ে একেবারে ভালো বোধ করছি - আমার মনে হয় আমার উদ্বেগের উপর আমার আরও নিয়ন্ত্রণ আছে এবং সম্প্রতি প্যানিক অ্যাটাক হওয়ার আগে নিজেকে থামানোর ক্ষমতা আছে। এর অর্থ এই নয় যে এটি সম্পূর্ণরূপে চলে গেছে, তবে এটি অবশ্যই ভালো।</v>
      </c>
    </row>
    <row r="2080" spans="1:3" ht="15" x14ac:dyDescent="0.25">
      <c r="A2080" s="3" t="s">
        <v>2073</v>
      </c>
      <c r="B2080" s="3" t="s">
        <v>1992</v>
      </c>
      <c r="C2080" s="4" t="str">
        <f ca="1">IFERROR(__xludf.DUMMYFUNCTION("GOOGLETRANSLATE(A2080, ""auto"", ""bn"")"),"যা আমাকে আমার প্রশ্নের দিকে নিয়ে যায় - উদ্বেগের জন্য ওষুধের ""সঠিক"" ডোজ কখন আপনি নিচ্ছেন তা কীভাবে জানবেন? স্পষ্টতই, আদর্শ পরিস্থিতি হল সর্বনিম্ন ডোজ যা কার্যকর। কিন্তু আমি কীভাবে জানব যে আমি কখন সেই পর্যায়ে পৌঁছেছি? আমার অনেক দিন ধরে বেশ তীব্র উদ্বেগ"&amp;" ছিল এবং আমি সত্যিই মনে করতে পারছি না যে ""স্বাভাবিক"" কেমন লাগে। আমি কি ডোজ বাড়িয়ে রাখি যতক্ষণ না আমার মনে হয় এটি খুব বেশি হয়ে গেছে, অথবা কোনও অতিরিক্ত প্রভাব ফেলছে না, এবং তারপর আবার কমিয়ে দেই? আমি কি আগের চেয়ে ভালো বোধ করছি বলে আমি যেখানে আছি সেখ"&amp;"ানেই থাকি? আমি অনলাইনে এটি দেখার চেষ্টা করেছি খুব বেশি সাফল্য পাইনি, তাই আমি আশা করছি আপনাদের মধ্যে কেউ কেউ এর সাথে কিছু অভিজ্ঞতা বা কিছু পরামর্শ পাবেন। (আমি যখন আমার ডাক্তারের সাথে দেখা করব তখন তার সাথে এই বিষয়ে কথা বলার পরিকল্পনা করছি।) আগাম ধন্যবাদ!")</f>
        <v>যা আমাকে আমার প্রশ্নের দিকে নিয়ে যায় - উদ্বেগের জন্য ওষুধের "সঠিক" ডোজ কখন আপনি নিচ্ছেন তা কীভাবে জানবেন? স্পষ্টতই, আদর্শ পরিস্থিতি হল সর্বনিম্ন ডোজ যা কার্যকর। কিন্তু আমি কীভাবে জানব যে আমি কখন সেই পর্যায়ে পৌঁছেছি? আমার অনেক দিন ধরে বেশ তীব্র উদ্বেগ ছিল এবং আমি সত্যিই মনে করতে পারছি না যে "স্বাভাবিক" কেমন লাগে। আমি কি ডোজ বাড়িয়ে রাখি যতক্ষণ না আমার মনে হয় এটি খুব বেশি হয়ে গেছে, অথবা কোনও অতিরিক্ত প্রভাব ফেলছে না, এবং তারপর আবার কমিয়ে দেই? আমি কি আগের চেয়ে ভালো বোধ করছি বলে আমি যেখানে আছি সেখানেই থাকি? আমি অনলাইনে এটি দেখার চেষ্টা করেছি খুব বেশি সাফল্য পাইনি, তাই আমি আশা করছি আপনাদের মধ্যে কেউ কেউ এর সাথে কিছু অভিজ্ঞতা বা কিছু পরামর্শ পাবেন। (আমি যখন আমার ডাক্তারের সাথে দেখা করব তখন তার সাথে এই বিষয়ে কথা বলার পরিকল্পনা করছি।) আগাম ধন্যবাদ!</v>
      </c>
    </row>
    <row r="2081" spans="1:3" ht="15" x14ac:dyDescent="0.25">
      <c r="A2081" s="3" t="s">
        <v>2074</v>
      </c>
      <c r="B2081" s="3" t="s">
        <v>1992</v>
      </c>
      <c r="C2081" s="4" t="str">
        <f ca="1">IFERROR(__xludf.DUMMYFUNCTION("GOOGLETRANSLATE(A2081, ""auto"", ""bn"")"),"৬ মাস ধরে ওষুধের মাত্রা কমানোর পর এক সপ্তাহ আগে আমি অ্যান্টিডিপ্রেসেন্টস সম্পূর্ণরূপে বন্ধ করে দিয়েছি। আমি ঠিক আছি, কিন্তু যখন আমাকে কাজে যেতে হয় তখন আমি অল্প পরিমাণে বিটা-ব্লকার গ্রহণ করি কারণ এটি বেশ তীব্র। বছরের পর বছর থেরাপির পর আমি আমার অতি সংবেদনশ"&amp;"ীলতা এবং প্যানিক অ্যাটাক কমাতে অ্যান্টিডিপ্রেসেন্টস গ্রহণ শুরু করি। এটি অসাধারণভাবে সাহায্য করেছে, কিন্তু আমি এর পার্শ্বপ্রতিক্রিয়াগুলি সত্যিই পছন্দ করি না তাই প্রায় ৩ বছর পর আমি ছেড়ে দেওয়ার সিদ্ধান্ত নিই। আমি পরের সপ্তাহে সিবিটি শুরু করছি, তবে আমি আম"&amp;"ার মনকে শান্ত করার জন্য একটি প্রাকৃতিক সম্পূরকও খুঁজছি।")</f>
        <v>৬ মাস ধরে ওষুধের মাত্রা কমানোর পর এক সপ্তাহ আগে আমি অ্যান্টিডিপ্রেসেন্টস সম্পূর্ণরূপে বন্ধ করে দিয়েছি। আমি ঠিক আছি, কিন্তু যখন আমাকে কাজে যেতে হয় তখন আমি অল্প পরিমাণে বিটা-ব্লকার গ্রহণ করি কারণ এটি বেশ তীব্র। বছরের পর বছর থেরাপির পর আমি আমার অতি সংবেদনশীলতা এবং প্যানিক অ্যাটাক কমাতে অ্যান্টিডিপ্রেসেন্টস গ্রহণ শুরু করি। এটি অসাধারণভাবে সাহায্য করেছে, কিন্তু আমি এর পার্শ্বপ্রতিক্রিয়াগুলি সত্যিই পছন্দ করি না তাই প্রায় ৩ বছর পর আমি ছেড়ে দেওয়ার সিদ্ধান্ত নিই। আমি পরের সপ্তাহে সিবিটি শুরু করছি, তবে আমি আমার মনকে শান্ত করার জন্য একটি প্রাকৃতিক সম্পূরকও খুঁজছি।</v>
      </c>
    </row>
    <row r="2082" spans="1:3" ht="15" x14ac:dyDescent="0.25">
      <c r="A2082" s="3" t="s">
        <v>2075</v>
      </c>
      <c r="B2082" s="3" t="s">
        <v>1992</v>
      </c>
      <c r="C2082" s="4" t="str">
        <f ca="1">IFERROR(__xludf.DUMMYFUNCTION("GOOGLETRANSLATE(A2082, ""auto"", ""bn"")"),"আমি আমার অনুভূতি বর্ণনা করার চেষ্টা করব। আমি আমার চারপাশের পরিবেশ সম্পর্কে খুব সচেতন এবং সর্বদাই অস্থির বোধ করি। যখন আমি একা থাকি তখন আমি ঠিক থাকি (একটি উদ্বিগ্ন মন ছাড়াও), কিন্তু বাইরে বা মানুষের আশেপাশে নয়। এটি আসলে কোনও সামাজিক বিষয় নয়, আমি একজন অন"&amp;"্তর্মুখী কিন্তু কথোপকথন এবং কাজে পুরোপুরি ভালোভাবে কাজ করি। যদিও আমি সংঘর্ষের সাথে খুব খারাপ। এটি জনসমক্ষে থাকাকালীন সবকিছু লক্ষ্য করার জন্য সামগ্রিকভাবে অতি সংবেদনশীলতা। এটি যেন অ্যান্টিডিপ্রেসেন্টস আমাকে প্রয়োজনীয় ফিল্টার দিয়েছে, আর সবকিছু লক্ষ্য করে"&amp;" না এবং কেবল আরও স্বাচ্ছন্দ্য বোধ করে। কেউ কি এমন একটি প্রাকৃতিক সম্পূরক জানেন যা এটি অনুকরণ করতে সাহায্য করতে পারে?")</f>
        <v>আমি আমার অনুভূতি বর্ণনা করার চেষ্টা করব। আমি আমার চারপাশের পরিবেশ সম্পর্কে খুব সচেতন এবং সর্বদাই অস্থির বোধ করি। যখন আমি একা থাকি তখন আমি ঠিক থাকি (একটি উদ্বিগ্ন মন ছাড়াও), কিন্তু বাইরে বা মানুষের আশেপাশে নয়। এটি আসলে কোনও সামাজিক বিষয় নয়, আমি একজন অন্তর্মুখী কিন্তু কথোপকথন এবং কাজে পুরোপুরি ভালোভাবে কাজ করি। যদিও আমি সংঘর্ষের সাথে খুব খারাপ। এটি জনসমক্ষে থাকাকালীন সবকিছু লক্ষ্য করার জন্য সামগ্রিকভাবে অতি সংবেদনশীলতা। এটি যেন অ্যান্টিডিপ্রেসেন্টস আমাকে প্রয়োজনীয় ফিল্টার দিয়েছে, আর সবকিছু লক্ষ্য করে না এবং কেবল আরও স্বাচ্ছন্দ্য বোধ করে। কেউ কি এমন একটি প্রাকৃতিক সম্পূরক জানেন যা এটি অনুকরণ করতে সাহায্য করতে পারে?</v>
      </c>
    </row>
    <row r="2083" spans="1:3" ht="15" x14ac:dyDescent="0.25">
      <c r="A2083" s="3" t="s">
        <v>2076</v>
      </c>
      <c r="B2083" s="3" t="s">
        <v>1992</v>
      </c>
      <c r="C2083" s="4" t="str">
        <f ca="1">IFERROR(__xludf.DUMMYFUNCTION("GOOGLETRANSLATE(A2083, ""auto"", ""bn"")"),"হাই। আমি উদ্বেগের সাথে একেবারেই নতুন। প্রায় ২ মাস ধরে আমার তীব্র উদ্বেগ হচ্ছে। কোভিড আক্রান্ত হওয়ার পর থেকে। আমার উদ্বেগ আমার শরীরে একটানা ভাসমান/উৎকণ্ঠাপূর্ণ প্রায় উচ্চ অনুভূতি থেকে উদ্ভূত বলে মনে হচ্ছে। এবং তারপরে আমার প্যানিক অ্যাটাক আমার মেরুদণ্ডের"&amp;" নীচের অংশে শুরু হবে এবং চরম উচ্চ অনুভূতিটি প্রায় ৫ মিনিটের জন্য আমার শরীরকে গ্রাস করবে। চলে যাবে, কিন্তু আমি শাকা দুর্বল, উৎকণ্ঠাপূর্ণ অনুভূতির সাথে থাকি। অন্য কেউ এটা অনুভব করে? আমি কি ভেঙে পড়েছি? এটা কি ভালো হয়ে যায়? আমি আতঙ্কিত এবং কীভাবে এগিয়ে য"&amp;"াব জানি না।")</f>
        <v>হাই। আমি উদ্বেগের সাথে একেবারেই নতুন। প্রায় ২ মাস ধরে আমার তীব্র উদ্বেগ হচ্ছে। কোভিড আক্রান্ত হওয়ার পর থেকে। আমার উদ্বেগ আমার শরীরে একটানা ভাসমান/উৎকণ্ঠাপূর্ণ প্রায় উচ্চ অনুভূতি থেকে উদ্ভূত বলে মনে হচ্ছে। এবং তারপরে আমার প্যানিক অ্যাটাক আমার মেরুদণ্ডের নীচের অংশে শুরু হবে এবং চরম উচ্চ অনুভূতিটি প্রায় ৫ মিনিটের জন্য আমার শরীরকে গ্রাস করবে। চলে যাবে, কিন্তু আমি শাকা দুর্বল, উৎকণ্ঠাপূর্ণ অনুভূতির সাথে থাকি। অন্য কেউ এটা অনুভব করে? আমি কি ভেঙে পড়েছি? এটা কি ভালো হয়ে যায়? আমি আতঙ্কিত এবং কীভাবে এগিয়ে যাব জানি না।</v>
      </c>
    </row>
    <row r="2084" spans="1:3" ht="15" x14ac:dyDescent="0.25">
      <c r="A2084" s="3" t="s">
        <v>2077</v>
      </c>
      <c r="B2084" s="3" t="s">
        <v>1992</v>
      </c>
      <c r="C2084" s="4" t="str">
        <f ca="1">IFERROR(__xludf.DUMMYFUNCTION("GOOGLETRANSLATE(A2084, ""auto"", ""bn"")"),"আরে। তাহলে আমার বয়স ১৫, আর আমি জানি শিরোনামটা আত্মঘাতী শোনাচ্ছে, কিন্তু আমি নই। আমি শুধু ক্লান্ত। আমার মস্তিষ্ক কখনোই বন্ধ হয় না। ছোটবেলায় এমন কিছু ঘটনার মধ্য দিয়ে গিয়েছিলাম যার ফলে আমি প্যানিক ডিসঅর্ডার এবং আরও কিছু সমস্যায় ভুগছিলাম। আমি প্রতিদিন এমন অনু"&amp;"ভূতি অনুভব করি যে আমার কাছের মানুষগুলো আমাকে পছন্দ করে না এবং আমার উপর ক্লান্ত। এমনকি যখন তারা প্রমাণ করে যে তারা আমার যত্ন নেয়।")</f>
        <v>আরে। তাহলে আমার বয়স ১৫, আর আমি জানি শিরোনামটা আত্মঘাতী শোনাচ্ছে, কিন্তু আমি নই। আমি শুধু ক্লান্ত। আমার মস্তিষ্ক কখনোই বন্ধ হয় না। ছোটবেলায় এমন কিছু ঘটনার মধ্য দিয়ে গিয়েছিলাম যার ফলে আমি প্যানিক ডিসঅর্ডার এবং আরও কিছু সমস্যায় ভুগছিলাম। আমি প্রতিদিন এমন অনুভূতি অনুভব করি যে আমার কাছের মানুষগুলো আমাকে পছন্দ করে না এবং আমার উপর ক্লান্ত। এমনকি যখন তারা প্রমাণ করে যে তারা আমার যত্ন নেয়।</v>
      </c>
    </row>
    <row r="2085" spans="1:3" ht="15" x14ac:dyDescent="0.25">
      <c r="A2085" s="3" t="s">
        <v>2078</v>
      </c>
      <c r="B2085" s="3" t="s">
        <v>1992</v>
      </c>
      <c r="C2085" s="4" t="str">
        <f ca="1">IFERROR(__xludf.DUMMYFUNCTION("GOOGLETRANSLATE(A2085, ""auto"", ""bn"")"),"গত কয়েক মাস ধরে আমি চাকরি খুঁজছি এবং রাত ৯টা থেকে ৫টা পর্যন্ত কাজ করতে ভয় পাচ্ছি। হয়তো আমার খণ্ডকালীন চাকরি খোঁজা উচিত। আর কারো কি এমন মনে হয়? কোভিডের কারণে দুই বছর বাড়িতে থাকার পর এবং ছয় মাস আগে কলেজ শেষ করার পর, আমি কিছুটা ঘৃণার পাত্র হয়ে পড়েছি "&amp;"এবং আমার উদ্বেগ আরও বেড়ে গেছে। গত তিন মাস ধরে আমি একাকী, উদ্বিগ্ন, ক্লান্ত এবং একঘেয়ে বোধ করছি, কিন্তু আমি এখনও পূর্ণকালীন চাকরি করতে ভয় পাচ্ছি। বাকি জীবনের কথা তো বাদই দিলাম।")</f>
        <v>গত কয়েক মাস ধরে আমি চাকরি খুঁজছি এবং রাত ৯টা থেকে ৫টা পর্যন্ত কাজ করতে ভয় পাচ্ছি। হয়তো আমার খণ্ডকালীন চাকরি খোঁজা উচিত। আর কারো কি এমন মনে হয়? কোভিডের কারণে দুই বছর বাড়িতে থাকার পর এবং ছয় মাস আগে কলেজ শেষ করার পর, আমি কিছুটা ঘৃণার পাত্র হয়ে পড়েছি এবং আমার উদ্বেগ আরও বেড়ে গেছে। গত তিন মাস ধরে আমি একাকী, উদ্বিগ্ন, ক্লান্ত এবং একঘেয়ে বোধ করছি, কিন্তু আমি এখনও পূর্ণকালীন চাকরি করতে ভয় পাচ্ছি। বাকি জীবনের কথা তো বাদই দিলাম।</v>
      </c>
    </row>
    <row r="2086" spans="1:3" ht="15" x14ac:dyDescent="0.25">
      <c r="A2086" s="3" t="s">
        <v>2079</v>
      </c>
      <c r="B2086" s="3" t="s">
        <v>1992</v>
      </c>
      <c r="C2086" s="4" t="str">
        <f ca="1">IFERROR(__xludf.DUMMYFUNCTION("GOOGLETRANSLATE(A2086, ""auto"", ""bn"")"),"আমার GAD হয়েছে এবং আশা করি শীঘ্রই SAD আছে কিনা তা পরীক্ষা করা হবে। হাস্যকরভাবে, তাদের সাহায্য পেতে হলে আমাকে একটি ফোন কল করতে হবে। কিন্তু আমি তাদের এত ভয় পাই যে আমার মনে হয় ফোনের পিছনে থাকা লোকেরা ভাববে আমি বোকা, অথবা আমার এমন একটি প্রশ্ন থাকবে যার উত্"&amp;"তর আমি পাইনি, অথবা তারা এমন কিছু জিজ্ঞাসা করবে যা আমি জানি না। আমি ভয় পাচ্ছি।")</f>
        <v>আমার GAD হয়েছে এবং আশা করি শীঘ্রই SAD আছে কিনা তা পরীক্ষা করা হবে। হাস্যকরভাবে, তাদের সাহায্য পেতে হলে আমাকে একটি ফোন কল করতে হবে। কিন্তু আমি তাদের এত ভয় পাই যে আমার মনে হয় ফোনের পিছনে থাকা লোকেরা ভাববে আমি বোকা, অথবা আমার এমন একটি প্রশ্ন থাকবে যার উত্তর আমি পাইনি, অথবা তারা এমন কিছু জিজ্ঞাসা করবে যা আমি জানি না। আমি ভয় পাচ্ছি।</v>
      </c>
    </row>
    <row r="2087" spans="1:3" ht="15" x14ac:dyDescent="0.25">
      <c r="A2087" s="3" t="s">
        <v>2080</v>
      </c>
      <c r="B2087" s="3" t="s">
        <v>1992</v>
      </c>
      <c r="C2087" s="4" t="str">
        <f ca="1">IFERROR(__xludf.DUMMYFUNCTION("GOOGLETRANSLATE(A2087, ""auto"", ""bn"")"),"আমার বিশ্ববিদ্যালয়ে ফোন করে থাকার ব্যবস্থা করতে হবে। তারা আমাকে ফোন করে এ বিষয়ে কথা বলার জন্য একটি অ্যাপয়েন্টমেন্টের ব্যবস্থা করতে বলছে। তাই আমাকে এটা করতেই হবে। আমি অন্তত এক মাস ধরে এটা স্থগিত রেখেছি, কিন্তু এটা অবশ্যই ঘটবে। এখনই এটা নিয়ে ভাবলে আমার "&amp;"ভয় লাগে। আমি কীভাবে এই পরিস্থিতি কাটিয়ে উঠব? দয়া করে সাহায্য করুন।")</f>
        <v>আমার বিশ্ববিদ্যালয়ে ফোন করে থাকার ব্যবস্থা করতে হবে। তারা আমাকে ফোন করে এ বিষয়ে কথা বলার জন্য একটি অ্যাপয়েন্টমেন্টের ব্যবস্থা করতে বলছে। তাই আমাকে এটা করতেই হবে। আমি অন্তত এক মাস ধরে এটা স্থগিত রেখেছি, কিন্তু এটা অবশ্যই ঘটবে। এখনই এটা নিয়ে ভাবলে আমার ভয় লাগে। আমি কীভাবে এই পরিস্থিতি কাটিয়ে উঠব? দয়া করে সাহায্য করুন।</v>
      </c>
    </row>
    <row r="2088" spans="1:3" ht="15" x14ac:dyDescent="0.25">
      <c r="A2088" s="3" t="s">
        <v>2081</v>
      </c>
      <c r="B2088" s="3" t="s">
        <v>1992</v>
      </c>
      <c r="C2088" s="4" t="str">
        <f ca="1">IFERROR(__xludf.DUMMYFUNCTION("GOOGLETRANSLATE(A2088, ""auto"", ""bn"")"),"প্রায় আড়াই বছর ধরে মাস্ক পরার পর সম্প্রতি আমি থামার সিদ্ধান্ত নিয়েছি, আর আমি বাইরে গিয়ে দেখলাম যে যখনই মানুষ আমার মুখ দেখত তখনই আমার খুব তীব্র আতঙ্কের আক্রমণ হত, আর আমি মাস্ক পরার পরই তারা থামত। এটা ভালো নয় এবং আমি এটা ঘৃণা করি। অন্য কেউ এটা অনুভব করছে না"&amp;"কি শুধু আমি? ভয়টা আসলে কোভিড সম্পর্কিত নয়, বরং বেশি সংখ্যক মানুষ আমার মুখের দিকে তাকিয়ে আছে।")</f>
        <v>প্রায় আড়াই বছর ধরে মাস্ক পরার পর সম্প্রতি আমি থামার সিদ্ধান্ত নিয়েছি, আর আমি বাইরে গিয়ে দেখলাম যে যখনই মানুষ আমার মুখ দেখত তখনই আমার খুব তীব্র আতঙ্কের আক্রমণ হত, আর আমি মাস্ক পরার পরই তারা থামত। এটা ভালো নয় এবং আমি এটা ঘৃণা করি। অন্য কেউ এটা অনুভব করছে নাকি শুধু আমি? ভয়টা আসলে কোভিড সম্পর্কিত নয়, বরং বেশি সংখ্যক মানুষ আমার মুখের দিকে তাকিয়ে আছে।</v>
      </c>
    </row>
    <row r="2089" spans="1:3" ht="15" x14ac:dyDescent="0.25">
      <c r="A2089" s="3" t="s">
        <v>2082</v>
      </c>
      <c r="B2089" s="3" t="s">
        <v>1992</v>
      </c>
      <c r="C2089" s="4" t="str">
        <f ca="1">IFERROR(__xludf.DUMMYFUNCTION("GOOGLETRANSLATE(A2089, ""auto"", ""bn"")"),"হ্যালো, আমার পরিস্থিতিতে লোকেরা কী করবে সে সম্পর্কে আমি কিছু প্রতিক্রিয়া জানতে চেয়েছিলাম। আমি এমন একজন যাঁর গত ৪ বছর ধরে ক্রমাগত উদ্বেগের সাথে মোকাবিলা করা হচ্ছে। আমার একটি কাজ আছে যা আমি সত্যিই পছন্দ করি, এবং গত মাসে অসুস্থ হওয়ার কারণে আমাকে ছুটি নিতে"&amp;" হয়েছিল। কিছুক্ষণের জন্য আমার উদ্বেগ নিয়ন্ত্রণ করতে সক্ষম হওয়ার পর, আমি আবার আটকে গেলাম। হতাশা, উদ্বেগ এবং প্রতিদিন খারাপ লাগার আমার সমস্ত অভিজ্ঞতা আমার বাড়িতেই ঘটেছিল। এটি আমাকে ভাবতে বাধ্য করেছিল যে আমি কীভাবে সুস্থ হওয়ার জন্য কোনও অগ্রগতি করতে পার"&amp;"িনি। আমি আমার নেতিবাচক মানসিকতা কমাতে বিভ্রান্তি হিসাবে কাজ করতে শুরু করেছিলাম। দীর্ঘ সময় ধরে যা অনুভব করছি তা হল চাপ এবং উদ্বেগ। অবশেষে আমি ওষুধ লিখে দেওয়ার জন্য আমার ডাক্তারের সাথে অ্যাপয়েন্টমেন্ট করার সিদ্ধান্ত নিয়েছিলাম। আমি প্রায় ২ সপ্তাহ আগে শু"&amp;"রু করেছিলাম, এবং আমি এর আগে কখনও এত ভালো অনুভব করিনি। এটি আমাকে ভয় পেয়েছি যে আমি আসলে স্পষ্টভাবে চিন্তা করতে পারি, এবং এটি এমন কিছু যা আমি বছরের পর বছর অনুভব করিনি। এখন, আমি জানি না আমার চাকরি সম্পর্কে কী করব। আচরণগত স্বাস্থ্যের জন্য একজন পরামর্শদাতার স"&amp;"াথে দেখা করার জন্য ছুটি নেওয়ার বিষয়ে আমি আমার ম্যানেজারের সাথে কথা বলেছি। আমি সত্যিই তাকে বলতে চাই যে আমি কি আমার উদ্বেগ নিয়ন্ত্রণে আনতে ৩ মাসের ছুটি নিতে পারি? সত্যি বলতে, আমি সবসময় মনোযোগহীন এবং উদ্বিগ্ন বোধ করতে করতে ক্লান্ত। আমি কেবল চিন্তিত যে সে"&amp;" আমাকে বলবে যে আমি আর ফিরে আসতে পারব না। আমি সত্যিই চাই যে আমি পরিস্থিতি পরিবর্তন করতে পারি।")</f>
        <v>হ্যালো, আমার পরিস্থিতিতে লোকেরা কী করবে সে সম্পর্কে আমি কিছু প্রতিক্রিয়া জানতে চেয়েছিলাম। আমি এমন একজন যাঁর গত ৪ বছর ধরে ক্রমাগত উদ্বেগের সাথে মোকাবিলা করা হচ্ছে। আমার একটি কাজ আছে যা আমি সত্যিই পছন্দ করি, এবং গত মাসে অসুস্থ হওয়ার কারণে আমাকে ছুটি নিতে হয়েছিল। কিছুক্ষণের জন্য আমার উদ্বেগ নিয়ন্ত্রণ করতে সক্ষম হওয়ার পর, আমি আবার আটকে গেলাম। হতাশা, উদ্বেগ এবং প্রতিদিন খারাপ লাগার আমার সমস্ত অভিজ্ঞতা আমার বাড়িতেই ঘটেছিল। এটি আমাকে ভাবতে বাধ্য করেছিল যে আমি কীভাবে সুস্থ হওয়ার জন্য কোনও অগ্রগতি করতে পারিনি। আমি আমার নেতিবাচক মানসিকতা কমাতে বিভ্রান্তি হিসাবে কাজ করতে শুরু করেছিলাম। দীর্ঘ সময় ধরে যা অনুভব করছি তা হল চাপ এবং উদ্বেগ। অবশেষে আমি ওষুধ লিখে দেওয়ার জন্য আমার ডাক্তারের সাথে অ্যাপয়েন্টমেন্ট করার সিদ্ধান্ত নিয়েছিলাম। আমি প্রায় ২ সপ্তাহ আগে শুরু করেছিলাম, এবং আমি এর আগে কখনও এত ভালো অনুভব করিনি। এটি আমাকে ভয় পেয়েছি যে আমি আসলে স্পষ্টভাবে চিন্তা করতে পারি, এবং এটি এমন কিছু যা আমি বছরের পর বছর অনুভব করিনি। এখন, আমি জানি না আমার চাকরি সম্পর্কে কী করব। আচরণগত স্বাস্থ্যের জন্য একজন পরামর্শদাতার সাথে দেখা করার জন্য ছুটি নেওয়ার বিষয়ে আমি আমার ম্যানেজারের সাথে কথা বলেছি। আমি সত্যিই তাকে বলতে চাই যে আমি কি আমার উদ্বেগ নিয়ন্ত্রণে আনতে ৩ মাসের ছুটি নিতে পারি? সত্যি বলতে, আমি সবসময় মনোযোগহীন এবং উদ্বিগ্ন বোধ করতে করতে ক্লান্ত। আমি কেবল চিন্তিত যে সে আমাকে বলবে যে আমি আর ফিরে আসতে পারব না। আমি সত্যিই চাই যে আমি পরিস্থিতি পরিবর্তন করতে পারি।</v>
      </c>
    </row>
    <row r="2090" spans="1:3" ht="15" x14ac:dyDescent="0.25">
      <c r="A2090" s="3" t="s">
        <v>2083</v>
      </c>
      <c r="B2090" s="3" t="s">
        <v>1992</v>
      </c>
      <c r="C2090" s="4" t="str">
        <f ca="1">IFERROR(__xludf.DUMMYFUNCTION("GOOGLETRANSLATE(A2090, ""auto"", ""bn"")"),"সম্প্রতি আমি লক্ষ্য করেছি যে যখন আমি খুব বেশি চাপে থাকি এবং আমার উদ্বেগ সত্যিই তীব্র হয়ে ওঠে, তখন আমার শরীরের কিছু অংশে স্বয়ংক্রিয়ভাবে ঝিঁঝিঁ পোকার অনুভূতি হয়। অন্য কেউ কি এই অভিজ্ঞতা অনুভব করে? আমি নিশ্চিত নই যে এটি আসলেই কিছু, নাকি এটি আমার মাথায় আ"&amp;"ছে এবং আমি যখন আতঙ্কিত হই তখনই এটি আরও বেশি লক্ষ্য করি। আমার হৃদয় এত চাপে এবং উদ্বেগে ভরা। আমি কেন নিজের সাথে এমন করি?")</f>
        <v>সম্প্রতি আমি লক্ষ্য করেছি যে যখন আমি খুব বেশি চাপে থাকি এবং আমার উদ্বেগ সত্যিই তীব্র হয়ে ওঠে, তখন আমার শরীরের কিছু অংশে স্বয়ংক্রিয়ভাবে ঝিঁঝিঁ পোকার অনুভূতি হয়। অন্য কেউ কি এই অভিজ্ঞতা অনুভব করে? আমি নিশ্চিত নই যে এটি আসলেই কিছু, নাকি এটি আমার মাথায় আছে এবং আমি যখন আতঙ্কিত হই তখনই এটি আরও বেশি লক্ষ্য করি। আমার হৃদয় এত চাপে এবং উদ্বেগে ভরা। আমি কেন নিজের সাথে এমন করি?</v>
      </c>
    </row>
    <row r="2091" spans="1:3" ht="15" x14ac:dyDescent="0.25">
      <c r="A2091" s="3" t="s">
        <v>2084</v>
      </c>
      <c r="B2091" s="3" t="s">
        <v>1992</v>
      </c>
      <c r="C2091" s="4" t="str">
        <f ca="1">IFERROR(__xludf.DUMMYFUNCTION("GOOGLETRANSLATE(A2091, ""auto"", ""bn"")"),"জার্নাল লেখা সত্যিই সাহায্য করে। চিন্তাভাবনা লিখে রাখা এবং উদ্বেগ এবং ফলাফলের হিসাব রাখা প্রশান্তিদায়ক। লেখা সত্যিই ক্যাথার্টিক, এবং এর পরে আমি সবসময় ভালো বোধ করি। এবং আমি সবসময় বুঝতে পারি যে আমার উদ্বেগগুলি কতটা হাস্যকর ছিল। যখনই আমি অস্বস্তি বোধ করি "&amp;"তখনই আমি আমার ফোনটি বের করি এবং কয়েকটি নোট লিখে রাখি।")</f>
        <v>জার্নাল লেখা সত্যিই সাহায্য করে। চিন্তাভাবনা লিখে রাখা এবং উদ্বেগ এবং ফলাফলের হিসাব রাখা প্রশান্তিদায়ক। লেখা সত্যিই ক্যাথার্টিক, এবং এর পরে আমি সবসময় ভালো বোধ করি। এবং আমি সবসময় বুঝতে পারি যে আমার উদ্বেগগুলি কতটা হাস্যকর ছিল। যখনই আমি অস্বস্তি বোধ করি তখনই আমি আমার ফোনটি বের করি এবং কয়েকটি নোট লিখে রাখি।</v>
      </c>
    </row>
    <row r="2092" spans="1:3" ht="15" x14ac:dyDescent="0.25">
      <c r="A2092" s="3" t="s">
        <v>2085</v>
      </c>
      <c r="B2092" s="3" t="s">
        <v>1992</v>
      </c>
      <c r="C2092" s="4" t="str">
        <f ca="1">IFERROR(__xludf.DUMMYFUNCTION("GOOGLETRANSLATE(A2092, ""auto"", ""bn"")"),"আজকের উদাহরণ ১) বাসটি আমার পাশ দিয়ে চলে গেল, এমনকি থামলেও না। আমি চিন্তিত ছিলাম যে আমার কাজে দেরি হবে এবং এর ফলে ভয়াবহ পরিণতি হবে এবং লোকেরা আমার উপর ভ্রুকুটি করবে। ফলাফল: গাড়ি নিয়েছিলাম, কিছু ভালো গান বাজিয়েছিলাম এবং ৩০ মিনিট দেরিতে এসেছিলাম। কিন্তু"&amp;" কেউ কিছু বলেনি এবং সবকিছু ঠিকঠাক। কোনও যানজট ছিল না। কেউ খেয়াল করেনি যে আমি আসলে ছিলাম না ??। এমনকি আমার অফিসে রোদও জ্বলছে এবং আমার কাছে শহরের একটি দুর্দান্ত দৃশ্য রয়েছে। দুর্দান্ত। ২) একজন ক্লায়েন্ট সম্পর্কে একজন ম্যানেজারের সাথে সাক্ষাত করতে আমি ভয়"&amp;" পাচ্ছি কারণ আমি ভয় পাচ্ছি যে কিছু নির্দিষ্ট বিষয়ে বিভ্রান্ত হওয়ার জন্য আমি বোকা দেখাব। সাক্ষাতের ফলাফল: সবকিছু ঠিকঠাক হয়েছে, আমি জানি এখন কী করতে হবে, আমার অফিসে রোদ জ্বলছে। এটি একটি সুন্দর দিন। ৩) আমি আজ বিকেল ৩ টার সময়সীমা মিস করার বিষয়ে চিন্তিত।")</f>
        <v>আজকের উদাহরণ ১) বাসটি আমার পাশ দিয়ে চলে গেল, এমনকি থামলেও না। আমি চিন্তিত ছিলাম যে আমার কাজে দেরি হবে এবং এর ফলে ভয়াবহ পরিণতি হবে এবং লোকেরা আমার উপর ভ্রুকুটি করবে। ফলাফল: গাড়ি নিয়েছিলাম, কিছু ভালো গান বাজিয়েছিলাম এবং ৩০ মিনিট দেরিতে এসেছিলাম। কিন্তু কেউ কিছু বলেনি এবং সবকিছু ঠিকঠাক। কোনও যানজট ছিল না। কেউ খেয়াল করেনি যে আমি আসলে ছিলাম না ??। এমনকি আমার অফিসে রোদও জ্বলছে এবং আমার কাছে শহরের একটি দুর্দান্ত দৃশ্য রয়েছে। দুর্দান্ত। ২) একজন ক্লায়েন্ট সম্পর্কে একজন ম্যানেজারের সাথে সাক্ষাত করতে আমি ভয় পাচ্ছি কারণ আমি ভয় পাচ্ছি যে কিছু নির্দিষ্ট বিষয়ে বিভ্রান্ত হওয়ার জন্য আমি বোকা দেখাব। সাক্ষাতের ফলাফল: সবকিছু ঠিকঠাক হয়েছে, আমি জানি এখন কী করতে হবে, আমার অফিসে রোদ জ্বলছে। এটি একটি সুন্দর দিন। ৩) আমি আজ বিকেল ৩ টার সময়সীমা মিস করার বিষয়ে চিন্তিত।</v>
      </c>
    </row>
    <row r="2093" spans="1:3" ht="15" x14ac:dyDescent="0.25">
      <c r="A2093" s="3" t="s">
        <v>2086</v>
      </c>
      <c r="B2093" s="3" t="s">
        <v>1992</v>
      </c>
      <c r="C2093" s="4" t="str">
        <f ca="1">IFERROR(__xludf.DUMMYFUNCTION("GOOGLETRANSLATE(A2093, ""auto"", ""bn"")"),"হেই, যারা সুস্থ হয়ে উঠেছেন তাদের কাছ থেকে কিছু অন্তর্দৃষ্টি পেতে আমি খুব খুশি হব। আমি মূলত নিজেকে সুস্থ করে তুলছি কারণ আমার আর কখনও উদ্বেগের শারীরিক লক্ষণ দেখা যায় না। কিন্তু আমার মনে হয় আমার আবেগ - বর্তমান সময়ে এবং যখন আমি শৈশব/কৈশোরের স্মৃতি নিয়ে ভ"&amp;"াবি - উদ্বেগের আগে যতটা তীব্র ছিল ততটা তীব্র নয়। এটা তারযুক্ত কারণ আমার স্মৃতিশক্তি অবিশ্বাস্যভাবে ভালো, আমি অতীতের ঘটনাগুলির সামান্যতম বিবরণও মনে করতে পারি - কিন্তু যেমনটি আমি বলেছি, সেই আবেগগুলি আসলে আসে না। এখন আমি নিজেকে অসাড় মনে করব না, কারণ আমি আন"&amp;"ন্দ এবং দুঃখ ইত্যাদি অনুভব করতে পারি। কিন্তু এটি এত তীব্র নয়। এটি কি এমন কিছু যা কেউ অনুভব করেছে? স্নায়ুতন্ত্র আবার স্থিতিশীল হয়ে গেলে কি সেই আবেগগুলি ফিরে আসার সম্ভাবনা থাকে?")</f>
        <v>হেই, যারা সুস্থ হয়ে উঠেছেন তাদের কাছ থেকে কিছু অন্তর্দৃষ্টি পেতে আমি খুব খুশি হব। আমি মূলত নিজেকে সুস্থ করে তুলছি কারণ আমার আর কখনও উদ্বেগের শারীরিক লক্ষণ দেখা যায় না। কিন্তু আমার মনে হয় আমার আবেগ - বর্তমান সময়ে এবং যখন আমি শৈশব/কৈশোরের স্মৃতি নিয়ে ভাবি - উদ্বেগের আগে যতটা তীব্র ছিল ততটা তীব্র নয়। এটা তারযুক্ত কারণ আমার স্মৃতিশক্তি অবিশ্বাস্যভাবে ভালো, আমি অতীতের ঘটনাগুলির সামান্যতম বিবরণও মনে করতে পারি - কিন্তু যেমনটি আমি বলেছি, সেই আবেগগুলি আসলে আসে না। এখন আমি নিজেকে অসাড় মনে করব না, কারণ আমি আনন্দ এবং দুঃখ ইত্যাদি অনুভব করতে পারি। কিন্তু এটি এত তীব্র নয়। এটি কি এমন কিছু যা কেউ অনুভব করেছে? স্নায়ুতন্ত্র আবার স্থিতিশীল হয়ে গেলে কি সেই আবেগগুলি ফিরে আসার সম্ভাবনা থাকে?</v>
      </c>
    </row>
    <row r="2094" spans="1:3" ht="15" x14ac:dyDescent="0.25">
      <c r="A2094" s="3" t="s">
        <v>2087</v>
      </c>
      <c r="B2094" s="3" t="s">
        <v>1992</v>
      </c>
      <c r="C2094" s="4" t="str">
        <f ca="1">IFERROR(__xludf.DUMMYFUNCTION("GOOGLETRANSLATE(A2094, ""auto"", ""bn"")"),"এই ঘটনায় আমি খুব একা বোধ করি। সত্যিকারের অপরাধের পডকাস্ট, ডকুমেন্টারি এবং বইয়ের প্রতি আমার খুব আকর্ষণ আছে, অপরাধীদের মনস্তত্ত্ব এবং পুলিশের কাজের প্রতি আমার সবসময়ই আগ্রহ ছিল। কিন্তু যেহেতু আমি উদ্বেগের সাথে মোকাবিলা করি (এটি শুরু হয়েছিল 6 বছর আগে, আমা"&amp;"র প্রথম সন্তান হওয়ার পর থেকে), তাই আমার মনে হয় এটি আমার উদ্বেগ এবং আতঙ্কের আক্রমণকে উসকে দেয়। যখনই আমি সত্যিকারের অপরাধ করি তখন আমার বেশ কয়েক রাত ঘুমাতে সমস্যা হয়, বাড়িতে একা থাকতে পারি না - বিশেষ করে রাতে -, নীরবতা সামলাতে পারি না কারণ আমি ঘরে এবং "&amp;"আশেপাশে অদ্ভুত শব্দ শুনতে শুরু করি, এবং কখনও কখনও আমার দুঃস্বপ্ন দেখা দেয় যা আতঙ্কের আক্রমণের কারণ হতে পারে। আমি আরও লক্ষ্য করেছি যে আমি কেবল নিজের নিরাপত্তার জন্যই নয়, আমার বাচ্চাদের নিরাপত্তার জন্যও লোকেদের প্রতি সত্যিই ভীত হয়ে পড়তে শুরু করেছি। আমার"&amp;" মনে প্রায় প্রতিটি মানুষই সন্দেহজনক দেখায় বা আচরণ করে।")</f>
        <v>এই ঘটনায় আমি খুব একা বোধ করি। সত্যিকারের অপরাধের পডকাস্ট, ডকুমেন্টারি এবং বইয়ের প্রতি আমার খুব আকর্ষণ আছে, অপরাধীদের মনস্তত্ত্ব এবং পুলিশের কাজের প্রতি আমার সবসময়ই আগ্রহ ছিল। কিন্তু যেহেতু আমি উদ্বেগের সাথে মোকাবিলা করি (এটি শুরু হয়েছিল 6 বছর আগে, আমার প্রথম সন্তান হওয়ার পর থেকে), তাই আমার মনে হয় এটি আমার উদ্বেগ এবং আতঙ্কের আক্রমণকে উসকে দেয়। যখনই আমি সত্যিকারের অপরাধ করি তখন আমার বেশ কয়েক রাত ঘুমাতে সমস্যা হয়, বাড়িতে একা থাকতে পারি না - বিশেষ করে রাতে -, নীরবতা সামলাতে পারি না কারণ আমি ঘরে এবং আশেপাশে অদ্ভুত শব্দ শুনতে শুরু করি, এবং কখনও কখনও আমার দুঃস্বপ্ন দেখা দেয় যা আতঙ্কের আক্রমণের কারণ হতে পারে। আমি আরও লক্ষ্য করেছি যে আমি কেবল নিজের নিরাপত্তার জন্যই নয়, আমার বাচ্চাদের নিরাপত্তার জন্যও লোকেদের প্রতি সত্যিই ভীত হয়ে পড়তে শুরু করেছি। আমার মনে প্রায় প্রতিটি মানুষই সন্দেহজনক দেখায় বা আচরণ করে।</v>
      </c>
    </row>
    <row r="2095" spans="1:3" ht="15" x14ac:dyDescent="0.25">
      <c r="A2095" s="3" t="s">
        <v>2088</v>
      </c>
      <c r="B2095" s="3" t="s">
        <v>1992</v>
      </c>
      <c r="C2095" s="4" t="str">
        <f ca="1">IFERROR(__xludf.DUMMYFUNCTION("GOOGLETRANSLATE(A2095, ""auto"", ""bn"")"),"আমি এখনও সত্যিকারের অপরাধমূলক বিষয়বস্তুর প্রতি খুব আকৃষ্ট এবং এটি থেকে সম্পূর্ণরূপে দূরে থাকতে আমার সংগ্রাম, কিন্তু আমার মনে হয় আমার নিজের সুস্থতার জন্য এই বিষয়বস্তু আর ব্যবহার না করার সিদ্ধান্ত নেওয়া উচিত। এই কারণেই আমি প্রতিদিনের খবর পড়া বন্ধ করে দ"&amp;"িয়েছিলাম, যা ছেড়ে দেওয়া আমার পক্ষে অনেক সহজ ছিল। যখনই আমি এই বিষয়ে কারো সাথে কথা বলার চেষ্টা করি, তখন লোকেরা সত্যিই বুঝতে পারে না কেন আমি এই ধরণের জিনিস দ্বারা প্রভাবিত বোধ করি, এবং তারা সত্যিই বুঝতে পারে না কেন আমি সত্যিকারের অপরাধের প্রতি আগ্রহী এবং"&amp;" এর দ্বারা উদ্দীপিত বোধ করি, তাই আমি এই সমস্যা নিয়ে বেশ একা বোধ করি। শেষ পর্যন্ত আমি যা জানতে চাই তা হল: আমি কি একা এই সমস্যায় ভুগছি নাকি অন্য লোকেরাও আমার মতোই সত্যিকারের অপরাধ দ্বারা উদ্বুদ্ধ হয়ে এটিকে সম্পূর্ণরূপে এড়িয়ে চলতে শুরু করেছে?")</f>
        <v>আমি এখনও সত্যিকারের অপরাধমূলক বিষয়বস্তুর প্রতি খুব আকৃষ্ট এবং এটি থেকে সম্পূর্ণরূপে দূরে থাকতে আমার সংগ্রাম, কিন্তু আমার মনে হয় আমার নিজের সুস্থতার জন্য এই বিষয়বস্তু আর ব্যবহার না করার সিদ্ধান্ত নেওয়া উচিত। এই কারণেই আমি প্রতিদিনের খবর পড়া বন্ধ করে দিয়েছিলাম, যা ছেড়ে দেওয়া আমার পক্ষে অনেক সহজ ছিল। যখনই আমি এই বিষয়ে কারো সাথে কথা বলার চেষ্টা করি, তখন লোকেরা সত্যিই বুঝতে পারে না কেন আমি এই ধরণের জিনিস দ্বারা প্রভাবিত বোধ করি, এবং তারা সত্যিই বুঝতে পারে না কেন আমি সত্যিকারের অপরাধের প্রতি আগ্রহী এবং এর দ্বারা উদ্দীপিত বোধ করি, তাই আমি এই সমস্যা নিয়ে বেশ একা বোধ করি। শেষ পর্যন্ত আমি যা জানতে চাই তা হল: আমি কি একা এই সমস্যায় ভুগছি নাকি অন্য লোকেরাও আমার মতোই সত্যিকারের অপরাধ দ্বারা উদ্বুদ্ধ হয়ে এটিকে সম্পূর্ণরূপে এড়িয়ে চলতে শুরু করেছে?</v>
      </c>
    </row>
    <row r="2096" spans="1:3" ht="15" x14ac:dyDescent="0.25">
      <c r="A2096" s="3" t="s">
        <v>2089</v>
      </c>
      <c r="B2096" s="3" t="s">
        <v>1992</v>
      </c>
      <c r="C2096" s="4" t="str">
        <f ca="1">IFERROR(__xludf.DUMMYFUNCTION("GOOGLETRANSLATE(A2096, ""auto"", ""bn"")"),"দু'দিনের সপ্তাহান্তে রাতের বেলায় যখন আমি খুব দেরি করে বাইরে ছিলাম, তখন আমার কানে অতিরিক্ত শব্দ আসছিল, দু'বার ঠান্ডা লেগেছিল, অসুস্থ হয়ে পড়েছিলাম, এবং এর ফলে ঘুম এবং তারপর কাজের পারফরম্যান্স কমে গিয়েছিল। তারপর আমি ভ্যালেন্টাইন্স ডে-তে আমার প্রেমিকার অফি"&amp;"সে গিয়েছিলাম এবং সে প্রথমে বন্ধুর মতো আমার গালে চুমু খাওয়ার পাশাপাশি, পরে আমি তাকে টেক্সট এবং কল করেও ধরতে পারিনি - সে দুটোকেই উপেক্ষা করেছিল, আমাকে ব্লক করা হয়েছিল / তার ফোন বন্ধ ছিল, সে কল যাই হোক না কেন। কিন্তু অসুস্থতা, কানে ব্যথা, ক্লান্তি এবং উদ্"&amp;"বেগ মৌখিক ডায়রিয়ার জন্য তৈরি হয়েছিল। আমি আমার এখনকার সম্ভাব্য প্রাক্তন প্রেমিকাকে বেশ কয়েকবার ফোন করেছি, আমি কি আগামীকাল তার বোনকে কল করার কথা ভাবছি, এবং এর জন্য আমি সম্ভবত তার কাছ থেকে দুঃখ পাব। আমি অ্যান্টি-অ্যাংজাইটি ওষুধ খাচ্ছি না এবং আমার পোস্টিং"&amp;" ইতিহাস দেখায় যে আমি কতটা চিন্তিত হতে পারি। ""স্বাভাবিক"" লোকেরা আমাকে সাহায্য পেতে বলে।")</f>
        <v>দু'দিনের সপ্তাহান্তে রাতের বেলায় যখন আমি খুব দেরি করে বাইরে ছিলাম, তখন আমার কানে অতিরিক্ত শব্দ আসছিল, দু'বার ঠান্ডা লেগেছিল, অসুস্থ হয়ে পড়েছিলাম, এবং এর ফলে ঘুম এবং তারপর কাজের পারফরম্যান্স কমে গিয়েছিল। তারপর আমি ভ্যালেন্টাইন্স ডে-তে আমার প্রেমিকার অফিসে গিয়েছিলাম এবং সে প্রথমে বন্ধুর মতো আমার গালে চুমু খাওয়ার পাশাপাশি, পরে আমি তাকে টেক্সট এবং কল করেও ধরতে পারিনি - সে দুটোকেই উপেক্ষা করেছিল, আমাকে ব্লক করা হয়েছিল / তার ফোন বন্ধ ছিল, সে কল যাই হোক না কেন। কিন্তু অসুস্থতা, কানে ব্যথা, ক্লান্তি এবং উদ্বেগ মৌখিক ডায়রিয়ার জন্য তৈরি হয়েছিল। আমি আমার এখনকার সম্ভাব্য প্রাক্তন প্রেমিকাকে বেশ কয়েকবার ফোন করেছি, আমি কি আগামীকাল তার বোনকে কল করার কথা ভাবছি, এবং এর জন্য আমি সম্ভবত তার কাছ থেকে দুঃখ পাব। আমি অ্যান্টি-অ্যাংজাইটি ওষুধ খাচ্ছি না এবং আমার পোস্টিং ইতিহাস দেখায় যে আমি কতটা চিন্তিত হতে পারি। "স্বাভাবিক" লোকেরা আমাকে সাহায্য পেতে বলে।</v>
      </c>
    </row>
    <row r="2097" spans="1:3" ht="15" x14ac:dyDescent="0.25">
      <c r="A2097" s="3" t="s">
        <v>2090</v>
      </c>
      <c r="B2097" s="3" t="s">
        <v>1992</v>
      </c>
      <c r="C2097" s="4" t="str">
        <f ca="1">IFERROR(__xludf.DUMMYFUNCTION("GOOGLETRANSLATE(A2097, ""auto"", ""bn"")"),"আমি জানি না কিভাবে এটা একসাথে রাখবো। আমার হবু প্রাক্তন প্রেমিকা হয়তো ১৪-১৫ ফেব্রুয়ারি রাতে প্রতারণা করেছে, সে আমাকে বলেছিল যে ছেলে বন্ধুরা প্রেম করে এবং তাকে শার্টবিহীন ছবি পাঠায়, সে দাবি করে যে তারা কেবল বন্ধু, কিন্তু আমি সন্দেহ করি। এই থ্রেডের উদ্দেশ্য "&amp;"কী তা নিশ্চিত নই, আমি কেবল এমন একটি গ্রুপের সাথে আমার কষ্টগুলি ভাগ করে নিতে চেয়েছিলাম যারা বুঝতে পারে।")</f>
        <v>আমি জানি না কিভাবে এটা একসাথে রাখবো। আমার হবু প্রাক্তন প্রেমিকা হয়তো ১৪-১৫ ফেব্রুয়ারি রাতে প্রতারণা করেছে, সে আমাকে বলেছিল যে ছেলে বন্ধুরা প্রেম করে এবং তাকে শার্টবিহীন ছবি পাঠায়, সে দাবি করে যে তারা কেবল বন্ধু, কিন্তু আমি সন্দেহ করি। এই থ্রেডের উদ্দেশ্য কী তা নিশ্চিত নই, আমি কেবল এমন একটি গ্রুপের সাথে আমার কষ্টগুলি ভাগ করে নিতে চেয়েছিলাম যারা বুঝতে পারে।</v>
      </c>
    </row>
    <row r="2098" spans="1:3" ht="15" x14ac:dyDescent="0.25">
      <c r="A2098" s="3" t="s">
        <v>2091</v>
      </c>
      <c r="B2098" s="3" t="s">
        <v>1992</v>
      </c>
      <c r="C2098" s="4" t="str">
        <f ca="1">IFERROR(__xludf.DUMMYFUNCTION("GOOGLETRANSLATE(A2098, ""auto"", ""bn"")"),"হে বন্ধুরা, আশা করি আমি তোমাদের কাউকে উত্তেজিত করব না, কিন্তু আমাকে এই পোস্টটি করতেই হল।")</f>
        <v>হে বন্ধুরা, আশা করি আমি তোমাদের কাউকে উত্তেজিত করব না, কিন্তু আমাকে এই পোস্টটি করতেই হল।</v>
      </c>
    </row>
    <row r="2099" spans="1:3" ht="15" x14ac:dyDescent="0.25">
      <c r="A2099" s="3" t="s">
        <v>2092</v>
      </c>
      <c r="B2099" s="3" t="s">
        <v>1992</v>
      </c>
      <c r="C2099" s="4" t="str">
        <f ca="1">IFERROR(__xludf.DUMMYFUNCTION("GOOGLETRANSLATE(A2099, ""auto"", ""bn"")"),"অনেক মানুষ সামাজিক উদ্বেগের সাথে লড়াই করে। আমার মনে হয় কোভিডের কারণে সমস্যাটি আরও খারাপ হচ্ছে। আমাদের অনেকেই বাস্তব জীবনে খুব কমই মানুষের সাথে কথা বলি, তাই আমাদের জন্য সংযোগ স্থাপন করা কঠিন হয়ে উঠছে। আমার মনে হয় বন্ধুরা ব্যক্তিগত বিকাশের জন্য খুবই গুর"&amp;"ুত্বপূর্ণ কারণ তারা আমাদের সামাজিক উদ্বেগ কাটিয়ে উঠতে এবং আমরা যতটা সম্ভব সেরা ব্যক্তি হতে সাহায্য করতে পারে। কেউ কি তাদের সামাজিক উদ্বেগ কাটিয়ে উঠতে সাহায্য করার জন্য বন্ধু খুঁজছেন? যদি তাই হয়, তাহলে নীচে একটি বার্তা দিন অথবা আমাকে DM করুন: চিউইং গাম "&amp;"কি উদ্বেগ শান্ত করতে সাহায্য করে?z")</f>
        <v>অনেক মানুষ সামাজিক উদ্বেগের সাথে লড়াই করে। আমার মনে হয় কোভিডের কারণে সমস্যাটি আরও খারাপ হচ্ছে। আমাদের অনেকেই বাস্তব জীবনে খুব কমই মানুষের সাথে কথা বলি, তাই আমাদের জন্য সংযোগ স্থাপন করা কঠিন হয়ে উঠছে। আমার মনে হয় বন্ধুরা ব্যক্তিগত বিকাশের জন্য খুবই গুরুত্বপূর্ণ কারণ তারা আমাদের সামাজিক উদ্বেগ কাটিয়ে উঠতে এবং আমরা যতটা সম্ভব সেরা ব্যক্তি হতে সাহায্য করতে পারে। কেউ কি তাদের সামাজিক উদ্বেগ কাটিয়ে উঠতে সাহায্য করার জন্য বন্ধু খুঁজছেন? যদি তাই হয়, তাহলে নীচে একটি বার্তা দিন অথবা আমাকে DM করুন: চিউইং গাম কি উদ্বেগ শান্ত করতে সাহায্য করে?z</v>
      </c>
    </row>
    <row r="2100" spans="1:3" ht="15" x14ac:dyDescent="0.25">
      <c r="A2100" s="3" t="s">
        <v>2093</v>
      </c>
      <c r="B2100" s="3" t="s">
        <v>1992</v>
      </c>
      <c r="C2100" s="4" t="str">
        <f ca="1">IFERROR(__xludf.DUMMYFUNCTION("GOOGLETRANSLATE(A2100, ""auto"", ""bn"")"),"হ্যালো। আমার একটা অবসেসিভ অ্যাংজাইটি ডিসঅর্ডার আছে। সমস্যা হলো আমার মন খুব বেশি চিন্তা করে। আমি থেরাপি নিয়েছি এবং আমার অনেক উন্নতি হয়েছে, কিন্তু একটা সমস্যা আমাকে পাগল করে দিচ্ছে। এই উদ্বেগের কারণে আমার ত্বক শুষ্ক হয়ে যায়, এবং এটি আমার যৌন জীবনকে প্রভাবিত"&amp;" করছে। লিঙ্গ? ত্বকও এতে ভুগছে, এবং আমার ঘন ঘন সংবেদনশীলতার সমস্যা হচ্ছে, এবং এটি আমার দম্পতির সাথে আমার জীবনকে প্রভাবিত করে। আমি ডাক্তারের কাছে গিয়েছি এবং বিভিন্ন লোশন এবং ওষুধ প্রয়োগ করেছি, কিন্তু সমস্যাটি এখনও রয়ে গেছে। যখন আমার উদ্বেগ নিয়ন্ত্রণ করা হয়"&amp;", তখন ভালো হয়, কিন্তু আমি এই সমস্যাটি নিয়ে আচ্ছন্ন বোধ করতে শুরু করেছি। কোন সাহায্যের সম্ভাবনা আছে? যাইহোক, ডাক্তাররা বলছেন যে আমার ত্বকে কোনও শারীরিক ব্যাধি নেই, এটি কেবল শুষ্কতা। উদ্বেগের আগে এই সমস্যাটি ছিল না।")</f>
        <v>হ্যালো। আমার একটা অবসেসিভ অ্যাংজাইটি ডিসঅর্ডার আছে। সমস্যা হলো আমার মন খুব বেশি চিন্তা করে। আমি থেরাপি নিয়েছি এবং আমার অনেক উন্নতি হয়েছে, কিন্তু একটা সমস্যা আমাকে পাগল করে দিচ্ছে। এই উদ্বেগের কারণে আমার ত্বক শুষ্ক হয়ে যায়, এবং এটি আমার যৌন জীবনকে প্রভাবিত করছে। লিঙ্গ? ত্বকও এতে ভুগছে, এবং আমার ঘন ঘন সংবেদনশীলতার সমস্যা হচ্ছে, এবং এটি আমার দম্পতির সাথে আমার জীবনকে প্রভাবিত করে। আমি ডাক্তারের কাছে গিয়েছি এবং বিভিন্ন লোশন এবং ওষুধ প্রয়োগ করেছি, কিন্তু সমস্যাটি এখনও রয়ে গেছে। যখন আমার উদ্বেগ নিয়ন্ত্রণ করা হয়, তখন ভালো হয়, কিন্তু আমি এই সমস্যাটি নিয়ে আচ্ছন্ন বোধ করতে শুরু করেছি। কোন সাহায্যের সম্ভাবনা আছে? যাইহোক, ডাক্তাররা বলছেন যে আমার ত্বকে কোনও শারীরিক ব্যাধি নেই, এটি কেবল শুষ্কতা। উদ্বেগের আগে এই সমস্যাটি ছিল না।</v>
      </c>
    </row>
    <row r="2101" spans="1:3" ht="15" x14ac:dyDescent="0.25">
      <c r="A2101" s="3" t="s">
        <v>2094</v>
      </c>
      <c r="B2101" s="3" t="s">
        <v>1992</v>
      </c>
      <c r="C2101" s="4" t="str">
        <f ca="1">IFERROR(__xludf.DUMMYFUNCTION("GOOGLETRANSLATE(A2101, ""auto"", ""bn"")"),"মঙ্গলবারের জন্য ছুটি চেয়েছিলাম কারণ আমার থেরাপিস্টের সাথে আমার অ্যাপয়েন্টমেন্ট ছিল। যা অনুমোদিত হয়েছে। সোমবার, আমি একটি ফোন পেয়েছিলাম যেখানে বলা হয়েছিল যে বুধবার সকাল ৯ টায় অ্যাপয়েন্টমেন্টের সময়সূচী পরিবর্তন করা হয়েছে। আজ, আমার বস আমাকে ফোন করেছি"&amp;"লেন এবং দেখতে চেয়েছিলেন যে আমি বুধবার সকাল ১০ টা থেকে সন্ধ্যা ৭ টা পর্যন্ত কাজ করতে পারব কিনা। আমি তাকে বলেছিলাম যে আমার একটি অ্যাপয়েন্টমেন্ট আছে এবং আমি মনে করি না যে আমি এটি করতে পারব। সে বলল যে এটা ঠিক আছে। এখন আমি চিন্তিত যে সে হয়তো ভাববে যে আমি অ্"&amp;"যাপয়েন্টমেন্ট সম্পর্কে মিথ্যা বলছি এবং এটি আমার বিরুদ্ধে। আমি কি এই বিষয়ে খুব বেশি চিন্তা করছি?")</f>
        <v>মঙ্গলবারের জন্য ছুটি চেয়েছিলাম কারণ আমার থেরাপিস্টের সাথে আমার অ্যাপয়েন্টমেন্ট ছিল। যা অনুমোদিত হয়েছে। সোমবার, আমি একটি ফোন পেয়েছিলাম যেখানে বলা হয়েছিল যে বুধবার সকাল ৯ টায় অ্যাপয়েন্টমেন্টের সময়সূচী পরিবর্তন করা হয়েছে। আজ, আমার বস আমাকে ফোন করেছিলেন এবং দেখতে চেয়েছিলেন যে আমি বুধবার সকাল ১০ টা থেকে সন্ধ্যা ৭ টা পর্যন্ত কাজ করতে পারব কিনা। আমি তাকে বলেছিলাম যে আমার একটি অ্যাপয়েন্টমেন্ট আছে এবং আমি মনে করি না যে আমি এটি করতে পারব। সে বলল যে এটা ঠিক আছে। এখন আমি চিন্তিত যে সে হয়তো ভাববে যে আমি অ্যাপয়েন্টমেন্ট সম্পর্কে মিথ্যা বলছি এবং এটি আমার বিরুদ্ধে। আমি কি এই বিষয়ে খুব বেশি চিন্তা করছি?</v>
      </c>
    </row>
    <row r="2102" spans="1:3" ht="15" x14ac:dyDescent="0.25">
      <c r="A2102" s="3" t="s">
        <v>2095</v>
      </c>
      <c r="B2102" s="3" t="s">
        <v>1992</v>
      </c>
      <c r="C2102" s="4" t="str">
        <f ca="1">IFERROR(__xludf.DUMMYFUNCTION("GOOGLETRANSLATE(A2102, ""auto"", ""bn"")"),"আমার যে গুরুতর উদ্বেগ (স্বাস্থ্য উদ্বেগ/অসুস্থতা উদ্বেগ ব্যাধি) আছে, তা কাটিয়ে ওঠার জন্য আমি সত্যিই কিছু কৌশল খুঁজছি কারণ এটি এমন একটি বাধা যা আমি কাটিয়ে উঠতে পারছি না। আমি জানি যে এই টিকা সম্পূর্ণ নিরাপদ, তবে সম্ভাব্য শারীরিক লক্ষণগুলির উপর মনোযোগ কেন্"&amp;"দ্রীভূত করে আমার উদ্বেগ কমাতে আমার সাহায্যের প্রয়োজন। তাছাড়া, আমি সবকিছু বিবেচনা করেছি এবং জানি এটিই সঠিক পছন্দ, তবে মানসিকভাবে এর মোকাবেলা করার জন্য আমার কেবল টিপস/পরামর্শের প্রয়োজন।")</f>
        <v>আমার যে গুরুতর উদ্বেগ (স্বাস্থ্য উদ্বেগ/অসুস্থতা উদ্বেগ ব্যাধি) আছে, তা কাটিয়ে ওঠার জন্য আমি সত্যিই কিছু কৌশল খুঁজছি কারণ এটি এমন একটি বাধা যা আমি কাটিয়ে উঠতে পারছি না। আমি জানি যে এই টিকা সম্পূর্ণ নিরাপদ, তবে সম্ভাব্য শারীরিক লক্ষণগুলির উপর মনোযোগ কেন্দ্রীভূত করে আমার উদ্বেগ কমাতে আমার সাহায্যের প্রয়োজন। তাছাড়া, আমি সবকিছু বিবেচনা করেছি এবং জানি এটিই সঠিক পছন্দ, তবে মানসিকভাবে এর মোকাবেলা করার জন্য আমার কেবল টিপস/পরামর্শের প্রয়োজন।</v>
      </c>
    </row>
    <row r="2103" spans="1:3" ht="15" x14ac:dyDescent="0.25">
      <c r="A2103" s="3" t="s">
        <v>2096</v>
      </c>
      <c r="B2103" s="3" t="s">
        <v>1992</v>
      </c>
      <c r="C2103" s="4" t="str">
        <f ca="1">IFERROR(__xludf.DUMMYFUNCTION("GOOGLETRANSLATE(A2103, ""auto"", ""bn"")"),"আমার ভেতরে আতঙ্ক এবং ভয় অনুভব করছি, বুকে টানটান ভাব, হৃদস্পন্দন দ্রুত হচ্ছে। আমি সারা জীবন দুশ্চিন্তায় ভুগছি। আমি ৮ বছর ধরে বেজোসের প্রতি আসক্ত ছিলাম, তারপর প্রেসক্রিপশন ছাড়াই। এটি অত্যন্ত সাহায্য করেছে এবং আমার জন্য আশ্চর্যজনক কাজ করেছে। আমি পুনর্বাসন"&amp;"ে গিয়েছিলাম এবং এখন আর প্রেসক্রিপশন নিতে পারছি না। তারপর থেকে (২০১৭) আমি ওষুধের সাহায্য ছাড়া আমার সবচেয়ে বড় ভয়, যা কাজ করছে, কাটিয়ে উঠতে পারিনি।")</f>
        <v>আমার ভেতরে আতঙ্ক এবং ভয় অনুভব করছি, বুকে টানটান ভাব, হৃদস্পন্দন দ্রুত হচ্ছে। আমি সারা জীবন দুশ্চিন্তায় ভুগছি। আমি ৮ বছর ধরে বেজোসের প্রতি আসক্ত ছিলাম, তারপর প্রেসক্রিপশন ছাড়াই। এটি অত্যন্ত সাহায্য করেছে এবং আমার জন্য আশ্চর্যজনক কাজ করেছে। আমি পুনর্বাসনে গিয়েছিলাম এবং এখন আর প্রেসক্রিপশন নিতে পারছি না। তারপর থেকে (২০১৭) আমি ওষুধের সাহায্য ছাড়া আমার সবচেয়ে বড় ভয়, যা কাজ করছে, কাটিয়ে উঠতে পারিনি।</v>
      </c>
    </row>
    <row r="2104" spans="1:3" ht="15" x14ac:dyDescent="0.25">
      <c r="A2104" s="3" t="s">
        <v>2097</v>
      </c>
      <c r="B2104" s="3" t="s">
        <v>1992</v>
      </c>
      <c r="C2104" s="4" t="str">
        <f ca="1">IFERROR(__xludf.DUMMYFUNCTION("GOOGLETRANSLATE(A2104, ""auto"", ""bn"")"),"আমার সারা জীবন আমি উদ্বেগে ভুগছি। আমি ৮ বছর ধরে বেজোসের প্রতি আসক্ত ছিলাম, তারপর প্রেসক্রিপশনে দেওয়া হয়নি। এটি প্রচুর সাহায্য করেছে এবং আমার জন্য আশ্চর্যজনক কাজ করেছে। আমি পুনর্বাসনে গিয়েছিলাম এবং এখন আর প্রেসক্রিপশন নিতে পারছি না। তারপর থেকে (২০১৭) আমি "&amp;"ওষুধের সাহায্য ছাড়া আমার সবচেয়ে বড় ভয়, যা কাজ করছে, তা কাটিয়ে উঠতে পারিনি।")</f>
        <v>আমার সারা জীবন আমি উদ্বেগে ভুগছি। আমি ৮ বছর ধরে বেজোসের প্রতি আসক্ত ছিলাম, তারপর প্রেসক্রিপশনে দেওয়া হয়নি। এটি প্রচুর সাহায্য করেছে এবং আমার জন্য আশ্চর্যজনক কাজ করেছে। আমি পুনর্বাসনে গিয়েছিলাম এবং এখন আর প্রেসক্রিপশন নিতে পারছি না। তারপর থেকে (২০১৭) আমি ওষুধের সাহায্য ছাড়া আমার সবচেয়ে বড় ভয়, যা কাজ করছে, তা কাটিয়ে উঠতে পারিনি।</v>
      </c>
    </row>
    <row r="2105" spans="1:3" ht="15" x14ac:dyDescent="0.25">
      <c r="A2105" s="3" t="s">
        <v>2098</v>
      </c>
      <c r="B2105" s="3" t="s">
        <v>1992</v>
      </c>
      <c r="C2105" s="4" t="str">
        <f ca="1">IFERROR(__xludf.DUMMYFUNCTION("GOOGLETRANSLATE(A2105, ""auto"", ""bn"")"),"৬ মাস হয়ে গেছে, আর আগের তুলনায় এখন আর ভালো হচ্ছে বলে মনে হচ্ছে না। আসলে এখন আমার অবস্থা আগের চেয়ে খারাপ। বর্ডারলাইন পার্সোনালিটি ডিসঅর্ডার ধরা পড়ার পর আমি এক বছর ধরে থেরাপি প্রোগ্রাম করেছি, কিন্তু এখনও আমার উদ্বেগ ভালো হচ্ছে না। বেজোস ছাড়া আর কোনও ওষুধ আ"&amp;"মার উদ্বেগের জন্য কাজ করে না।")</f>
        <v>৬ মাস হয়ে গেছে, আর আগের তুলনায় এখন আর ভালো হচ্ছে বলে মনে হচ্ছে না। আসলে এখন আমার অবস্থা আগের চেয়ে খারাপ। বর্ডারলাইন পার্সোনালিটি ডিসঅর্ডার ধরা পড়ার পর আমি এক বছর ধরে থেরাপি প্রোগ্রাম করেছি, কিন্তু এখনও আমার উদ্বেগ ভালো হচ্ছে না। বেজোস ছাড়া আর কোনও ওষুধ আমার উদ্বেগের জন্য কাজ করে না।</v>
      </c>
    </row>
    <row r="2106" spans="1:3" ht="15" x14ac:dyDescent="0.25">
      <c r="A2106" s="3" t="s">
        <v>2099</v>
      </c>
      <c r="B2106" s="3" t="s">
        <v>1992</v>
      </c>
      <c r="C2106" s="4" t="str">
        <f ca="1">IFERROR(__xludf.DUMMYFUNCTION("GOOGLETRANSLATE(A2106, ""auto"", ""bn"")"),"আমার উদ্বেগের জন্য বেজোস ছাড়া আর কোনও ওষুধ কাজ করে না।")</f>
        <v>আমার উদ্বেগের জন্য বেজোস ছাড়া আর কোনও ওষুধ কাজ করে না।</v>
      </c>
    </row>
    <row r="2107" spans="1:3" ht="15" x14ac:dyDescent="0.25">
      <c r="A2107" s="3" t="s">
        <v>2100</v>
      </c>
      <c r="B2107" s="3" t="s">
        <v>1992</v>
      </c>
      <c r="C2107" s="4" t="str">
        <f ca="1">IFERROR(__xludf.DUMMYFUNCTION("GOOGLETRANSLATE(A2107, ""auto"", ""bn"")"),"হাই। আমি সবসময়ই খুব উদ্বিগ্ন মানুষ, কিন্তু কখনও খুব বেশি বমি বমি ভাবের সমস্যায় পড়িনি। গত এক মাস ধরে হঠাৎ করেই আমার বমি বমি ভাব শুরু হয়েছে এবং যখনই আমি উদ্বিগ্ন/চাপগ্রস্ত থাকি তখন কি আমার বাথরুমে খুব খারাপ সময় কাটাতে হয়? কখনও কখনও যখন আমি অগত্যা উদ্ব"&amp;"িগ্ন বোধ করি না তখনও! এটা ভয়াবহ। আমি ভাবছিলাম যে তোমাদের মধ্যে কেউ কি এইরকম অভিজ্ঞতা লাভ করছে নাকি শুধু আমিই এই সমস্যায় ভুগছি। এটা ঠিক করার কোন উপায় আছে কি? ধন্যবাদ।")</f>
        <v>হাই। আমি সবসময়ই খুব উদ্বিগ্ন মানুষ, কিন্তু কখনও খুব বেশি বমি বমি ভাবের সমস্যায় পড়িনি। গত এক মাস ধরে হঠাৎ করেই আমার বমি বমি ভাব শুরু হয়েছে এবং যখনই আমি উদ্বিগ্ন/চাপগ্রস্ত থাকি তখন কি আমার বাথরুমে খুব খারাপ সময় কাটাতে হয়? কখনও কখনও যখন আমি অগত্যা উদ্বিগ্ন বোধ করি না তখনও! এটা ভয়াবহ। আমি ভাবছিলাম যে তোমাদের মধ্যে কেউ কি এইরকম অভিজ্ঞতা লাভ করছে নাকি শুধু আমিই এই সমস্যায় ভুগছি। এটা ঠিক করার কোন উপায় আছে কি? ধন্যবাদ।</v>
      </c>
    </row>
    <row r="2108" spans="1:3" ht="15" x14ac:dyDescent="0.25">
      <c r="A2108" s="3" t="s">
        <v>2101</v>
      </c>
      <c r="B2108" s="3" t="s">
        <v>1992</v>
      </c>
      <c r="C2108" s="4" t="str">
        <f ca="1">IFERROR(__xludf.DUMMYFUNCTION("GOOGLETRANSLATE(A2108, ""auto"", ""bn"")"),"হাই, আমি একজন স্বাস্থ্যসেবা সহকারী ছাত্র, অনুশীলন শুরু করছি, আমার আগের অনুশীলন আমার উদ্বেগের কারণে স্থগিত করা হয়েছিল। যত্ন নেওয়ার সময় আমি উদ্বেগের কারণে ঠান্ডা অনুভব করি, এবং এটি অর্ধেক দিন (6 ঘন্টা দিন) স্থায়ী হতে পারে, আমি কিছু চোখের জল ফেলতেও বাধ্য"&amp;" হই। উদ্বেগ সাধারণত তখনই হয় যখন আমি যত্ন প্রদান করি তখন এটি আরও খারাপ হয়, এটি শান্ত হয় এবং কখনও কখনও তার পরে চলে যায়, যদিও আমি ঘন্টার পর ঘন্টা খারাপ উদ্বেগ অনুভব করেছি। আমি সবকিছুতে নিখুঁত না হওয়ার সাথেও লড়াই করি যদিও এটিই প্রথমবারের মতো আমি আসল আবা"&amp;"সস্থলে যত্ন নিচ্ছি।")</f>
        <v>হাই, আমি একজন স্বাস্থ্যসেবা সহকারী ছাত্র, অনুশীলন শুরু করছি, আমার আগের অনুশীলন আমার উদ্বেগের কারণে স্থগিত করা হয়েছিল। যত্ন নেওয়ার সময় আমি উদ্বেগের কারণে ঠান্ডা অনুভব করি, এবং এটি অর্ধেক দিন (6 ঘন্টা দিন) স্থায়ী হতে পারে, আমি কিছু চোখের জল ফেলতেও বাধ্য হই। উদ্বেগ সাধারণত তখনই হয় যখন আমি যত্ন প্রদান করি তখন এটি আরও খারাপ হয়, এটি শান্ত হয় এবং কখনও কখনও তার পরে চলে যায়, যদিও আমি ঘন্টার পর ঘন্টা খারাপ উদ্বেগ অনুভব করেছি। আমি সবকিছুতে নিখুঁত না হওয়ার সাথেও লড়াই করি যদিও এটিই প্রথমবারের মতো আমি আসল আবাসস্থলে যত্ন নিচ্ছি।</v>
      </c>
    </row>
    <row r="2109" spans="1:3" ht="15" x14ac:dyDescent="0.25">
      <c r="A2109" s="3" t="s">
        <v>2102</v>
      </c>
      <c r="B2109" s="3" t="s">
        <v>1992</v>
      </c>
      <c r="C2109" s="4" t="str">
        <f ca="1">IFERROR(__xludf.DUMMYFUNCTION("GOOGLETRANSLATE(A2109, ""auto"", ""bn"")"),"আমি এই কাজটি করতে ভালোবাসি এবং করতে চাই, আমার কেবল আমার উদ্বেগ কাটিয়ে ওঠা দরকার। আমি দেখতে চেয়েছিলাম যে এই পরিস্থিতিতে আমার উদ্বেগ কীভাবে শান্ত করা যায় সে সম্পর্কে কারও কাছে কোনও পরামর্শ আছে কিনা। যেকোনো সাহায্যের জন্য ধন্যবাদ।")</f>
        <v>আমি এই কাজটি করতে ভালোবাসি এবং করতে চাই, আমার কেবল আমার উদ্বেগ কাটিয়ে ওঠা দরকার। আমি দেখতে চেয়েছিলাম যে এই পরিস্থিতিতে আমার উদ্বেগ কীভাবে শান্ত করা যায় সে সম্পর্কে কারও কাছে কোনও পরামর্শ আছে কিনা। যেকোনো সাহায্যের জন্য ধন্যবাদ।</v>
      </c>
    </row>
    <row r="2110" spans="1:3" ht="15" x14ac:dyDescent="0.25">
      <c r="A2110" s="3" t="s">
        <v>2103</v>
      </c>
      <c r="B2110" s="3" t="s">
        <v>1992</v>
      </c>
      <c r="C2110" s="4" t="str">
        <f ca="1">IFERROR(__xludf.DUMMYFUNCTION("GOOGLETRANSLATE(A2110, ""auto"", ""bn"")"),"আমি ছবি আঁকা ভালোবাসি, আর কয়েক বছর ধরে ছবি আঁকার ছন্দে আমি নিজেকে মানিয়ে নিয়েছি এবং এতে স্বাচ্ছন্দ্য বোধ করছি। আমার সেই বছরগুলোর শিল্পকর্ম আছে যা আমাকে আনন্দ দেয়, এমনকি যখন আমি শিখছিলাম এবং শিখছিলাম তখন শিল্পটি ভালো ছিল না। যখন আমি অনেক দিন ধরে ছবি আঁ"&amp;"কার চেষ্টা করি না তখন আবার চেষ্টা করার ব্যাপারে উদ্বিগ্ন হই, এবং সাম্প্রতিক মাসগুলিতে যখন আমি ছবি আঁকার চেষ্টা করি, তখন অনুশীলনের বাইরে থাকার কারণে আমি জানি না আমি কী করছি, এবং ছবি আঁকা খারাপ হয়ে গেলে চালিয়ে যাওয়ার কোনও প্রেরণা হারিয়ে ফেলি। এই শীতে আম"&amp;"ি কিছু নতুন ছবি আঁকার চেষ্টা করতে চেয়েছিলাম, কিন্তু এই সমস্যার মধ্য দিয়ে যাচ্ছি যেখানে আমি নিজেকে এর জন্য প্রস্তুত করার জন্য এই সমস্ত সময় ব্যয় করি। আমি আমার ডেস্ক পরিষ্কার করব এবং একটি ওয়ার্কস্টেশন সেট করব, সমস্ত রঙ প্রস্তুত করব, ল্যাপটপে রেফারেন্স প"&amp;"্রস্তুত করব। তারপর আমি বসে আতঙ্কিত হতে শুরু করি। আমার ঘাম হয়, আমার মাথা ঘুরছে, হৃদস্পন্দন চলছে, এবং আমার কান্নার ইচ্ছা হচ্ছে। এটা খুবই বিরক্তিকর এবং আমি মনে করি এটি অবশ্যই সবচেয়ে বড় বাধা। এবং অবশ্যই এটি সর্বদা ফিরে আসে। ছবি আঁকার সময় যখন আমি ""আরামদায়"&amp;"ক"" ছিলাম, তখনও এই প্রক্রিয়ার সময় আমার কিছুটা উদ্বেগ ছিল। প্রায় দশ বছর আগে আমি একটি ছবি তৈরি করেছি, এবং সেই সময় আমি কতটা স্বাচ্ছন্দ্য বোধ করেছিলাম তা আমি কখনই ভুলব না। আমি আশা করি আমি সেই স্বস্তিকর আত্মবিশ্বাস পুনরায় অনুভব করতে পারব।")</f>
        <v>আমি ছবি আঁকা ভালোবাসি, আর কয়েক বছর ধরে ছবি আঁকার ছন্দে আমি নিজেকে মানিয়ে নিয়েছি এবং এতে স্বাচ্ছন্দ্য বোধ করছি। আমার সেই বছরগুলোর শিল্পকর্ম আছে যা আমাকে আনন্দ দেয়, এমনকি যখন আমি শিখছিলাম এবং শিখছিলাম তখন শিল্পটি ভালো ছিল না। যখন আমি অনেক দিন ধরে ছবি আঁকার চেষ্টা করি না তখন আবার চেষ্টা করার ব্যাপারে উদ্বিগ্ন হই, এবং সাম্প্রতিক মাসগুলিতে যখন আমি ছবি আঁকার চেষ্টা করি, তখন অনুশীলনের বাইরে থাকার কারণে আমি জানি না আমি কী করছি, এবং ছবি আঁকা খারাপ হয়ে গেলে চালিয়ে যাওয়ার কোনও প্রেরণা হারিয়ে ফেলি। এই শীতে আমি কিছু নতুন ছবি আঁকার চেষ্টা করতে চেয়েছিলাম, কিন্তু এই সমস্যার মধ্য দিয়ে যাচ্ছি যেখানে আমি নিজেকে এর জন্য প্রস্তুত করার জন্য এই সমস্ত সময় ব্যয় করি। আমি আমার ডেস্ক পরিষ্কার করব এবং একটি ওয়ার্কস্টেশন সেট করব, সমস্ত রঙ প্রস্তুত করব, ল্যাপটপে রেফারেন্স প্রস্তুত করব। তারপর আমি বসে আতঙ্কিত হতে শুরু করি। আমার ঘাম হয়, আমার মাথা ঘুরছে, হৃদস্পন্দন চলছে, এবং আমার কান্নার ইচ্ছা হচ্ছে। এটা খুবই বিরক্তিকর এবং আমি মনে করি এটি অবশ্যই সবচেয়ে বড় বাধা। এবং অবশ্যই এটি সর্বদা ফিরে আসে। ছবি আঁকার সময় যখন আমি "আরামদায়ক" ছিলাম, তখনও এই প্রক্রিয়ার সময় আমার কিছুটা উদ্বেগ ছিল। প্রায় দশ বছর আগে আমি একটি ছবি তৈরি করেছি, এবং সেই সময় আমি কতটা স্বাচ্ছন্দ্য বোধ করেছিলাম তা আমি কখনই ভুলব না। আমি আশা করি আমি সেই স্বস্তিকর আত্মবিশ্বাস পুনরায় অনুভব করতে পারব।</v>
      </c>
    </row>
    <row r="2111" spans="1:3" ht="15" x14ac:dyDescent="0.25">
      <c r="A2111" s="3" t="s">
        <v>2104</v>
      </c>
      <c r="B2111" s="3" t="s">
        <v>1992</v>
      </c>
      <c r="C2111" s="4" t="str">
        <f ca="1">IFERROR(__xludf.DUMMYFUNCTION("GOOGLETRANSLATE(A2111, ""auto"", ""bn"")"),"DAE জানে কিভাবে এই বাধা অতিক্রম করতে হয়? আমি সবসময় শুনি ""শুধু এটা করো"" (নাইকি) হি-হি, অবশ্যই আমি এটা বুঝতে পারি, এবং আমি এটা অতিক্রম করার চেষ্টা করি, কিন্তু ছবি আঁকার সময় উদ্বেগ আসলে দূর হয় না। যদিও সম্প্রতি এটি খুব কঠিন হয়ে পড়েছে। শান্ত হওয়া এবং পা"&amp;"রফরম্যান্স উদ্বেগ কাটিয়ে ওঠার জন্য আপনার কি অন্য কোন টিপস আছে?")</f>
        <v>DAE জানে কিভাবে এই বাধা অতিক্রম করতে হয়? আমি সবসময় শুনি "শুধু এটা করো" (নাইকি) হি-হি, অবশ্যই আমি এটা বুঝতে পারি, এবং আমি এটা অতিক্রম করার চেষ্টা করি, কিন্তু ছবি আঁকার সময় উদ্বেগ আসলে দূর হয় না। যদিও সম্প্রতি এটি খুব কঠিন হয়ে পড়েছে। শান্ত হওয়া এবং পারফরম্যান্স উদ্বেগ কাটিয়ে ওঠার জন্য আপনার কি অন্য কোন টিপস আছে?</v>
      </c>
    </row>
    <row r="2112" spans="1:3" ht="15" x14ac:dyDescent="0.25">
      <c r="A2112" s="3" t="s">
        <v>2105</v>
      </c>
      <c r="B2112" s="3" t="s">
        <v>1992</v>
      </c>
      <c r="C2112" s="4" t="str">
        <f ca="1">IFERROR(__xludf.DUMMYFUNCTION("GOOGLETRANSLATE(A2112, ""auto"", ""bn"")"),"আমার আগেও প্যানিক অ্যাটাক হয়েছিল এবং GAD হয়েছিল আমি সবসময় মৃত্যুর ভয় পাই এবং সবসময় আমার নাড়ির হার পরীক্ষা করি মাঝে মাঝে আমার মনে হয় আমার হৃদস্পন্দন হঠাৎ কমে গেছে বা ঝাঁকুনির অনুভূতি হচ্ছে। আমি ঝাঁকুনির কথা পড়েছি তারা বলেছিল এটা স্বাভাবিক, কিন্তু স"&amp;"ম্প্রতি এটি আরও ঘন ঘন ঘটে। আমার মতো কাউকে তার অভিজ্ঞতা বলার দরকার ছিল আমার এলেনার সাথে এগুলো নিতে চাইছিলাম। আমার OCD এবং উদ্বেগের জন্য আরও কিছুটা সাহায্যের প্রয়োজন ছিল।")</f>
        <v>আমার আগেও প্যানিক অ্যাটাক হয়েছিল এবং GAD হয়েছিল আমি সবসময় মৃত্যুর ভয় পাই এবং সবসময় আমার নাড়ির হার পরীক্ষা করি মাঝে মাঝে আমার মনে হয় আমার হৃদস্পন্দন হঠাৎ কমে গেছে বা ঝাঁকুনির অনুভূতি হচ্ছে। আমি ঝাঁকুনির কথা পড়েছি তারা বলেছিল এটা স্বাভাবিক, কিন্তু সম্প্রতি এটি আরও ঘন ঘন ঘটে। আমার মতো কাউকে তার অভিজ্ঞতা বলার দরকার ছিল আমার এলেনার সাথে এগুলো নিতে চাইছিলাম। আমার OCD এবং উদ্বেগের জন্য আরও কিছুটা সাহায্যের প্রয়োজন ছিল।</v>
      </c>
    </row>
    <row r="2113" spans="1:3" ht="15" x14ac:dyDescent="0.25">
      <c r="A2113" s="3" t="s">
        <v>2106</v>
      </c>
      <c r="B2113" s="3" t="s">
        <v>1992</v>
      </c>
      <c r="C2113" s="4" t="str">
        <f ca="1">IFERROR(__xludf.DUMMYFUNCTION("GOOGLETRANSLATE(A2113, ""auto"", ""bn"")"),"আমি সবসময়ই খুব সক্রিয় ছিলাম, ডায়েট করতে, ব্যায়াম করতে, কাজ করতে ভালোবাসতাম। আমি মূলত বসে থাকা ছাড়া অন্য কিছু করতে পছন্দ করতাম। আমি সপ্তাহান্তে সবসময় মদ্যপান করতাম, কিন্তু গত গ্রীষ্মে আমি একটু বেশি মদ্যপান করেছিলাম। এটি এমন পর্যায়ে পৌঁছেছিল যে আমার "&amp;"সপ্তাহে একবার নত হওয়ার প্রবণতা ছিল। এটি আমার শারীরিক এবং মানসিকভাবে সত্যিই ক্ষতি করেছিল কারণ আমি ১৫ পাউন্ড ওজন বাড়িয়েছিলাম এবং আগের মতো সক্রিয় থাকা বন্ধ করে দিয়েছিলাম। আবার মেয়েদের কিছু সমস্যা এবং ধূমপান যোগ করুন, এবং আপনি নিজের জন্য উদ্বেগের একটি র"&amp;"েসিপি পেয়ে গেছেন।")</f>
        <v>আমি সবসময়ই খুব সক্রিয় ছিলাম, ডায়েট করতে, ব্যায়াম করতে, কাজ করতে ভালোবাসতাম। আমি মূলত বসে থাকা ছাড়া অন্য কিছু করতে পছন্দ করতাম। আমি সপ্তাহান্তে সবসময় মদ্যপান করতাম, কিন্তু গত গ্রীষ্মে আমি একটু বেশি মদ্যপান করেছিলাম। এটি এমন পর্যায়ে পৌঁছেছিল যে আমার সপ্তাহে একবার নত হওয়ার প্রবণতা ছিল। এটি আমার শারীরিক এবং মানসিকভাবে সত্যিই ক্ষতি করেছিল কারণ আমি ১৫ পাউন্ড ওজন বাড়িয়েছিলাম এবং আগের মতো সক্রিয় থাকা বন্ধ করে দিয়েছিলাম। আবার মেয়েদের কিছু সমস্যা এবং ধূমপান যোগ করুন, এবং আপনি নিজের জন্য উদ্বেগের একটি রেসিপি পেয়ে গেছেন।</v>
      </c>
    </row>
    <row r="2114" spans="1:3" ht="15" x14ac:dyDescent="0.25">
      <c r="A2114" s="3" t="s">
        <v>2107</v>
      </c>
      <c r="B2114" s="3" t="s">
        <v>1992</v>
      </c>
      <c r="C2114" s="4" t="str">
        <f ca="1">IFERROR(__xludf.DUMMYFUNCTION("GOOGLETRANSLATE(A2114, ""auto"", ""bn"")"),"গ্রীষ্মকালে এবং এমনকি জীবনের সবচেয়ে খারাপ সময়ে থাকার কয়েক মাস পরেও। আমি সম্পূর্ণরূপে ব্যায়াম বন্ধ করে দিয়েছিলাম, ডায়েট করা বন্ধ করে দিয়েছিলাম, মূলত আমি দুপুর ২টায় ঘুম থেকে উঠতাম, অর্থাৎ ৪টা পর্যন্ত বিছানায় শুয়ে থাকতাম এবং তারপর রাতে পান করতে যেত"&amp;"াম। আমি কখনও ""ব্যথা থেকে নিজেকে অসাড় করার জন্য"" পান করতাম না? আমি সবসময় মদ্যপান করতাম কারণ আমি মনে মনে ভাবতাম ""বাহ, এটা মজার যে আমি এই মুহূর্তে জীবন উপভোগ করছি?""। আমার বুঝতে কয়েক মাস লেগে গেল যে মদ্যপানই আমার সমস্ত সমস্যার কারণ, তাই আমি থামিয়ে দিয"&amp;"়েছিলাম। মাঝে মাঝে আমি সুপার বোলের জন্য বাইরে গিয়ে পান করার মতো বাইরে যাই কিন্তু এটাই প্রায়।")</f>
        <v>গ্রীষ্মকালে এবং এমনকি জীবনের সবচেয়ে খারাপ সময়ে থাকার কয়েক মাস পরেও। আমি সম্পূর্ণরূপে ব্যায়াম বন্ধ করে দিয়েছিলাম, ডায়েট করা বন্ধ করে দিয়েছিলাম, মূলত আমি দুপুর ২টায় ঘুম থেকে উঠতাম, অর্থাৎ ৪টা পর্যন্ত বিছানায় শুয়ে থাকতাম এবং তারপর রাতে পান করতে যেতাম। আমি কখনও "ব্যথা থেকে নিজেকে অসাড় করার জন্য" পান করতাম না? আমি সবসময় মদ্যপান করতাম কারণ আমি মনে মনে ভাবতাম "বাহ, এটা মজার যে আমি এই মুহূর্তে জীবন উপভোগ করছি?"। আমার বুঝতে কয়েক মাস লেগে গেল যে মদ্যপানই আমার সমস্ত সমস্যার কারণ, তাই আমি থামিয়ে দিয়েছিলাম। মাঝে মাঝে আমি সুপার বোলের জন্য বাইরে গিয়ে পান করার মতো বাইরে যাই কিন্তু এটাই প্রায়।</v>
      </c>
    </row>
    <row r="2115" spans="1:3" ht="15" x14ac:dyDescent="0.25">
      <c r="A2115" s="3" t="s">
        <v>2108</v>
      </c>
      <c r="B2115" s="3" t="s">
        <v>1992</v>
      </c>
      <c r="C2115" s="4" t="str">
        <f ca="1">IFERROR(__xludf.DUMMYFUNCTION("GOOGLETRANSLATE(A2115, ""auto"", ""bn"")"),"আমি কখনোই বিষণ্ণ ছিলাম না, কিন্তু জীবনে আমি অবশ্যই সুখী ছিলাম না। আমি এখন মানসিকভাবে ভালো আছি, আমার এখনও একটু দুশ্চিন্তা আছে কিন্তু কে না। আমার সমস্যা হল আমি এমন খারাপ অভ্যাসের মধ্যে পড়ে গেছি যেগুলো আমি ছাড়তে পারছি না। স্কুল থেকে এক সেমিস্টার ছুটি নিতে "&amp;"বাধ্য করা হচ্ছে এবং চাকরিতে কাজ ছেড়ে দেওয়া হচ্ছে (যা আমার জীবন গঠনের একমাত্র কারণ ছিল)। এখন আমার জীবনে কোনও উৎসাহ নেই এবং আমি নিজেকে এবং আমার ঘনিষ্ঠ বন্ধুবান্ধব এবং পরিবারের সকলকে নিয়ে এত খারাপ লাগছে যে তারা এটা নিয়ে হাসিঠাট্টা করছে। আমার আরও অনেক সমস"&amp;"্যা হয়েছে যার ফলে আমি সম্পূর্ণ বোকা হয়ে গেছি, কিন্তু আমি তোমাদের দীর্ঘ গল্প বলে বিরক্ত করতে চাই না। যাই হোক, আমি যা জিজ্ঞাসা করছি তা হল আমি কীভাবে এটি কাটিয়ে উঠতে পারি? আমি আর মানসিকভাবে ক্লান্ত নই, আমার কেবল একটি খারাপ মানসিকতা এবং খুব অলস। আমি কীভাবে"&amp;" ভোর ৫টার আগে ঘুমিয়ে পড়ব? আমি জানি না আমি কীভাবে আমার জীবনকে আবার একসাথে ফিরিয়ে আনব আমি পরিবর্তনের জন্য প্রস্তুত, আমি জানি না কোথা থেকে শুরু করব।")</f>
        <v>আমি কখনোই বিষণ্ণ ছিলাম না, কিন্তু জীবনে আমি অবশ্যই সুখী ছিলাম না। আমি এখন মানসিকভাবে ভালো আছি, আমার এখনও একটু দুশ্চিন্তা আছে কিন্তু কে না। আমার সমস্যা হল আমি এমন খারাপ অভ্যাসের মধ্যে পড়ে গেছি যেগুলো আমি ছাড়তে পারছি না। স্কুল থেকে এক সেমিস্টার ছুটি নিতে বাধ্য করা হচ্ছে এবং চাকরিতে কাজ ছেড়ে দেওয়া হচ্ছে (যা আমার জীবন গঠনের একমাত্র কারণ ছিল)। এখন আমার জীবনে কোনও উৎসাহ নেই এবং আমি নিজেকে এবং আমার ঘনিষ্ঠ বন্ধুবান্ধব এবং পরিবারের সকলকে নিয়ে এত খারাপ লাগছে যে তারা এটা নিয়ে হাসিঠাট্টা করছে। আমার আরও অনেক সমস্যা হয়েছে যার ফলে আমি সম্পূর্ণ বোকা হয়ে গেছি, কিন্তু আমি তোমাদের দীর্ঘ গল্প বলে বিরক্ত করতে চাই না। যাই হোক, আমি যা জিজ্ঞাসা করছি তা হল আমি কীভাবে এটি কাটিয়ে উঠতে পারি? আমি আর মানসিকভাবে ক্লান্ত নই, আমার কেবল একটি খারাপ মানসিকতা এবং খুব অলস। আমি কীভাবে ভোর ৫টার আগে ঘুমিয়ে পড়ব? আমি জানি না আমি কীভাবে আমার জীবনকে আবার একসাথে ফিরিয়ে আনব আমি পরিবর্তনের জন্য প্রস্তুত, আমি জানি না কোথা থেকে শুরু করব।</v>
      </c>
    </row>
    <row r="2116" spans="1:3" ht="15" x14ac:dyDescent="0.25">
      <c r="A2116" s="3" t="s">
        <v>2109</v>
      </c>
      <c r="B2116" s="3" t="s">
        <v>1992</v>
      </c>
      <c r="C2116" s="4" t="str">
        <f ca="1">IFERROR(__xludf.DUMMYFUNCTION("GOOGLETRANSLATE(A2116, ""auto"", ""bn"")"),"আমি ২০ বছর বয়সী একজন মেয়ে, বর্তমানে বিশ্ববিদ্যালয়ের দ্বিতীয় বর্ষে পড়ছি। আমি এমন কিছু পড়ি যা আমার পছন্দের নয়, কিন্তু বাবা-মায়ের চাপের কারণে আমি সেটাই পড়ি। সেখানে একেবারেই অপ্রস্তুত ছিলাম, আমার জ্ঞান শূন্য ছিল। বাকি সবাই ছিল কেবল বিশেষজ্ঞদের দল। না, আক্ষরিক"&amp;" অর্থেই। ৩৫-৪০ বছর বয়সী শিক্ষার্থীরা আমার এই স্নাতক ডিগ্রির সহপাঠী। প্রথম বর্ষে পড়ার সময় একা সমুদ্রে ডুবে যাওয়ার কারণে আমি পাগলের মতো লড়াই করেছি। প্রথম বর্ষের সময়টায় সবকিছু শুরু হয়েছিল। খুব একটা ক্ষয়ক্ষতি হয়নি, আমার কাজের স্বীকৃতি পাওয়া যায়নি, কেবল ব্যস্"&amp;"ত জীবন।")</f>
        <v>আমি ২০ বছর বয়সী একজন মেয়ে, বর্তমানে বিশ্ববিদ্যালয়ের দ্বিতীয় বর্ষে পড়ছি। আমি এমন কিছু পড়ি যা আমার পছন্দের নয়, কিন্তু বাবা-মায়ের চাপের কারণে আমি সেটাই পড়ি। সেখানে একেবারেই অপ্রস্তুত ছিলাম, আমার জ্ঞান শূন্য ছিল। বাকি সবাই ছিল কেবল বিশেষজ্ঞদের দল। না, আক্ষরিক অর্থেই। ৩৫-৪০ বছর বয়সী শিক্ষার্থীরা আমার এই স্নাতক ডিগ্রির সহপাঠী। প্রথম বর্ষে পড়ার সময় একা সমুদ্রে ডুবে যাওয়ার কারণে আমি পাগলের মতো লড়াই করেছি। প্রথম বর্ষের সময়টায় সবকিছু শুরু হয়েছিল। খুব একটা ক্ষয়ক্ষতি হয়নি, আমার কাজের স্বীকৃতি পাওয়া যায়নি, কেবল ব্যস্ত জীবন।</v>
      </c>
    </row>
    <row r="2117" spans="1:3" ht="15" x14ac:dyDescent="0.25">
      <c r="A2117" s="3" t="s">
        <v>2110</v>
      </c>
      <c r="B2117" s="3" t="s">
        <v>1992</v>
      </c>
      <c r="C2117" s="4" t="str">
        <f ca="1">IFERROR(__xludf.DUMMYFUNCTION("GOOGLETRANSLATE(A2117, ""auto"", ""bn"")"),"তার উপর, আমি এমন একজনের সাথে ১.৫ বছরের দীর্ঘ দূরত্বের সম্পর্ক ভেঙে ফেলেছি যার সাথে আমি সত্যিই এটি কাজ করতে চেয়েছিলাম। তুমি হয়তো বুঝতে পারছো, এই নতুন বাস্তবতায় এগিয়ে যাওয়া AF-এর জন্য কঠিন ছিল, একই সাথে হৃদয় ভেঙে যাওয়াও ছিল। বিদেশে পড়াশোনা করার জন্য"&amp;" আমার জন্মভূমি ছেড়ে যাওয়ার কিছুক্ষণ আগে আমার হাই স্কুলের দর্শনের শিক্ষিকা এবং আমি সেরা বন্ধু হয়ে গিয়েছিলাম, এবং তিনি আমার কাছে দ্বিতীয় পিতামাতার মতো ছিলেন। আমাদের সাধারণ আগ্রহ ছিল, সবসময় আলোচনা করার জন্য কিছু না কিছু ছিল। এটা জেনে খুব সান্ত্বনা পেয়"&amp;"েছিল যে কেউ একজন শোনার জন্য আছে। সেই সময়ে আমার বয়সী ২-৩ জন বন্ধুও ছিল যাদের সাথে আমরা মিশে যেতাম। বাচ্চারা, লকডাউনের দ্রুত এগিয়ে যাওয়ায় সবাই কোনও কারণ ছাড়াই, কোনও বন্ধন ছাড়াই উধাও হয়ে গেছে। কিছুই না। শুধু আর কখনও আমার সাথে কথা বলেনি। এটি প্রায় আক"&amp;"্ষরিক অর্থেই একের পর এক ডমিনো প্রভাবের মতো ছিল। এর ফলে কখনও কোনও ঝগড়া বা ভুল বোঝাবুঝি হয়নি। তবুও আমার কোনও বন্ধন নেই। আমি পুরো গ্রীষ্মে একা ছিলাম। এবং আমি অন্তর্মুখী ধরণের মানুষ, তাই এটি এমন কোনও নতুন বিষয় ছিল না যা আমাকে দুঃখিত করেছিল, অথবা আমি এটি সহ"&amp;"্য করতে পারিনি। আমি সারা জীবন একা ছিলাম। কিন্তু একটা সময়... সত্যিই একাকীত্ব শুরু হয়েছিল... আমি কাউকে দোষ দিচ্ছি না, আমি সবার মঙ্গল কামনা করছি, এবং তারপর আমি নিজেকে ভাবি... কেউ আমার কাছে কিছু পাওনা... এমনকি বন্ধ করারও না। তারা আমাকে কেটে ফেলার ইচ্ছা করেছ"&amp;"িল কারণ তারা কেবল এটিই চেয়েছিল, দারুন, তাই হোক। এটা আমাকে কষ্ট দিয়েছে, কিন্তু আমি এটা নিয়ে আচ্ছন্নভাবে চিন্তা করিনি।")</f>
        <v>তার উপর, আমি এমন একজনের সাথে ১.৫ বছরের দীর্ঘ দূরত্বের সম্পর্ক ভেঙে ফেলেছি যার সাথে আমি সত্যিই এটি কাজ করতে চেয়েছিলাম। তুমি হয়তো বুঝতে পারছো, এই নতুন বাস্তবতায় এগিয়ে যাওয়া AF-এর জন্য কঠিন ছিল, একই সাথে হৃদয় ভেঙে যাওয়াও ছিল। বিদেশে পড়াশোনা করার জন্য আমার জন্মভূমি ছেড়ে যাওয়ার কিছুক্ষণ আগে আমার হাই স্কুলের দর্শনের শিক্ষিকা এবং আমি সেরা বন্ধু হয়ে গিয়েছিলাম, এবং তিনি আমার কাছে দ্বিতীয় পিতামাতার মতো ছিলেন। আমাদের সাধারণ আগ্রহ ছিল, সবসময় আলোচনা করার জন্য কিছু না কিছু ছিল। এটা জেনে খুব সান্ত্বনা পেয়েছিল যে কেউ একজন শোনার জন্য আছে। সেই সময়ে আমার বয়সী ২-৩ জন বন্ধুও ছিল যাদের সাথে আমরা মিশে যেতাম। বাচ্চারা, লকডাউনের দ্রুত এগিয়ে যাওয়ায় সবাই কোনও কারণ ছাড়াই, কোনও বন্ধন ছাড়াই উধাও হয়ে গেছে। কিছুই না। শুধু আর কখনও আমার সাথে কথা বলেনি। এটি প্রায় আক্ষরিক অর্থেই একের পর এক ডমিনো প্রভাবের মতো ছিল। এর ফলে কখনও কোনও ঝগড়া বা ভুল বোঝাবুঝি হয়নি। তবুও আমার কোনও বন্ধন নেই। আমি পুরো গ্রীষ্মে একা ছিলাম। এবং আমি অন্তর্মুখী ধরণের মানুষ, তাই এটি এমন কোনও নতুন বিষয় ছিল না যা আমাকে দুঃখিত করেছিল, অথবা আমি এটি সহ্য করতে পারিনি। আমি সারা জীবন একা ছিলাম। কিন্তু একটা সময়... সত্যিই একাকীত্ব শুরু হয়েছিল... আমি কাউকে দোষ দিচ্ছি না, আমি সবার মঙ্গল কামনা করছি, এবং তারপর আমি নিজেকে ভাবি... কেউ আমার কাছে কিছু পাওনা... এমনকি বন্ধ করারও না। তারা আমাকে কেটে ফেলার ইচ্ছা করেছিল কারণ তারা কেবল এটিই চেয়েছিল, দারুন, তাই হোক। এটা আমাকে কষ্ট দিয়েছে, কিন্তু আমি এটা নিয়ে আচ্ছন্নভাবে চিন্তা করিনি।</v>
      </c>
    </row>
    <row r="2118" spans="1:3" ht="15" x14ac:dyDescent="0.25">
      <c r="A2118" s="3" t="s">
        <v>2111</v>
      </c>
      <c r="B2118" s="3" t="s">
        <v>1992</v>
      </c>
      <c r="C2118" s="4" t="str">
        <f ca="1">IFERROR(__xludf.DUMMYFUNCTION("GOOGLETRANSLATE(A2118, ""auto"", ""bn"")"),"আমি এখনও কারো সাথে সহবাস করিনি। ২০ বছর বয়সে কুমারী। আর এটা এমন একটা জিনিস যা আমার আত্মবিশ্বাস নষ্ট করে দিচ্ছিল। আমার চারপাশের সবাই যৌনসঙ্গম করতে শুরু করেছিল, ঘুমাতে শুরু করেছিল কারণ এটি ""মজাদার"" ছিল অথবা এমনকি একটি পরিবারও শুরু করেছিল এবং আমি এখানে, বল"&amp;"তে পারছি না যে আমি এর মধ্যে কেমন অনুভব করি। অন্য ব্যক্তির সাথে বিশ্বাস এবং আবেগ না থাকলে আমি কখনই তাড়াহুড়ো করার প্রয়োজন বোধ করিনি। আমার দেখা অনেক মানুষই কখনোই আমার সাথে ""হ্যাঁ এখন আমি তোমার সাথে আরও এক ধাপ এগিয়ে যেতে প্রস্তুত বোধ করছি... আমার এত ঘনিষ"&amp;"্ঠ কিছু এমন কাউকে দেওয়াটা কখনোই ঠিক মনে হয়নি যে আমার পরে অন্য কারো সাথেই এটা করবে, হা হা। তাই আমি অপেক্ষা করছি... অতীতে আমার বন্ধুদের এবং আমার প্রাক্তন প্রেমিকদের সাথে ঘটে যাওয়া ঘটনাগুলি আমাকে অবিশ্বাস্যভাবে বন্ধ করে দিয়েছে। হ্যাঁ, আমি আমার নিজের সঙ্গ এব"&amp;"ং জিনিসপত্র উপভোগ করতাম, কিন্তু এখন এটা অনেক বেশি হয়ে গেছে। আমার কোনও বন্ধু নেই, আমি আমার খোলসের মধ্যে আছি এবং আমার বিশ্বাস করা অসম্ভব। আমার বেশিরভাগ ইনস্টার ফলোয়ারকে মুছে ফেলেছি কারণ বাস্তবে আমার কোনও সত্যিকারের বন্ধু ছিল না যার সাথে কফি খেতে যেতে পারি"&amp;"... এবং আমি জানি যখন আমি বিছানা থেকে উঠে ব্যক্তিগতভাবে বক্তৃতা দিতে পারি না, অথবা কোনও প্রকল্প উপস্থাপন করতে পারি না বা বিশাল করিডোরে হাঁটতে পারি না, কান্নাকাটি বা প্রচণ্ড উদ্বেগ না করে। এমনকি বাইরে যাওয়াও একটি ""সাহসী"" কাজ হয়ে উঠেছে হা হা। বিশ্ববিদ্যা"&amp;"লয় আমাকে পাগলের মতো চাপ দিচ্ছে। আমার মানসিক স্বাস্থ্যের অবনতি হচ্ছে এবং সবাই মনে হচ্ছে ক্রমাগত ""আহ, সম্পর্ক করতে পারছি না""। কথা বলার মতো কেউ নেই। মুখ খোলার মতো কোথাও নেই, তাই আমি এখানে...")</f>
        <v>আমি এখনও কারো সাথে সহবাস করিনি। ২০ বছর বয়সে কুমারী। আর এটা এমন একটা জিনিস যা আমার আত্মবিশ্বাস নষ্ট করে দিচ্ছিল। আমার চারপাশের সবাই যৌনসঙ্গম করতে শুরু করেছিল, ঘুমাতে শুরু করেছিল কারণ এটি "মজাদার" ছিল অথবা এমনকি একটি পরিবারও শুরু করেছিল এবং আমি এখানে, বলতে পারছি না যে আমি এর মধ্যে কেমন অনুভব করি। অন্য ব্যক্তির সাথে বিশ্বাস এবং আবেগ না থাকলে আমি কখনই তাড়াহুড়ো করার প্রয়োজন বোধ করিনি। আমার দেখা অনেক মানুষই কখনোই আমার সাথে "হ্যাঁ এখন আমি তোমার সাথে আরও এক ধাপ এগিয়ে যেতে প্রস্তুত বোধ করছি... আমার এত ঘনিষ্ঠ কিছু এমন কাউকে দেওয়াটা কখনোই ঠিক মনে হয়নি যে আমার পরে অন্য কারো সাথেই এটা করবে, হা হা। তাই আমি অপেক্ষা করছি... অতীতে আমার বন্ধুদের এবং আমার প্রাক্তন প্রেমিকদের সাথে ঘটে যাওয়া ঘটনাগুলি আমাকে অবিশ্বাস্যভাবে বন্ধ করে দিয়েছে। হ্যাঁ, আমি আমার নিজের সঙ্গ এবং জিনিসপত্র উপভোগ করতাম, কিন্তু এখন এটা অনেক বেশি হয়ে গেছে। আমার কোনও বন্ধু নেই, আমি আমার খোলসের মধ্যে আছি এবং আমার বিশ্বাস করা অসম্ভব। আমার বেশিরভাগ ইনস্টার ফলোয়ারকে মুছে ফেলেছি কারণ বাস্তবে আমার কোনও সত্যিকারের বন্ধু ছিল না যার সাথে কফি খেতে যেতে পারি... এবং আমি জানি যখন আমি বিছানা থেকে উঠে ব্যক্তিগতভাবে বক্তৃতা দিতে পারি না, অথবা কোনও প্রকল্প উপস্থাপন করতে পারি না বা বিশাল করিডোরে হাঁটতে পারি না, কান্নাকাটি বা প্রচণ্ড উদ্বেগ না করে। এমনকি বাইরে যাওয়াও একটি "সাহসী" কাজ হয়ে উঠেছে হা হা। বিশ্ববিদ্যালয় আমাকে পাগলের মতো চাপ দিচ্ছে। আমার মানসিক স্বাস্থ্যের অবনতি হচ্ছে এবং সবাই মনে হচ্ছে ক্রমাগত "আহ, সম্পর্ক করতে পারছি না"। কথা বলার মতো কেউ নেই। মুখ খোলার মতো কোথাও নেই, তাই আমি এখানে...</v>
      </c>
    </row>
    <row r="2119" spans="1:3" ht="15" x14ac:dyDescent="0.25">
      <c r="A2119" s="3" t="s">
        <v>2112</v>
      </c>
      <c r="B2119" s="3" t="s">
        <v>1992</v>
      </c>
      <c r="C2119" s="4" t="str">
        <f ca="1">IFERROR(__xludf.DUMMYFUNCTION("GOOGLETRANSLATE(A2119, ""auto"", ""bn"")"),"গত বছর নভেম্বরে আমি অস্ট্রেলিয়া থেকে যুক্তরাজ্যে চলে এসেছি - তাই গ্রীষ্মের সময়টা প্রায় মিস করেছি। আমি প্রায় ৩ মাস ধরে ইংল্যান্ডে আছি এবং ইতিমধ্যেই আমি GAD এবং প্যানিক অ্যাটাকের সমস্যায় ভুগছি। আবহাওয়া আপনার মেজাজকে কতটা প্রভাবিত করে তা আমি কখনও বুঝতে"&amp;" পারিনি। তাছাড়া, আমি ভিটামিন ডি (সাপ্লিমেন্ট গ্রহণ) এবং আমার ত্বকে উষ্ণ রোদের জন্য আকুল। প্রতিদিন, আমার তীব্র মেজাজ পরিবর্তন, মাথাব্যথা, পিঠে ব্যথা, অলস/মেঘলা মাথা অনুভব হয়। আমি জানি না কী করব - আমি জানি না কীভাবে এই সম্পূর্ণ বিষ্ঠার অনুভূতি ঠিক করব। সা"&amp;"প্লিমেন্টগুলি কেবল এত কিছু করতে পারে :(")</f>
        <v>গত বছর নভেম্বরে আমি অস্ট্রেলিয়া থেকে যুক্তরাজ্যে চলে এসেছি - তাই গ্রীষ্মের সময়টা প্রায় মিস করেছি। আমি প্রায় ৩ মাস ধরে ইংল্যান্ডে আছি এবং ইতিমধ্যেই আমি GAD এবং প্যানিক অ্যাটাকের সমস্যায় ভুগছি। আবহাওয়া আপনার মেজাজকে কতটা প্রভাবিত করে তা আমি কখনও বুঝতে পারিনি। তাছাড়া, আমি ভিটামিন ডি (সাপ্লিমেন্ট গ্রহণ) এবং আমার ত্বকে উষ্ণ রোদের জন্য আকুল। প্রতিদিন, আমার তীব্র মেজাজ পরিবর্তন, মাথাব্যথা, পিঠে ব্যথা, অলস/মেঘলা মাথা অনুভব হয়। আমি জানি না কী করব - আমি জানি না কীভাবে এই সম্পূর্ণ বিষ্ঠার অনুভূতি ঠিক করব। সাপ্লিমেন্টগুলি কেবল এত কিছু করতে পারে :(</v>
      </c>
    </row>
    <row r="2120" spans="1:3" ht="15" x14ac:dyDescent="0.25">
      <c r="A2120" s="3" t="s">
        <v>2113</v>
      </c>
      <c r="B2120" s="3" t="s">
        <v>1992</v>
      </c>
      <c r="C2120" s="4" t="str">
        <f ca="1">IFERROR(__xludf.DUMMYFUNCTION("GOOGLETRANSLATE(A2120, ""auto"", ""bn"")"),"রোড রেজের ঘটনার পর চরম উদ্বেগ প্রায় ৩ মাস আগে একজন মহিলা আমার উপর উন্মত্তভাবে রোড রেগে গিয়েছিলেন কারণ তিনি গতিসীমা অতিক্রম করেছিলেন? সে আমার পাশ দিয়ে গিয়ে আমার গাড়ির ছবি তুলতে শুরু করে, আমার পিছু পিছু আসে এবং তারপর আমার ছবি তোলে এবং বলে যে আমি তাকে রাস্তা"&amp;" থেকে তাড়িয়ে দেওয়ার চেষ্টা করেছি, আর সে পুলিশকে ফোন করছে। তখন থেকেই আমি খুব খারাপ, আমার প্রতিদিন মনে হয় আজ পুলিশ এসে এই মহিলার কথার জন্য আমাকে গ্রেপ্তার করবে। আমি জানি না কিভাবে এই পরিস্থিতি কাটিয়ে উঠবো।")</f>
        <v>রোড রেজের ঘটনার পর চরম উদ্বেগ প্রায় ৩ মাস আগে একজন মহিলা আমার উপর উন্মত্তভাবে রোড রেগে গিয়েছিলেন কারণ তিনি গতিসীমা অতিক্রম করেছিলেন? সে আমার পাশ দিয়ে গিয়ে আমার গাড়ির ছবি তুলতে শুরু করে, আমার পিছু পিছু আসে এবং তারপর আমার ছবি তোলে এবং বলে যে আমি তাকে রাস্তা থেকে তাড়িয়ে দেওয়ার চেষ্টা করেছি, আর সে পুলিশকে ফোন করছে। তখন থেকেই আমি খুব খারাপ, আমার প্রতিদিন মনে হয় আজ পুলিশ এসে এই মহিলার কথার জন্য আমাকে গ্রেপ্তার করবে। আমি জানি না কিভাবে এই পরিস্থিতি কাটিয়ে উঠবো।</v>
      </c>
    </row>
    <row r="2121" spans="1:3" ht="15" x14ac:dyDescent="0.25">
      <c r="A2121" s="3" t="s">
        <v>2114</v>
      </c>
      <c r="B2121" s="3" t="s">
        <v>1992</v>
      </c>
      <c r="C2121" s="4" t="str">
        <f ca="1">IFERROR(__xludf.DUMMYFUNCTION("GOOGLETRANSLATE(A2121, ""auto"", ""bn"")"),"ঘুম আসছে না কারণ আমি শ্বাস নিতে পারছি না। আমি এখন এমন অসুস্থ যে কাশি দিয়ে আমার শ্বাসনালী থেকে শ্লেষ্মা বের না হওয়া পর্যন্ত আমি শ্বাস নিতে পারছি না। আমি ঠিক আছি এবং পরের মুহূর্তে আমার দম বন্ধ হয়ে যাচ্ছে। আজ রাতে আমার প্রথম প্যানিক অ্যাটাক হয়েছিল কারণ আ"&amp;"মি ভেবেছিলাম আমি আর শ্বাস নিতে পারব না। এখন আমি বিছানায় শুয়ে আছি, এবং মনে হচ্ছে আমাকে প্রতিটি শ্বাস নিতে হচ্ছে এবং আমি ঘুমাতে পারছি না।")</f>
        <v>ঘুম আসছে না কারণ আমি শ্বাস নিতে পারছি না। আমি এখন এমন অসুস্থ যে কাশি দিয়ে আমার শ্বাসনালী থেকে শ্লেষ্মা বের না হওয়া পর্যন্ত আমি শ্বাস নিতে পারছি না। আমি ঠিক আছি এবং পরের মুহূর্তে আমার দম বন্ধ হয়ে যাচ্ছে। আজ রাতে আমার প্রথম প্যানিক অ্যাটাক হয়েছিল কারণ আমি ভেবেছিলাম আমি আর শ্বাস নিতে পারব না। এখন আমি বিছানায় শুয়ে আছি, এবং মনে হচ্ছে আমাকে প্রতিটি শ্বাস নিতে হচ্ছে এবং আমি ঘুমাতে পারছি না।</v>
      </c>
    </row>
    <row r="2122" spans="1:3" ht="15" x14ac:dyDescent="0.25">
      <c r="A2122" s="3" t="s">
        <v>2115</v>
      </c>
      <c r="B2122" s="3" t="s">
        <v>1992</v>
      </c>
      <c r="C2122" s="4" t="str">
        <f ca="1">IFERROR(__xludf.DUMMYFUNCTION("GOOGLETRANSLATE(A2122, ""auto"", ""bn"")"),"এটা কি দুশ্চিন্তা? আমার সাহায্যের প্রয়োজন। হ্যালো। ভোর ৫টা বাজে, আর আমার ঘুমোতে হবে, তাই পোস্টটা লম্বা করার চেষ্টা করছি না। কিন্তু আমি পেটে আর মনে একটা খারাপ অনুভূতি নিয়ে শুয়ে আছি। আমার সমস্যা হলো, যখনই আমি কারো সাথে দেখা করি (সাধারণত এমন একজন যাকে আমি ভা"&amp;"লোভাবে চিনি না) এবং আমি সেই ব্যক্তিকে পছন্দ করি, এবং আমি চাই যে সেই ব্যক্তি আমার সম্পর্কে ভালো ভাবুক, তখনই আমার মধ্যে একটা তীব্র নিরাপত্তাহীনতার অনুভূতি তৈরি হয় এবং আমি সবসময় আমার কথা বা কাজের কথাগুলো নিয়ে ভাবি যা কম ভালো। এমনকি যদি আমি জানি যে একজন ব্যক"&amp;"্তি আমাকে পছন্দ করে, তবুও আমি নিজেকে হতাশ করি যে সেই ব্যক্তি আমাকে কীভাবে অপছন্দ করে বা আমার সম্পর্কে খারাপ ভাবছে। এটা এতটাই ঘটে যে আমি আর সহ্য করতে পারি না। আমি যখনই এমন কারো সাথে দেখা করি যার সাথে আমি সত্যিই যত্নশীল, তখনই আমি এই অনুভূতিতে ক্লান্ত, এমনকি"&amp;" আমার কিছু ঘনিষ্ঠ বন্ধুর সাথেও আমার এই অনুভূতি হয়, সেই ব্যক্তির সাথে দেখা করার পর আমার মনে হয় 'হুম, সে আমার চারপাশে অন্যরকম আচরণ করেছে, হয়তো সে আমাকে আর পছন্দ করে না' অথবা একই রকম চিন্তাভাবনা করে। আমি বুঝতে পারছি এর সাথে নিরাপত্তাহীনতার কিছু সম্পর্ক থাক"&amp;"তে পারে, কিন্তু আমি আসলে নিরাপত্তাহীন মানুষ নই, আসলে আমি খুব বহির্মুখী এবং (আসলে) নিজের উপর আত্মবিশ্বাসী। কিন্তু এই লোকদের সাথে দেখা করতে আমার ঘাবড়ে যাওয়ারও কারণ আমি কী ঘটবে তা নিয়ে খুব চিন্তিত। আমার অনুভূতি ঠিক কীভাবে তা ভাষায় প্রকাশ করা খুব কঠিন কিন"&amp;"্তু কেউ কি আমাকে বলতে পারেন কেন আমি ক্রমাগত এইরকম অনুভব করি এবং চিন্তা করি? এটা কি উদ্বেগ? আমি জানি একজন ডাক্তারের সাথে এটি নিয়ে আলোচনা করা ভালো হবে, কিন্তু আমি সত্যিই একজন ডাক্তারের সাথে কথা বলতে পারছি না, এবং আমি মনে করি রেডিট সবসময়ই আমার জন্য দুর্দান"&amp;"্ত সাহায্য করেছে। ধন্যবাদ।")</f>
        <v>এটা কি দুশ্চিন্তা? আমার সাহায্যের প্রয়োজন। হ্যালো। ভোর ৫টা বাজে, আর আমার ঘুমোতে হবে, তাই পোস্টটা লম্বা করার চেষ্টা করছি না। কিন্তু আমি পেটে আর মনে একটা খারাপ অনুভূতি নিয়ে শুয়ে আছি। আমার সমস্যা হলো, যখনই আমি কারো সাথে দেখা করি (সাধারণত এমন একজন যাকে আমি ভালোভাবে চিনি না) এবং আমি সেই ব্যক্তিকে পছন্দ করি, এবং আমি চাই যে সেই ব্যক্তি আমার সম্পর্কে ভালো ভাবুক, তখনই আমার মধ্যে একটা তীব্র নিরাপত্তাহীনতার অনুভূতি তৈরি হয় এবং আমি সবসময় আমার কথা বা কাজের কথাগুলো নিয়ে ভাবি যা কম ভালো। এমনকি যদি আমি জানি যে একজন ব্যক্তি আমাকে পছন্দ করে, তবুও আমি নিজেকে হতাশ করি যে সেই ব্যক্তি আমাকে কীভাবে অপছন্দ করে বা আমার সম্পর্কে খারাপ ভাবছে। এটা এতটাই ঘটে যে আমি আর সহ্য করতে পারি না। আমি যখনই এমন কারো সাথে দেখা করি যার সাথে আমি সত্যিই যত্নশীল, তখনই আমি এই অনুভূতিতে ক্লান্ত, এমনকি আমার কিছু ঘনিষ্ঠ বন্ধুর সাথেও আমার এই অনুভূতি হয়, সেই ব্যক্তির সাথে দেখা করার পর আমার মনে হয় 'হুম, সে আমার চারপাশে অন্যরকম আচরণ করেছে, হয়তো সে আমাকে আর পছন্দ করে না' অথবা একই রকম চিন্তাভাবনা করে। আমি বুঝতে পারছি এর সাথে নিরাপত্তাহীনতার কিছু সম্পর্ক থাকতে পারে, কিন্তু আমি আসলে নিরাপত্তাহীন মানুষ নই, আসলে আমি খুব বহির্মুখী এবং (আসলে) নিজের উপর আত্মবিশ্বাসী। কিন্তু এই লোকদের সাথে দেখা করতে আমার ঘাবড়ে যাওয়ারও কারণ আমি কী ঘটবে তা নিয়ে খুব চিন্তিত। আমার অনুভূতি ঠিক কীভাবে তা ভাষায় প্রকাশ করা খুব কঠিন কিন্তু কেউ কি আমাকে বলতে পারেন কেন আমি ক্রমাগত এইরকম অনুভব করি এবং চিন্তা করি? এটা কি উদ্বেগ? আমি জানি একজন ডাক্তারের সাথে এটি নিয়ে আলোচনা করা ভালো হবে, কিন্তু আমি সত্যিই একজন ডাক্তারের সাথে কথা বলতে পারছি না, এবং আমি মনে করি রেডিট সবসময়ই আমার জন্য দুর্দান্ত সাহায্য করেছে। ধন্যবাদ।</v>
      </c>
    </row>
    <row r="2123" spans="1:3" ht="15" x14ac:dyDescent="0.25">
      <c r="A2123" s="3" t="s">
        <v>2116</v>
      </c>
      <c r="B2123" s="3" t="s">
        <v>1992</v>
      </c>
      <c r="C2123" s="4" t="str">
        <f ca="1">IFERROR(__xludf.DUMMYFUNCTION("GOOGLETRANSLATE(A2123, ""auto"", ""bn"")"),"""অলস দিনগুলিতে"" DAE সত্যিই উদ্বিগ্ন হয়ে পড়ে? টানা তিন দিন ধরে সোফায় বসে সিনেমা দেখার কারণে আমার হঠাৎ আতঙ্কের আক্রমণ হয়েছিল। আমার উদ্বেগ ক্রমশ বাড়তে থাকে, এবং অবশেষে কয়েক ঘন্টা আগে আমি তা হারিয়ে ফেলি। বছরের এই সময়টা আমার খুব খারাপ লাগে। এত অন্ধকা"&amp;"র এবং ঠান্ডা, এবং ঘর থেকে বের হওয়া কঠিন, কিন্তু যখন আমি বাইরে বের হই না, তখন আমার আবর্জনার মতো লাগে? অন্য কারো কি এমন অনুভূতি হয়?")</f>
        <v>"অলস দিনগুলিতে" DAE সত্যিই উদ্বিগ্ন হয়ে পড়ে? টানা তিন দিন ধরে সোফায় বসে সিনেমা দেখার কারণে আমার হঠাৎ আতঙ্কের আক্রমণ হয়েছিল। আমার উদ্বেগ ক্রমশ বাড়তে থাকে, এবং অবশেষে কয়েক ঘন্টা আগে আমি তা হারিয়ে ফেলি। বছরের এই সময়টা আমার খুব খারাপ লাগে। এত অন্ধকার এবং ঠান্ডা, এবং ঘর থেকে বের হওয়া কঠিন, কিন্তু যখন আমি বাইরে বের হই না, তখন আমার আবর্জনার মতো লাগে? অন্য কারো কি এমন অনুভূতি হয়?</v>
      </c>
    </row>
    <row r="2124" spans="1:3" ht="15" x14ac:dyDescent="0.25">
      <c r="A2124" s="3" t="s">
        <v>2117</v>
      </c>
      <c r="B2124" s="3" t="s">
        <v>1992</v>
      </c>
      <c r="C2124" s="4" t="str">
        <f ca="1">IFERROR(__xludf.DUMMYFUNCTION("GOOGLETRANSLATE(A2124, ""auto"", ""bn"")"),"নতুন চাকরির উদ্বেগ মোকাবেলা করার সবচেয়ে ভালো উপায়? আমার একটি উদ্বেগজনিত ব্যাধি আছে এবং আমি কিশোর বয়স থেকেই একই জায়গায় কাজ করছি যেখানে কয়েক বছর ধরে আমি ধীরে ধীরে আমার আত্মবিশ্বাস এবং দক্ষতা বৃদ্ধি পেয়েছি। আমি এখন যে চাকরিতে আছি তাতে অবশ্যই খুব স্বাচ"&amp;"্ছন্দ্য বোধ করি, কিন্তু আমি জানি যে এখন এগিয়ে যাওয়ার সময় এসেছে কারণ এই বিশেষ চাকরিটি কোনও ক্যারিয়ার নয় এবং আমি নিজেকে চ্যালেঞ্জ করতে চাই। তাছাড়া, আমি চাকরিতে আবেদন করার বিষয়ে ক্রমাগত চাপ অনুভব করি কারণ আমি নতুন লোকের সাথে একটি নতুন কাজের পরিবেশে থাক"&amp;"তে ভয় পাই। তাছাড়া, আমি এটিকে এতটাই ভীতিকর এবং ভীতিকর মনে করি, এবং আমি ভীত যে আমার ভবিষ্যতের সহকর্মীরা আমার মধ্য দিয়ে সরাসরি দেখতে পাবে এবং এখন আমি একটি উদ্বিগ্ন ঝামেলায় আছি। অথবা যদি আমি স্নায়ুর কারণে যত তাড়াতাড়ি কিছু ঠিক না করি তবে আমি নিজেকে বোকা "&amp;"ভাবি। যদি কেউ এই ধরণের পরিস্থিতিতে তাদের নিজস্ব অভিজ্ঞতা শেয়ার করতে পারেন বা এই ধরণের উদ্বেগ মোকাবেলার জন্য কোনও টিপস শেয়ার করতে পারেন তবে তা অত্যন্ত প্রশংসা করা হবে।")</f>
        <v>নতুন চাকরির উদ্বেগ মোকাবেলা করার সবচেয়ে ভালো উপায়? আমার একটি উদ্বেগজনিত ব্যাধি আছে এবং আমি কিশোর বয়স থেকেই একই জায়গায় কাজ করছি যেখানে কয়েক বছর ধরে আমি ধীরে ধীরে আমার আত্মবিশ্বাস এবং দক্ষতা বৃদ্ধি পেয়েছি। আমি এখন যে চাকরিতে আছি তাতে অবশ্যই খুব স্বাচ্ছন্দ্য বোধ করি, কিন্তু আমি জানি যে এখন এগিয়ে যাওয়ার সময় এসেছে কারণ এই বিশেষ চাকরিটি কোনও ক্যারিয়ার নয় এবং আমি নিজেকে চ্যালেঞ্জ করতে চাই। তাছাড়া, আমি চাকরিতে আবেদন করার বিষয়ে ক্রমাগত চাপ অনুভব করি কারণ আমি নতুন লোকের সাথে একটি নতুন কাজের পরিবেশে থাকতে ভয় পাই। তাছাড়া, আমি এটিকে এতটাই ভীতিকর এবং ভীতিকর মনে করি, এবং আমি ভীত যে আমার ভবিষ্যতের সহকর্মীরা আমার মধ্য দিয়ে সরাসরি দেখতে পাবে এবং এখন আমি একটি উদ্বিগ্ন ঝামেলায় আছি। অথবা যদি আমি স্নায়ুর কারণে যত তাড়াতাড়ি কিছু ঠিক না করি তবে আমি নিজেকে বোকা ভাবি। যদি কেউ এই ধরণের পরিস্থিতিতে তাদের নিজস্ব অভিজ্ঞতা শেয়ার করতে পারেন বা এই ধরণের উদ্বেগ মোকাবেলার জন্য কোনও টিপস শেয়ার করতে পারেন তবে তা অত্যন্ত প্রশংসা করা হবে।</v>
      </c>
    </row>
    <row r="2125" spans="1:3" ht="15" x14ac:dyDescent="0.25">
      <c r="A2125" s="3" t="s">
        <v>2118</v>
      </c>
      <c r="B2125" s="3" t="s">
        <v>1992</v>
      </c>
      <c r="C2125" s="4" t="str">
        <f ca="1">IFERROR(__xludf.DUMMYFUNCTION("GOOGLETRANSLATE(A2125, ""auto"", ""bn"")"),"আতঙ্ক এবং গলা?? হ্যালো, আমার বারবার প্যানিক অ্যাটাক হচ্ছে। আমার গলা শক্ত হয়ে যাচ্ছে, যেন আমি শ্বাস নিতে বা গিলতে পারছি না, আমার হাত-পা ঝিমঝিম করছে, মাথা ঘোরাচ্ছে, আমার হৃদস্পন্দন বেড়ে যাচ্ছে, আমার মনে হচ্ছে শেষ এখানেই। তারপর এই অংশটি শেষ হওয়ার পর (৫-২৫"&amp;" মিনিট) আমি খুব ক্লান্ত বোধ করি এবং তীব্র মাথাব্যথা অনুভব করি। অ্যানাফিল্যাকটিক প্রতিক্রিয়া হওয়ার ভয়ে আমি ভীত, তাই আমি অবিলম্বে বেনাড্রিল গ্রহণ করি যদিও আমার অ্যালার্জি পরীক্ষা করা হয়েছে এবং সেগুলি সবই নেতিবাচক। কখনও কখনও এটি দিনে একাধিকবার হয়। আমি খ"&amp;"ুব ভয় পাই এবং জরুরি বিভাগে যাই। জরুরি কক্ষ থেকে বাড়ি ফিরে আসার সাথে সাথেই আমি আবার খুব উদ্বিগ্ন বোধ করি। আর কেউ??? আতঙ্কের ব্যাধি এবং HA SUCK।")</f>
        <v>আতঙ্ক এবং গলা?? হ্যালো, আমার বারবার প্যানিক অ্যাটাক হচ্ছে। আমার গলা শক্ত হয়ে যাচ্ছে, যেন আমি শ্বাস নিতে বা গিলতে পারছি না, আমার হাত-পা ঝিমঝিম করছে, মাথা ঘোরাচ্ছে, আমার হৃদস্পন্দন বেড়ে যাচ্ছে, আমার মনে হচ্ছে শেষ এখানেই। তারপর এই অংশটি শেষ হওয়ার পর (৫-২৫ মিনিট) আমি খুব ক্লান্ত বোধ করি এবং তীব্র মাথাব্যথা অনুভব করি। অ্যানাফিল্যাকটিক প্রতিক্রিয়া হওয়ার ভয়ে আমি ভীত, তাই আমি অবিলম্বে বেনাড্রিল গ্রহণ করি যদিও আমার অ্যালার্জি পরীক্ষা করা হয়েছে এবং সেগুলি সবই নেতিবাচক। কখনও কখনও এটি দিনে একাধিকবার হয়। আমি খুব ভয় পাই এবং জরুরি বিভাগে যাই। জরুরি কক্ষ থেকে বাড়ি ফিরে আসার সাথে সাথেই আমি আবার খুব উদ্বিগ্ন বোধ করি। আর কেউ??? আতঙ্কের ব্যাধি এবং HA SUCK।</v>
      </c>
    </row>
    <row r="2126" spans="1:3" ht="15" x14ac:dyDescent="0.25">
      <c r="A2126" s="3" t="s">
        <v>2119</v>
      </c>
      <c r="B2126" s="3" t="s">
        <v>1992</v>
      </c>
      <c r="C2126" s="4" t="str">
        <f ca="1">IFERROR(__xludf.DUMMYFUNCTION("GOOGLETRANSLATE(A2126, ""auto"", ""bn"")"),"বুধবারের জয়! (১/২/১৯) হে বন্ধুরা! দুঃখিত যে আমরা অল্প সময়ের মধ্যে এগুলোর একটিও করতে পারিনি! এটি একটি সাপ্তাহিক থ্রেড যেখানে প্রত্যেকে তাদের সাফল্য, অথবা ""জয়"" পোস্ট করতে পারে, তা সে ছোট হোক বা বড়। (উদাহরণস্বরূপ: একা কোনও দোকানে যাওয়া, অথবা আপনি যে চ"&amp;"াকরিটি চেয়েছিলেন তার জন্য সেই সাক্ষাৎকারে অংশ নেওয়া) আপনার কৃতিত্বকে স্বীকৃতি দেওয়া এবং তার জন্য নিজেকে পিঠ চাপড়ানো বেশ গুরুত্বপূর্ণ এবং ইতিবাচক আবেগ বৃদ্ধি করে।")</f>
        <v>বুধবারের জয়! (১/২/১৯) হে বন্ধুরা! দুঃখিত যে আমরা অল্প সময়ের মধ্যে এগুলোর একটিও করতে পারিনি! এটি একটি সাপ্তাহিক থ্রেড যেখানে প্রত্যেকে তাদের সাফল্য, অথবা "জয়" পোস্ট করতে পারে, তা সে ছোট হোক বা বড়। (উদাহরণস্বরূপ: একা কোনও দোকানে যাওয়া, অথবা আপনি যে চাকরিটি চেয়েছিলেন তার জন্য সেই সাক্ষাৎকারে অংশ নেওয়া) আপনার কৃতিত্বকে স্বীকৃতি দেওয়া এবং তার জন্য নিজেকে পিঠ চাপড়ানো বেশ গুরুত্বপূর্ণ এবং ইতিবাচক আবেগ বৃদ্ধি করে।</v>
      </c>
    </row>
    <row r="2127" spans="1:3" ht="15" x14ac:dyDescent="0.25">
      <c r="A2127" s="3" t="s">
        <v>2120</v>
      </c>
      <c r="B2127" s="3" t="s">
        <v>1992</v>
      </c>
      <c r="C2127" s="4" t="str">
        <f ca="1">IFERROR(__xludf.DUMMYFUNCTION("GOOGLETRANSLATE(A2127, ""auto"", ""bn"")"),"আমার ভয়ানক, প্রায় দুর্বল করে দেওয়ার মতো, উদ্বেগজনক সংযুক্তি সমস্যা আছে - কোন পরামর্শ? আমি এই শরতে কয়েকবার যে মেয়েটির সাথে প্রেম করেছি তার সাথে কথা বলছি। ব্যাপারটা এতটাই খারাপ হয়ে গিয়েছিল যে মনে হচ্ছিল ওহ, এটা খুবই খারাপ, দয়া করে থামো। যেন আমি প্রশ্"&amp;"ন জিজ্ঞাসা করব এবং অন্যান্য কাজ করব। আর এটা শুধু কাউকে টেক্সট করা। আমি বারবার অ্যাপটি মুছে ফেলি শুধু উদ্বেগ মোকাবেলা করার জন্য। আর এটা কারো সাথে ডেটিং করার অনুভূতি বর্ণনা করে না! আমি আর এই সমস্যায় ভুগতে চাই না!!! TLDR - খারাপ উদ্বেগ সংযুক্তি সমস্যা সম্পর্"&amp;"কে পরামর্শ প্রয়োজন।")</f>
        <v>আমার ভয়ানক, প্রায় দুর্বল করে দেওয়ার মতো, উদ্বেগজনক সংযুক্তি সমস্যা আছে - কোন পরামর্শ? আমি এই শরতে কয়েকবার যে মেয়েটির সাথে প্রেম করেছি তার সাথে কথা বলছি। ব্যাপারটা এতটাই খারাপ হয়ে গিয়েছিল যে মনে হচ্ছিল ওহ, এটা খুবই খারাপ, দয়া করে থামো। যেন আমি প্রশ্ন জিজ্ঞাসা করব এবং অন্যান্য কাজ করব। আর এটা শুধু কাউকে টেক্সট করা। আমি বারবার অ্যাপটি মুছে ফেলি শুধু উদ্বেগ মোকাবেলা করার জন্য। আর এটা কারো সাথে ডেটিং করার অনুভূতি বর্ণনা করে না! আমি আর এই সমস্যায় ভুগতে চাই না!!! TLDR - খারাপ উদ্বেগ সংযুক্তি সমস্যা সম্পর্কে পরামর্শ প্রয়োজন।</v>
      </c>
    </row>
    <row r="2128" spans="1:3" ht="15" x14ac:dyDescent="0.25">
      <c r="A2128" s="3" t="s">
        <v>2121</v>
      </c>
      <c r="B2128" s="3" t="s">
        <v>1992</v>
      </c>
      <c r="C2128" s="4" t="str">
        <f ca="1">IFERROR(__xludf.DUMMYFUNCTION("GOOGLETRANSLATE(A2128, ""auto"", ""bn"")"),"মানুষ কীভাবে মোকাবেলা করতে হয় তা বোঝে না। যখন মানুষ আমাকে এমন কিছু করার জন্য মজা করে যা আমাকে অস্বস্তিকর পরিস্থিতিতে মোকাবেলা করতে সাহায্য করে, তখন আমি সত্যিই বিরক্ত হই। উদাহরণস্বরূপ, আমি যখন আর কী করব জানি না তখন আমি আমার ফোনে কথা বলি, আমি আসলে কেন তা ব"&amp;"্যাখ্যা করতে পারি না, তবে এটি সাহায্য করে। প্রাপ্তবয়স্করা আমাকে চিৎকার করে এবং বন্ধুরা আমাকে উপহাস করে যারা এর কারণে আমার উদ্বেগ সম্পর্কে জানে। আমি হয়তো এতে সম্পূর্ণ একা, কিন্তু জানি")</f>
        <v>মানুষ কীভাবে মোকাবেলা করতে হয় তা বোঝে না। যখন মানুষ আমাকে এমন কিছু করার জন্য মজা করে যা আমাকে অস্বস্তিকর পরিস্থিতিতে মোকাবেলা করতে সাহায্য করে, তখন আমি সত্যিই বিরক্ত হই। উদাহরণস্বরূপ, আমি যখন আর কী করব জানি না তখন আমি আমার ফোনে কথা বলি, আমি আসলে কেন তা ব্যাখ্যা করতে পারি না, তবে এটি সাহায্য করে। প্রাপ্তবয়স্করা আমাকে চিৎকার করে এবং বন্ধুরা আমাকে উপহাস করে যারা এর কারণে আমার উদ্বেগ সম্পর্কে জানে। আমি হয়তো এতে সম্পূর্ণ একা, কিন্তু জানি</v>
      </c>
    </row>
    <row r="2129" spans="1:3" ht="15" x14ac:dyDescent="0.25">
      <c r="A2129" s="3" t="s">
        <v>2122</v>
      </c>
      <c r="B2129" s="3" t="s">
        <v>1992</v>
      </c>
      <c r="C2129" s="4" t="str">
        <f ca="1">IFERROR(__xludf.DUMMYFUNCTION("GOOGLETRANSLATE(A2129, ""auto"", ""bn"")"),"সামাজিক মদ্যপান আমার সমস্যা আরও খারাপ করে তোলে। আমি খুব বেশি মদ্যপানকারী নই, তবে মাঝে মাঝে বাইরে যাই, তবে এটি সবসময় আমার ঘুমের উদ্বেগ ফিরিয়ে আনে। আমার স্বাভাবিক রুটিনে আমি সাধারণত ঘুমাতে যাওয়ার আগে পড়ি এবং সাধারণত ঘুমিয়ে পড়ি, অথবা আমি আবার উঠে পড়ি "&amp;"কিন্তু যে রাতে মাঝে মাঝে আমি দেরি করে মদ্যপান করি, আমি খারাপের জন্য ঘুমাতে পারি না। ঘুমের উদ্বেগ তৈরি হওয়ার আগে আমি বাইরে গিয়ে মদ্যপান করে ঘুমাতে যেতাম। কিন্তু এখন আমার মন মদ্যপানের কারণে এতটাই ব্যস্ত যে আমি ঘুমাতে পারি না এবং তারপর পরের দিন আমার ঘুম ভে"&amp;"ঙে যায়, এবং আমার শরীর খারাপের মতো অনুভব করে এবং আমার মন আর সেখানে থাকে না, এবং আমি আবার আমার ঘুমের চিন্তায় ডুবে যাই। আমার মনে হয় না আমি আর মাতাল হতে পারব। আমি এক বা দুটি বিয়ার খেয়ে ঠিক আছি।")</f>
        <v>সামাজিক মদ্যপান আমার সমস্যা আরও খারাপ করে তোলে। আমি খুব বেশি মদ্যপানকারী নই, তবে মাঝে মাঝে বাইরে যাই, তবে এটি সবসময় আমার ঘুমের উদ্বেগ ফিরিয়ে আনে। আমার স্বাভাবিক রুটিনে আমি সাধারণত ঘুমাতে যাওয়ার আগে পড়ি এবং সাধারণত ঘুমিয়ে পড়ি, অথবা আমি আবার উঠে পড়ি কিন্তু যে রাতে মাঝে মাঝে আমি দেরি করে মদ্যপান করি, আমি খারাপের জন্য ঘুমাতে পারি না। ঘুমের উদ্বেগ তৈরি হওয়ার আগে আমি বাইরে গিয়ে মদ্যপান করে ঘুমাতে যেতাম। কিন্তু এখন আমার মন মদ্যপানের কারণে এতটাই ব্যস্ত যে আমি ঘুমাতে পারি না এবং তারপর পরের দিন আমার ঘুম ভেঙে যায়, এবং আমার শরীর খারাপের মতো অনুভব করে এবং আমার মন আর সেখানে থাকে না, এবং আমি আবার আমার ঘুমের চিন্তায় ডুবে যাই। আমার মনে হয় না আমি আর মাতাল হতে পারব। আমি এক বা দুটি বিয়ার খেয়ে ঠিক আছি।</v>
      </c>
    </row>
    <row r="2130" spans="1:3" ht="15" x14ac:dyDescent="0.25">
      <c r="A2130" s="3" t="s">
        <v>2123</v>
      </c>
      <c r="B2130" s="3" t="s">
        <v>1992</v>
      </c>
      <c r="C2130" s="4" t="str">
        <f ca="1">IFERROR(__xludf.DUMMYFUNCTION("GOOGLETRANSLATE(A2130, ""auto"", ""bn"")"),"২১ মিনিট, প্রথমবারের মতো এখানে এসেছি, সাহায্যের আশায়, আপনাদের সকলকে ধন্যবাদ। হ্যালো বন্ধুরা, আগে কখনও এখানে পোস্ট করিনি, তবে আমি এখন আমার জীবনের এক অন্ধকার জায়গায় আছি এবং কীভাবে এটি শুরু করব তা সত্যিই জানি না। কিন্তু কিছুদিন ধরে আমার খুব খারাপ লাগছে এবং "&amp;"মনে হচ্ছে যেন আমি একজন ভিন্ন মানুষ হয়ে উঠছি কারণ আমি আর আগের মতো নিজের মধ্যে সুখ খুঁজে পাচ্ছি না। আমি একজন বিশ্ববিদ্যালয়ের ছাত্র, খুচরা বিক্রেতা হিসেবেও কাজ করি এবং সম্প্রতি একটি মডেলিং এজেন্সিতে চুক্তিবদ্ধ হয়েছি এবং আমার প্রায়শই মনে হয় যেন আমাকে প্র"&amp;"তিদিন একটি খুশি মুখ দেখাতে হবে, এবং আমি সত্যিই এই কাজ করতে করতে ক্লান্ত হয়ে পড়েছি, এটি শারীরিকভাবে এবং মানসিকভাবে ক্লান্তিকর। এই অনুভূতিটা আমার মনে হয়েছিল অন্তত এক বছর আগে, আর আমি ভেবেছিলাম যে জীবনের যেকোনো সময়, যখন তারা খারাপ বোধ করে, তখন এটা কেটে যা"&amp;"বে। তবে মনে হচ্ছে এটা থেকে গেছে এবং মনে হচ্ছে যেন একটা কালো মেঘ আমার উপর ঝুলছে, যা অন্যদের তুলনায় কিছু দিন বেশি খারাপ লাগে। আমি খুব প্রেমময় পরিবার থেকে এসেছি এবং আমার মা, সৎ বাবা এবং আমার ছোট ৩ সৎ ভাইবোনের সাথে থাকি। আমার জীবনে যে বিলাসিতা আছে তার জন্য "&amp;"আমি খুবই কৃতজ্ঞ। তবে আমার ভেতরে অনেক কিছু চলছে। মাঝে মাঝে আমি ঘুম থেকে উঠে খুব খারাপ বোধ করি, কারণ আমার পরিবার খুব সহায়ক এবং যত্নশীল, যদিও আমি এর চেয়ে ভালো পরিবারের আশা করতে পারি না। আমার বিশ্বাস, পরিবারের সদস্যদের মাধ্যমে জানতে পেরে আমার মানসিক স্বাস্থ্"&amp;"যের অবনতি হয়েছে যে আমার আসল বাবা ক্যান্সারে আক্রান্ত হয়েছেন। আমার ধারণা, এতে আমি বুঝতে পেরেছি যে জীবন সত্যিই খুব ছোট, ছোটবেলায় আমার আসল বাবা আমার এবং আমার মায়ের পাশে থাকতে পারেননি, কারণ তিনি ভালোবাসা বা যত্নের অভাব বোধ করেন। সবচেয়ে বড় আশীর্বাদ হলো আ"&amp;"মার মা আবার এমন একজন ব্যক্তির সাথে বিয়ে করেছেন যাকে আমি আনন্দের সাথে একজন প্রকৃত বাবা হিসেবে উল্লেখ করতে পারি, যিনি আমার খুব কাছের একজন পরিবারের সদস্য, যার সাথে আমি একসময় অনেক সময় কাটিয়েছি, সম্প্রতি অসংখ্যবার আত্মহত্যা করার চেষ্টা করেছেন এবং এতদিন তাদ"&amp;"ের থেকে দূরে থাকাটা ভালো অনুভূতি ছিল না এবং আমাকে বেশ একাকী বোধ করিয়েছে কারণ আমি ইতিমধ্যেই এমন একজন ব্যক্তি যার সত্যিকারের বন্ধু নেই কারণ আমি মানুষকে বিশ্বাস করতে কষ্ট পাই, অনেকবার এমন হয়েছে যেখানে আমাকে অন্যরা আমন্ত্রণ জানিয়েছে এবং না যাওয়ার জন্য অজু"&amp;"হাত খুঁজতে হয়েছে। এমন অনেক সময় এসেছে যখন আমি নিজের জীবন নেওয়ার কথা ভেবেছিলাম যখন আমার মূল্যহীনতা এবং দুঃখের অনুভূতি সর্বোচ্চ পর্যায়ে পৌঁছেছিল, এই অনুভূতিটি ব্যাখ্যা করা খুব কঠিন, এবং আমি কেবল একটু স্পষ্টতা খুঁজছি যে কেন আমি এইরকম অনুভব করছি বা অন্যরা "&amp;"একই রকম কিছু অনুভব করেছে কিনা আমি সত্যিই যেকোন সাহায্যের জন্য কৃতজ্ঞ থাকব। কর্মক্ষেত্রে, বিশ্ববিদ্যালয়ে এবং আমার সাথে দেখা অন্যান্য ব্যক্তিদের কাছে প্রায়শই মন্তব্য করা হয় যে আমি একজন খুব বহির্মুখী ব্যক্তি এবং প্রচুর আত্মবিশ্বাসী, তবে গভীরভাবে আমি প্রায"&amp;"়শই মনে করি যেন আমি ভিতরে সম্পূর্ণ ভিন্ন ব্যক্তি যা সত্যিই আমাকে ভাবতে বাধ্য করে যে আমি কীভাবে এমন হয়ে উঠলাম। আমার মনে হয় আমার জীবনে আগের রুটিনের অভাব রয়েছে এবং কিছু দিন ঘুম থেকে ওঠার পর মনে হয় যেন আমি কেবল গতিবিধির মধ্য দিয়ে যাচ্ছি, খুব বেশি দিন আগে"&amp;" আমি প্রতিদিন পড়তাম এবং আমার চিন্তাভাবনা কাগজে লেখার জন্য একটি জার্নাল রাখতে পছন্দ করতাম, আমার মনে আছে সপ্তাহে ৫ বার জিমে যেতাম সপ্তাহে দুবার দৌড়াদৌড়ি করে শক্তিতে ভরপুর, আমার চারপাশের লোকদের সাথে প্রতিদিন পূর্ণ জীবনযাপন করছি, আমার বৃদ্ধ আমি কোথায় চলে "&amp;"গেলাম? প্রায়শই অন্যরা আমাকে বলেছে যে আমি খুব সুন্দর চেহারার মানুষ এবং মজার মজার ভঙ্গিতে মানুষ বলে ""তুমি নিজেকে ভালোবাসো, তাই না"" অথবা ""তুমি খুব উদ্ধত"" কারণ আমি আমার শারীরিক চেহারা নিয়ে খুব গর্ব করি এবং যতটা সম্ভব সুন্দর দেখানোর জন্য যথাসাধ্য চেষ্টা ক"&amp;"রতে পছন্দ করি। সত্য হল সম্প্রতি আমি প্রতিদিন ইতিবাচক মানসিকতা বজায় রাখতে এবং আমার পছন্দের কাজগুলি করতে সংগ্রাম করছি। প্রতিদিন একটি মুখোশ পরা একটি কাজ যার সাথে আমি খুব পরিচিত হয়ে উঠেছি। আমি কেবল জানতে চাই যে অন্যরাও একই রকম অনুভব করেছে কিনা এবং আমি যে কো"&amp;"নও সাহায্যের জন্য সত্যিই কৃতজ্ঞ থাকব। আমি হাল ছাড়তে চাই না। আমি এভাবে অনুভব করতে চাই না। আমি চাই কষ্টের অবসান হোক বা অন্তত সহজ হোক। এটি পড়ার জন্য সময় দেওয়ার জন্য আপনাকে ধন্যবাদ। এখন অনেক রাত হয়ে গেছে। ব্যাকরণগত ভুলের জন্য আমি ক্ষমাপ্রার্থী।")</f>
        <v>২১ মিনিট, প্রথমবারের মতো এখানে এসেছি, সাহায্যের আশায়, আপনাদের সকলকে ধন্যবাদ। হ্যালো বন্ধুরা, আগে কখনও এখানে পোস্ট করিনি, তবে আমি এখন আমার জীবনের এক অন্ধকার জায়গায় আছি এবং কীভাবে এটি শুরু করব তা সত্যিই জানি না। কিন্তু কিছুদিন ধরে আমার খুব খারাপ লাগছে এবং মনে হচ্ছে যেন আমি একজন ভিন্ন মানুষ হয়ে উঠছি কারণ আমি আর আগের মতো নিজের মধ্যে সুখ খুঁজে পাচ্ছি না। আমি একজন বিশ্ববিদ্যালয়ের ছাত্র, খুচরা বিক্রেতা হিসেবেও কাজ করি এবং সম্প্রতি একটি মডেলিং এজেন্সিতে চুক্তিবদ্ধ হয়েছি এবং আমার প্রায়শই মনে হয় যেন আমাকে প্রতিদিন একটি খুশি মুখ দেখাতে হবে, এবং আমি সত্যিই এই কাজ করতে করতে ক্লান্ত হয়ে পড়েছি, এটি শারীরিকভাবে এবং মানসিকভাবে ক্লান্তিকর। এই অনুভূতিটা আমার মনে হয়েছিল অন্তত এক বছর আগে, আর আমি ভেবেছিলাম যে জীবনের যেকোনো সময়, যখন তারা খারাপ বোধ করে, তখন এটা কেটে যাবে। তবে মনে হচ্ছে এটা থেকে গেছে এবং মনে হচ্ছে যেন একটা কালো মেঘ আমার উপর ঝুলছে, যা অন্যদের তুলনায় কিছু দিন বেশি খারাপ লাগে। আমি খুব প্রেমময় পরিবার থেকে এসেছি এবং আমার মা, সৎ বাবা এবং আমার ছোট ৩ সৎ ভাইবোনের সাথে থাকি। আমার জীবনে যে বিলাসিতা আছে তার জন্য আমি খুবই কৃতজ্ঞ। তবে আমার ভেতরে অনেক কিছু চলছে। মাঝে মাঝে আমি ঘুম থেকে উঠে খুব খারাপ বোধ করি, কারণ আমার পরিবার খুব সহায়ক এবং যত্নশীল, যদিও আমি এর চেয়ে ভালো পরিবারের আশা করতে পারি না। আমার বিশ্বাস, পরিবারের সদস্যদের মাধ্যমে জানতে পেরে আমার মানসিক স্বাস্থ্যের অবনতি হয়েছে যে আমার আসল বাবা ক্যান্সারে আক্রান্ত হয়েছেন। আমার ধারণা, এতে আমি বুঝতে পেরেছি যে জীবন সত্যিই খুব ছোট, ছোটবেলায় আমার আসল বাবা আমার এবং আমার মায়ের পাশে থাকতে পারেননি, কারণ তিনি ভালোবাসা বা যত্নের অভাব বোধ করেন। সবচেয়ে বড় আশীর্বাদ হলো আমার মা আবার এমন একজন ব্যক্তির সাথে বিয়ে করেছেন যাকে আমি আনন্দের সাথে একজন প্রকৃত বাবা হিসেবে উল্লেখ করতে পারি, যিনি আমার খুব কাছের একজন পরিবারের সদস্য, যার সাথে আমি একসময় অনেক সময় কাটিয়েছি, সম্প্রতি অসংখ্যবার আত্মহত্যা করার চেষ্টা করেছেন এবং এতদিন তাদের থেকে দূরে থাকাটা ভালো অনুভূতি ছিল না এবং আমাকে বেশ একাকী বোধ করিয়েছে কারণ আমি ইতিমধ্যেই এমন একজন ব্যক্তি যার সত্যিকারের বন্ধু নেই কারণ আমি মানুষকে বিশ্বাস করতে কষ্ট পাই, অনেকবার এমন হয়েছে যেখানে আমাকে অন্যরা আমন্ত্রণ জানিয়েছে এবং না যাওয়ার জন্য অজুহাত খুঁজতে হয়েছে। এমন অনেক সময় এসেছে যখন আমি নিজের জীবন নেওয়ার কথা ভেবেছিলাম যখন আমার মূল্যহীনতা এবং দুঃখের অনুভূতি সর্বোচ্চ পর্যায়ে পৌঁছেছিল, এই অনুভূতিটি ব্যাখ্যা করা খুব কঠিন, এবং আমি কেবল একটু স্পষ্টতা খুঁজছি যে কেন আমি এইরকম অনুভব করছি বা অন্যরা একই রকম কিছু অনুভব করেছে কিনা আমি সত্যিই যেকোন সাহায্যের জন্য কৃতজ্ঞ থাকব। কর্মক্ষেত্রে, বিশ্ববিদ্যালয়ে এবং আমার সাথে দেখা অন্যান্য ব্যক্তিদের কাছে প্রায়শই মন্তব্য করা হয় যে আমি একজন খুব বহির্মুখী ব্যক্তি এবং প্রচুর আত্মবিশ্বাসী, তবে গভীরভাবে আমি প্রায়শই মনে করি যেন আমি ভিতরে সম্পূর্ণ ভিন্ন ব্যক্তি যা সত্যিই আমাকে ভাবতে বাধ্য করে যে আমি কীভাবে এমন হয়ে উঠলাম। আমার মনে হয় আমার জীবনে আগের রুটিনের অভাব রয়েছে এবং কিছু দিন ঘুম থেকে ওঠার পর মনে হয় যেন আমি কেবল গতিবিধির মধ্য দিয়ে যাচ্ছি, খুব বেশি দিন আগে আমি প্রতিদিন পড়তাম এবং আমার চিন্তাভাবনা কাগজে লেখার জন্য একটি জার্নাল রাখতে পছন্দ করতাম, আমার মনে আছে সপ্তাহে ৫ বার জিমে যেতাম সপ্তাহে দুবার দৌড়াদৌড়ি করে শক্তিতে ভরপুর, আমার চারপাশের লোকদের সাথে প্রতিদিন পূর্ণ জীবনযাপন করছি, আমার বৃদ্ধ আমি কোথায় চলে গেলাম? প্রায়শই অন্যরা আমাকে বলেছে যে আমি খুব সুন্দর চেহারার মানুষ এবং মজার মজার ভঙ্গিতে মানুষ বলে "তুমি নিজেকে ভালোবাসো, তাই না" অথবা "তুমি খুব উদ্ধত" কারণ আমি আমার শারীরিক চেহারা নিয়ে খুব গর্ব করি এবং যতটা সম্ভব সুন্দর দেখানোর জন্য যথাসাধ্য চেষ্টা করতে পছন্দ করি। সত্য হল সম্প্রতি আমি প্রতিদিন ইতিবাচক মানসিকতা বজায় রাখতে এবং আমার পছন্দের কাজগুলি করতে সংগ্রাম করছি। প্রতিদিন একটি মুখোশ পরা একটি কাজ যার সাথে আমি খুব পরিচিত হয়ে উঠেছি। আমি কেবল জানতে চাই যে অন্যরাও একই রকম অনুভব করেছে কিনা এবং আমি যে কোনও সাহায্যের জন্য সত্যিই কৃতজ্ঞ থাকব। আমি হাল ছাড়তে চাই না। আমি এভাবে অনুভব করতে চাই না। আমি চাই কষ্টের অবসান হোক বা অন্তত সহজ হোক। এটি পড়ার জন্য সময় দেওয়ার জন্য আপনাকে ধন্যবাদ। এখন অনেক রাত হয়ে গেছে। ব্যাকরণগত ভুলের জন্য আমি ক্ষমাপ্রার্থী।</v>
      </c>
    </row>
    <row r="2131" spans="1:3" ht="15" x14ac:dyDescent="0.25">
      <c r="A2131" s="3" t="s">
        <v>2124</v>
      </c>
      <c r="B2131" s="3" t="s">
        <v>1992</v>
      </c>
      <c r="C2131" s="4" t="str">
        <f ca="1">IFERROR(__xludf.DUMMYFUNCTION("GOOGLETRANSLATE(A2131, ""auto"", ""bn"")"),"কেউ কি জানেন কিভাবে স্বপ্নের অনুভূতি দূর করা যায়? আসা-যাওয়ায় সত্যিই বিরক্ত হয়ে যাচ্ছি?")</f>
        <v>কেউ কি জানেন কিভাবে স্বপ্নের অনুভূতি দূর করা যায়? আসা-যাওয়ায় সত্যিই বিরক্ত হয়ে যাচ্ছি?</v>
      </c>
    </row>
    <row r="2132" spans="1:3" ht="15" x14ac:dyDescent="0.25">
      <c r="A2132" s="3" t="s">
        <v>2125</v>
      </c>
      <c r="B2132" s="3" t="s">
        <v>1992</v>
      </c>
      <c r="C2132" s="4" t="str">
        <f ca="1">IFERROR(__xludf.DUMMYFUNCTION("GOOGLETRANSLATE(A2132, ""auto"", ""bn"")"),"কারো কি SSRI-এর প্রতি তীব্র সংবেদনশীলতা আছে এবং GAD/প্যানিক অ্যাটাকের জন্য সেবনযোগ্য কোনও ওষুধ খুঁজে পেয়েছেন? হে বন্ধুরা! আমার SSRI-এর প্রতি তীব্র সংবেদনশীলতা আছে এবং আমি সেগুলি নিতে পারছি না। আমিও বু স্পার চেষ্টা করেছি কিন্তু কোনও লাভ হয়নি। তাছাড়া, আম"&amp;"ি ভাবছি অন্য কেউ কি তীব্র সংবেদনশীলতার সম্মুখীন হয়েছেন কিন্তু এমন কিছু খুঁজে পেয়েছেন যা তাদের জন্য ভালো কাজ করেছে? তাছাড়া, আমি এখন জিনিসগুলি চেষ্টা করতে ভয় পাচ্ছি কারণ আমার প্রতিক্রিয়াগুলি এত খারাপ! তাছাড়া, আমি আশা হারাতে শুরু করেছি যে আমি কখনও স্বা"&amp;"ভাবিক জীবনযাপন করতে পারব বা এই উদ্বেগ নিয়ন্ত্রণ করতে পারব!")</f>
        <v>কারো কি SSRI-এর প্রতি তীব্র সংবেদনশীলতা আছে এবং GAD/প্যানিক অ্যাটাকের জন্য সেবনযোগ্য কোনও ওষুধ খুঁজে পেয়েছেন? হে বন্ধুরা! আমার SSRI-এর প্রতি তীব্র সংবেদনশীলতা আছে এবং আমি সেগুলি নিতে পারছি না। আমিও বু স্পার চেষ্টা করেছি কিন্তু কোনও লাভ হয়নি। তাছাড়া, আমি ভাবছি অন্য কেউ কি তীব্র সংবেদনশীলতার সম্মুখীন হয়েছেন কিন্তু এমন কিছু খুঁজে পেয়েছেন যা তাদের জন্য ভালো কাজ করেছে? তাছাড়া, আমি এখন জিনিসগুলি চেষ্টা করতে ভয় পাচ্ছি কারণ আমার প্রতিক্রিয়াগুলি এত খারাপ! তাছাড়া, আমি আশা হারাতে শুরু করেছি যে আমি কখনও স্বাভাবিক জীবনযাপন করতে পারব বা এই উদ্বেগ নিয়ন্ত্রণ করতে পারব!</v>
      </c>
    </row>
    <row r="2133" spans="1:3" ht="15" x14ac:dyDescent="0.25">
      <c r="A2133" s="3" t="s">
        <v>2126</v>
      </c>
      <c r="B2133" s="3" t="s">
        <v>1992</v>
      </c>
      <c r="C2133" s="4" t="str">
        <f ca="1">IFERROR(__xludf.DUMMYFUNCTION("GOOGLETRANSLATE(A2133, ""auto"", ""bn"")"),"দীর্ঘমেয়াদী পার্শ্বপ্রতিক্রিয়া আপনি কি মনে করেন যে দীর্ঘমেয়াদী উদ্বেগের জন্য জোলফ্টের মতো SSRI, অথবা দীর্ঘমেয়াদী উদ্বেগের জন্য গ্যাবাপেন্টিনের মতো অ্যান্টিকনভালসেন্ট গ্রহণ করলে দীর্ঘমেয়াদী পার্শ্বপ্রতিক্রিয়া আরও খারাপ হবে? এছাড়াও, আপনি কি জানেন যে "&amp;"প্রতিটির দীর্ঘমেয়াদী পার্শ্বপ্রতিক্রিয়া হতে পারে?")</f>
        <v>দীর্ঘমেয়াদী পার্শ্বপ্রতিক্রিয়া আপনি কি মনে করেন যে দীর্ঘমেয়াদী উদ্বেগের জন্য জোলফ্টের মতো SSRI, অথবা দীর্ঘমেয়াদী উদ্বেগের জন্য গ্যাবাপেন্টিনের মতো অ্যান্টিকনভালসেন্ট গ্রহণ করলে দীর্ঘমেয়াদী পার্শ্বপ্রতিক্রিয়া আরও খারাপ হবে? এছাড়াও, আপনি কি জানেন যে প্রতিটির দীর্ঘমেয়াদী পার্শ্বপ্রতিক্রিয়া হতে পারে?</v>
      </c>
    </row>
    <row r="2134" spans="1:3" ht="15" x14ac:dyDescent="0.25">
      <c r="A2134" s="3" t="s">
        <v>2127</v>
      </c>
      <c r="B2134" s="3" t="s">
        <v>1992</v>
      </c>
      <c r="C2134" s="4" t="str">
        <f ca="1">IFERROR(__xludf.DUMMYFUNCTION("GOOGLETRANSLATE(A2134, ""auto"", ""bn"")"),"যখন আমাকে আনফ্রেন্ড করা হয়, ব্লক করা হয়, তখন আমার দুশ্চিন্তা হয়। আমার মনে হয় আমি কিছু ভুল করেছি, এমনকি যখন আমি তা করিনি। তাছাড়া, আমি এর জন্য নিজেকে মারধর করি, এবং এটি এতটাই খারাপ যে আমার কাঁধ/ঘাড়/পিঠে ভয়ানক ব্যথা শুরু হয়েছে।")</f>
        <v>যখন আমাকে আনফ্রেন্ড করা হয়, ব্লক করা হয়, তখন আমার দুশ্চিন্তা হয়। আমার মনে হয় আমি কিছু ভুল করেছি, এমনকি যখন আমি তা করিনি। তাছাড়া, আমি এর জন্য নিজেকে মারধর করি, এবং এটি এতটাই খারাপ যে আমার কাঁধ/ঘাড়/পিঠে ভয়ানক ব্যথা শুরু হয়েছে।</v>
      </c>
    </row>
    <row r="2135" spans="1:3" ht="15" x14ac:dyDescent="0.25">
      <c r="A2135" s="3" t="s">
        <v>2128</v>
      </c>
      <c r="B2135" s="3" t="s">
        <v>1992</v>
      </c>
      <c r="C2135" s="4" t="str">
        <f ca="1">IFERROR(__xludf.DUMMYFUNCTION("GOOGLETRANSLATE(A2135, ""auto"", ""bn"")"),"কলেজের ছুটির সময় যখন আমি বাড়িতে বাবা-মায়ের সাথে থাকি, তখন আমার উদ্বেগ চরমে ওঠে... তাই আমি ভেবেছিলাম কলেজে যাওয়া আমার উদ্বেগের শীর্ষে থাকবে কোর্সওয়ার্ক, রুক্ষ এবং অপ্রত্যাশিত সময় এবং বাড়ি থেকে দূরে থাকার কারণে। প্রথমে, তাই ছিল। সবকিছুর সাথে তাল মিলি"&amp;"য়ে চলার চেষ্টা করে আমি অনেক লড়াই করছিলাম (এটি করা সম্ভব হয়েছে) এবং আমি ভেবেছিলাম যখনই আমি বাড়ি যেতে পারব তখনই আমি একটি বিরতি পাব এবং স্কুল সম্পর্কে চিন্তা করার দরকার পড়বে না। এটি প্রায় বিপরীত প্রভাবের মতো মনে হয়। কলেজে থাকাকালীন আমি আমার নিজস্ব সময"&amp;"়সূচী তৈরি করেছি এবং এটি আমার কাছে সবচেয়ে আরামদায়ক মনে হয়েছে। বাড়িতে ফিরে মনে হয়েছিল যে আমি তাদের সাথে মানিয়ে নেওয়ার জন্য খুব চাপ এবং উদ্বিগ্ন বোধ করি। আগে ঘুমানো, আগে ঘুমানো, ঘুম না দেওয়া, তাড়াতাড়ি মুদি দোকানে যাওয়া (অন্যান্য বাইরে যাওয়া সহ) "&amp;"এবং যদি আমি না জাগি, আমি সবার সাথে নির্ধারিত সময়ে টিভি দেখা মিস করি, ইত্যাদি। এর সাথে না মানিয়ে নেওয়ার সাথে সাথে আমার বাবা-মায়ের কাছ থেকে হতাশা, উপহাস এবং মাঝে মাঝে কঠোর শব্দ আসে। এটা এমন একটা অনুভূতি যে আমার এত কিছু মেনে চলার প্রয়োজন, যা আমার উদ্বেগক"&amp;"ে আরও বাড়িয়ে তোলে। আমার উদ্বেগের কারণে আমার ঘুমাতে কষ্ট হয় এবং আমি আমার ঘর থেকে উঠে বাইরে বেরোনোর ​​জন্য অনেক সময় নষ্ট করি, যা অবশ্যই তাদের সময়সূচীর অংশ না হওয়ার, তিরস্কার পাওয়ার, আরও উদ্বিগ্ন হওয়ার এবং বারবার করার মতো এক তুষারগোলকের মতো প্রভাব ফেল"&amp;"ে। আমি এতটাই উদ্বিগ্ন হয়ে পড়ি যে আমি স্কুলে ফিরে যাওয়ার জন্য অপেক্ষা করতে পারি না এবং বাড়িতে থাকার চেয়ে সেখানে চাপ এবং উদ্বিগ্ন থাকি। আমি ছুটির জন্য বাড়িতে যেতে ঘৃণা করি; এবং আমার মনে হয় না যে আমার এইরকম অনুভব করা উচিত, তবে আমার উদ্বেগ আমার জন্য এট"&amp;"ি প্রমাণ করে। তাছাড়া, আমি সবকিছু মোকাবেলা করার চেষ্টা করে খুব ক্লান্ত হয়ে পড়ি, এবং আমার সত্যিই এটি আমার বুক থেকে বের করে আনা দরকার ছিল।")</f>
        <v>কলেজের ছুটির সময় যখন আমি বাড়িতে বাবা-মায়ের সাথে থাকি, তখন আমার উদ্বেগ চরমে ওঠে... তাই আমি ভেবেছিলাম কলেজে যাওয়া আমার উদ্বেগের শীর্ষে থাকবে কোর্সওয়ার্ক, রুক্ষ এবং অপ্রত্যাশিত সময় এবং বাড়ি থেকে দূরে থাকার কারণে। প্রথমে, তাই ছিল। সবকিছুর সাথে তাল মিলিয়ে চলার চেষ্টা করে আমি অনেক লড়াই করছিলাম (এটি করা সম্ভব হয়েছে) এবং আমি ভেবেছিলাম যখনই আমি বাড়ি যেতে পারব তখনই আমি একটি বিরতি পাব এবং স্কুল সম্পর্কে চিন্তা করার দরকার পড়বে না। এটি প্রায় বিপরীত প্রভাবের মতো মনে হয়। কলেজে থাকাকালীন আমি আমার নিজস্ব সময়সূচী তৈরি করেছি এবং এটি আমার কাছে সবচেয়ে আরামদায়ক মনে হয়েছে। বাড়িতে ফিরে মনে হয়েছিল যে আমি তাদের সাথে মানিয়ে নেওয়ার জন্য খুব চাপ এবং উদ্বিগ্ন বোধ করি। আগে ঘুমানো, আগে ঘুমানো, ঘুম না দেওয়া, তাড়াতাড়ি মুদি দোকানে যাওয়া (অন্যান্য বাইরে যাওয়া সহ) এবং যদি আমি না জাগি, আমি সবার সাথে নির্ধারিত সময়ে টিভি দেখা মিস করি, ইত্যাদি। এর সাথে না মানিয়ে নেওয়ার সাথে সাথে আমার বাবা-মায়ের কাছ থেকে হতাশা, উপহাস এবং মাঝে মাঝে কঠোর শব্দ আসে। এটা এমন একটা অনুভূতি যে আমার এত কিছু মেনে চলার প্রয়োজন, যা আমার উদ্বেগকে আরও বাড়িয়ে তোলে। আমার উদ্বেগের কারণে আমার ঘুমাতে কষ্ট হয় এবং আমি আমার ঘর থেকে উঠে বাইরে বেরোনোর ​​জন্য অনেক সময় নষ্ট করি, যা অবশ্যই তাদের সময়সূচীর অংশ না হওয়ার, তিরস্কার পাওয়ার, আরও উদ্বিগ্ন হওয়ার এবং বারবার করার মতো এক তুষারগোলকের মতো প্রভাব ফেলে। আমি এতটাই উদ্বিগ্ন হয়ে পড়ি যে আমি স্কুলে ফিরে যাওয়ার জন্য অপেক্ষা করতে পারি না এবং বাড়িতে থাকার চেয়ে সেখানে চাপ এবং উদ্বিগ্ন থাকি। আমি ছুটির জন্য বাড়িতে যেতে ঘৃণা করি; এবং আমার মনে হয় না যে আমার এইরকম অনুভব করা উচিত, তবে আমার উদ্বেগ আমার জন্য এটি প্রমাণ করে। তাছাড়া, আমি সবকিছু মোকাবেলা করার চেষ্টা করে খুব ক্লান্ত হয়ে পড়ি, এবং আমার সত্যিই এটি আমার বুক থেকে বের করে আনা দরকার ছিল।</v>
      </c>
    </row>
    <row r="2136" spans="1:3" ht="15" x14ac:dyDescent="0.25">
      <c r="A2136" s="3" t="s">
        <v>2129</v>
      </c>
      <c r="B2136" s="3" t="s">
        <v>1992</v>
      </c>
      <c r="C2136" s="4" t="str">
        <f ca="1">IFERROR(__xludf.DUMMYFUNCTION("GOOGLETRANSLATE(A2136, ""auto"", ""bn"")"),"সাহায্য পেতে চাইছি কিন্তু কোথা থেকে শুরু করব তা নিশ্চিত নই। আমি কয়েক মাস ধরে ভেনলাফ্যাক্সিন খাচ্ছি, এবং আমি অবশ্যই কিছু অগ্রগতি লক্ষ্য করেছি, কিন্তু আমি এখনও বেশ তীব্র উদ্বেগ এবং বিষণ্ণতা অনুভব করছি। এই বেদনাগুলি সাধারণত আমার জিএফের সাথে সম্পর্কের সমস্যা"&amp;" বা স্কুল সম্পর্কিত চাপের কারণে হয়। আমি জানি যে সমস্যাগুলি মূলত আমার অতিরিক্ত চিন্তাভাবনা করার এবং যখন আমি বিরক্ত এবং হতাশ হই তখন অযৌক্তিক প্রতিক্রিয়া দেখানোর প্রবণতার কারণে হয়, এবং আমি সঠিক পথে ফিরে আসার জন্য সত্যিই পেশাদার সাহায্য চাই। যখনই আমার সম্প"&amp;"র্কের মধ্যে কিছু ভুল হচ্ছে বা আমার জীবন কোথাও যাচ্ছে না বলে মনে হয় তখনই আমি উদ্বেগের আক্রমণ এবং চোখ বুজে বিরক্ত হয়ে ক্লান্ত। একমাত্র সমস্যা হল, আমার কোনও ধারণা নেই কিভাবে কথা বলার জন্য একজন মনোবিজ্ঞানী খুঁজে বের করব। আপনারা যারা সফলভাবে একজন ভাল মনোবিজ্"&amp;"ঞানী খুঁজে পেয়েছেন, আপনি কীভাবে এটি করেছেন? টিএল, ডিআর: সম্প্রতি উদ্বেগের সমস্যাগুলির সাথে লড়াই করছি যদিও আমি এমন একটি ওষুধ খাচ্ছি যা আমার জন্য কাজ করছে এবং কথা বলার জন্য একজন মনোবিজ্ঞানীর সন্ধান করছি। কীভাবে সাহায্য পাব তা নিশ্চিত নই।")</f>
        <v>সাহায্য পেতে চাইছি কিন্তু কোথা থেকে শুরু করব তা নিশ্চিত নই। আমি কয়েক মাস ধরে ভেনলাফ্যাক্সিন খাচ্ছি, এবং আমি অবশ্যই কিছু অগ্রগতি লক্ষ্য করেছি, কিন্তু আমি এখনও বেশ তীব্র উদ্বেগ এবং বিষণ্ণতা অনুভব করছি। এই বেদনাগুলি সাধারণত আমার জিএফের সাথে সম্পর্কের সমস্যা বা স্কুল সম্পর্কিত চাপের কারণে হয়। আমি জানি যে সমস্যাগুলি মূলত আমার অতিরিক্ত চিন্তাভাবনা করার এবং যখন আমি বিরক্ত এবং হতাশ হই তখন অযৌক্তিক প্রতিক্রিয়া দেখানোর প্রবণতার কারণে হয়, এবং আমি সঠিক পথে ফিরে আসার জন্য সত্যিই পেশাদার সাহায্য চাই। যখনই আমার সম্পর্কের মধ্যে কিছু ভুল হচ্ছে বা আমার জীবন কোথাও যাচ্ছে না বলে মনে হয় তখনই আমি উদ্বেগের আক্রমণ এবং চোখ বুজে বিরক্ত হয়ে ক্লান্ত। একমাত্র সমস্যা হল, আমার কোনও ধারণা নেই কিভাবে কথা বলার জন্য একজন মনোবিজ্ঞানী খুঁজে বের করব। আপনারা যারা সফলভাবে একজন ভাল মনোবিজ্ঞানী খুঁজে পেয়েছেন, আপনি কীভাবে এটি করেছেন? টিএল, ডিআর: সম্প্রতি উদ্বেগের সমস্যাগুলির সাথে লড়াই করছি যদিও আমি এমন একটি ওষুধ খাচ্ছি যা আমার জন্য কাজ করছে এবং কথা বলার জন্য একজন মনোবিজ্ঞানীর সন্ধান করছি। কীভাবে সাহায্য পাব তা নিশ্চিত নই।</v>
      </c>
    </row>
    <row r="2137" spans="1:3" ht="15" x14ac:dyDescent="0.25">
      <c r="A2137" s="3" t="s">
        <v>2130</v>
      </c>
      <c r="B2137" s="3" t="s">
        <v>1992</v>
      </c>
      <c r="C2137" s="4" t="str">
        <f ca="1">IFERROR(__xludf.DUMMYFUNCTION("GOOGLETRANSLATE(A2137, ""auto"", ""bn"")"),"আপনার উদ্বেগ এবং বিষণ্ণতা কীসের কারণে হয়? যখন আমরা কোনও অবাঞ্ছিত তীব্র আবেগ অনুভব করি, তা সে রাগ, বিষণ্ণতা, উদ্বেগ বা অন্য কিছু হোক, তখন প্রায়শই আমাদের প্রতিক্রিয়া তার চেয়ে বেশি তীব্র হয় কারণ কোনও কিছু আমাদের উত্তেজিত করেছে। ফলাফল হল অতিরিক্ত প্রতিক্"&amp;"রিয়া বা অসামঞ্জস্যপূর্ণ প্রতিক্রিয়া। জানার সহজ উপায় হল কল্পনা করা যে আপনার জীবন যদি একেবারে নিখুঁত হত, এবং যদি এটিই প্রথমবার আপনার সাথে খারাপ কিছু ঘটে, তাহলে আপনি কি একইভাবে প্রতিক্রিয়া দেখাতেন? আপনার ট্রিগার কী? প্রায়শই এটি পরিস্থিতি নয় বরং এটি যে "&amp;"অনুভূতি তৈরি করে, অনিশ্চয়তা, মূল্যহীনতা, শক্তিহীনতা ইত্যাদি। অবচেতন অতীতের সেই অনুভূতিগুলির যন্ত্রণা মনে রাখে, বিশেষ করে আঘাত থেকে এবং বিশেষ করে শৈশবের আঘাত থেকে। যখন এটি ট্রিগার হয়, তখন অতিরিক্ত প্রতিক্রিয়া শুরু হয় কারণ অবচেতন আপনাকে বলছে এটি জীবন বা"&amp;" মৃত্যু, লড়াই বা পালিয়ে যাওয়ার পরিস্থিতি। আপনার ট্রিগারগুলি সম্পর্কে জানুন, কেবল সেগুলি সম্পর্কে সচেতন থাকা তাদের আপনার উপর তাদের বেশিরভাগ ক্ষমতা কেড়ে নেয়")</f>
        <v>আপনার উদ্বেগ এবং বিষণ্ণতা কীসের কারণে হয়? যখন আমরা কোনও অবাঞ্ছিত তীব্র আবেগ অনুভব করি, তা সে রাগ, বিষণ্ণতা, উদ্বেগ বা অন্য কিছু হোক, তখন প্রায়শই আমাদের প্রতিক্রিয়া তার চেয়ে বেশি তীব্র হয় কারণ কোনও কিছু আমাদের উত্তেজিত করেছে। ফলাফল হল অতিরিক্ত প্রতিক্রিয়া বা অসামঞ্জস্যপূর্ণ প্রতিক্রিয়া। জানার সহজ উপায় হল কল্পনা করা যে আপনার জীবন যদি একেবারে নিখুঁত হত, এবং যদি এটিই প্রথমবার আপনার সাথে খারাপ কিছু ঘটে, তাহলে আপনি কি একইভাবে প্রতিক্রিয়া দেখাতেন? আপনার ট্রিগার কী? প্রায়শই এটি পরিস্থিতি নয় বরং এটি যে অনুভূতি তৈরি করে, অনিশ্চয়তা, মূল্যহীনতা, শক্তিহীনতা ইত্যাদি। অবচেতন অতীতের সেই অনুভূতিগুলির যন্ত্রণা মনে রাখে, বিশেষ করে আঘাত থেকে এবং বিশেষ করে শৈশবের আঘাত থেকে। যখন এটি ট্রিগার হয়, তখন অতিরিক্ত প্রতিক্রিয়া শুরু হয় কারণ অবচেতন আপনাকে বলছে এটি জীবন বা মৃত্যু, লড়াই বা পালিয়ে যাওয়ার পরিস্থিতি। আপনার ট্রিগারগুলি সম্পর্কে জানুন, কেবল সেগুলি সম্পর্কে সচেতন থাকা তাদের আপনার উপর তাদের বেশিরভাগ ক্ষমতা কেড়ে নেয়</v>
      </c>
    </row>
    <row r="2138" spans="1:3" ht="15" x14ac:dyDescent="0.25">
      <c r="A2138" s="3" t="s">
        <v>2131</v>
      </c>
      <c r="B2138" s="3" t="s">
        <v>1992</v>
      </c>
      <c r="C2138" s="4" t="str">
        <f ca="1">IFERROR(__xludf.DUMMYFUNCTION("GOOGLETRANSLATE(A2138, ""auto"", ""bn"")"),"অ্যালকোহল সবকিছু ভালো করে তোলে--আরও খারাপ, আমি সম্প্রতি ২১ বছর বয়সী হয়েছি এবং মদ্যপান শুরু করেছি কারণ এটি কয়েক ঘন্টার জন্য আমার উদ্বেগ দূর করেছিল। এটা দারুন-- পরের দিন পর্যন্ত। গত রাতে আমি বেশ কিছুটা মদ্যপান করেছি এবং আজ আমার উদ্বেগ মাথা ঘামাচ্ছে। সারা"&amp;"দিন আমার আসন্ন ধ্বংসের তীব্র অনুভূতি হয়েছে এবং কয়েক ঘন্টা আগে আমি ডিরিয়ালাইজেশনে আক্রান্ত হয়েছি। এখন মনে হচ্ছে কিছুই বাস্তব নয়, এবং আমি এখনও ভয় পাচ্ছি। এটা কি অন্য কারো সাথে ঘটে?")</f>
        <v>অ্যালকোহল সবকিছু ভালো করে তোলে--আরও খারাপ, আমি সম্প্রতি ২১ বছর বয়সী হয়েছি এবং মদ্যপান শুরু করেছি কারণ এটি কয়েক ঘন্টার জন্য আমার উদ্বেগ দূর করেছিল। এটা দারুন-- পরের দিন পর্যন্ত। গত রাতে আমি বেশ কিছুটা মদ্যপান করেছি এবং আজ আমার উদ্বেগ মাথা ঘামাচ্ছে। সারাদিন আমার আসন্ন ধ্বংসের তীব্র অনুভূতি হয়েছে এবং কয়েক ঘন্টা আগে আমি ডিরিয়ালাইজেশনে আক্রান্ত হয়েছি। এখন মনে হচ্ছে কিছুই বাস্তব নয়, এবং আমি এখনও ভয় পাচ্ছি। এটা কি অন্য কারো সাথে ঘটে?</v>
      </c>
    </row>
    <row r="2139" spans="1:3" ht="15" x14ac:dyDescent="0.25">
      <c r="A2139" s="3" t="s">
        <v>2132</v>
      </c>
      <c r="B2139" s="3" t="s">
        <v>1992</v>
      </c>
      <c r="C2139" s="4" t="str">
        <f ca="1">IFERROR(__xludf.DUMMYFUNCTION("GOOGLETRANSLATE(A2139, ""auto"", ""bn"")"),"আমি কি উদ্বেগের সাথে মোকাবিলা করছি? আমি আগেও এই বিষয়ে কথা বলেছি, কিন্তু আমার জীবনের একটা বিভ্রান্তিকর, ভীতিকর মুহূর্তের মধ্যে আছি। আমি এমন একজন যে মে মাসে আবার ওষুধ খাওয়ার আগে পর্যন্ত কখনও উদ্বেগের সাথে মোকাবিলা করেনি। তাছাড়া, আমি দুই দিনের মিথাইলপ্রেড"&amp;"নিসোলন খেয়েছিলাম এবং আমার প্রথম প্যানিক অ্যাটাক হয়েছিল। প্যানিক অ্যাটাক কয়েক সপ্তাহ পরেও অব্যাহত ছিল, এবং তারপর থেকে (বেশিরভাগ সময়) অবিরাম উদ্বেগ। আমরা এখন জানুয়ারিতে আছি, এবং আমার এখনও উদ্বেগের এই লক্ষণগুলি রয়েছে। স্বাভাবিকের চেয়ে বেশি ঘাম, হৃদস্প"&amp;"ন্দন বৃদ্ধি, পেশী ঝাঁকুনি, এবং এর মধ্যে সবচেয়ে খারাপ হল মাঝে মাঝে ব্যক্তিগতকরণ। আমি বাইরে যাওয়া এবং স্বাভাবিকভাবে জীবনযাপন করাকে অগ্রাধিকার দিয়েছি, কিন্তু এই সমস্ত কিছুর সাথে এটি ততটা উপভোগ্য নয়। আমি প্রশ্ন করছি যে উদ্বেগ কি স্বাভাবিক, নাকি এর কারণ অন"&amp;"্য কিছু। কিছু অতিরিক্ত তথ্য: আমি একজন 22 বছর বয়সী পুরুষ, বেশ সক্রিয়, দিনে প্রায় এক কাপ কফি পান করি এবং বন্ধুদের সাথে সপ্তাহান্তে পান করি।")</f>
        <v>আমি কি উদ্বেগের সাথে মোকাবিলা করছি? আমি আগেও এই বিষয়ে কথা বলেছি, কিন্তু আমার জীবনের একটা বিভ্রান্তিকর, ভীতিকর মুহূর্তের মধ্যে আছি। আমি এমন একজন যে মে মাসে আবার ওষুধ খাওয়ার আগে পর্যন্ত কখনও উদ্বেগের সাথে মোকাবিলা করেনি। তাছাড়া, আমি দুই দিনের মিথাইলপ্রেডনিসোলন খেয়েছিলাম এবং আমার প্রথম প্যানিক অ্যাটাক হয়েছিল। প্যানিক অ্যাটাক কয়েক সপ্তাহ পরেও অব্যাহত ছিল, এবং তারপর থেকে (বেশিরভাগ সময়) অবিরাম উদ্বেগ। আমরা এখন জানুয়ারিতে আছি, এবং আমার এখনও উদ্বেগের এই লক্ষণগুলি রয়েছে। স্বাভাবিকের চেয়ে বেশি ঘাম, হৃদস্পন্দন বৃদ্ধি, পেশী ঝাঁকুনি, এবং এর মধ্যে সবচেয়ে খারাপ হল মাঝে মাঝে ব্যক্তিগতকরণ। আমি বাইরে যাওয়া এবং স্বাভাবিকভাবে জীবনযাপন করাকে অগ্রাধিকার দিয়েছি, কিন্তু এই সমস্ত কিছুর সাথে এটি ততটা উপভোগ্য নয়। আমি প্রশ্ন করছি যে উদ্বেগ কি স্বাভাবিক, নাকি এর কারণ অন্য কিছু। কিছু অতিরিক্ত তথ্য: আমি একজন 22 বছর বয়সী পুরুষ, বেশ সক্রিয়, দিনে প্রায় এক কাপ কফি পান করি এবং বন্ধুদের সাথে সপ্তাহান্তে পান করি।</v>
      </c>
    </row>
    <row r="2140" spans="1:3" ht="15" x14ac:dyDescent="0.25">
      <c r="A2140" s="3" t="s">
        <v>2133</v>
      </c>
      <c r="B2140" s="3" t="s">
        <v>1992</v>
      </c>
      <c r="C2140" s="4" t="str">
        <f ca="1">IFERROR(__xludf.DUMMYFUNCTION("GOOGLETRANSLATE(A2140, ""auto"", ""bn"")"),"বুকে টান এবং বমি বমি ভাব। এটা নিয়ে চিন্তা করলে আর কারো কি উদ্বেগ হয়? আমি সম্প্রতি শারীরিক লক্ষণগুলি খুব বেশি অনুভব করছি। আমি যখনই কোথাও ঘুরি বা ভ্রমণ করি তখনই আমার এই আক্রমণগুলি হয়, কিন্তু মনে হয় এটি হওয়ার এক সপ্তাহ আগে থেকেই আমি উদ্বেগ নিয়ে চিন্তিত"&amp;" ছিলাম, এবং আমার মনে হয় এটিই এর কারণ। আপনি উদ্বেগ নিয়ে চিন্তিত ছিলেন বলেই কি অন্য কারো উদ্বেগ হয়? আমি জানি এটা বোকামি শোনাচ্ছে, কিন্তু আমি জানি না কী করব।")</f>
        <v>বুকে টান এবং বমি বমি ভাব। এটা নিয়ে চিন্তা করলে আর কারো কি উদ্বেগ হয়? আমি সম্প্রতি শারীরিক লক্ষণগুলি খুব বেশি অনুভব করছি। আমি যখনই কোথাও ঘুরি বা ভ্রমণ করি তখনই আমার এই আক্রমণগুলি হয়, কিন্তু মনে হয় এটি হওয়ার এক সপ্তাহ আগে থেকেই আমি উদ্বেগ নিয়ে চিন্তিত ছিলাম, এবং আমার মনে হয় এটিই এর কারণ। আপনি উদ্বেগ নিয়ে চিন্তিত ছিলেন বলেই কি অন্য কারো উদ্বেগ হয়? আমি জানি এটা বোকামি শোনাচ্ছে, কিন্তু আমি জানি না কী করব।</v>
      </c>
    </row>
    <row r="2141" spans="1:3" ht="15" x14ac:dyDescent="0.25">
      <c r="A2141" s="3" t="s">
        <v>2134</v>
      </c>
      <c r="B2141" s="3" t="s">
        <v>1992</v>
      </c>
      <c r="C2141" s="4" t="str">
        <f ca="1">IFERROR(__xludf.DUMMYFUNCTION("GOOGLETRANSLATE(A2141, ""auto"", ""bn"")"),"আমি কীভাবে টাকা-পয়সার চাপ কমাতে পারি? আমি একজন কিশোর, এবং আমি খুব ভয় পাই যে আমার পরিবার ভেঙে পড়বে/ বাঁচতে পারবে না। থেরাপির জন্য অনেক খরচ হয় এবং এর মধ্য দিয়ে যেতে হয়েছে বলে আমি অপরাধবোধ করি। এটা নিয়ে আমার চিন্তা করার জায়গাও নেই কারণ আমি জানি না আমার বাবা"&amp;"-মা কত আয় করেন। আমার বাবা অর্থনীতিতে ভালো এবং বলেন যে আমরা এটা সামলাতে পারব, কিন্তু আমি জানি আমরা পারব না। আমার মা ন্যূনতম বেতনের চাকরি করেন, আমার বাবা একটি অফিসে কাজ করেন এবং আমরা আমার ভাইয়ের টিউশন ফি দিচ্ছি। আমি খুব ভয় পাই যে মানসিক অসুস্থতার জন্য আমার "&amp;"চিকিৎসাই আমাদের ভেঙে পড়ার কারণ হবে। আমি কি পরিস্থিতি ভুলে যেতে পারি? আমি জানি চিন্তা করলে কিছুই ঠিক হয় না, কিন্তু এটা আমার মনে সবসময় থাকে।")</f>
        <v>আমি কীভাবে টাকা-পয়সার চাপ কমাতে পারি? আমি একজন কিশোর, এবং আমি খুব ভয় পাই যে আমার পরিবার ভেঙে পড়বে/ বাঁচতে পারবে না। থেরাপির জন্য অনেক খরচ হয় এবং এর মধ্য দিয়ে যেতে হয়েছে বলে আমি অপরাধবোধ করি। এটা নিয়ে আমার চিন্তা করার জায়গাও নেই কারণ আমি জানি না আমার বাবা-মা কত আয় করেন। আমার বাবা অর্থনীতিতে ভালো এবং বলেন যে আমরা এটা সামলাতে পারব, কিন্তু আমি জানি আমরা পারব না। আমার মা ন্যূনতম বেতনের চাকরি করেন, আমার বাবা একটি অফিসে কাজ করেন এবং আমরা আমার ভাইয়ের টিউশন ফি দিচ্ছি। আমি খুব ভয় পাই যে মানসিক অসুস্থতার জন্য আমার চিকিৎসাই আমাদের ভেঙে পড়ার কারণ হবে। আমি কি পরিস্থিতি ভুলে যেতে পারি? আমি জানি চিন্তা করলে কিছুই ঠিক হয় না, কিন্তু এটা আমার মনে সবসময় থাকে।</v>
      </c>
    </row>
    <row r="2142" spans="1:3" ht="15" x14ac:dyDescent="0.25">
      <c r="A2142" s="3" t="s">
        <v>2135</v>
      </c>
      <c r="B2142" s="3" t="s">
        <v>1992</v>
      </c>
      <c r="C2142" s="4" t="str">
        <f ca="1">IFERROR(__xludf.DUMMYFUNCTION("GOOGLETRANSLATE(A2142, ""auto"", ""bn"")"),"আমি জানি না এখানে কতজন মানুষ এর সাথে সম্পর্কিত হতে পারে, কিন্তু এটা চেষ্টা করার যোগ্য... তাই আমি একজন ২১ বছর বয়সী কৃষ্ণাঙ্গ ছেলে, এবং আমি এমন একটি পরিবারে বড় হয়েছি যেখানে আমার বাবা প্রায় একজন স্টেরিওটাইপড কৃষ্ণাঙ্গ পুরুষের মতো কথা বলেন, আর আমার মা একজ"&amp;"ন স্টেরিওটাইপড শ্বেতাঙ্গ মহিলার মতো কথা বলেন। আমার বাবার পরিবার (যারা সবাই স্টেরিওটাইপড কৃষ্ণাঙ্গদের মতো কথা বলে) আমি যে শহরে থাকি সেখানেই থাকে, তাই আমি তাদের সাথে বড় হয়েছি, এবং আমার মায়ের পরিবার সারা দেশে বাস করে এবং তাদের সাথে আমার খুব কম যোগাযোগ আছে"&amp;"। আমি একমাত্র কৃষ্ণাঙ্গ ছেলে হিসেবে বড় হয়েছি যারা স্টেরিওটাইপড শ্বেতাঙ্গদের মতো কথা বলে (আমার নিজের পরিবারের মধ্যেও), এবং আমি কখনও অন্য কৃষ্ণাঙ্গদের সংস্পর্শে আসিনি যারা আমার মতো কথা বলে, তাই আমি সবসময় একটু অস্বস্তি বোধ করি। আমি কীভাবে এর সাথে মানিয়ে "&amp;"নেব?")</f>
        <v>আমি জানি না এখানে কতজন মানুষ এর সাথে সম্পর্কিত হতে পারে, কিন্তু এটা চেষ্টা করার যোগ্য... তাই আমি একজন ২১ বছর বয়সী কৃষ্ণাঙ্গ ছেলে, এবং আমি এমন একটি পরিবারে বড় হয়েছি যেখানে আমার বাবা প্রায় একজন স্টেরিওটাইপড কৃষ্ণাঙ্গ পুরুষের মতো কথা বলেন, আর আমার মা একজন স্টেরিওটাইপড শ্বেতাঙ্গ মহিলার মতো কথা বলেন। আমার বাবার পরিবার (যারা সবাই স্টেরিওটাইপড কৃষ্ণাঙ্গদের মতো কথা বলে) আমি যে শহরে থাকি সেখানেই থাকে, তাই আমি তাদের সাথে বড় হয়েছি, এবং আমার মায়ের পরিবার সারা দেশে বাস করে এবং তাদের সাথে আমার খুব কম যোগাযোগ আছে। আমি একমাত্র কৃষ্ণাঙ্গ ছেলে হিসেবে বড় হয়েছি যারা স্টেরিওটাইপড শ্বেতাঙ্গদের মতো কথা বলে (আমার নিজের পরিবারের মধ্যেও), এবং আমি কখনও অন্য কৃষ্ণাঙ্গদের সংস্পর্শে আসিনি যারা আমার মতো কথা বলে, তাই আমি সবসময় একটু অস্বস্তি বোধ করি। আমি কীভাবে এর সাথে মানিয়ে নেব?</v>
      </c>
    </row>
    <row r="2143" spans="1:3" ht="15" x14ac:dyDescent="0.25">
      <c r="A2143" s="3" t="s">
        <v>2136</v>
      </c>
      <c r="B2143" s="3" t="s">
        <v>1992</v>
      </c>
      <c r="C2143" s="4" t="str">
        <f ca="1">IFERROR(__xludf.DUMMYFUNCTION("GOOGLETRANSLATE(A2143, ""auto"", ""bn"")"),"আমি জানি আমি বিরক্তিকর, আমি সত্যিই চেষ্টা করছি না। কিন্তু কিভাবে? যখন আমার বন্ধু হয় এবং তারপর আঁকড়ে থাকা আচরণ শুরু করি তখন আমার খুব খারাপ লাগে। এই কারণেই আমি মানুষের সাথে কথা বলা বন্ধ করে দেই, কারণ আমি জানি একবার আমি তাদের সাথে যুক্ত হয়ে গেলে আমি আর তাদে"&amp;"র ছেড়ে যেতে পারব না, এবং তারাই সবসময় প্রথমে চলে যায়। কেন মানুষ বুঝতে পারে না যে আমি তাদের জন্য চিন্তিত? আমি তাদের সাথে কথা বলতে চাই, তাদের মতামত ভাগ করে নিতে চাই, শুনতে চাই এবং কেবল একটি ভালো বন্ধু পেতে চাই? আমি জানি আমি আঁকড়ে থাকা, এবং আমি জানি আমি বিরক"&amp;"্তিকর, আমি কেবল মানুষের চলে যাওয়া নিয়ে চিন্তিত, আমি তাদের মঙ্গল, তাদের স্বাস্থ্য, তারা এখনও আমাকে পছন্দ করে কিনা তা নিয়ে চিন্তিত। যখন তুমি নিজেকে চিন্তায় ডুবে যাওয়া অনুভব করো তখন অন্যদের জন্য শান্ত থাকার ভান করা কঠিন।")</f>
        <v>আমি জানি আমি বিরক্তিকর, আমি সত্যিই চেষ্টা করছি না। কিন্তু কিভাবে? যখন আমার বন্ধু হয় এবং তারপর আঁকড়ে থাকা আচরণ শুরু করি তখন আমার খুব খারাপ লাগে। এই কারণেই আমি মানুষের সাথে কথা বলা বন্ধ করে দেই, কারণ আমি জানি একবার আমি তাদের সাথে যুক্ত হয়ে গেলে আমি আর তাদের ছেড়ে যেতে পারব না, এবং তারাই সবসময় প্রথমে চলে যায়। কেন মানুষ বুঝতে পারে না যে আমি তাদের জন্য চিন্তিত? আমি তাদের সাথে কথা বলতে চাই, তাদের মতামত ভাগ করে নিতে চাই, শুনতে চাই এবং কেবল একটি ভালো বন্ধু পেতে চাই? আমি জানি আমি আঁকড়ে থাকা, এবং আমি জানি আমি বিরক্তিকর, আমি কেবল মানুষের চলে যাওয়া নিয়ে চিন্তিত, আমি তাদের মঙ্গল, তাদের স্বাস্থ্য, তারা এখনও আমাকে পছন্দ করে কিনা তা নিয়ে চিন্তিত। যখন তুমি নিজেকে চিন্তায় ডুবে যাওয়া অনুভব করো তখন অন্যদের জন্য শান্ত থাকার ভান করা কঠিন।</v>
      </c>
    </row>
    <row r="2144" spans="1:3" ht="15" x14ac:dyDescent="0.25">
      <c r="A2144" s="3" t="s">
        <v>2137</v>
      </c>
      <c r="B2144" s="3" t="s">
        <v>1992</v>
      </c>
      <c r="C2144" s="4" t="str">
        <f ca="1">IFERROR(__xludf.DUMMYFUNCTION("GOOGLETRANSLATE(A2144, ""auto"", ""bn"")"),"উদ্বেগের আক্রমণের সময় কোন সঙ্গীত আপনাকে সাহায্য করে? আমি আমার উদ্বেগের আক্রমণের জন্য গানের একটি প্লেলিস্ট তৈরি করার চেষ্টা করছি। আমি সাধারণ শান্ত সঙ্গীত মোটেও পছন্দ করি না, আপনার জন্য কোনটি কাজ করবে? আমার মনোযোগ কেন্দ্রীভূত করার জন্য অর্থপূর্ণ এবং সুচিন্"&amp;"তিত কথা সহ এমন কিছু পছন্দ করা উচিত")</f>
        <v>উদ্বেগের আক্রমণের সময় কোন সঙ্গীত আপনাকে সাহায্য করে? আমি আমার উদ্বেগের আক্রমণের জন্য গানের একটি প্লেলিস্ট তৈরি করার চেষ্টা করছি। আমি সাধারণ শান্ত সঙ্গীত মোটেও পছন্দ করি না, আপনার জন্য কোনটি কাজ করবে? আমার মনোযোগ কেন্দ্রীভূত করার জন্য অর্থপূর্ণ এবং সুচিন্তিত কথা সহ এমন কিছু পছন্দ করা উচিত</v>
      </c>
    </row>
    <row r="2145" spans="1:3" ht="15" x14ac:dyDescent="0.25">
      <c r="A2145" s="3" t="s">
        <v>2138</v>
      </c>
      <c r="B2145" s="3" t="s">
        <v>1992</v>
      </c>
      <c r="C2145" s="4" t="str">
        <f ca="1">IFERROR(__xludf.DUMMYFUNCTION("GOOGLETRANSLATE(A2145, ""auto"", ""bn"")"),"আমার মনে হচ্ছে আমি বেশিরভাগ সময় নিজেকে ডিরিয়ালাইজেশনের দিকে ঠেলে দিচ্ছি। তুমি কি সত্যিই জানতে পারবে যে তুমি ডিসোসিয়েশন করছো কিনা? আমার মনে হয় মাঝে মাঝে আমার অবশ্যই মনে হয়, কিন্তু অনেক সময় আমি এত চিন্তিত থাকি এবং শুধু নিজেকে এতটাই পরীক্ষা করি যে আমার মনে "&amp;"হয় আমি হয়তো এটা অনুভব করতে পারি কিন্তু আসলে তা করি না। খুবই বিমূর্ত বিষয়, কিন্তু মূল প্রশ্ন হল, যখন তুমি ডিরিয়ালাইজেশনের সম্মুখীন হচ্ছো তখন কি এটা সবসময় স্পষ্ট হয়??")</f>
        <v>আমার মনে হচ্ছে আমি বেশিরভাগ সময় নিজেকে ডিরিয়ালাইজেশনের দিকে ঠেলে দিচ্ছি। তুমি কি সত্যিই জানতে পারবে যে তুমি ডিসোসিয়েশন করছো কিনা? আমার মনে হয় মাঝে মাঝে আমার অবশ্যই মনে হয়, কিন্তু অনেক সময় আমি এত চিন্তিত থাকি এবং শুধু নিজেকে এতটাই পরীক্ষা করি যে আমার মনে হয় আমি হয়তো এটা অনুভব করতে পারি কিন্তু আসলে তা করি না। খুবই বিমূর্ত বিষয়, কিন্তু মূল প্রশ্ন হল, যখন তুমি ডিরিয়ালাইজেশনের সম্মুখীন হচ্ছো তখন কি এটা সবসময় স্পষ্ট হয়??</v>
      </c>
    </row>
    <row r="2146" spans="1:3" ht="15" x14ac:dyDescent="0.25">
      <c r="A2146" s="3" t="s">
        <v>2139</v>
      </c>
      <c r="B2146" s="3" t="s">
        <v>1992</v>
      </c>
      <c r="C2146" s="4" t="str">
        <f ca="1">IFERROR(__xludf.DUMMYFUNCTION("GOOGLETRANSLATE(A2146, ""auto"", ""bn"")"),"আমি জানি না আমার কী সমস্যা আছে, অথবা যদি আমার উদ্বেগ থাকে তাহলে কী করব। আমি প্রথমে এটি r/ADHD-তে পোস্ট করেছিলাম কারণ আমারও এটি আছে এবং আমি ভেবেছিলাম যে লোকেরা আমাকে বলতে পারবে আমি কি কেবল ADHD-এর লক্ষণ প্রকাশ করছি কিনা, কিন্তু আমার মনে হয় যারা প্রকৃত উদ্"&amp;"বেগে ভুগছেন তারা আমাকে আরও অনেক সাহায্য করতে পারবেন। আমি যদি কিছু লোক পড়ে এবং প্রতিক্রিয়া জানায় তবে আমি অত্যন্ত কৃতজ্ঞ থাকব। আমি দুঃখিত, এত দীর্ঘ সময় ধরে আমার কেবল অনেক চিন্তাভাবনা আছে। আমি জানি না এটি কোথায় পোস্ট করব, তাই আমি আশা করি এখানে এটি পোস্ট"&amp;" করে আমি কিছু লোকের কাছ থেকে কিছু সাহায্য পেতে পারি যারা আমার মতো অনেক চিন্তা করে। ঠিক আছে, তাহলে এখানে কিছু অস্পষ্ট পটভূমি তথ্য রয়েছে। আমি হাই স্কুলে পড়ি (ছেলেদের জন্য) এবং আমি কাউকে বলিনি যে আমার ADHD আছে। আমি জানি যে আমার 8 বছর বয়স থেকেই এটি আছে এবং"&amp;" আমি ওষুধ খাচ্ছি। আমার বাবা-মা ছাড়া কেউ জানে না। আমি সত্যি বলতে, আমি কখনও কাউকে বলব কিনা জানি না। প্রায় 2 বছর আগে পর্যন্ত আমার কোনও বন্ধু ছিল না। তখনই আমি আমার বর্তমান বন্ধুদের সাথে দেখা করি। তখন পর্যন্ত আমি সত্যিই অপছন্দনীয় ছিলাম এবং প্রায়শই আমাকে ধম"&amp;"ক দেওয়া হত। সেই সময় থেকেই আমি মানুষ আমার সম্পর্কে কী ভাবছে তা নিয়ে চিন্তিত হতে শুরু করি এবং আমার মনে হয় সেই কারণেই মানুষ আমার বন্ধু হতে শুরু করে। প্রায় এক বছর ধরে দ্রুত এগিয়ে যাওয়ার পর আমার ভালো বন্ধু আছে, কিন্তু আমি অনেক চিন্তা করি। আমি একটি জার্নালও লিখ"&amp;"েছিলাম, এবং লিখেছিলাম যে আমার মনে হয় এটা ভালোর জন্য এবং চিন্তা করা ভালো কারণ যদি তুমি চিন্তা না করো তাহলে মানুষ আমাকে পছন্দ করবে না। সেই সময়ই আমার এক ঘনিষ্ঠ বন্ধু আমাকে বলেছিল যে সে সত্যিই ভেবেছিল আমার অটিজম আছে কারণ আমার ADHD-এর জন্য IEP ছিল (তারা আমাকে "&amp;"৫ মিনিট আগে ক্লাস থেকে বের করে দিত এবং আমার কাজ শেষ হয়েছে কিনা তা পরীক্ষা করত)। এর ফলে আমি আরও বেশি চিন্তিত হয়ে পড়েছিলাম যে লোকেরা আমাকে কীভাবে দেখছে। প্রায় ২ বছর আগে আমিও প্রায়শই আমার চুলে হাত দিতে শুরু করেছিলাম এবং অজান্তেই আমার মুখ স্পর্শ করতে শুরু "&amp;"করেছিলাম। আমি যখন নার্ভাস হতাম তখন আমার নখের তলাও খসখসে করতে থাকতাম। আমি শুধু ভেবেছিলাম এটা আমার ADHD। এই বছরটা আমার জন্য অনেক আলাদা ছিল। আমার মনে হচ্ছে আমি সম্পূর্ণ বদলে গেছি। আমি এখন একটু চুপচাপ ছেলে, যখন আগে সবচেয়ে বেশি কথা বলার চেষ্টা করতাম। তাছাড়া, "&amp;"আমি উত্তর জানি কিন্তু হাত তুলি না কারণ আমি চাই না আমার দিকে মনোযোগ আসুক। তাছাড়া, আমি জানি না কী করব। তাছাড়া, আমার একজন বান্ধবী আছে এবং অনেক বন্ধু আছে, কিন্তু আমার সবসময় অদ্ভুত লাগে। তাছাড়া, আমার মনে হয় না যে আমি অনুভূতিটি পুরোপুরি বর্ণনা করতে পারব। ত"&amp;"াছাড়া, আমি সবসময় একা না থাকলে নিজেকে অস্বস্তিকর মনে করি। তাছাড়া, আমার কিছু উত্থান-পতনও হয় যেখানে একদিন আমি ভালো এবং আত্মবিশ্বাসী বোধ করি এবং পরের দিন আমি বিচলিত হই এবং প্রচুর আত্ম-সন্দেহ বোধ করি। তাছাড়া, আমি এখনও প্রায়শই আমার মুখ শক্ত করি, চুলে হাত "&amp;"রাখি, আমার আঙুল ফাটি এবং পা নাড়ি, যদিও আমি অনেকবার থামতে চেষ্টা করেছি। তাছাড়া, আমার এই অনুভূতি হয়েছে যে আমার ADHD ছাড়া অন্য কিছু আছে। তাছাড়া, আমার মানুষের সাথে কথা বলতেও সমস্যা হয় কারণ আমি জানি না কী বলব। তাছাড়া, যখন আমি মানুষের সাথে মুখোমুখি হই না"&amp;" তখন আমি নিজেকে অনেক বেশি খুশি মনে করি। তাছাড়া, আমি বলতে পারছি না এটা কী, আমি অনেক লেখা পড়েছি এবং আমার মনে হয় আমারও সাধারণ উদ্বেগজনিত ব্যাধি থাকতে পারে, কিন্তু আমি নিশ্চিত নই, এবং আমি জানি না কিভাবে আমি এটা বলব। তাছাড়া, আমি আমার বাবা-মাকে বলতে বা কাউক"&amp;"ে বলতে স্বাচ্ছন্দ্য বোধ করি না। তাছাড়া, আমি জানি না কী করব। যদি আপনি এতদূর পড়ে থাকেন, তাহলে ধন্যবাদ, এবং আমি দুঃখিত যে এটি কেবল একটি বিশাল বক্তৃতা ছিল।")</f>
        <v>আমি জানি না আমার কী সমস্যা আছে, অথবা যদি আমার উদ্বেগ থাকে তাহলে কী করব। আমি প্রথমে এটি r/ADHD-তে পোস্ট করেছিলাম কারণ আমারও এটি আছে এবং আমি ভেবেছিলাম যে লোকেরা আমাকে বলতে পারবে আমি কি কেবল ADHD-এর লক্ষণ প্রকাশ করছি কিনা, কিন্তু আমার মনে হয় যারা প্রকৃত উদ্বেগে ভুগছেন তারা আমাকে আরও অনেক সাহায্য করতে পারবেন। আমি যদি কিছু লোক পড়ে এবং প্রতিক্রিয়া জানায় তবে আমি অত্যন্ত কৃতজ্ঞ থাকব। আমি দুঃখিত, এত দীর্ঘ সময় ধরে আমার কেবল অনেক চিন্তাভাবনা আছে। আমি জানি না এটি কোথায় পোস্ট করব, তাই আমি আশা করি এখানে এটি পোস্ট করে আমি কিছু লোকের কাছ থেকে কিছু সাহায্য পেতে পারি যারা আমার মতো অনেক চিন্তা করে। ঠিক আছে, তাহলে এখানে কিছু অস্পষ্ট পটভূমি তথ্য রয়েছে। আমি হাই স্কুলে পড়ি (ছেলেদের জন্য) এবং আমি কাউকে বলিনি যে আমার ADHD আছে। আমি জানি যে আমার 8 বছর বয়স থেকেই এটি আছে এবং আমি ওষুধ খাচ্ছি। আমার বাবা-মা ছাড়া কেউ জানে না। আমি সত্যি বলতে, আমি কখনও কাউকে বলব কিনা জানি না। প্রায় 2 বছর আগে পর্যন্ত আমার কোনও বন্ধু ছিল না। তখনই আমি আমার বর্তমান বন্ধুদের সাথে দেখা করি। তখন পর্যন্ত আমি সত্যিই অপছন্দনীয় ছিলাম এবং প্রায়শই আমাকে ধমক দেওয়া হত। সেই সময় থেকেই আমি মানুষ আমার সম্পর্কে কী ভাবছে তা নিয়ে চিন্তিত হতে শুরু করি এবং আমার মনে হয় সেই কারণেই মানুষ আমার বন্ধু হতে শুরু করে। প্রায় এক বছর ধরে দ্রুত এগিয়ে যাওয়ার পর আমার ভালো বন্ধু আছে, কিন্তু আমি অনেক চিন্তা করি। আমি একটি জার্নালও লিখেছিলাম, এবং লিখেছিলাম যে আমার মনে হয় এটা ভালোর জন্য এবং চিন্তা করা ভালো কারণ যদি তুমি চিন্তা না করো তাহলে মানুষ আমাকে পছন্দ করবে না। সেই সময়ই আমার এক ঘনিষ্ঠ বন্ধু আমাকে বলেছিল যে সে সত্যিই ভেবেছিল আমার অটিজম আছে কারণ আমার ADHD-এর জন্য IEP ছিল (তারা আমাকে ৫ মিনিট আগে ক্লাস থেকে বের করে দিত এবং আমার কাজ শেষ হয়েছে কিনা তা পরীক্ষা করত)। এর ফলে আমি আরও বেশি চিন্তিত হয়ে পড়েছিলাম যে লোকেরা আমাকে কীভাবে দেখছে। প্রায় ২ বছর আগে আমিও প্রায়শই আমার চুলে হাত দিতে শুরু করেছিলাম এবং অজান্তেই আমার মুখ স্পর্শ করতে শুরু করেছিলাম। আমি যখন নার্ভাস হতাম তখন আমার নখের তলাও খসখসে করতে থাকতাম। আমি শুধু ভেবেছিলাম এটা আমার ADHD। এই বছরটা আমার জন্য অনেক আলাদা ছিল। আমার মনে হচ্ছে আমি সম্পূর্ণ বদলে গেছি। আমি এখন একটু চুপচাপ ছেলে, যখন আগে সবচেয়ে বেশি কথা বলার চেষ্টা করতাম। তাছাড়া, আমি উত্তর জানি কিন্তু হাত তুলি না কারণ আমি চাই না আমার দিকে মনোযোগ আসুক। তাছাড়া, আমি জানি না কী করব। তাছাড়া, আমার একজন বান্ধবী আছে এবং অনেক বন্ধু আছে, কিন্তু আমার সবসময় অদ্ভুত লাগে। তাছাড়া, আমার মনে হয় না যে আমি অনুভূতিটি পুরোপুরি বর্ণনা করতে পারব। তাছাড়া, আমি সবসময় একা না থাকলে নিজেকে অস্বস্তিকর মনে করি। তাছাড়া, আমার কিছু উত্থান-পতনও হয় যেখানে একদিন আমি ভালো এবং আত্মবিশ্বাসী বোধ করি এবং পরের দিন আমি বিচলিত হই এবং প্রচুর আত্ম-সন্দেহ বোধ করি। তাছাড়া, আমি এখনও প্রায়শই আমার মুখ শক্ত করি, চুলে হাত রাখি, আমার আঙুল ফাটি এবং পা নাড়ি, যদিও আমি অনেকবার থামতে চেষ্টা করেছি। তাছাড়া, আমার এই অনুভূতি হয়েছে যে আমার ADHD ছাড়া অন্য কিছু আছে। তাছাড়া, আমার মানুষের সাথে কথা বলতেও সমস্যা হয় কারণ আমি জানি না কী বলব। তাছাড়া, যখন আমি মানুষের সাথে মুখোমুখি হই না তখন আমি নিজেকে অনেক বেশি খুশি মনে করি। তাছাড়া, আমি বলতে পারছি না এটা কী, আমি অনেক লেখা পড়েছি এবং আমার মনে হয় আমারও সাধারণ উদ্বেগজনিত ব্যাধি থাকতে পারে, কিন্তু আমি নিশ্চিত নই, এবং আমি জানি না কিভাবে আমি এটা বলব। তাছাড়া, আমি আমার বাবা-মাকে বলতে বা কাউকে বলতে স্বাচ্ছন্দ্য বোধ করি না। তাছাড়া, আমি জানি না কী করব। যদি আপনি এতদূর পড়ে থাকেন, তাহলে ধন্যবাদ, এবং আমি দুঃখিত যে এটি কেবল একটি বিশাল বক্তৃতা ছিল।</v>
      </c>
    </row>
    <row r="2147" spans="1:3" ht="15" x14ac:dyDescent="0.25">
      <c r="A2147" s="3" t="s">
        <v>2140</v>
      </c>
      <c r="B2147" s="3" t="s">
        <v>1992</v>
      </c>
      <c r="C2147" s="4" t="str">
        <f ca="1">IFERROR(__xludf.DUMMYFUNCTION("GOOGLETRANSLATE(A2147, ""auto"", ""bn"")"),"তাহলে আগামীকাল আর কে কাজ করতে ভয় পাচ্ছে? *সম্ভাব্য TW: নিজের ক্ষতি* তাই ছুটির জন্য কয়েকদিনের ভালো ছুটির পর আমি আগামীকাল আবার কাজে ফিরে যাচ্ছি। বড়দিনের ঠিক আগে এবং ছুটির দিনে আমার কর্মক্ষেত্রে ঘটে যাওয়া কিছু ঘটনার কারণে (আমার দোষ বা অন্য কিছুর কারণে নয"&amp;"়, কেবল কোম্পানির অভ্যন্তরে ঘটে যাওয়া কিছু ঘটনার কারণে যা আমার দৈনন্দিন জীবনে নেতিবাচক প্রভাব ফেলবে; আমি আগের চেয়েও বেশি উদ্বিগ্ন থাকি। উপরন্তু, যখন আমার উদ্বেগ থাকে তখন মাঝে মাঝে আত্মহত্যার চিন্তাভাবনা শুরু হয়। আমি আগে খুব উন্মাদ অবস্থায় ছিলাম এবং নি"&amp;"জেকে কেটে ফেলার চেষ্টা করতাম (স্বামী আমাকে থামিয়ে দিয়েছিলেন)। তবে কাজের সাথে আমার প্রধান সমস্যা হল যে আমি আমার কাজের সাথে অস্বাস্থ্যকরভাবে সংযুক্ত। আমি মূলত আমার কাজের মধ্যে আমার মূল্য/মূল্য খুঁজে পাই, এবং আমি একজন বিশাল পারফেকশনিস্ট যেখানে আমার কাজ আশ্"&amp;"চর্যজনক, কিন্তু আমি নিজেকে পাগল করে তুলছি। একই নৌকায় আর কেউ আছেন? অথবা একই নৌকায় ছিলেন এবং বেরিয়ে এসে পরামর্শ পেয়েছেন? সবাইকে ধন্যবাদ; শুভ নববর্ষ!")</f>
        <v>তাহলে আগামীকাল আর কে কাজ করতে ভয় পাচ্ছে? *সম্ভাব্য TW: নিজের ক্ষতি* তাই ছুটির জন্য কয়েকদিনের ভালো ছুটির পর আমি আগামীকাল আবার কাজে ফিরে যাচ্ছি। বড়দিনের ঠিক আগে এবং ছুটির দিনে আমার কর্মক্ষেত্রে ঘটে যাওয়া কিছু ঘটনার কারণে (আমার দোষ বা অন্য কিছুর কারণে নয়, কেবল কোম্পানির অভ্যন্তরে ঘটে যাওয়া কিছু ঘটনার কারণে যা আমার দৈনন্দিন জীবনে নেতিবাচক প্রভাব ফেলবে; আমি আগের চেয়েও বেশি উদ্বিগ্ন থাকি। উপরন্তু, যখন আমার উদ্বেগ থাকে তখন মাঝে মাঝে আত্মহত্যার চিন্তাভাবনা শুরু হয়। আমি আগে খুব উন্মাদ অবস্থায় ছিলাম এবং নিজেকে কেটে ফেলার চেষ্টা করতাম (স্বামী আমাকে থামিয়ে দিয়েছিলেন)। তবে কাজের সাথে আমার প্রধান সমস্যা হল যে আমি আমার কাজের সাথে অস্বাস্থ্যকরভাবে সংযুক্ত। আমি মূলত আমার কাজের মধ্যে আমার মূল্য/মূল্য খুঁজে পাই, এবং আমি একজন বিশাল পারফেকশনিস্ট যেখানে আমার কাজ আশ্চর্যজনক, কিন্তু আমি নিজেকে পাগল করে তুলছি। একই নৌকায় আর কেউ আছেন? অথবা একই নৌকায় ছিলেন এবং বেরিয়ে এসে পরামর্শ পেয়েছেন? সবাইকে ধন্যবাদ; শুভ নববর্ষ!</v>
      </c>
    </row>
    <row r="2148" spans="1:3" ht="15" x14ac:dyDescent="0.25">
      <c r="A2148" s="3" t="s">
        <v>2141</v>
      </c>
      <c r="B2148" s="3" t="s">
        <v>1992</v>
      </c>
      <c r="C2148" s="4" t="str">
        <f ca="1">IFERROR(__xludf.DUMMYFUNCTION("GOOGLETRANSLATE(A2148, ""auto"", ""bn"")"),"ক্লোনাজেপাম/সম্ভাব্য প্রত্যাহারের পার্শ্বপ্রতিক্রিয়া সম্পর্কে প্রশ্ন তাই আমি প্রায় দুই বছর ধরে ক্লোনাজেপামের কম ডোজ (দিনে অর্ধেক মিলিগ্রাম - কখনও কখনও প্রয়োজনে অতিরিক্ত 0.25) গ্রহণ করছি (আমি প্রিস্টিনও গ্রহণ করছি এবং তোয়ামার জেনেরিক সংস্করণের কম ডোজ)।"&amp;" আমি এটি উদ্বেগ, বিষণ্ণতা, ওসিডি, পিটিএসডি এবং পিএমডিডি চিকিৎসার জন্য গ্রহণ করি। নভেম্বর মাসে, আমি ভেবেছিলাম যে আমি আমার ক্লোনাজেপাম বন্ধ করার জন্য যথেষ্ট ভালো কারণ সত্যি বলতে এত দিন ধরে এটি গ্রহণ করার পরে এটি কোনও কাজ করছে কিনা তা বলা কঠিন ছিল। আমি কোল্ড"&amp;" টার্কি গ্রহণ ছেড়ে দেইনি, তবে আমার মনে হয় না যে আমার শরীর ভালভাবে কমে গেছে। আমি কিছু দিন বাদ দিয়েছিলাম এবং অন্য দিন আমি তা করিনি এবং কেবল...এটি সঠিকভাবে করিনি। এবং যাইহোক আমি ভুল ছিলাম - ক্লোনাজেপাম অবশ্যই আমার লক্ষণগুলিকে সাহায্য করে এবং আমি এটি গ্রহণ"&amp;" করতে চাই। তাই এখন আমি এটি আবার শুরু করছি (প্রাতঃরাশে .25 এবং রাতে .25 গ্রহণ)। আমি সম্প্রতি লক্ষ্য করেছি যে আমার হৃদস্পন্দন একটু মজার হয়ে উঠেছে - মনে হচ্ছে এটা অনেক বেড়ে যায় এবং কমে যায়, এটা নির্ভর করে আমি বসে আছি নাকি দাঁড়িয়ে আছি/নড়াচড়া করছি তার "&amp;"উপর। এটা তীব্র নয়, শুধু অদ্ভুত। অন্য কারো কি এই পার্শ্বপ্রতিক্রিয়া হয়েছে এবং এটা কি চলে যায়? আমি জানি না এটা ক্লোনাজেপাম বন্ধ করে দেওয়ার কারণে নাকি এখন আবার শুরু করার কারণে, নাকি এটা একেবারেই এলোমেলো। আমি দুই দিনের মধ্যে আমার মনোরোগ বিশেষজ্ঞের সাথে দ"&amp;"েখা করছি, কিন্তু ভাবলাম এর মধ্যে কারো কাছে কোন উত্তর আছে কিনা তা দেখব।")</f>
        <v>ক্লোনাজেপাম/সম্ভাব্য প্রত্যাহারের পার্শ্বপ্রতিক্রিয়া সম্পর্কে প্রশ্ন তাই আমি প্রায় দুই বছর ধরে ক্লোনাজেপামের কম ডোজ (দিনে অর্ধেক মিলিগ্রাম - কখনও কখনও প্রয়োজনে অতিরিক্ত 0.25) গ্রহণ করছি (আমি প্রিস্টিনও গ্রহণ করছি এবং তোয়ামার জেনেরিক সংস্করণের কম ডোজ)। আমি এটি উদ্বেগ, বিষণ্ণতা, ওসিডি, পিটিএসডি এবং পিএমডিডি চিকিৎসার জন্য গ্রহণ করি। নভেম্বর মাসে, আমি ভেবেছিলাম যে আমি আমার ক্লোনাজেপাম বন্ধ করার জন্য যথেষ্ট ভালো কারণ সত্যি বলতে এত দিন ধরে এটি গ্রহণ করার পরে এটি কোনও কাজ করছে কিনা তা বলা কঠিন ছিল। আমি কোল্ড টার্কি গ্রহণ ছেড়ে দেইনি, তবে আমার মনে হয় না যে আমার শরীর ভালভাবে কমে গেছে। আমি কিছু দিন বাদ দিয়েছিলাম এবং অন্য দিন আমি তা করিনি এবং কেবল...এটি সঠিকভাবে করিনি। এবং যাইহোক আমি ভুল ছিলাম - ক্লোনাজেপাম অবশ্যই আমার লক্ষণগুলিকে সাহায্য করে এবং আমি এটি গ্রহণ করতে চাই। তাই এখন আমি এটি আবার শুরু করছি (প্রাতঃরাশে .25 এবং রাতে .25 গ্রহণ)। আমি সম্প্রতি লক্ষ্য করেছি যে আমার হৃদস্পন্দন একটু মজার হয়ে উঠেছে - মনে হচ্ছে এটা অনেক বেড়ে যায় এবং কমে যায়, এটা নির্ভর করে আমি বসে আছি নাকি দাঁড়িয়ে আছি/নড়াচড়া করছি তার উপর। এটা তীব্র নয়, শুধু অদ্ভুত। অন্য কারো কি এই পার্শ্বপ্রতিক্রিয়া হয়েছে এবং এটা কি চলে যায়? আমি জানি না এটা ক্লোনাজেপাম বন্ধ করে দেওয়ার কারণে নাকি এখন আবার শুরু করার কারণে, নাকি এটা একেবারেই এলোমেলো। আমি দুই দিনের মধ্যে আমার মনোরোগ বিশেষজ্ঞের সাথে দেখা করছি, কিন্তু ভাবলাম এর মধ্যে কারো কাছে কোন উত্তর আছে কিনা তা দেখব।</v>
      </c>
    </row>
    <row r="2149" spans="1:3" ht="15" x14ac:dyDescent="0.25">
      <c r="A2149" s="3" t="s">
        <v>2142</v>
      </c>
      <c r="B2149" s="3" t="s">
        <v>1992</v>
      </c>
      <c r="C2149" s="4" t="str">
        <f ca="1">IFERROR(__xludf.DUMMYFUNCTION("GOOGLETRANSLATE(A2149, ""auto"", ""bn"")"),"কাজের কারণে অনিদ্রা আমাকে উদ্বিগ্ন করে তোলে। ঘুম না আসার জন্য আরও উদ্বেগ, আরও অনিদ্রা। আবারও বলছি। আমি শুধু ঘুমাতে চাই! আমাকে ৬ টায় কাজে যেতে হবে, আর ৭:৩০ পর্যন্ত ফিরব না। অফিসে পৌঁছানোর সময় আমি ২৪ ঘন্টা জেগে থাকতাম, কাজ শেষ করার সময় ৩৪ ঘন্টা। আমি নিরা"&amp;"পত্তারক্ষী হিসেবে কাজ করি এবং আসলে মনে হয় এতক্ষণ জেগে থাকার পর আমার কাজ করা উচিত নয়। কিন্তু অসুস্থতার জন্য ফোন করা আমাকে উদ্বিগ্ন করে তোলে, যা আমাকে জাগিয়ে রাখে। কিন্তু অফিসে যাওয়ার সম্ভাবনাও তাই। ওহ, আমি এমন একটি চক্রে আটকে আছি যা আমার কাজের কারণে আম"&amp;"াকে উদ্বিগ্ন করে তোলে। সাহায্য করুন।")</f>
        <v>কাজের কারণে অনিদ্রা আমাকে উদ্বিগ্ন করে তোলে। ঘুম না আসার জন্য আরও উদ্বেগ, আরও অনিদ্রা। আবারও বলছি। আমি শুধু ঘুমাতে চাই! আমাকে ৬ টায় কাজে যেতে হবে, আর ৭:৩০ পর্যন্ত ফিরব না। অফিসে পৌঁছানোর সময় আমি ২৪ ঘন্টা জেগে থাকতাম, কাজ শেষ করার সময় ৩৪ ঘন্টা। আমি নিরাপত্তারক্ষী হিসেবে কাজ করি এবং আসলে মনে হয় এতক্ষণ জেগে থাকার পর আমার কাজ করা উচিত নয়। কিন্তু অসুস্থতার জন্য ফোন করা আমাকে উদ্বিগ্ন করে তোলে, যা আমাকে জাগিয়ে রাখে। কিন্তু অফিসে যাওয়ার সম্ভাবনাও তাই। ওহ, আমি এমন একটি চক্রে আটকে আছি যা আমার কাজের কারণে আমাকে উদ্বিগ্ন করে তোলে। সাহায্য করুন।</v>
      </c>
    </row>
    <row r="2150" spans="1:3" ht="15" x14ac:dyDescent="0.25">
      <c r="A2150" s="3" t="s">
        <v>2143</v>
      </c>
      <c r="B2150" s="3" t="s">
        <v>1992</v>
      </c>
      <c r="C2150" s="4" t="str">
        <f ca="1">IFERROR(__xludf.DUMMYFUNCTION("GOOGLETRANSLATE(A2150, ""auto"", ""bn"")"),"এই স্মৃতিশক্তি হ্রাস আমাকে পাগল করে তুলছে, আমি কিছুক্ষণের জন্য কিছু মনে করতে পারছি না। আমার মনে হয় আমি ৫ ঘন্টা ঘুমিয়েছি, কিন্তু আমি জানি না। মনে হচ্ছে কখন ঘুমাতে যাবো তা বলা কঠিন এবং যদি আমি চোখ খুলি তবে আমি জানি না যে আমি আসলে ঘুমিয়েছি কিনা কারণ আমি উ"&amp;"ল্টে-পালটে ঘুমিয়েছি এবং কখনও ঘুমাইনি। যদি আমি না ঘুমাই তাহলে আমি ৪৮ ঘন্টারও বেশি সময় ধরে জেগে থাকতাম। আমার ভালো লাগছে না, তবে আমি ক্লান্ত বোধ করছি। আমি জানি না এটি কি: - ডিপারসোনালাইজেশন/ডিরিয়ালাইজেশন - একটি শেখার পার্শ্ব প্রতিক্রিয়া - শুধু আমার উদ্বে"&amp;"গ এটা আমাকে মেরে ফেলছে যে আমি জানি না কোনটি এই ভয়ঙ্কর জিনিসটির কারণ। তদুপরি, আমার মনে হচ্ছে আমি পাগল হয়ে যাচ্ছি যখন আমি খুব ভালো ঘুমাতে পারতাম কিনা তা না জেনে। তদুপরি, আমার মনে হয় আমি ঘুমিয়েছিলাম কিন্তু আমি নিশ্চিত নই। এটিও বেশ কিছুদিন ধরে চলছে। উচ্চ "&amp;"উদ্বেগের কারণে ওষুধ খাওয়ার আগে আমার স্মৃতিশক্তি খারাপ ছিল এবং আমি কখন ঠিক ঘুমিয়েছিলাম বা কতক্ষণ ঘুমিয়েছিলাম তা জানতেও কষ্ট হচ্ছিল। কিন্তু এটা আরও খারাপ মনে হচ্ছে।")</f>
        <v>এই স্মৃতিশক্তি হ্রাস আমাকে পাগল করে তুলছে, আমি কিছুক্ষণের জন্য কিছু মনে করতে পারছি না। আমার মনে হয় আমি ৫ ঘন্টা ঘুমিয়েছি, কিন্তু আমি জানি না। মনে হচ্ছে কখন ঘুমাতে যাবো তা বলা কঠিন এবং যদি আমি চোখ খুলি তবে আমি জানি না যে আমি আসলে ঘুমিয়েছি কিনা কারণ আমি উল্টে-পালটে ঘুমিয়েছি এবং কখনও ঘুমাইনি। যদি আমি না ঘুমাই তাহলে আমি ৪৮ ঘন্টারও বেশি সময় ধরে জেগে থাকতাম। আমার ভালো লাগছে না, তবে আমি ক্লান্ত বোধ করছি। আমি জানি না এটি কি: - ডিপারসোনালাইজেশন/ডিরিয়ালাইজেশন - একটি শেখার পার্শ্ব প্রতিক্রিয়া - শুধু আমার উদ্বেগ এটা আমাকে মেরে ফেলছে যে আমি জানি না কোনটি এই ভয়ঙ্কর জিনিসটির কারণ। তদুপরি, আমার মনে হচ্ছে আমি পাগল হয়ে যাচ্ছি যখন আমি খুব ভালো ঘুমাতে পারতাম কিনা তা না জেনে। তদুপরি, আমার মনে হয় আমি ঘুমিয়েছিলাম কিন্তু আমি নিশ্চিত নই। এটিও বেশ কিছুদিন ধরে চলছে। উচ্চ উদ্বেগের কারণে ওষুধ খাওয়ার আগে আমার স্মৃতিশক্তি খারাপ ছিল এবং আমি কখন ঠিক ঘুমিয়েছিলাম বা কতক্ষণ ঘুমিয়েছিলাম তা জানতেও কষ্ট হচ্ছিল। কিন্তু এটা আরও খারাপ মনে হচ্ছে।</v>
      </c>
    </row>
    <row r="2151" spans="1:3" ht="15" x14ac:dyDescent="0.25">
      <c r="A2151" s="3" t="s">
        <v>2144</v>
      </c>
      <c r="B2151" s="3" t="s">
        <v>1992</v>
      </c>
      <c r="C2151" s="4" t="str">
        <f ca="1">IFERROR(__xludf.DUMMYFUNCTION("GOOGLETRANSLATE(A2151, ""auto"", ""bn"")"),"সোশ্যাল মিডিয়া কি আর কেউ উন্মত্তভাবে সিদ্ধান্ত নেয় যে তাদের সমস্ত সোশ্যাল মিডিয়া বন্ধ করে দিতে হবে, কেবল কয়েক সপ্তাহ পরে এটি আবার ফিরিয়ে আনার জন্য? আমি সেই পুরনো AIM দিন থেকেই এইরকম। ক্রমাগত বিভিন্ন স্ক্রিন নাম, বিভিন্ন মাইস্পেস, বিভিন্ন ইমেল, ফেসবুক"&amp;", ইনস্টাগ্রাম ইত্যাদি তৈরি এবং মুছে ফেলা... এটা একটা তাগিদের মতো এবং আমাকে এগুলি থেকে মুক্তি পেতে হবে, নাহলে আমি আতঙ্কে পড়ে যাব।")</f>
        <v>সোশ্যাল মিডিয়া কি আর কেউ উন্মত্তভাবে সিদ্ধান্ত নেয় যে তাদের সমস্ত সোশ্যাল মিডিয়া বন্ধ করে দিতে হবে, কেবল কয়েক সপ্তাহ পরে এটি আবার ফিরিয়ে আনার জন্য? আমি সেই পুরনো AIM দিন থেকেই এইরকম। ক্রমাগত বিভিন্ন স্ক্রিন নাম, বিভিন্ন মাইস্পেস, বিভিন্ন ইমেল, ফেসবুক, ইনস্টাগ্রাম ইত্যাদি তৈরি এবং মুছে ফেলা... এটা একটা তাগিদের মতো এবং আমাকে এগুলি থেকে মুক্তি পেতে হবে, নাহলে আমি আতঙ্কে পড়ে যাব।</v>
      </c>
    </row>
    <row r="2152" spans="1:3" ht="15" x14ac:dyDescent="0.25">
      <c r="A2152" s="3" t="s">
        <v>2145</v>
      </c>
      <c r="B2152" s="3" t="s">
        <v>1992</v>
      </c>
      <c r="C2152" s="4" t="str">
        <f ca="1">IFERROR(__xludf.DUMMYFUNCTION("GOOGLETRANSLATE(A2152, ""auto"", ""bn"")"),"গাড়ি চালানো শেখা আমাকে দুশ্চিন্তাগ্রস্ত করে তোলে, 26F ড্রাইভিংয়ের সাথে যে স্বাধীনতা আসে তা চাই। হ্যালো সবাই, আমার দুশ্চিন্তার অনেক দিক আমি অনেক দূর এগিয়েছি। তবে, গাড়ি চালানো আমার এভারেস্ট। আমার দুটি অসমাপ্ত ড্রাইভিং স্কুলের অভিজ্ঞতা আছে। পরিবারের অনেক "&amp;"সদস্য এবং বন্ধুবান্ধব আমাকে শেখানোর চেষ্টা করছে। আমি এটা বুঝতে পারছি না। আমি এই বছর শিখতে চাই। তাছাড়া, আমি এই বছর বিয়ে করতে যাচ্ছি এবং আশা করি আগামী কয়েক বছরের মধ্যে আমার সন্তান হবে। তাছাড়া, আমি কেবল ছোট বাচ্চাদের সাথে গাড়িতে বসে শিখতে চাই না। তাছাড়"&amp;"া, আমি একা গাড়ি চালানোর ধারণা, গাড়ি চালানোর জন্য প্রয়োজনীয় মনোযোগকে ঘৃণা করি, আমার গাড়ি চালানোর প্রতি অন্যান্য চালকদের প্রতিক্রিয়াকে আমি ভয় পাই। তাছাড়া, আমি যখন এটি সম্পর্কে চিন্তা করি তখন আমার মনে হয় আমি শ্বাস নিতে পারছি না। এই সমস্যাটি কাটিয়ে "&amp;"ওঠার জন্য যারা এই সমস্যাটি কাটিয়ে উঠেছেন তাদের কাছ থেকে কোন পরামর্শ?")</f>
        <v>গাড়ি চালানো শেখা আমাকে দুশ্চিন্তাগ্রস্ত করে তোলে, 26F ড্রাইভিংয়ের সাথে যে স্বাধীনতা আসে তা চাই। হ্যালো সবাই, আমার দুশ্চিন্তার অনেক দিক আমি অনেক দূর এগিয়েছি। তবে, গাড়ি চালানো আমার এভারেস্ট। আমার দুটি অসমাপ্ত ড্রাইভিং স্কুলের অভিজ্ঞতা আছে। পরিবারের অনেক সদস্য এবং বন্ধুবান্ধব আমাকে শেখানোর চেষ্টা করছে। আমি এটা বুঝতে পারছি না। আমি এই বছর শিখতে চাই। তাছাড়া, আমি এই বছর বিয়ে করতে যাচ্ছি এবং আশা করি আগামী কয়েক বছরের মধ্যে আমার সন্তান হবে। তাছাড়া, আমি কেবল ছোট বাচ্চাদের সাথে গাড়িতে বসে শিখতে চাই না। তাছাড়া, আমি একা গাড়ি চালানোর ধারণা, গাড়ি চালানোর জন্য প্রয়োজনীয় মনোযোগকে ঘৃণা করি, আমার গাড়ি চালানোর প্রতি অন্যান্য চালকদের প্রতিক্রিয়াকে আমি ভয় পাই। তাছাড়া, আমি যখন এটি সম্পর্কে চিন্তা করি তখন আমার মনে হয় আমি শ্বাস নিতে পারছি না। এই সমস্যাটি কাটিয়ে ওঠার জন্য যারা এই সমস্যাটি কাটিয়ে উঠেছেন তাদের কাছ থেকে কোন পরামর্শ?</v>
      </c>
    </row>
    <row r="2153" spans="1:3" ht="15" x14ac:dyDescent="0.25">
      <c r="A2153" s="3" t="s">
        <v>2146</v>
      </c>
      <c r="B2153" s="3" t="s">
        <v>1992</v>
      </c>
      <c r="C2153" s="4" t="str">
        <f ca="1">IFERROR(__xludf.DUMMYFUNCTION("GOOGLETRANSLATE(A2153, ""auto"", ""bn"")"),"আমি খুব ভয় পাচ্ছি যে প্লেনে চড়বো কিনা। তাই আমি অস্ট্রেলিয়ায় থাকি আর বড়দিনে আমার বাবা-মা আমাদের প্রায় দুই সপ্তাহের জন্য ডিজনিল্যান্ড আর হাওয়াই ভ্রমণ করিয়ে দিয়েছিলেন। এখন, আমিও এই একই ট্রিপ করেছিলাম, কিন্তু এক সপ্তাহ আগে যখন আমার বয়স প্রায় ১২ (এখন ১৫), আর "&amp;"পুরো ট্রিপে আমি ঠিক ছিলাম। কোনও ভয় পাওয়া বা অন্য কিছু নয়। কিন্তু এখন কোনও কারণে, ছাদের উপর দিয়ে যাওয়ার দুশ্চিন্তার কারণে আমি প্লেনে চড়তে ভয় পাচ্ছি। ""ওহ না, প্লেনটা দুর্ঘটনায় পড়তে পারে"" বা এইসব বিষয় নিয়ে বেশি কিছু নয়, কারণ আমি যে এয়ারলাইনে যাচ্ছি সেটা খু"&amp;"বই নির্ভরযোগ্য। বেশিরভাগ ক্ষেত্রেই অসুস্থ হওয়ার/প্লেনে উঠে পড়ার ভয় আমাকে উত্তেজিত করছে। আমার বমি বমি ভাব দূর করার জন্য অ্যান্টি-নজিয়া ট্যাবলেট আছে যা আমাকে বমি বমি ভাব থেকে রক্ষা করে (অনডানসেট্রন), এবং আমি বেশিরভাগ ফ্লাইটেই ঘুমিয়ে থাকবো কারণ আমাদের ঘুমের "&amp;"ট্যাবলেট আছে এবং আমি রাত ৯:৩০ টার দিকে বেরোচ্ছি। তবুও আমি এটা নিয়ে ভয় পাচ্ছি। পরীক্ষার মাঝখানে যখন আমি ভয় পেয়েছিলাম, তখন থেকেই বমি বমি ভাব আমার উদ্বেগের কারণ হয়ে দাঁড়িয়েছে।")</f>
        <v>আমি খুব ভয় পাচ্ছি যে প্লেনে চড়বো কিনা। তাই আমি অস্ট্রেলিয়ায় থাকি আর বড়দিনে আমার বাবা-মা আমাদের প্রায় দুই সপ্তাহের জন্য ডিজনিল্যান্ড আর হাওয়াই ভ্রমণ করিয়ে দিয়েছিলেন। এখন, আমিও এই একই ট্রিপ করেছিলাম, কিন্তু এক সপ্তাহ আগে যখন আমার বয়স প্রায় ১২ (এখন ১৫), আর পুরো ট্রিপে আমি ঠিক ছিলাম। কোনও ভয় পাওয়া বা অন্য কিছু নয়। কিন্তু এখন কোনও কারণে, ছাদের উপর দিয়ে যাওয়ার দুশ্চিন্তার কারণে আমি প্লেনে চড়তে ভয় পাচ্ছি। "ওহ না, প্লেনটা দুর্ঘটনায় পড়তে পারে" বা এইসব বিষয় নিয়ে বেশি কিছু নয়, কারণ আমি যে এয়ারলাইনে যাচ্ছি সেটা খুবই নির্ভরযোগ্য। বেশিরভাগ ক্ষেত্রেই অসুস্থ হওয়ার/প্লেনে উঠে পড়ার ভয় আমাকে উত্তেজিত করছে। আমার বমি বমি ভাব দূর করার জন্য অ্যান্টি-নজিয়া ট্যাবলেট আছে যা আমাকে বমি বমি ভাব থেকে রক্ষা করে (অনডানসেট্রন), এবং আমি বেশিরভাগ ফ্লাইটেই ঘুমিয়ে থাকবো কারণ আমাদের ঘুমের ট্যাবলেট আছে এবং আমি রাত ৯:৩০ টার দিকে বেরোচ্ছি। তবুও আমি এটা নিয়ে ভয় পাচ্ছি। পরীক্ষার মাঝখানে যখন আমি ভয় পেয়েছিলাম, তখন থেকেই বমি বমি ভাব আমার উদ্বেগের কারণ হয়ে দাঁড়িয়েছে।</v>
      </c>
    </row>
    <row r="2154" spans="1:3" ht="15" x14ac:dyDescent="0.25">
      <c r="A2154" s="3" t="s">
        <v>2147</v>
      </c>
      <c r="B2154" s="3" t="s">
        <v>1992</v>
      </c>
      <c r="C2154" s="4" t="str">
        <f ca="1">IFERROR(__xludf.DUMMYFUNCTION("GOOGLETRANSLATE(A2154, ""auto"", ""bn"")"),"প্রাক্তনের কাছে ক্ষমা চেয়েছিলাম, আর এখন আমার খুব আতঙ্ক হচ্ছে। আমি একটা খাবার খেয়েছি কারণ এগুলো আমাকে শান্ত করে, কিন্তু ৩০ মিনিটেরও বেশি সময় লাগবে, আর ততক্ষণে আমি মারা যাচ্ছি। ঘাম থামাতে পারছি না, আর আমার বুক থেকে হৃদস্পন্দন বেরিয়ে আসছে। আমি ভাবতে ভয় "&amp;"পাচ্ছি যে আমি আবার তার জীবনে এসে তাকে বিরক্ত করতে পারতাম, আর আমি ভীত যে ক্ষমা চেয়ে আমি হয়তো ভালোর চেয়ে বেশি ক্ষতি করতে পারতাম। তাছাড়া, আমি নড়তেও পারছি না, আমি খুব উদ্বিগ্ন, আর আমি চাই এই খাবারটা কাজ করুক। চোখের জল ঝরছে হা হা, শুধু একটা ঝামেলা। এই ব্য"&amp;"াপারটা থেকে আমার মন সরানোর জন্য কোন টিপস? পড়ার জন্য ধন্যবাদ, এটা লিখে রাখলে সাহায্য হবে এবং হয়তো কেউ বুঝতে পারবে।")</f>
        <v>প্রাক্তনের কাছে ক্ষমা চেয়েছিলাম, আর এখন আমার খুব আতঙ্ক হচ্ছে। আমি একটা খাবার খেয়েছি কারণ এগুলো আমাকে শান্ত করে, কিন্তু ৩০ মিনিটেরও বেশি সময় লাগবে, আর ততক্ষণে আমি মারা যাচ্ছি। ঘাম থামাতে পারছি না, আর আমার বুক থেকে হৃদস্পন্দন বেরিয়ে আসছে। আমি ভাবতে ভয় পাচ্ছি যে আমি আবার তার জীবনে এসে তাকে বিরক্ত করতে পারতাম, আর আমি ভীত যে ক্ষমা চেয়ে আমি হয়তো ভালোর চেয়ে বেশি ক্ষতি করতে পারতাম। তাছাড়া, আমি নড়তেও পারছি না, আমি খুব উদ্বিগ্ন, আর আমি চাই এই খাবারটা কাজ করুক। চোখের জল ঝরছে হা হা, শুধু একটা ঝামেলা। এই ব্যাপারটা থেকে আমার মন সরানোর জন্য কোন টিপস? পড়ার জন্য ধন্যবাদ, এটা লিখে রাখলে সাহায্য হবে এবং হয়তো কেউ বুঝতে পারবে।</v>
      </c>
    </row>
    <row r="2155" spans="1:3" ht="15" x14ac:dyDescent="0.25">
      <c r="A2155" s="3" t="s">
        <v>2148</v>
      </c>
      <c r="B2155" s="3" t="s">
        <v>1992</v>
      </c>
      <c r="C2155" s="4" t="str">
        <f ca="1">IFERROR(__xludf.DUMMYFUNCTION("GOOGLETRANSLATE(A2155, ""auto"", ""bn"")"),"নতুন মানুষের সাথে কথা বলতে আমার ভয় লাগে। যখনই আমি এমন কারো সাথে কথা বলতে চাই যাকে আমি খুব ভালোভাবে চিনি না, তখন আমার মন অতিরিক্ত চিন্তা করতে থাকে, এবং আমি কথোপকথনও শুরু করতে পারি না। আমি জানি না এটা নিয়ে কী করব। কারো কি পরামর্শ আছে?")</f>
        <v>নতুন মানুষের সাথে কথা বলতে আমার ভয় লাগে। যখনই আমি এমন কারো সাথে কথা বলতে চাই যাকে আমি খুব ভালোভাবে চিনি না, তখন আমার মন অতিরিক্ত চিন্তা করতে থাকে, এবং আমি কথোপকথনও শুরু করতে পারি না। আমি জানি না এটা নিয়ে কী করব। কারো কি পরামর্শ আছে?</v>
      </c>
    </row>
    <row r="2156" spans="1:3" ht="15" x14ac:dyDescent="0.25">
      <c r="A2156" s="3" t="s">
        <v>2149</v>
      </c>
      <c r="B2156" s="3" t="s">
        <v>1992</v>
      </c>
      <c r="C2156" s="4" t="str">
        <f ca="1">IFERROR(__xludf.DUMMYFUNCTION("GOOGLETRANSLATE(A2156, ""auto"", ""bn"")"),"নতুন বছরের সংকল্প সম্পর্কে আমি একটি ধ্যান অ্যাপ সাবস্ক্রাইব করেছি এবং আমি নতুন বছরের সংকল্প সম্পর্কে একটি দুর্দান্ত পরামর্শ দেখেছি: তারা পরামর্শ দিয়েছে যে নিজেকে এমন কঠিন লক্ষ্য নির্ধারণ করো না যার সাহায্যে তুমি ব্যর্থ হতে পারো এবং নিজেকে পরাজিত করতে পার"&amp;"ো, বরং একজন ব্যক্তি হিসেবে তুমি কী ধরণের গুণাবলী অর্জন করতে চাও তার উপর নির্ভর করো। এটি তোমাকে উন্নতি করার সুযোগ দেবে, এমনকি যদি তা সামান্যই হয়, তুমি বলতে পারো যে তুমি একটু বেশি x (সংগঠিত, শ্রদ্ধাশীল, নিজের প্রতি সদয়, ইত্যাদি) হয়ে উঠেছো। আমার মনে হয় আ"&amp;"মাদের মধ্যে যারা মানসিক স্বাস্থ্যের সমস্যায় ভুগছেন তারা সহজেই ব্যর্থতার সাথে লড়াই করতে পারেন, এবং তারপরে আমরা কঠোর প্রতিশ্রুতিবদ্ধ হই এবং যখন আমরা দুবার ব্যর্থ হই, তখন আমরা নিজেদেরকে ব্যর্থ বলে মনে করি। আমি যা হতে চাই তা হয়ে ওঠার দিকে অগ্রগতি করার ধারণ"&amp;"াটি পছন্দ করি, আপনার যা করার অনুমতি আছে তার উপর কঠোর সীমা নির্ধারণ করার চেয়ে আপনার ইচ্ছার মধ্যে বেড়ে ওঠা। শুধু মনে রাখার মতো কিছু। ব্যর্থ হওয়া ঠিক আছে। শুধু চেষ্টা চালিয়ে যান।")</f>
        <v>নতুন বছরের সংকল্প সম্পর্কে আমি একটি ধ্যান অ্যাপ সাবস্ক্রাইব করেছি এবং আমি নতুন বছরের সংকল্প সম্পর্কে একটি দুর্দান্ত পরামর্শ দেখেছি: তারা পরামর্শ দিয়েছে যে নিজেকে এমন কঠিন লক্ষ্য নির্ধারণ করো না যার সাহায্যে তুমি ব্যর্থ হতে পারো এবং নিজেকে পরাজিত করতে পারো, বরং একজন ব্যক্তি হিসেবে তুমি কী ধরণের গুণাবলী অর্জন করতে চাও তার উপর নির্ভর করো। এটি তোমাকে উন্নতি করার সুযোগ দেবে, এমনকি যদি তা সামান্যই হয়, তুমি বলতে পারো যে তুমি একটু বেশি x (সংগঠিত, শ্রদ্ধাশীল, নিজের প্রতি সদয়, ইত্যাদি) হয়ে উঠেছো। আমার মনে হয় আমাদের মধ্যে যারা মানসিক স্বাস্থ্যের সমস্যায় ভুগছেন তারা সহজেই ব্যর্থতার সাথে লড়াই করতে পারেন, এবং তারপরে আমরা কঠোর প্রতিশ্রুতিবদ্ধ হই এবং যখন আমরা দুবার ব্যর্থ হই, তখন আমরা নিজেদেরকে ব্যর্থ বলে মনে করি। আমি যা হতে চাই তা হয়ে ওঠার দিকে অগ্রগতি করার ধারণাটি পছন্দ করি, আপনার যা করার অনুমতি আছে তার উপর কঠোর সীমা নির্ধারণ করার চেয়ে আপনার ইচ্ছার মধ্যে বেড়ে ওঠা। শুধু মনে রাখার মতো কিছু। ব্যর্থ হওয়া ঠিক আছে। শুধু চেষ্টা চালিয়ে যান।</v>
      </c>
    </row>
    <row r="2157" spans="1:3" ht="15" x14ac:dyDescent="0.25">
      <c r="A2157" s="3" t="s">
        <v>2150</v>
      </c>
      <c r="B2157" s="3" t="s">
        <v>1992</v>
      </c>
      <c r="C2157" s="4" t="str">
        <f ca="1">IFERROR(__xludf.DUMMYFUNCTION("GOOGLETRANSLATE(A2157, ""auto"", ""bn"")"),"২০১৮ সালে এবং গত মাসেও অনেকবার উদ্বেগের আক্রমণের সম্মুখীন হয়েছি। আমার মনে হচ্ছে আমি আবারও প্যানিক ডিসঅর্ডারে আক্রান্ত হচ্ছি। আমি ভীত, আমি সত্যিই দুঃখিত, আমি জানি না কী করব। ২০১৭ সালে, আমার বিচ্ছেদ ঘটে এবং ২০১৮ সালের শুরুতে আমি আমার ১০ বছরের স্ত্রীকে তালা"&amp;"ক দিয়েছিলাম। আমি নিজেকে সুস্থ করার জন্য কিছুটা সময় নিয়েছিলাম এবং ব্যায়াম করেছি, ওজন কমিয়েছি, ভালো করছিলাম। সেপ্টেম্বরে আমি নতুন একজনের সাথে দেখা করি এবং আমরা ডেটিং শুরু করি। তারপর থেকে অনেক কিছু হয়ে গেছে, কিন্তু বেশিরভাগ সময়ই ভালোই কেটেছে। আমরা একস"&amp;"াথে অনেক ভ্রমণ করেছি, এবং শেষ পর্যন্ত আমি তার বাবা-মা এবং সবার সাথে দেখা করেছি। বাড়ি ফেরার পথে আমার একটি প্রচণ্ড প্যানিক অ্যাটাক হয়েছিল, এবং আমাদের থামতে হয়েছিল, এবং আমাকে গাড়ি থেকে নেমে প্রায় এক ঘন্টা হেঁটে শান্ত হতে হয়েছিল। অবশেষে শান্ত হয়ে আমাদে"&amp;"র হোটেলে পৌঁছালাম, ঠিকঠাক বাড়ি ফিরে এলাম, কিন্তু তারপর আবার শুরু হল। আমার বন্ধু আমাকে শান্ত হতে সাহায্য করার জন্য আমার সাথে থাকার সিদ্ধান্ত নিয়েছে, কিন্তু তারপর তাকে চলে যেতে হয়েছিল। এখন আমি ঘরে এদিক-ওদিক হাঁটছি, এখানে-সেদিক কাঁদছি, হৃদস্পন্দন বেড়ে যা"&amp;"চ্ছে, স্থির হয়ে বসে থাকতে পারছি না। আমার মনে হচ্ছে সবচেয়ে খারাপ কিছু ঘটতে চলেছে, আর আমি খুব ভয় পাচ্ছি।")</f>
        <v>২০১৮ সালে এবং গত মাসেও অনেকবার উদ্বেগের আক্রমণের সম্মুখীন হয়েছি। আমার মনে হচ্ছে আমি আবারও প্যানিক ডিসঅর্ডারে আক্রান্ত হচ্ছি। আমি ভীত, আমি সত্যিই দুঃখিত, আমি জানি না কী করব। ২০১৭ সালে, আমার বিচ্ছেদ ঘটে এবং ২০১৮ সালের শুরুতে আমি আমার ১০ বছরের স্ত্রীকে তালাক দিয়েছিলাম। আমি নিজেকে সুস্থ করার জন্য কিছুটা সময় নিয়েছিলাম এবং ব্যায়াম করেছি, ওজন কমিয়েছি, ভালো করছিলাম। সেপ্টেম্বরে আমি নতুন একজনের সাথে দেখা করি এবং আমরা ডেটিং শুরু করি। তারপর থেকে অনেক কিছু হয়ে গেছে, কিন্তু বেশিরভাগ সময়ই ভালোই কেটেছে। আমরা একসাথে অনেক ভ্রমণ করেছি, এবং শেষ পর্যন্ত আমি তার বাবা-মা এবং সবার সাথে দেখা করেছি। বাড়ি ফেরার পথে আমার একটি প্রচণ্ড প্যানিক অ্যাটাক হয়েছিল, এবং আমাদের থামতে হয়েছিল, এবং আমাকে গাড়ি থেকে নেমে প্রায় এক ঘন্টা হেঁটে শান্ত হতে হয়েছিল। অবশেষে শান্ত হয়ে আমাদের হোটেলে পৌঁছালাম, ঠিকঠাক বাড়ি ফিরে এলাম, কিন্তু তারপর আবার শুরু হল। আমার বন্ধু আমাকে শান্ত হতে সাহায্য করার জন্য আমার সাথে থাকার সিদ্ধান্ত নিয়েছে, কিন্তু তারপর তাকে চলে যেতে হয়েছিল। এখন আমি ঘরে এদিক-ওদিক হাঁটছি, এখানে-সেদিক কাঁদছি, হৃদস্পন্দন বেড়ে যাচ্ছে, স্থির হয়ে বসে থাকতে পারছি না। আমার মনে হচ্ছে সবচেয়ে খারাপ কিছু ঘটতে চলেছে, আর আমি খুব ভয় পাচ্ছি।</v>
      </c>
    </row>
    <row r="2158" spans="1:3" ht="15" x14ac:dyDescent="0.25">
      <c r="A2158" s="3" t="s">
        <v>2151</v>
      </c>
      <c r="B2158" s="3" t="s">
        <v>1992</v>
      </c>
      <c r="C2158" s="4" t="str">
        <f ca="1">IFERROR(__xludf.DUMMYFUNCTION("GOOGLETRANSLATE(A2158, ""auto"", ""bn"")"),"SSRI-এর কারণে ২৪ বছর বয়সী মহিলাদের GI-র সমস্যায় আক্রান্ত হওয়ার জন্য পরামর্শ প্রয়োজন; গ্রীষ্মে আমি আমার বাবা-মায়ের সাথে সম্পর্ক ছিন্ন করেছিলাম, নতুন চাকরি শুরু করেছিলাম, বিয়ে করেছিলাম, ইত্যাদি। এক মাসের জন্য কাজ থেকে বিরত থাকতে হয়েছিল এবং আমার ডাক্ত"&amp;"ার আমাকে 150 মিলিগ্রাম Zoloft খেতে বলেছিলেন। এটা দারুন ছিল। অক্টোবরে আমি ওষুধ বন্ধ করার সিদ্ধান্ত নিয়েছিলাম কারণ ওই ডোজে আমার পেট খারাপ হচ্ছিল। আমার খুব উদ্বেগ হচ্ছিল। গত সপ্তাহে আমি আমার উদ্বেগের কারণে ক্রমাগত বমি করতে শুরু করেছিলাম। 6 দিন হয়ে গেছে, এব"&amp;"ং আমি প্রায় টোস্ট খেতে পেরেছি। আমি আবার একেবারেই পাগল। আমার ডাক্তার আমাকে Prozac 20mg লিখেছিলেন। এবং আমি গতকাল আমার প্রথম ডোজ নিয়েছিলাম এবং ভয়াবহ ডায়রিয়া হয়েছে। বমি করার কারণে আমার ইতিমধ্যেই পানিশূন্যতা রয়েছে, কিন্তু আমি এত ডায়রিয়ার সাথে মোকাবিলা"&amp;" করতে পারছি না। এটি আমাকে আবার কাজে যেতে বাধা দিচ্ছে এবং Medium শুধুমাত্র কিছুটা সাহায্য করেছে। কেউ কি পার্শ্ব প্রতিক্রিয়া কমাতে সাহায্য করার জন্য কিছু খুঁজে পেয়েছেন? এখন থেকে চার সপ্তাহের মধ্যে ওষুধ শুরু হওয়ার অপেক্ষায় আমি এভাবে বাঁচতে পারছি না।")</f>
        <v>SSRI-এর কারণে ২৪ বছর বয়সী মহিলাদের GI-র সমস্যায় আক্রান্ত হওয়ার জন্য পরামর্শ প্রয়োজন; গ্রীষ্মে আমি আমার বাবা-মায়ের সাথে সম্পর্ক ছিন্ন করেছিলাম, নতুন চাকরি শুরু করেছিলাম, বিয়ে করেছিলাম, ইত্যাদি। এক মাসের জন্য কাজ থেকে বিরত থাকতে হয়েছিল এবং আমার ডাক্তার আমাকে 150 মিলিগ্রাম Zoloft খেতে বলেছিলেন। এটা দারুন ছিল। অক্টোবরে আমি ওষুধ বন্ধ করার সিদ্ধান্ত নিয়েছিলাম কারণ ওই ডোজে আমার পেট খারাপ হচ্ছিল। আমার খুব উদ্বেগ হচ্ছিল। গত সপ্তাহে আমি আমার উদ্বেগের কারণে ক্রমাগত বমি করতে শুরু করেছিলাম। 6 দিন হয়ে গেছে, এবং আমি প্রায় টোস্ট খেতে পেরেছি। আমি আবার একেবারেই পাগল। আমার ডাক্তার আমাকে Prozac 20mg লিখেছিলেন। এবং আমি গতকাল আমার প্রথম ডোজ নিয়েছিলাম এবং ভয়াবহ ডায়রিয়া হয়েছে। বমি করার কারণে আমার ইতিমধ্যেই পানিশূন্যতা রয়েছে, কিন্তু আমি এত ডায়রিয়ার সাথে মোকাবিলা করতে পারছি না। এটি আমাকে আবার কাজে যেতে বাধা দিচ্ছে এবং Medium শুধুমাত্র কিছুটা সাহায্য করেছে। কেউ কি পার্শ্ব প্রতিক্রিয়া কমাতে সাহায্য করার জন্য কিছু খুঁজে পেয়েছেন? এখন থেকে চার সপ্তাহের মধ্যে ওষুধ শুরু হওয়ার অপেক্ষায় আমি এভাবে বাঁচতে পারছি না।</v>
      </c>
    </row>
    <row r="2159" spans="1:3" ht="15" x14ac:dyDescent="0.25">
      <c r="A2159" s="3" t="s">
        <v>2152</v>
      </c>
      <c r="B2159" s="3" t="s">
        <v>1992</v>
      </c>
      <c r="C2159" s="4" t="str">
        <f ca="1">IFERROR(__xludf.DUMMYFUNCTION("GOOGLETRANSLATE(A2159, ""auto"", ""bn"")"),"খিঁচুনিমুক্ত অবস্থায় পৌঁছানো এবং আবার গাড়ি চালানোর ক্ষমতা পাওয়া সম্পর্কে আগাম উদ্বেগ [মৃগীরোগ] ৪৭ দিন পর আবার গাড়ি চালাতে পারব এবং ততক্ষণে ৯৬ সপ্তাহ কেটে যাবে যখন আমি শেষবার ড্রাইভিং সিটে বসেছিলাম। গাড়ি চালাতে না পেরে আমার হৃদয় ভেঙে যায়, এবং গত বছরটা কতটা"&amp;" খারাপ ছিল তা ভাবলেই এখনও তা ভেঙে যায়। যতই কাছে আসছে, ততই আমি আতঙ্কিত হয়ে পড়ছি। খিঁচুনি আমাকে ভয় পায় না, বরং রাস্তা থেকে দূরে আরও একটি বছর। আমি এটা নিয়ে ভাবা বন্ধ করতে পারছি না, এবং আমি যা করতে পারি তা হল অপেক্ষা। আর অপেক্ষা। আর অপেক্ষা। যেমনটা গত ৮৯ সপ্ত"&amp;"াহ ধরে করছি। আমি ব্যর্থ হওয়ার খুব ভয় পাচ্ছি। আমি এত ভয় পাচ্ছি যে সবকিছু ভুল হয়ে যাবে। তাছাড়া, আমার সবসময় কাঁদতে ইচ্ছে করে এবং আমি এটা সহ্য করতে পারি না। আমি কী করব??")</f>
        <v>খিঁচুনিমুক্ত অবস্থায় পৌঁছানো এবং আবার গাড়ি চালানোর ক্ষমতা পাওয়া সম্পর্কে আগাম উদ্বেগ [মৃগীরোগ] ৪৭ দিন পর আবার গাড়ি চালাতে পারব এবং ততক্ষণে ৯৬ সপ্তাহ কেটে যাবে যখন আমি শেষবার ড্রাইভিং সিটে বসেছিলাম। গাড়ি চালাতে না পেরে আমার হৃদয় ভেঙে যায়, এবং গত বছরটা কতটা খারাপ ছিল তা ভাবলেই এখনও তা ভেঙে যায়। যতই কাছে আসছে, ততই আমি আতঙ্কিত হয়ে পড়ছি। খিঁচুনি আমাকে ভয় পায় না, বরং রাস্তা থেকে দূরে আরও একটি বছর। আমি এটা নিয়ে ভাবা বন্ধ করতে পারছি না, এবং আমি যা করতে পারি তা হল অপেক্ষা। আর অপেক্ষা। আর অপেক্ষা। যেমনটা গত ৮৯ সপ্তাহ ধরে করছি। আমি ব্যর্থ হওয়ার খুব ভয় পাচ্ছি। আমি এত ভয় পাচ্ছি যে সবকিছু ভুল হয়ে যাবে। তাছাড়া, আমার সবসময় কাঁদতে ইচ্ছে করে এবং আমি এটা সহ্য করতে পারি না। আমি কী করব??</v>
      </c>
    </row>
    <row r="2160" spans="1:3" ht="15" x14ac:dyDescent="0.25">
      <c r="A2160" s="3" t="s">
        <v>2153</v>
      </c>
      <c r="B2160" s="3" t="s">
        <v>1992</v>
      </c>
      <c r="C2160" s="4" t="str">
        <f ca="1">IFERROR(__xludf.DUMMYFUNCTION("GOOGLETRANSLATE(A2160, ""auto"", ""bn"")"),"অন্যদের আশেপাশে থাকলেও DAE কি সবসময় একা বোধ করে? পরিস্থিতি যাই হোক না কেন বা কার সাথেই থাকি না কেন, আমি সবসময় আমার মাথায় আটকা পড়ে থাকি। কিন্তু যখন আমি সত্যিই একা থাকি, তখন আমি যদি অন্য কারো সাথে থাকতাম! এর কোন মানে হয়!? যেকোনো মন্তব্যের জন্য কৃতজ্ঞ।")</f>
        <v>অন্যদের আশেপাশে থাকলেও DAE কি সবসময় একা বোধ করে? পরিস্থিতি যাই হোক না কেন বা কার সাথেই থাকি না কেন, আমি সবসময় আমার মাথায় আটকা পড়ে থাকি। কিন্তু যখন আমি সত্যিই একা থাকি, তখন আমি যদি অন্য কারো সাথে থাকতাম! এর কোন মানে হয়!? যেকোনো মন্তব্যের জন্য কৃতজ্ঞ।</v>
      </c>
    </row>
    <row r="2161" spans="1:3" ht="15" x14ac:dyDescent="0.25">
      <c r="A2161" s="3" t="s">
        <v>2154</v>
      </c>
      <c r="B2161" s="3" t="s">
        <v>1992</v>
      </c>
      <c r="C2161" s="4" t="str">
        <f ca="1">IFERROR(__xludf.DUMMYFUNCTION("GOOGLETRANSLATE(A2161, ""auto"", ""bn"")"),"২০১৯ সালের আশা। ভয়, শোক, আতঙ্কের আক্রমণ [মৌখিক এবং মানসিক নির্যাতনের কথা উল্লেখ করুন] ২০১৮ সালের শেষ দিনটি ছিল ভয়াবহ এবং আনন্দের। বুকে ব্যথা, শ্বাসকষ্ট এবং আরেকটি আতঙ্কের আক্রমণের আবেশী ভয়াবহতার সাথে মিলিয়ে ২০১৮ সালের সন্ত্রাসের রাজত্ব মাত্র কয়েক মিন"&amp;"িটের মধ্যেই শেষ হয়ে যাবে এই ভেবে এত খুশি হতে হবে। আগস্টে আমার সৎ বাবার মৃত্যুর পর আমি নিজেকে ক্রমাগত উদ্বেগের মধ্যে দেখতে পাই। যে মানুষটি আমার পুরো শৈশব জুড়ে আমাকে সমর্থন করেছিলেন তিনি চলে গেছেন, হঠাৎ স্ট্রোক এবং হার্টের জটিলতায় আক্রান্ত হয়েছেন। আমি আ"&amp;"ন্তরিকভাবে আশা করি যে ২০১৯ গত বছরের ৩-রিং-এর বাজে অনুষ্ঠানের চেয়ে ভালো হবে, কিন্তু নতুন বছর এবং এর সাথে যা কিছু আসে তা নিয়ে আমার উদ্বেগ আমি এখনও দমন করতে পারছি না। আমার বাবা অনেক আগেই তার জলপাইয়ের ডাল পুড়িয়ে ফেলেছেন, আমার বিরুদ্ধে তার ক্রমাগত তিরস্কা"&amp;"র, তার মৌখিক এবং মানসিক নির্যাতন, গ্যাসলাইটিং এবং একজন অভিভাবক হিসেবে সাধারণ মর্যাদা দিয়ে। সেই দরজা অনেক আগেই বন্ধ হয়ে গেছে, এবং এখন আমি চাই এটা না থাকত, যদিও আমি জানি এটা একতরফা। উদ্বেগজনিত বুকের ব্যথার জন্য যেকোনো পরামর্শ, সেইসাথে পিতামাতার শোকের জন্য"&amp;" যেকোনো পরামর্শ অত্যন্ত প্রশংসা করা হবে। আমাদের সকলের জন্য এটি একটি আরও ভালো বছর হোক।")</f>
        <v>২০১৯ সালের আশা। ভয়, শোক, আতঙ্কের আক্রমণ [মৌখিক এবং মানসিক নির্যাতনের কথা উল্লেখ করুন] ২০১৮ সালের শেষ দিনটি ছিল ভয়াবহ এবং আনন্দের। বুকে ব্যথা, শ্বাসকষ্ট এবং আরেকটি আতঙ্কের আক্রমণের আবেশী ভয়াবহতার সাথে মিলিয়ে ২০১৮ সালের সন্ত্রাসের রাজত্ব মাত্র কয়েক মিনিটের মধ্যেই শেষ হয়ে যাবে এই ভেবে এত খুশি হতে হবে। আগস্টে আমার সৎ বাবার মৃত্যুর পর আমি নিজেকে ক্রমাগত উদ্বেগের মধ্যে দেখতে পাই। যে মানুষটি আমার পুরো শৈশব জুড়ে আমাকে সমর্থন করেছিলেন তিনি চলে গেছেন, হঠাৎ স্ট্রোক এবং হার্টের জটিলতায় আক্রান্ত হয়েছেন। আমি আন্তরিকভাবে আশা করি যে ২০১৯ গত বছরের ৩-রিং-এর বাজে অনুষ্ঠানের চেয়ে ভালো হবে, কিন্তু নতুন বছর এবং এর সাথে যা কিছু আসে তা নিয়ে আমার উদ্বেগ আমি এখনও দমন করতে পারছি না। আমার বাবা অনেক আগেই তার জলপাইয়ের ডাল পুড়িয়ে ফেলেছেন, আমার বিরুদ্ধে তার ক্রমাগত তিরস্কার, তার মৌখিক এবং মানসিক নির্যাতন, গ্যাসলাইটিং এবং একজন অভিভাবক হিসেবে সাধারণ মর্যাদা দিয়ে। সেই দরজা অনেক আগেই বন্ধ হয়ে গেছে, এবং এখন আমি চাই এটা না থাকত, যদিও আমি জানি এটা একতরফা। উদ্বেগজনিত বুকের ব্যথার জন্য যেকোনো পরামর্শ, সেইসাথে পিতামাতার শোকের জন্য যেকোনো পরামর্শ অত্যন্ত প্রশংসা করা হবে। আমাদের সকলের জন্য এটি একটি আরও ভালো বছর হোক।</v>
      </c>
    </row>
    <row r="2162" spans="1:3" ht="15" x14ac:dyDescent="0.25">
      <c r="A2162" s="3" t="s">
        <v>2155</v>
      </c>
      <c r="B2162" s="3" t="s">
        <v>1992</v>
      </c>
      <c r="C2162" s="4" t="str">
        <f ca="1">IFERROR(__xludf.DUMMYFUNCTION("GOOGLETRANSLATE(A2162, ""auto"", ""bn"")"),"[সম্ভাব্যভাবে উদ্দীপক] আপনার উদ্বেগ/আতঙ্ক কীভাবে প্রকাশ পায়? এবং আরও বেশ কিছু প্রশ্ন। [সম্ভাব্যভাবে উদ্দীপক] গত সপ্তাহে অনেকদিনের মধ্যে আমার প্রথম আতঙ্কের পর্ব হয়েছিল এবং তারপর গত রাতে আরও একটি বেশ তীব্র ঘটনা ঘটেছিল। আজ সারাদিন ধরে গত রাতের পর্ব থেকে আম"&amp;"ার কিছুটা হ্যাংওভার হয়েছে এবং আমি বুঝতে পারছি যে আমি আবার আক্রমণের দ্বারপ্রান্তে আছি কারণ আমার পা ব্যথা করছে। তারা অস্থির হয়ে ওঠে, এবং আমি কেবল চাই .... আমার শরীর থেকে এগুলি সরিয়ে ফেলুন। আমি নিশ্চিত নই যে এটি কীভাবে বর্ণনা করব। আমার পা এবং পা সমস্ত উত্"&amp;"তেজনাপূর্ণ হয়ে ওঠে এবং আমি কেবল নড়াচড়া বন্ধ করতে পারি না। এটি আমার প্রধান লক্ষণ যা সত্যিই আমাকে জানায় যে আমি ভাল করছি না। পায়ের অস্থিরতা/ব্যথা... মূলত আমার মনে হয় আমার ত্বক হামাগুড়ি দিচ্ছে। আপনার লক্ষণগুলি কীভাবে দেখা দেয়? ধীরে ধীরে না হঠাৎ? এগুলি"&amp;" কী? এছাড়াও, কেউ কি কখনও আক্রমণের কারণে জরুরি কক্ষে গেছেন? যদি তাই হয় তবে আপনি কীভাবে জানলেন কখন যাওয়ার সময়? আপনি যদি আমাকে ব্যক্তিগতভাবে বার্তা পাঠাতে চান - দয়া করে বিনা দ্বিধায়!")</f>
        <v>[সম্ভাব্যভাবে উদ্দীপক] আপনার উদ্বেগ/আতঙ্ক কীভাবে প্রকাশ পায়? এবং আরও বেশ কিছু প্রশ্ন। [সম্ভাব্যভাবে উদ্দীপক] গত সপ্তাহে অনেকদিনের মধ্যে আমার প্রথম আতঙ্কের পর্ব হয়েছিল এবং তারপর গত রাতে আরও একটি বেশ তীব্র ঘটনা ঘটেছিল। আজ সারাদিন ধরে গত রাতের পর্ব থেকে আমার কিছুটা হ্যাংওভার হয়েছে এবং আমি বুঝতে পারছি যে আমি আবার আক্রমণের দ্বারপ্রান্তে আছি কারণ আমার পা ব্যথা করছে। তারা অস্থির হয়ে ওঠে, এবং আমি কেবল চাই .... আমার শরীর থেকে এগুলি সরিয়ে ফেলুন। আমি নিশ্চিত নই যে এটি কীভাবে বর্ণনা করব। আমার পা এবং পা সমস্ত উত্তেজনাপূর্ণ হয়ে ওঠে এবং আমি কেবল নড়াচড়া বন্ধ করতে পারি না। এটি আমার প্রধান লক্ষণ যা সত্যিই আমাকে জানায় যে আমি ভাল করছি না। পায়ের অস্থিরতা/ব্যথা... মূলত আমার মনে হয় আমার ত্বক হামাগুড়ি দিচ্ছে। আপনার লক্ষণগুলি কীভাবে দেখা দেয়? ধীরে ধীরে না হঠাৎ? এগুলি কী? এছাড়াও, কেউ কি কখনও আক্রমণের কারণে জরুরি কক্ষে গেছেন? যদি তাই হয় তবে আপনি কীভাবে জানলেন কখন যাওয়ার সময়? আপনি যদি আমাকে ব্যক্তিগতভাবে বার্তা পাঠাতে চান - দয়া করে বিনা দ্বিধায়!</v>
      </c>
    </row>
    <row r="2163" spans="1:3" ht="15" x14ac:dyDescent="0.25">
      <c r="A2163" s="3" t="s">
        <v>2156</v>
      </c>
      <c r="B2163" s="3" t="s">
        <v>1992</v>
      </c>
      <c r="C2163" s="4" t="str">
        <f ca="1">IFERROR(__xludf.DUMMYFUNCTION("GOOGLETRANSLATE(A2163, ""auto"", ""bn"")"),"আপনার জীবনের নিয়ন্ত্রণ নিতে পদক্ষেপ নিন। আমাদের বুক ক্লাবে যোগ দিন। আমরা ডেভিড বার্নস, এম.ডি.-এর লেখা ""ফিলিং গুড: দ্য নিউ মুড থেরাপি"" শুরু করতে যাচ্ছি। আমাদের সাথে যোগ দিন ""ডিসকর্ড"" বইটিতে, যেখানে আমরা আমাদের বিকৃত চিন্তাভাবনার পিছনের কারণগুলি পড়ব এ"&amp;"বং আলোচনা করব এবং কীভাবে সেগুলি কাটিয়ে উঠব এবং কীভাবে আমাদের সেরা ব্যক্তিত্ব হয়ে উঠব। আরও তথ্যের জন্য আমাকে অথবা আপনাকে/স্পেশাল ব্ল্যাকস্মিথকে ফোন করুন।")</f>
        <v>আপনার জীবনের নিয়ন্ত্রণ নিতে পদক্ষেপ নিন। আমাদের বুক ক্লাবে যোগ দিন। আমরা ডেভিড বার্নস, এম.ডি.-এর লেখা "ফিলিং গুড: দ্য নিউ মুড থেরাপি" শুরু করতে যাচ্ছি। আমাদের সাথে যোগ দিন "ডিসকর্ড" বইটিতে, যেখানে আমরা আমাদের বিকৃত চিন্তাভাবনার পিছনের কারণগুলি পড়ব এবং আলোচনা করব এবং কীভাবে সেগুলি কাটিয়ে উঠব এবং কীভাবে আমাদের সেরা ব্যক্তিত্ব হয়ে উঠব। আরও তথ্যের জন্য আমাকে অথবা আপনাকে/স্পেশাল ব্ল্যাকস্মিথকে ফোন করুন।</v>
      </c>
    </row>
    <row r="2164" spans="1:3" ht="15" x14ac:dyDescent="0.25">
      <c r="A2164" s="3" t="s">
        <v>2157</v>
      </c>
      <c r="B2164" s="3" t="s">
        <v>1992</v>
      </c>
      <c r="C2164" s="4" t="str">
        <f ca="1">IFERROR(__xludf.DUMMYFUNCTION("GOOGLETRANSLATE(A2164, ""auto"", ""bn"")"),"আমার মনে হয় আমার মায়ের কুকুর আমার এবং তার মধ্যে উদ্বেগের সৃষ্টি করে। আমি যখন আমার মায়ের সাথে ছাত্র ছিলাম এবং আমার পুরো জীবন ধরে আমরা কুকুর পালন করেছি। আমি সাধারণত তাদের এড়িয়ে চলি কারণ তাদের আক্রমণাত্মক কার্যকলাপ আমার জন্য উদ্বেগের কারণ হয়। সম্প্রতি "&amp;"আমার মা আমাদের আগের কুকুরের মতো কয়েক মাস আগেও একটি কুকুরছানাকে দত্তক নিয়েছিলেন। আমার মা যখন জানতে পারেন যে কুকুরছানাটি ধ্বংসাত্মক কিছু করেছে তখন জোরে চিৎকার করেন। এটি সপ্তাহে একাধিকবার নিয়মিত ঘটনা হয়ে দাঁড়িয়েছে। ফলস্বরূপ, এটি ইতিমধ্যেই উদ্বেগ, হতাশা"&amp;" এবং আত্মহত্যার চিন্তাভাবনার দ্বন্দ্বকে আরও বাড়িয়ে তুলেছে। আমি কী করব জানি না এবং এই দ্বন্দ্ব কীভাবে সমাধান করব সে সম্পর্কে তথ্য খুঁজে পেতে সমস্যা হয়েছে। আমি কীভাবে এটি করতে হবে তা বুঝতে সাহায্য চাই।")</f>
        <v>আমার মনে হয় আমার মায়ের কুকুর আমার এবং তার মধ্যে উদ্বেগের সৃষ্টি করে। আমি যখন আমার মায়ের সাথে ছাত্র ছিলাম এবং আমার পুরো জীবন ধরে আমরা কুকুর পালন করেছি। আমি সাধারণত তাদের এড়িয়ে চলি কারণ তাদের আক্রমণাত্মক কার্যকলাপ আমার জন্য উদ্বেগের কারণ হয়। সম্প্রতি আমার মা আমাদের আগের কুকুরের মতো কয়েক মাস আগেও একটি কুকুরছানাকে দত্তক নিয়েছিলেন। আমার মা যখন জানতে পারেন যে কুকুরছানাটি ধ্বংসাত্মক কিছু করেছে তখন জোরে চিৎকার করেন। এটি সপ্তাহে একাধিকবার নিয়মিত ঘটনা হয়ে দাঁড়িয়েছে। ফলস্বরূপ, এটি ইতিমধ্যেই উদ্বেগ, হতাশা এবং আত্মহত্যার চিন্তাভাবনার দ্বন্দ্বকে আরও বাড়িয়ে তুলেছে। আমি কী করব জানি না এবং এই দ্বন্দ্ব কীভাবে সমাধান করব সে সম্পর্কে তথ্য খুঁজে পেতে সমস্যা হয়েছে। আমি কীভাবে এটি করতে হবে তা বুঝতে সাহায্য চাই।</v>
      </c>
    </row>
    <row r="2165" spans="1:3" ht="15" x14ac:dyDescent="0.25">
      <c r="A2165" s="3" t="s">
        <v>2158</v>
      </c>
      <c r="B2165" s="3" t="s">
        <v>1992</v>
      </c>
      <c r="C2165" s="4" t="str">
        <f ca="1">IFERROR(__xludf.DUMMYFUNCTION("GOOGLETRANSLATE(A2165, ""auto"", ""bn"")"),"কেন আমি নিজেকে এইরকম বিপর্যয়ের জন্য প্রস্তুত করছি? ""শুধুমাত্র একটি পানীয় খেলেই আমি আগামীকাল কোনও শারীরিক লক্ষণ বা ধড়ফড় অনুভব করব না।"" কেন আমি নিজেকে এভাবে মিথ্যা বলি? একটি পানীয় তিন বা চারটিতে পরিণত হয়েছিল, এখন আমি ধড়ফড় করে হৃদস্পন্দন, উচ্চ হৃদস"&amp;"্পন্দন এবং চরম আতঙ্কে ভুগছি। আজ আমার প্রায় দুটি প্যানিক অ্যাটাক হয়েছে যা আমি সময়মতো থামাতে সক্ষম হয়েছি। সবচেয়ে খারাপ দিক হল আমি কমপক্ষে আরও ২০ ঘন্টা এই আবর্জনা অনুভব করব। আমি নিজেকে ঘৃণা করি। উফ।")</f>
        <v>কেন আমি নিজেকে এইরকম বিপর্যয়ের জন্য প্রস্তুত করছি? "শুধুমাত্র একটি পানীয় খেলেই আমি আগামীকাল কোনও শারীরিক লক্ষণ বা ধড়ফড় অনুভব করব না।" কেন আমি নিজেকে এভাবে মিথ্যা বলি? একটি পানীয় তিন বা চারটিতে পরিণত হয়েছিল, এখন আমি ধড়ফড় করে হৃদস্পন্দন, উচ্চ হৃদস্পন্দন এবং চরম আতঙ্কে ভুগছি। আজ আমার প্রায় দুটি প্যানিক অ্যাটাক হয়েছে যা আমি সময়মতো থামাতে সক্ষম হয়েছি। সবচেয়ে খারাপ দিক হল আমি কমপক্ষে আরও ২০ ঘন্টা এই আবর্জনা অনুভব করব। আমি নিজেকে ঘৃণা করি। উফ।</v>
      </c>
    </row>
    <row r="2166" spans="1:3" ht="15" x14ac:dyDescent="0.25">
      <c r="A2166" s="3" t="s">
        <v>2159</v>
      </c>
      <c r="B2166" s="3" t="s">
        <v>1992</v>
      </c>
      <c r="C2166" s="4" t="str">
        <f ca="1">IFERROR(__xludf.DUMMYFUNCTION("GOOGLETRANSLATE(A2166, ""auto"", ""bn"")"),"ভয়ানক উদ্বেগের সাথে প্রথম চাকরি পাওয়ার টিপস? আমার বয়স ১৯ এবং এখনও আমার প্রথম চাকরি পাইনি... আমার ৪ মাস পর ২০ বছর পূর্ণ হওয়ার আগে আমার কিছু টিপস দরকার এবং এখনও চাকরি পাওয়ার চেষ্টাও করিনি। আমার চেয়ে ৩ বছরের ছোট আমার বোন ইতিমধ্যেই দুটি চাকরি করেছে এবং "&amp;"ব্যাংকে দুটি গ্র্যান্ড আছে। আমার খুব খারাপ লাগছে। আর তার উদ্বেগ এবং সামাজিক দক্ষতা নিঃসন্দেহে আমার চেয়েও খারাপ... কিন্তু তবুও আমার অনেক আত্ম-সন্দেহ আছে। আমি চিন্তিত যে আমি যথেষ্ট ভালো হতে পারব না, আমার সামাজিক দক্ষতা বেশ খারাপ এবং প্রতিটি কাজের জন্য প্রত"&amp;"িদিন মানুষের সাথে যোগাযোগের প্রয়োজন হয়, এমনকি যদি আপনি পিছনে কাজ করেন তবে আপনাকে সহকর্মীদের সাথে যোগাযোগ করতে হবে... এবং আমার আসলে কোনও দক্ষতা নেই, তাই আমি জানি না আমি কতটা ভালো হব। আমার মনে হচ্ছে আমি সত্যিই অপরিণত। কারো কাছে টিপস আছে? আমার কি আমার আরাম"&amp;" অঞ্চল থেকে বেরিয়ে আসা উচিত এবং দেখা উচিত কীভাবে চলছে? আমি সত্যিই জানি না জীবনে কোথায় যেতে হবে, আমি খুব হারিয়ে গেছি।")</f>
        <v>ভয়ানক উদ্বেগের সাথে প্রথম চাকরি পাওয়ার টিপস? আমার বয়স ১৯ এবং এখনও আমার প্রথম চাকরি পাইনি... আমার ৪ মাস পর ২০ বছর পূর্ণ হওয়ার আগে আমার কিছু টিপস দরকার এবং এখনও চাকরি পাওয়ার চেষ্টাও করিনি। আমার চেয়ে ৩ বছরের ছোট আমার বোন ইতিমধ্যেই দুটি চাকরি করেছে এবং ব্যাংকে দুটি গ্র্যান্ড আছে। আমার খুব খারাপ লাগছে। আর তার উদ্বেগ এবং সামাজিক দক্ষতা নিঃসন্দেহে আমার চেয়েও খারাপ... কিন্তু তবুও আমার অনেক আত্ম-সন্দেহ আছে। আমি চিন্তিত যে আমি যথেষ্ট ভালো হতে পারব না, আমার সামাজিক দক্ষতা বেশ খারাপ এবং প্রতিটি কাজের জন্য প্রতিদিন মানুষের সাথে যোগাযোগের প্রয়োজন হয়, এমনকি যদি আপনি পিছনে কাজ করেন তবে আপনাকে সহকর্মীদের সাথে যোগাযোগ করতে হবে... এবং আমার আসলে কোনও দক্ষতা নেই, তাই আমি জানি না আমি কতটা ভালো হব। আমার মনে হচ্ছে আমি সত্যিই অপরিণত। কারো কাছে টিপস আছে? আমার কি আমার আরাম অঞ্চল থেকে বেরিয়ে আসা উচিত এবং দেখা উচিত কীভাবে চলছে? আমি সত্যিই জানি না জীবনে কোথায় যেতে হবে, আমি খুব হারিয়ে গেছি।</v>
      </c>
    </row>
    <row r="2167" spans="1:3" ht="15" x14ac:dyDescent="0.25">
      <c r="A2167" s="3" t="s">
        <v>2160</v>
      </c>
      <c r="B2167" s="3" t="s">
        <v>1992</v>
      </c>
      <c r="C2167" s="4" t="str">
        <f ca="1">IFERROR(__xludf.DUMMYFUNCTION("GOOGLETRANSLATE(A2167, ""auto"", ""bn"")"),"মৃত্যু উদ্বেগ, রাতের বেলা এবং ফ্লু - এইসব বিষয় নিয়ে আমার আগে অনেক দুশ্চিন্তা ছিল, কিন্তু থেরাপির মাধ্যমে আমি বেশিরভাগই প্রশমিত করতে পেরেছি। আমার বাকি যে সমস্যাগুলো আছে তার মধ্যে একটি হলো মৃত্যু উদ্বেগ। আমার মনে হয় সবচেয়ে বড় সমস্যা হলো এটাকে যুক্তিসঙ্গতভাব"&amp;"ে দূর করা যায় না কারণ এটা অনিবার্য এবং...হ্যাঁ...এটা নিয়ে কথা বলতে চাই না। গত কয়েকদিন ধরে আমার ফ্লু হয়েছে। তাছাড়া, আমার বুকেও ব্যথা হচ্ছে। যদি আমি নিজের সাথে সৎ থাকি, তাহলে সম্ভবত আমার গ্যাস্ট্রিকের সমস্যা থাকার কারণে। এটা সম্ভবত অ্যাসিড রিফ্লাক্স। কিন্ত"&amp;"ু, আমি কখনও অসুস্থ হই না, এবং আমি শুনেছি যে মহিলাদের হৃদরোগের সমস্যা এভাবেই শুরু হয়। তাই এই ফ্লু হওয়ার পর থেকে আমি খুব বেশি ঘুমাইনি। আমি যখন এত ক্লান্ত হয়ে পড়ি তখন ঘুমাই যে আমি অজ্ঞান হয়ে যাই। যদি আমি অন্য কোনও সময় ঘুমানোর চেষ্টা করি, তাহলে উদ্বেগ আম"&amp;"ার উপর চেপে বসে এবং আমার শ্বাসকষ্ট হয় এবং আমি উঠে হেঁটে যেতে বাধ্য হই। আমি ক্লান্ত। মধ্যরাত, এবং আমি রেডিট-এ বসে আছি। ভাগ্যক্রমে আমার জ্বর সেরে গেছে, কিন্তু এখনও মনে হচ্ছে যেন আমি একটা ট্রাকের ধাক্কায় পড়ে গেছি। বুকের ব্যথা গতকালের চেয়েও বেশি। আমি খুব ক"&amp;"ষ্ট পাচ্ছি। আমার একটা আলিঙ্গন দরকার।")</f>
        <v>মৃত্যু উদ্বেগ, রাতের বেলা এবং ফ্লু - এইসব বিষয় নিয়ে আমার আগে অনেক দুশ্চিন্তা ছিল, কিন্তু থেরাপির মাধ্যমে আমি বেশিরভাগই প্রশমিত করতে পেরেছি। আমার বাকি যে সমস্যাগুলো আছে তার মধ্যে একটি হলো মৃত্যু উদ্বেগ। আমার মনে হয় সবচেয়ে বড় সমস্যা হলো এটাকে যুক্তিসঙ্গতভাবে দূর করা যায় না কারণ এটা অনিবার্য এবং...হ্যাঁ...এটা নিয়ে কথা বলতে চাই না। গত কয়েকদিন ধরে আমার ফ্লু হয়েছে। তাছাড়া, আমার বুকেও ব্যথা হচ্ছে। যদি আমি নিজের সাথে সৎ থাকি, তাহলে সম্ভবত আমার গ্যাস্ট্রিকের সমস্যা থাকার কারণে। এটা সম্ভবত অ্যাসিড রিফ্লাক্স। কিন্তু, আমি কখনও অসুস্থ হই না, এবং আমি শুনেছি যে মহিলাদের হৃদরোগের সমস্যা এভাবেই শুরু হয়। তাই এই ফ্লু হওয়ার পর থেকে আমি খুব বেশি ঘুমাইনি। আমি যখন এত ক্লান্ত হয়ে পড়ি তখন ঘুমাই যে আমি অজ্ঞান হয়ে যাই। যদি আমি অন্য কোনও সময় ঘুমানোর চেষ্টা করি, তাহলে উদ্বেগ আমার উপর চেপে বসে এবং আমার শ্বাসকষ্ট হয় এবং আমি উঠে হেঁটে যেতে বাধ্য হই। আমি ক্লান্ত। মধ্যরাত, এবং আমি রেডিট-এ বসে আছি। ভাগ্যক্রমে আমার জ্বর সেরে গেছে, কিন্তু এখনও মনে হচ্ছে যেন আমি একটা ট্রাকের ধাক্কায় পড়ে গেছি। বুকের ব্যথা গতকালের চেয়েও বেশি। আমি খুব কষ্ট পাচ্ছি। আমার একটা আলিঙ্গন দরকার।</v>
      </c>
    </row>
    <row r="2168" spans="1:3" ht="15" x14ac:dyDescent="0.25">
      <c r="A2168" s="3" t="s">
        <v>2161</v>
      </c>
      <c r="B2168" s="3" t="s">
        <v>1992</v>
      </c>
      <c r="C2168" s="4" t="str">
        <f ca="1">IFERROR(__xludf.DUMMYFUNCTION("GOOGLETRANSLATE(A2168, ""auto"", ""bn"")"),"উদ্বেগের সাথে খাচ্ছি, এই পোস্টটি কীভাবে শুরু করব তা আমি আসলে জানি না, তাই আমি কেবল এটিতে ঝাঁপিয়ে পড়ি: যখনই আমি যেকোনো কারণে উদ্বিগ্ন বোধ করি, তখন আমি অসুস্থ বোধ করি - কখনও কখনও এত খারাপ যে আমাকে আসলে বমি বমি ভাব করতে হয়। অবশ্যই যখন এটি ঘটে তখন আমার কিছ"&amp;"ু খাওয়ার একেবারেই ইচ্ছা থাকে না, তবে আমাকে সর্বদা (বাবা-মা, ডাক্তার ইত্যাদি) খাওয়া চালিয়ে যেতে বলা হয় কারণ দিনে 3 বার খাবার সুস্থ থাকার উপায় এবং এটি আমার জন্য ভাল, তবে এটি সেই সময়ে আমার আরও খারাপ বোধ করে। কখনও কখনও যদি আমার উদ্বেগের কারণটি ভোরে হয় "&amp;"তবে এটি কোনও বড় সমস্যা নয় কারণ তখন আমি দিনের বাকি সময় স্বাভাবিকভাবে খেতে পারি। তবে যদি এটি দিনের শেষের দিকে হয় তবে এর ফলে আমি সকালের নাস্তা এবং দুপুরের খাবার মিস করতে পারি যা একটি বড় সমস্যা। উদাহরণস্বরূপ, আজ আমি দিনের বেশিরভাগ সময় বাইরে বেড়াতে গিয়"&amp;"েছিলাম, এবং আমি এটি করতে রাজি হওয়ার পর থেকে (হয়তো এক সপ্তাহ আগে) উদ্বিগ্ন বোধ করছি, আজ পর্যন্ত আমি ঠিকঠাক খাচ্ছি, যখন আমি কোনও নাস্তা খেতে পারিনি। আমার প্রশ্ন হল প্রথম: উদ্বেগের সাথে খাওয়ার আপনার অভিজ্ঞতা কী? দ্বিতীয়ত, নাস্তা না করা কি আসলেই আপনার জন্"&amp;"য খারাপ - আমি কি রাতের বেলায় 'নাস্তা' খেতে পারি? আর পরিশেষে, কারো কি কোন পরামর্শ আছে যে পুষ্টির দিক থেকে ভালো কিন্তু যতটা সম্ভব কম পরিমাণে খাবেন? (স্পষ্ট করে বলতে গেলে, আমার কোনও ধরণের খাওয়ার ব্যাধি নেই - কেবল অসুস্থ বোধ করার কারণে সমস্যা হচ্ছে। পড়ার জ"&amp;"ন্য ধন্যবাদ, আপনি এতদূর এসেছেন ????)")</f>
        <v>উদ্বেগের সাথে খাচ্ছি, এই পোস্টটি কীভাবে শুরু করব তা আমি আসলে জানি না, তাই আমি কেবল এটিতে ঝাঁপিয়ে পড়ি: যখনই আমি যেকোনো কারণে উদ্বিগ্ন বোধ করি, তখন আমি অসুস্থ বোধ করি - কখনও কখনও এত খারাপ যে আমাকে আসলে বমি বমি ভাব করতে হয়। অবশ্যই যখন এটি ঘটে তখন আমার কিছু খাওয়ার একেবারেই ইচ্ছা থাকে না, তবে আমাকে সর্বদা (বাবা-মা, ডাক্তার ইত্যাদি) খাওয়া চালিয়ে যেতে বলা হয় কারণ দিনে 3 বার খাবার সুস্থ থাকার উপায় এবং এটি আমার জন্য ভাল, তবে এটি সেই সময়ে আমার আরও খারাপ বোধ করে। কখনও কখনও যদি আমার উদ্বেগের কারণটি ভোরে হয় তবে এটি কোনও বড় সমস্যা নয় কারণ তখন আমি দিনের বাকি সময় স্বাভাবিকভাবে খেতে পারি। তবে যদি এটি দিনের শেষের দিকে হয় তবে এর ফলে আমি সকালের নাস্তা এবং দুপুরের খাবার মিস করতে পারি যা একটি বড় সমস্যা। উদাহরণস্বরূপ, আজ আমি দিনের বেশিরভাগ সময় বাইরে বেড়াতে গিয়েছিলাম, এবং আমি এটি করতে রাজি হওয়ার পর থেকে (হয়তো এক সপ্তাহ আগে) উদ্বিগ্ন বোধ করছি, আজ পর্যন্ত আমি ঠিকঠাক খাচ্ছি, যখন আমি কোনও নাস্তা খেতে পারিনি। আমার প্রশ্ন হল প্রথম: উদ্বেগের সাথে খাওয়ার আপনার অভিজ্ঞতা কী? দ্বিতীয়ত, নাস্তা না করা কি আসলেই আপনার জন্য খারাপ - আমি কি রাতের বেলায় 'নাস্তা' খেতে পারি? আর পরিশেষে, কারো কি কোন পরামর্শ আছে যে পুষ্টির দিক থেকে ভালো কিন্তু যতটা সম্ভব কম পরিমাণে খাবেন? (স্পষ্ট করে বলতে গেলে, আমার কোনও ধরণের খাওয়ার ব্যাধি নেই - কেবল অসুস্থ বোধ করার কারণে সমস্যা হচ্ছে। পড়ার জন্য ধন্যবাদ, আপনি এতদূর এসেছেন ????)</v>
      </c>
    </row>
    <row r="2169" spans="1:3" ht="15" x14ac:dyDescent="0.25">
      <c r="A2169" s="3" t="s">
        <v>2162</v>
      </c>
      <c r="B2169" s="3" t="s">
        <v>1992</v>
      </c>
      <c r="C2169" s="4" t="str">
        <f ca="1">IFERROR(__xludf.DUMMYFUNCTION("GOOGLETRANSLATE(A2169, ""auto"", ""bn"")"),"গত কয়েকদিনে আমি একেবারেই উদ্বেগ কাটিয়ে ফেলেছি। আমি আমার আরামের জায়গা থেকে অনেক দূরে চলে এসেছি। তাছাড়া, আমি কখনো এতটা স্বস্তি বোধ করিনি। এছাড়াও, যদি আমি অন্যদের সাথে আমার কথোপকথন এবং মিথস্ক্রিয়া পর্যালোচনা করি, আমি সবকিছু পরিকল্পনা অনুসারে করেছি, কিছুই "&amp;"ভুল করিনি বা খুব কমই করেছি। নতুন পলি-প্রথম-এবং-শেষবারের মতো আমরা দেখা করার সময় বন্ধু তৈরি করেছি। কিন্তু তবুও। এখন আমি বাড়িতে আছি, এবং আমি আগের চেয়েও একাকীত্ব অনুভব করছি, এটা কি? কেন আমি এত দুঃখিত বোধ করছি যদিও আমি অনেক সময় কাটিয়েছি, কেন আমি এত একাকী ব"&amp;"োধ করছি যদিও সেই দিনগুলি এত ছিল। পরিপূর্ণ। আমি বুঝতে পারছি না। আমি অনেক উন্নতি করেছি, এবং মনে হচ্ছে না যে এটি লাভ করেছে।")</f>
        <v>গত কয়েকদিনে আমি একেবারেই উদ্বেগ কাটিয়ে ফেলেছি। আমি আমার আরামের জায়গা থেকে অনেক দূরে চলে এসেছি। তাছাড়া, আমি কখনো এতটা স্বস্তি বোধ করিনি। এছাড়াও, যদি আমি অন্যদের সাথে আমার কথোপকথন এবং মিথস্ক্রিয়া পর্যালোচনা করি, আমি সবকিছু পরিকল্পনা অনুসারে করেছি, কিছুই ভুল করিনি বা খুব কমই করেছি। নতুন পলি-প্রথম-এবং-শেষবারের মতো আমরা দেখা করার সময় বন্ধু তৈরি করেছি। কিন্তু তবুও। এখন আমি বাড়িতে আছি, এবং আমি আগের চেয়েও একাকীত্ব অনুভব করছি, এটা কি? কেন আমি এত দুঃখিত বোধ করছি যদিও আমি অনেক সময় কাটিয়েছি, কেন আমি এত একাকী বোধ করছি যদিও সেই দিনগুলি এত ছিল। পরিপূর্ণ। আমি বুঝতে পারছি না। আমি অনেক উন্নতি করেছি, এবং মনে হচ্ছে না যে এটি লাভ করেছে।</v>
      </c>
    </row>
    <row r="2170" spans="1:3" ht="15" x14ac:dyDescent="0.25">
      <c r="A2170" s="3" t="s">
        <v>2163</v>
      </c>
      <c r="B2170" s="3" t="s">
        <v>1992</v>
      </c>
      <c r="C2170" s="4" t="str">
        <f ca="1">IFERROR(__xludf.DUMMYFUNCTION("GOOGLETRANSLATE(A2170, ""auto"", ""bn"")"),"আমার কি কখনও অনধিকারমূলক চিন্তাভাবনার জন্য খারাপ লাগা উচিত? আমার মনে বেশ খারাপ চিন্তাভাবনা এসেছে কারণ... আর উদ্বেগ। অন্য সময় আমি নিজেকে রেগে যেতে দেখেছি, আর তুমি জানো কিছু লোক কীভাবে এমন কথা বলে: AGT; ওহ, আমি ওই লোকটিকে মেরে ফেলব! কিন্তু আসলে কি এটা বলতে"&amp;" চাই না? যখন আমি রেগে থাকি তখন আমার মনে হিংস্রতার অনধিকারমূলক চিন্তাভাবনা আসে, স্পষ্টতই ভয়ঙ্কর... কারণ আমি ভালো চরিত্র, নৈতিকতা ইত্যাদির উপর গর্ব করি। খারাপ চিন্তাভাবনার জন্য আমার খারাপ লাগে, কিন্তু আমি জানি আমাকে চিন্তার জন্য নয় *কর্মের* জন্য দায়ী করা"&amp;" উচিত, এবং যতক্ষণ আমার কাজ ভালো, ততক্ষণ আমি ঠিক আছি.... কথা কাটাকাটির জন্য দুঃখিত... দিনের শুরুটা খারাপ।")</f>
        <v>আমার কি কখনও অনধিকারমূলক চিন্তাভাবনার জন্য খারাপ লাগা উচিত? আমার মনে বেশ খারাপ চিন্তাভাবনা এসেছে কারণ... আর উদ্বেগ। অন্য সময় আমি নিজেকে রেগে যেতে দেখেছি, আর তুমি জানো কিছু লোক কীভাবে এমন কথা বলে: AGT; ওহ, আমি ওই লোকটিকে মেরে ফেলব! কিন্তু আসলে কি এটা বলতে চাই না? যখন আমি রেগে থাকি তখন আমার মনে হিংস্রতার অনধিকারমূলক চিন্তাভাবনা আসে, স্পষ্টতই ভয়ঙ্কর... কারণ আমি ভালো চরিত্র, নৈতিকতা ইত্যাদির উপর গর্ব করি। খারাপ চিন্তাভাবনার জন্য আমার খারাপ লাগে, কিন্তু আমি জানি আমাকে চিন্তার জন্য নয় *কর্মের* জন্য দায়ী করা উচিত, এবং যতক্ষণ আমার কাজ ভালো, ততক্ষণ আমি ঠিক আছি.... কথা কাটাকাটির জন্য দুঃখিত... দিনের শুরুটা খারাপ।</v>
      </c>
    </row>
    <row r="2171" spans="1:3" ht="15" x14ac:dyDescent="0.25">
      <c r="A2171" s="3" t="s">
        <v>2164</v>
      </c>
      <c r="B2171" s="3" t="s">
        <v>1992</v>
      </c>
      <c r="C2171" s="4" t="str">
        <f ca="1">IFERROR(__xludf.DUMMYFUNCTION("GOOGLETRANSLATE(A2171, ""auto"", ""bn"")"),"সারট্রালাইন পুনরায় চালু করার সময় আমি প্রায় এক বছর ধরে সারট্রালাইন ৫০ মিলিগ্রাম ব্যবহার করেছি। এর প্রভাব ছিল যে আমি শান্ত এবং আরও [ঘনিষ্ঠ] ছিলাম (https://concentrated.No)। ১০ সপ্তাহ আগে আমি এটি ঠান্ডা মাথায় ব্যবহার করে ফেলেছিলাম। কারণ আমার মনে হচ্ছিল এ"&amp;"র প্রভাব আর কাজ করছে না। সেই বছর ধরে আমি কোনও বড় পার্শ্বপ্রতিক্রিয়া অনুভব করিনি, শুধুমাত্র ব্যবহারের শেষ সপ্তাহগুলিতে যখন আমি অনুপ্রাণিত হয়ে পড়েছিলাম। সেই কারণেই আমি এটি ব্যবহার বন্ধ করে দিয়েছি। কোনভাবে আমি সেই শান্ত এবং পরিষ্কারক প্রভাবটি মিস করছি। "&amp;"এটি পুনরায় চালু করার বিষয়ে আপনার মতামত কী? এটা কি সম্ভব যে এই ১০ সপ্তাহের বিরতি শরীরের জন্য ইতিবাচক সতেজতা আনবে?")</f>
        <v>সারট্রালাইন পুনরায় চালু করার সময় আমি প্রায় এক বছর ধরে সারট্রালাইন ৫০ মিলিগ্রাম ব্যবহার করেছি। এর প্রভাব ছিল যে আমি শান্ত এবং আরও [ঘনিষ্ঠ] ছিলাম (https://concentrated.No)। ১০ সপ্তাহ আগে আমি এটি ঠান্ডা মাথায় ব্যবহার করে ফেলেছিলাম। কারণ আমার মনে হচ্ছিল এর প্রভাব আর কাজ করছে না। সেই বছর ধরে আমি কোনও বড় পার্শ্বপ্রতিক্রিয়া অনুভব করিনি, শুধুমাত্র ব্যবহারের শেষ সপ্তাহগুলিতে যখন আমি অনুপ্রাণিত হয়ে পড়েছিলাম। সেই কারণেই আমি এটি ব্যবহার বন্ধ করে দিয়েছি। কোনভাবে আমি সেই শান্ত এবং পরিষ্কারক প্রভাবটি মিস করছি। এটি পুনরায় চালু করার বিষয়ে আপনার মতামত কী? এটা কি সম্ভব যে এই ১০ সপ্তাহের বিরতি শরীরের জন্য ইতিবাচক সতেজতা আনবে?</v>
      </c>
    </row>
    <row r="2172" spans="1:3" ht="15" x14ac:dyDescent="0.25">
      <c r="A2172" s="3" t="s">
        <v>2165</v>
      </c>
      <c r="B2172" s="3" t="s">
        <v>1992</v>
      </c>
      <c r="C2172" s="4" t="str">
        <f ca="1">IFERROR(__xludf.DUMMYFUNCTION("GOOGLETRANSLATE(A2172, ""auto"", ""bn"")"),"ছুটির দিনে আরাম করতে সমস্যা হয়। এখানে আর কার কার ছুটির সময়টা আসলেই কষ্ট হয়? আমি একজন ফ্লোর নার্স, তাই আমি সপ্তাহে সাধারণত ৩টি ১২ ঘন্টার শিফটে কাজ করি এবং সেগুলো দারুন। কিন্তু আমার ছুটির দিনগুলোতে আমি সাধারণত তাড়াতাড়ি ঘুম থেকে উঠি, জিমে যাই, বাড়ি ফির"&amp;"ে যাই এবং সকালটা যেকোনো কিছু করি, কিন্তু সাধারণত দুপুরের দিকে আমার এই অনুভূতি ক্রমশ বেড়ে যায় যে আমাকে আমার অ্যাপার্টমেন্ট থেকে বেরিয়ে কিছু করতে হবে, এমনকি যদি সেই কিছু ঘন্টার পর ঘন্টা শহরে উদ্দেশ্যহীনভাবে ঘুরে বেড়াতে হয়। আরও খারাপ বিষয় হল, নার্সিং স"&amp;"্কুল থেকে আমার অনেক কিছু করতে ইচ্ছে করে - পিয়ানো বাজানো, ছবি আঁকা শেখা, প্রচুর সিনেমা/বই/গেম শেখা - কিন্তু দিনের প্রথম কয়েক ঘন্টা ছাড়া আমি এগুলোর কিছুই উপভোগ করতে পারি না এবং তারপর যখন কিছুই করা হয় না তখন আমার আরও খারাপ লাগে। হা হা। কিন্তু আমি বাড়িতে"&amp;" আরাম করতে পারি না। আমি জানি না যে এখন আরএন হওয়ার কারণে আমার মানসিকতা ভিন্ন, নাকি আমাকে সাধারণভাবে আরও বেশি বাইরে বেরোতে হবে। তোমাদের কারো কি এই সমস্যা হচ্ছে?")</f>
        <v>ছুটির দিনে আরাম করতে সমস্যা হয়। এখানে আর কার কার ছুটির সময়টা আসলেই কষ্ট হয়? আমি একজন ফ্লোর নার্স, তাই আমি সপ্তাহে সাধারণত ৩টি ১২ ঘন্টার শিফটে কাজ করি এবং সেগুলো দারুন। কিন্তু আমার ছুটির দিনগুলোতে আমি সাধারণত তাড়াতাড়ি ঘুম থেকে উঠি, জিমে যাই, বাড়ি ফিরে যাই এবং সকালটা যেকোনো কিছু করি, কিন্তু সাধারণত দুপুরের দিকে আমার এই অনুভূতি ক্রমশ বেড়ে যায় যে আমাকে আমার অ্যাপার্টমেন্ট থেকে বেরিয়ে কিছু করতে হবে, এমনকি যদি সেই কিছু ঘন্টার পর ঘন্টা শহরে উদ্দেশ্যহীনভাবে ঘুরে বেড়াতে হয়। আরও খারাপ বিষয় হল, নার্সিং স্কুল থেকে আমার অনেক কিছু করতে ইচ্ছে করে - পিয়ানো বাজানো, ছবি আঁকা শেখা, প্রচুর সিনেমা/বই/গেম শেখা - কিন্তু দিনের প্রথম কয়েক ঘন্টা ছাড়া আমি এগুলোর কিছুই উপভোগ করতে পারি না এবং তারপর যখন কিছুই করা হয় না তখন আমার আরও খারাপ লাগে। হা হা। কিন্তু আমি বাড়িতে আরাম করতে পারি না। আমি জানি না যে এখন আরএন হওয়ার কারণে আমার মানসিকতা ভিন্ন, নাকি আমাকে সাধারণভাবে আরও বেশি বাইরে বেরোতে হবে। তোমাদের কারো কি এই সমস্যা হচ্ছে?</v>
      </c>
    </row>
    <row r="2173" spans="1:3" ht="15" x14ac:dyDescent="0.25">
      <c r="A2173" s="3" t="s">
        <v>2166</v>
      </c>
      <c r="B2173" s="3" t="s">
        <v>1992</v>
      </c>
      <c r="C2173" s="4" t="str">
        <f ca="1">IFERROR(__xludf.DUMMYFUNCTION("GOOGLETRANSLATE(A2173, ""auto"", ""bn"")"),"বাবার সাথে আমার প্রথম পূর্ণ বছর। ২০১৮ সালের জুলাই মাসে বাবাকে হারিয়েছি এবং আমার উদ্বেগ আমাকে অনেক দিন ধরেই গ্রাস করে আসছে। শুধু একটি সুন্দর আশাবাদী স্মারক যে, তুমি যে ধরণের খারাপ পরিস্থিতির মধ্যেই থাকো না কেন, তুমি পরিস্থিতি বদলে দিতে পারো। বিশেষ করে বছর"&amp;"ের শুরুতে নয়, একদিন বা সপ্তাহে নয়, এমনকি এক মাসেও নয়। তবে এটা ঘটবে। শুধু ইতিবাচক দৃষ্টি রাখো।")</f>
        <v>বাবার সাথে আমার প্রথম পূর্ণ বছর। ২০১৮ সালের জুলাই মাসে বাবাকে হারিয়েছি এবং আমার উদ্বেগ আমাকে অনেক দিন ধরেই গ্রাস করে আসছে। শুধু একটি সুন্দর আশাবাদী স্মারক যে, তুমি যে ধরণের খারাপ পরিস্থিতির মধ্যেই থাকো না কেন, তুমি পরিস্থিতি বদলে দিতে পারো। বিশেষ করে বছরের শুরুতে নয়, একদিন বা সপ্তাহে নয়, এমনকি এক মাসেও নয়। তবে এটা ঘটবে। শুধু ইতিবাচক দৃষ্টি রাখো।</v>
      </c>
    </row>
    <row r="2174" spans="1:3" ht="15" x14ac:dyDescent="0.25">
      <c r="A2174" s="3" t="s">
        <v>2167</v>
      </c>
      <c r="B2174" s="3" t="s">
        <v>1992</v>
      </c>
      <c r="C2174" s="4" t="str">
        <f ca="1">IFERROR(__xludf.DUMMYFUNCTION("GOOGLETRANSLATE(A2174, ""auto"", ""bn"")"),"আমার বাবার রাগ আমাকে এত বেশি কেন টানে? আমার (২৬ বছর বয়সী) বাবার (মৃত্যু ৭০ বছর) রাগ নিয়ন্ত্রণের সমস্যা (মোটামুটি ছোট)? সে তার কম্পিউটারের ব্যাকআপ ঠিকমতো না নেওয়া, প্রিন্টার সঠিক আউটপুট না দেওয়া, অথবা সানগ্লাস খুঁজে না পাওয়া ইত্যাদি বিষয়ে চিৎকার/অপমান কর"&amp;"ার চেষ্টা করে। আমি ছোটবেলা থেকেই সে এইরকম, তার মেজাজ এমন থাকে যেখানে যেকোনো কিছু তাকে বিরক্ত করবে, এবং হতাশাবাদী হয়ে পড়ে, সবকিছুই বিকৃত হয়ে যায় ইত্যাদি। এই মেজাজের সময় সবকিছুই এলোমেলো হয়ে যায়। তাছাড়া, সে আমার মা এবং আমার উপর রাগ না করার ব্যাপারে বেশ "&amp;"ভালো (আমি যখন শুরু করি তখন তাকে এড়িয়ে চলি)। যাইহোক, সে তার জীবন নিয়ে বেশ অসন্তুষ্ট (অন্তর্মুখী পরিবারে তার অনেক বন্ধু নেই এমন একজন বহির্মুখী - এবং আমার মা প্রায় একাকী) এবং সে একজন পরিপূর্ণতাবাদী, তাই সে তার জীবনের কোনও কিছুতেই বেশিদিন সন্তুষ্ট বলে মনে হয"&amp;"় না। সে থেরাপি নিতে ইচ্ছুক নয় বা আগ্রহী নয় এবং প্রায়শই বলেছে যে সে খুব বেশি বয়স হয়ে গেছে এবং পরিবর্তন করার জন্য। এটা তার সিদ্ধান্ত। দুর্ভাগ্যবশত, যদিও আমি জানি এই রাগগুলো সর্বোচ্চ একদিন বা তার বেশি সময় ধরে এবং সাধারণত প্রিন্টারের সাথে সম্পর্কিত, তবুও এ"&amp;"গুলো আমার উদ্বেগকে অন্য কোনও কিছুর মতোই উস্কে দেয় না। আমি আর (স্কুলে) বাড়িতে থাকি না যা সাহায্য করে, কিন্তু ছুটির দিনে বাড়িতে থাকা কঠিন কারণ ইন সে আমাকে ভালোবাসে এবং আমাকে মিস করে, এবং তার সাথে সময় কাটাতে আমার এড়িয়ে চলার কারণে সে কষ্ট পায়। কিন্তু সত্"&amp;"যি বলতে, তার মেজাজ আমাকে ক্লান্ত করে তোলে এবং যখন শুরু হয় তখন আমার পেট খারাপ করে (আমি একটি অ্যান্টিডিপ্রেসেন্ট গ্রহণ করি যা এই পরিস্থিতিতে সাহায্য করে কিন্তু খুব বেশি নয়), এবং বছরের পর বছর ধরে আমি তার খুব কাছাকাছি থাকা এড়িয়ে চলা আমার মানসিক শান্তির জন"&amp;"্য সহজ বলে মনে করেছি কারণ আমি শেষ পর্যন্ত তার রাগ কম সহ্য করি। সমস্যা হল আমরা তার রাগ এবং সেগুলি আমাকে কতটা চাপ দেয় তা নিয়ে আলোচনা করেছি, কিন্তু সে বুঝতে পারছে না কেন আমি এগুলিকে এত ব্যক্তিগতভাবে নিই, এবং সত্যি বলতে, এই মুহূর্তে নিজেকে কীভাবে প্রকাশ করব"&amp;" তার কোনও ধারণা নেই (এবং শিখতে অনিচ্ছুক)। কিন্তু সে স্কুলের সময় আমাকে আর্থিকভাবেও সহায়তা করছে (যার জন্য আমি খুবই কৃতজ্ঞ) তাই আমি বলছি যদি তুমি আমার বাড়িতে থাকাকালীন নিজেকে প্রকাশ করার জন্য অন্য কোনও উপায় খুঁজে না পাও, তাহলে তোমার সাথে আমার সম্পর্ক থাকবে ন"&amp;"া এটা কোন বিকল্প নয় (আর আমার মায়ের অভাব বোধ করলে, এবং এতে তাদের মধ্যে সমস্যা তৈরি হবে)। খুব (দুঃখিত!) দীর্ঘ গল্প সংক্ষেপে - আমি যখন বাড়িতে থাকি তখন উদ্বেগ বৃদ্ধির সাথে কীভাবে মোকাবিলা করব, এবং যখন আমার বাবা তাকে এড়িয়ে চলার কারণে কষ্ট পান তখন কম অপরাধবোধ "&amp;"করব? TLDR: বাবা রাগ করেন এবং খুব জোরে এবং বিরক্ত হন যা আমার উদ্বেগের কারণ হয়। আমি বাড়িতে থাকাকালীন কীভাবে আচরণ করব?")</f>
        <v>আমার বাবার রাগ আমাকে এত বেশি কেন টানে? আমার (২৬ বছর বয়সী) বাবার (মৃত্যু ৭০ বছর) রাগ নিয়ন্ত্রণের সমস্যা (মোটামুটি ছোট)? সে তার কম্পিউটারের ব্যাকআপ ঠিকমতো না নেওয়া, প্রিন্টার সঠিক আউটপুট না দেওয়া, অথবা সানগ্লাস খুঁজে না পাওয়া ইত্যাদি বিষয়ে চিৎকার/অপমান করার চেষ্টা করে। আমি ছোটবেলা থেকেই সে এইরকম, তার মেজাজ এমন থাকে যেখানে যেকোনো কিছু তাকে বিরক্ত করবে, এবং হতাশাবাদী হয়ে পড়ে, সবকিছুই বিকৃত হয়ে যায় ইত্যাদি। এই মেজাজের সময় সবকিছুই এলোমেলো হয়ে যায়। তাছাড়া, সে আমার মা এবং আমার উপর রাগ না করার ব্যাপারে বেশ ভালো (আমি যখন শুরু করি তখন তাকে এড়িয়ে চলি)। যাইহোক, সে তার জীবন নিয়ে বেশ অসন্তুষ্ট (অন্তর্মুখী পরিবারে তার অনেক বন্ধু নেই এমন একজন বহির্মুখী - এবং আমার মা প্রায় একাকী) এবং সে একজন পরিপূর্ণতাবাদী, তাই সে তার জীবনের কোনও কিছুতেই বেশিদিন সন্তুষ্ট বলে মনে হয় না। সে থেরাপি নিতে ইচ্ছুক নয় বা আগ্রহী নয় এবং প্রায়শই বলেছে যে সে খুব বেশি বয়স হয়ে গেছে এবং পরিবর্তন করার জন্য। এটা তার সিদ্ধান্ত। দুর্ভাগ্যবশত, যদিও আমি জানি এই রাগগুলো সর্বোচ্চ একদিন বা তার বেশি সময় ধরে এবং সাধারণত প্রিন্টারের সাথে সম্পর্কিত, তবুও এগুলো আমার উদ্বেগকে অন্য কোনও কিছুর মতোই উস্কে দেয় না। আমি আর (স্কুলে) বাড়িতে থাকি না যা সাহায্য করে, কিন্তু ছুটির দিনে বাড়িতে থাকা কঠিন কারণ ইন সে আমাকে ভালোবাসে এবং আমাকে মিস করে, এবং তার সাথে সময় কাটাতে আমার এড়িয়ে চলার কারণে সে কষ্ট পায়। কিন্তু সত্যি বলতে, তার মেজাজ আমাকে ক্লান্ত করে তোলে এবং যখন শুরু হয় তখন আমার পেট খারাপ করে (আমি একটি অ্যান্টিডিপ্রেসেন্ট গ্রহণ করি যা এই পরিস্থিতিতে সাহায্য করে কিন্তু খুব বেশি নয়), এবং বছরের পর বছর ধরে আমি তার খুব কাছাকাছি থাকা এড়িয়ে চলা আমার মানসিক শান্তির জন্য সহজ বলে মনে করেছি কারণ আমি শেষ পর্যন্ত তার রাগ কম সহ্য করি। সমস্যা হল আমরা তার রাগ এবং সেগুলি আমাকে কতটা চাপ দেয় তা নিয়ে আলোচনা করেছি, কিন্তু সে বুঝতে পারছে না কেন আমি এগুলিকে এত ব্যক্তিগতভাবে নিই, এবং সত্যি বলতে, এই মুহূর্তে নিজেকে কীভাবে প্রকাশ করব তার কোনও ধারণা নেই (এবং শিখতে অনিচ্ছুক)। কিন্তু সে স্কুলের সময় আমাকে আর্থিকভাবেও সহায়তা করছে (যার জন্য আমি খুবই কৃতজ্ঞ) তাই আমি বলছি যদি তুমি আমার বাড়িতে থাকাকালীন নিজেকে প্রকাশ করার জন্য অন্য কোনও উপায় খুঁজে না পাও, তাহলে তোমার সাথে আমার সম্পর্ক থাকবে না এটা কোন বিকল্প নয় (আর আমার মায়ের অভাব বোধ করলে, এবং এতে তাদের মধ্যে সমস্যা তৈরি হবে)। খুব (দুঃখিত!) দীর্ঘ গল্প সংক্ষেপে - আমি যখন বাড়িতে থাকি তখন উদ্বেগ বৃদ্ধির সাথে কীভাবে মোকাবিলা করব, এবং যখন আমার বাবা তাকে এড়িয়ে চলার কারণে কষ্ট পান তখন কম অপরাধবোধ করব? TLDR: বাবা রাগ করেন এবং খুব জোরে এবং বিরক্ত হন যা আমার উদ্বেগের কারণ হয়। আমি বাড়িতে থাকাকালীন কীভাবে আচরণ করব?</v>
      </c>
    </row>
    <row r="2175" spans="1:3" ht="15" x14ac:dyDescent="0.25">
      <c r="A2175" s="3" t="s">
        <v>2168</v>
      </c>
      <c r="B2175" s="3" t="s">
        <v>1992</v>
      </c>
      <c r="C2175" s="4" t="str">
        <f ca="1">IFERROR(__xludf.DUMMYFUNCTION("GOOGLETRANSLATE(A2175, ""auto"", ""bn"")"),"উদ্বেগ সম্পর্কে আমার সবচেয়ে কম পছন্দের জিনিস হল, আমি আমার উদ্বেগজনিত ব্যাধির মানসিক প্রভাব কমানোর চেষ্টা করি। আমি যে হাতের সাথে মোকাবিলা করেছি তা আমি নিয়ন্ত্রণ করতে পারি না, তাই আমি যা করতে পারি তা হল এটি চুষে নেওয়া এবং এটি মোকাবেলা করা। কিছু দিন আমি অ"&amp;"ন্যদের তুলনায় এতে ভালো থাকি। কিন্তু সবচেয়ে খারাপ জিনিস... উদ্বেগের সবচেয়ে খারাপ জিনিস হল মুহূর্তের মধ্যে হৃদস্পন্দন কমে যাওয়া। আমি আমার দিনটি সম্পূর্ণরূপে প্রভাবিত না হয়ে কাটাতে পারি এবং তারপরে উদ্বিগ্ন হওয়ার মতো কিছু আমার মাথায় আসবে। আমার হৃদয় কে"&amp;"ঁপে ওঠে, আমার মাথা ঘোরা, আমি দুর্বল বোধ করি, আমার মুখ শুকিয়ে যায়। সাধারণত আমি নিজেকে শান্ত করতে পারি, নিজেকে নিয়ন্ত্রণহীন অবস্থায় না ফেলার জন্য একটি মোকাবিলা পদ্ধতি অনুশীলন করি। তবুও, উদ্বেগের মুহূর্তগুলি ক্লান্ত হয়ে পড়ে। আমার শরীর আবার স্বাভাবিক হত"&amp;"ে 5-10 মিনিট সময় নেয়, এবং এটি আমার মনের পিছনে নিজেকে শিকড় গেড়ে বসে। আমি কিছুক্ষণ পরে নিরাপদ বোধ করতে পারি না। এটি আমার সাথে ক্রমাগত ঘটে। আমি কখনোই আরাম করতে পারি না কারণ মনে হয় আমার মস্তিষ্ক যেকোনো মুহূর্তে আমার সাথে বিশ্বাসঘাতকতা করতে পারে এবং আমার "&amp;"উদ্বেগকে আরও বাড়িয়ে তুলতে পারে, যা আমাকে আবারও মানসিক শক্তি ব্যয় করতে বাধ্য করে নিজেকে শান্ত করার জন্য এবং সেই বিরক্তিকর অনুভূতিগুলিকে উপেক্ষা করার জন্য যা আমি পুরোপুরি এড়াতে পারছি না।")</f>
        <v>উদ্বেগ সম্পর্কে আমার সবচেয়ে কম পছন্দের জিনিস হল, আমি আমার উদ্বেগজনিত ব্যাধির মানসিক প্রভাব কমানোর চেষ্টা করি। আমি যে হাতের সাথে মোকাবিলা করেছি তা আমি নিয়ন্ত্রণ করতে পারি না, তাই আমি যা করতে পারি তা হল এটি চুষে নেওয়া এবং এটি মোকাবেলা করা। কিছু দিন আমি অন্যদের তুলনায় এতে ভালো থাকি। কিন্তু সবচেয়ে খারাপ জিনিস... উদ্বেগের সবচেয়ে খারাপ জিনিস হল মুহূর্তের মধ্যে হৃদস্পন্দন কমে যাওয়া। আমি আমার দিনটি সম্পূর্ণরূপে প্রভাবিত না হয়ে কাটাতে পারি এবং তারপরে উদ্বিগ্ন হওয়ার মতো কিছু আমার মাথায় আসবে। আমার হৃদয় কেঁপে ওঠে, আমার মাথা ঘোরা, আমি দুর্বল বোধ করি, আমার মুখ শুকিয়ে যায়। সাধারণত আমি নিজেকে শান্ত করতে পারি, নিজেকে নিয়ন্ত্রণহীন অবস্থায় না ফেলার জন্য একটি মোকাবিলা পদ্ধতি অনুশীলন করি। তবুও, উদ্বেগের মুহূর্তগুলি ক্লান্ত হয়ে পড়ে। আমার শরীর আবার স্বাভাবিক হতে 5-10 মিনিট সময় নেয়, এবং এটি আমার মনের পিছনে নিজেকে শিকড় গেড়ে বসে। আমি কিছুক্ষণ পরে নিরাপদ বোধ করতে পারি না। এটি আমার সাথে ক্রমাগত ঘটে। আমি কখনোই আরাম করতে পারি না কারণ মনে হয় আমার মস্তিষ্ক যেকোনো মুহূর্তে আমার সাথে বিশ্বাসঘাতকতা করতে পারে এবং আমার উদ্বেগকে আরও বাড়িয়ে তুলতে পারে, যা আমাকে আবারও মানসিক শক্তি ব্যয় করতে বাধ্য করে নিজেকে শান্ত করার জন্য এবং সেই বিরক্তিকর অনুভূতিগুলিকে উপেক্ষা করার জন্য যা আমি পুরোপুরি এড়াতে পারছি না।</v>
      </c>
    </row>
    <row r="2176" spans="1:3" ht="15" x14ac:dyDescent="0.25">
      <c r="A2176" s="3" t="s">
        <v>2169</v>
      </c>
      <c r="B2176" s="3" t="s">
        <v>1992</v>
      </c>
      <c r="C2176" s="4" t="str">
        <f ca="1">IFERROR(__xludf.DUMMYFUNCTION("GOOGLETRANSLATE(A2176, ""auto"", ""bn"")"),"খারাপ মানুষ হতে চলেছে এই চিন্তাভাবনা কীভাবে মোকাবেলা করবেন? আমার ভয় হল আমি সবচেয়ে খারাপ মানুষ হয়ে যাব। আমার কাউকে আঘাত করার বা অন্য কোনও জীবন্ত জিনিসের সাথে কিছু করার কোনও চিন্তা নেই। আমার ভয় হল যদি আমার মনে এমন তাগিদ বা চিন্তা আসে যে আমাকে কাউকে বা অ"&amp;"ন্য কিছুকে আঘাত করতে হবে। আমি কীভাবে এটি মোকাবেলা করব? এটি আমার মাথায় টানা 2 সপ্তাহ ধরে ঘুরছে। দয়া করে সাহায্য করুন!")</f>
        <v>খারাপ মানুষ হতে চলেছে এই চিন্তাভাবনা কীভাবে মোকাবেলা করবেন? আমার ভয় হল আমি সবচেয়ে খারাপ মানুষ হয়ে যাব। আমার কাউকে আঘাত করার বা অন্য কোনও জীবন্ত জিনিসের সাথে কিছু করার কোনও চিন্তা নেই। আমার ভয় হল যদি আমার মনে এমন তাগিদ বা চিন্তা আসে যে আমাকে কাউকে বা অন্য কিছুকে আঘাত করতে হবে। আমি কীভাবে এটি মোকাবেলা করব? এটি আমার মাথায় টানা 2 সপ্তাহ ধরে ঘুরছে। দয়া করে সাহায্য করুন!</v>
      </c>
    </row>
    <row r="2177" spans="1:3" ht="15" x14ac:dyDescent="0.25">
      <c r="A2177" s="3" t="s">
        <v>2170</v>
      </c>
      <c r="B2177" s="3" t="s">
        <v>1992</v>
      </c>
      <c r="C2177" s="4" t="str">
        <f ca="1">IFERROR(__xludf.DUMMYFUNCTION("GOOGLETRANSLATE(A2177, ""auto"", ""bn"")"),"তোমার কি কখনও এমন অনুভূতি হয় যে কিছু একটা ভুল আছে? আমার বারবার এমন অনুভূতি হয় যে কিছু একটা ঠিক না। আমি ডায়েরি লিখছি যে এটা সাহায্য করবে কিনা। ডায়েরি লেখা অতীতে অবশ্যই সাহায্য করেছিল। কিন্তু আমি এই অনুভূতি থেকে মুক্তি পাচ্ছি না। মনে হচ্ছে এটা কখনোই যাবে "&amp;"না। আর কেউ কি এই অনুভূতির সাথে মোকাবিলা করে? এই অনুভূতি কাটিয়ে ওঠার জন্য তুমি কী করো?")</f>
        <v>তোমার কি কখনও এমন অনুভূতি হয় যে কিছু একটা ভুল আছে? আমার বারবার এমন অনুভূতি হয় যে কিছু একটা ঠিক না। আমি ডায়েরি লিখছি যে এটা সাহায্য করবে কিনা। ডায়েরি লেখা অতীতে অবশ্যই সাহায্য করেছিল। কিন্তু আমি এই অনুভূতি থেকে মুক্তি পাচ্ছি না। মনে হচ্ছে এটা কখনোই যাবে না। আর কেউ কি এই অনুভূতির সাথে মোকাবিলা করে? এই অনুভূতি কাটিয়ে ওঠার জন্য তুমি কী করো?</v>
      </c>
    </row>
    <row r="2178" spans="1:3" ht="15" x14ac:dyDescent="0.25">
      <c r="A2178" s="3" t="s">
        <v>2171</v>
      </c>
      <c r="B2178" s="3" t="s">
        <v>1992</v>
      </c>
      <c r="C2178" s="4" t="str">
        <f ca="1">IFERROR(__xludf.DUMMYFUNCTION("GOOGLETRANSLATE(A2178, ""auto"", ""bn"")"),"নতুন বছরের সংকল্পের অংশ হিসেবে আজ আমার ফোন থেকে সমস্ত সোশ্যাল মিডিয়া সরিয়ে ফেললাম। বন্ধুবান্ধব বা পরিবার ছাড়া এমন একটি শহরে চলে আসা বিশেষভাবে কঠিন এবং - নতুন বছরকে স্বাগত জানাতে নিজের সাথে দীর্ঘ, শান্ত সন্ধ্যা কাটিয়ে, আমার প্রতিফলনের জন্য অনেক সময় ছি"&amp;"ল। আমার সামাজিক সমস্যাগুলি পরিচালনা করার পদক্ষেপ নেওয়ার অংশ হিসাবে, এই অ্যাকাউন্টগুলি নিষ্ক্রিয় করা ছিল আমার নেওয়া সবচেয়ে কঠিন সিদ্ধান্তগুলির মধ্যে একটি। আমি আশা করি এই সংকল্পটি শেষ পর্যন্ত আমার অ্যাপার্টমেন্ট থেকে আরও বেশি বেরিয়ে আসার এবং লস অ্যাঞ্জ"&amp;"েলেসে কী অফার করে তা অন্বেষণ করার দিকে পরিচালিত করবে, একই সাথে সামাজিক উদ্বেগের ক্রমবর্ধমান ঝড়ের মেঘকে পরিচালনা করবে। এখানে আপনারা যে দুর্দান্ত সম্প্রদায় তৈরি করেছেন তার জন্য আমি ব্যক্তিগতভাবে আপনাদের প্রত্যেককে ধন্যবাদ জানাতে চাই এবং আশা করি আপনাদের সক"&amp;"লের 2019 সালটি চমৎকার কাটবে।")</f>
        <v>নতুন বছরের সংকল্পের অংশ হিসেবে আজ আমার ফোন থেকে সমস্ত সোশ্যাল মিডিয়া সরিয়ে ফেললাম। বন্ধুবান্ধব বা পরিবার ছাড়া এমন একটি শহরে চলে আসা বিশেষভাবে কঠিন এবং - নতুন বছরকে স্বাগত জানাতে নিজের সাথে দীর্ঘ, শান্ত সন্ধ্যা কাটিয়ে, আমার প্রতিফলনের জন্য অনেক সময় ছিল। আমার সামাজিক সমস্যাগুলি পরিচালনা করার পদক্ষেপ নেওয়ার অংশ হিসাবে, এই অ্যাকাউন্টগুলি নিষ্ক্রিয় করা ছিল আমার নেওয়া সবচেয়ে কঠিন সিদ্ধান্তগুলির মধ্যে একটি। আমি আশা করি এই সংকল্পটি শেষ পর্যন্ত আমার অ্যাপার্টমেন্ট থেকে আরও বেশি বেরিয়ে আসার এবং লস অ্যাঞ্জেলেসে কী অফার করে তা অন্বেষণ করার দিকে পরিচালিত করবে, একই সাথে সামাজিক উদ্বেগের ক্রমবর্ধমান ঝড়ের মেঘকে পরিচালনা করবে। এখানে আপনারা যে দুর্দান্ত সম্প্রদায় তৈরি করেছেন তার জন্য আমি ব্যক্তিগতভাবে আপনাদের প্রত্যেককে ধন্যবাদ জানাতে চাই এবং আশা করি আপনাদের সকলের 2019 সালটি চমৎকার কাটবে।</v>
      </c>
    </row>
    <row r="2179" spans="1:3" ht="15" x14ac:dyDescent="0.25">
      <c r="A2179" s="3" t="s">
        <v>2172</v>
      </c>
      <c r="B2179" s="3" t="s">
        <v>1992</v>
      </c>
      <c r="C2179" s="4" t="str">
        <f ca="1">IFERROR(__xludf.DUMMYFUNCTION("GOOGLETRANSLATE(A2179, ""auto"", ""bn"")"),"নতুন বছরে কষ্ট হচ্ছে এবং কথা বলার জন্য কারোর প্রয়োজন। হাই, ২০ মিনিট, বছরের শুরুটা আমার জন্য কঠিন ছিল, কারণ এসব কারণে আমার উদ্বেগ বেড়েছে এবং সাধারণত পেটে একটা ভয়াবহ অনুভূতি তৈরি হয়েছে। এটি মূলত বন্ধু/সম্পর্কের (প্রত্যাখ্যান ইত্যাদি) কারণেই আসে, তবে এর পেছ"&amp;"নে বিশ্ববিদ্যালয়ের প্রভাব এবং আমার শখগুলোও ভূমিকা রেখেছে। যদি কেউ রাজি হন, তাহলে আমি সত্যিই কৃতজ্ঞ থাকব। শুভকামনা।")</f>
        <v>নতুন বছরে কষ্ট হচ্ছে এবং কথা বলার জন্য কারোর প্রয়োজন। হাই, ২০ মিনিট, বছরের শুরুটা আমার জন্য কঠিন ছিল, কারণ এসব কারণে আমার উদ্বেগ বেড়েছে এবং সাধারণত পেটে একটা ভয়াবহ অনুভূতি তৈরি হয়েছে। এটি মূলত বন্ধু/সম্পর্কের (প্রত্যাখ্যান ইত্যাদি) কারণেই আসে, তবে এর পেছনে বিশ্ববিদ্যালয়ের প্রভাব এবং আমার শখগুলোও ভূমিকা রেখেছে। যদি কেউ রাজি হন, তাহলে আমি সত্যিই কৃতজ্ঞ থাকব। শুভকামনা।</v>
      </c>
    </row>
    <row r="2180" spans="1:3" ht="15" x14ac:dyDescent="0.25">
      <c r="A2180" s="3" t="s">
        <v>2173</v>
      </c>
      <c r="B2180" s="3" t="s">
        <v>1992</v>
      </c>
      <c r="C2180" s="4" t="str">
        <f ca="1">IFERROR(__xludf.DUMMYFUNCTION("GOOGLETRANSLATE(A2180, ""auto"", ""bn"")"),"রাতে কি সবার উদ্বেগ বেশি তীব্র হয়? আমি শপথ করে বলছি যে ঘুম থেকে ওঠার পর থেকে সন্ধ্যা পর্যন্ত আমার ভালো লাগে (এতক্ষণ পর্যন্ত যে আমি আর উদ্বিগ্ন বোধ করি না) কিন্তু যখন বাইরে অন্ধকার থাকে, এমনকি যখন আমি আমার পরিবারের সাথে বাড়িতে থাকি, তখনও আমার উদ্বেগ আরও "&amp;"তীব্র হয়ে ওঠে।")</f>
        <v>রাতে কি সবার উদ্বেগ বেশি তীব্র হয়? আমি শপথ করে বলছি যে ঘুম থেকে ওঠার পর থেকে সন্ধ্যা পর্যন্ত আমার ভালো লাগে (এতক্ষণ পর্যন্ত যে আমি আর উদ্বিগ্ন বোধ করি না) কিন্তু যখন বাইরে অন্ধকার থাকে, এমনকি যখন আমি আমার পরিবারের সাথে বাড়িতে থাকি, তখনও আমার উদ্বেগ আরও তীব্র হয়ে ওঠে।</v>
      </c>
    </row>
    <row r="2181" spans="1:3" ht="15" x14ac:dyDescent="0.25">
      <c r="A2181" s="3" t="s">
        <v>2174</v>
      </c>
      <c r="B2181" s="3" t="s">
        <v>1992</v>
      </c>
      <c r="C2181" s="4" t="str">
        <f ca="1">IFERROR(__xludf.DUMMYFUNCTION("GOOGLETRANSLATE(A2181, ""auto"", ""bn"")"),"সামাজিক অনুষ্ঠানের পর যখনই আমি আত্ম-বিদ্বেষের অনুভূতির সাথে মোকাবিলা করি? বন্ধুদের সাথে যখনই আমি একত্রিত হই, তখনই নিজেকে বোঝানোর একটি উপায় খুঁজে পাই যে সবাই আসলে আমাকে ঘৃণা করে, কেউ আমার সম্পর্কে খারাপ কথা বলছে, এবং লোকেরা কেবল আমার সাথে সহ্য করছে এবং আম"&amp;"ি আসলে গ্রুপকে কিছু বলি না। আমার ভয় হয় যে আমি আর কখনও আমার বন্ধুদের কাছ থেকে শুনতে পাব না কারণ তারা সিদ্ধান্ত নিয়েছে যে আমি তাদের সাথে আড্ডা দিতে মজা পাই না। অথবা গ্রুপের কেউ আমার সম্পর্কে নেতিবাচক জিনিসগুলি বুঝতে শুরু করবে (অথবা হয়তো তাদের আমার সাথে "&amp;"খারাপ অভিজ্ঞতা হয়েছে) এবং অন্যদের বোঝাবে যে আমি বন্ধুত্বের যোগ্য নই। অন্য কারো কি এই সমস্যা আছে??")</f>
        <v>সামাজিক অনুষ্ঠানের পর যখনই আমি আত্ম-বিদ্বেষের অনুভূতির সাথে মোকাবিলা করি? বন্ধুদের সাথে যখনই আমি একত্রিত হই, তখনই নিজেকে বোঝানোর একটি উপায় খুঁজে পাই যে সবাই আসলে আমাকে ঘৃণা করে, কেউ আমার সম্পর্কে খারাপ কথা বলছে, এবং লোকেরা কেবল আমার সাথে সহ্য করছে এবং আমি আসলে গ্রুপকে কিছু বলি না। আমার ভয় হয় যে আমি আর কখনও আমার বন্ধুদের কাছ থেকে শুনতে পাব না কারণ তারা সিদ্ধান্ত নিয়েছে যে আমি তাদের সাথে আড্ডা দিতে মজা পাই না। অথবা গ্রুপের কেউ আমার সম্পর্কে নেতিবাচক জিনিসগুলি বুঝতে শুরু করবে (অথবা হয়তো তাদের আমার সাথে খারাপ অভিজ্ঞতা হয়েছে) এবং অন্যদের বোঝাবে যে আমি বন্ধুত্বের যোগ্য নই। অন্য কারো কি এই সমস্যা আছে??</v>
      </c>
    </row>
    <row r="2182" spans="1:3" ht="15" x14ac:dyDescent="0.25">
      <c r="A2182" s="3" t="s">
        <v>2175</v>
      </c>
      <c r="B2182" s="3" t="s">
        <v>1992</v>
      </c>
      <c r="C2182" s="4" t="str">
        <f ca="1">IFERROR(__xludf.DUMMYFUNCTION("GOOGLETRANSLATE(A2182, ""auto"", ""bn"")"),"থেরাপির মূল্য সবাইকে স্বাগতম, থেরাপি আমাকে উদ্বিগ্ন করে তোলে (পুরো পরিস্থিতি/প্রেক্ষাপট/সম্পর্ক/ইত্যাদি)। আমি এটা বোঝার চেষ্টা করছি যে এটি মেনে চলা কি যুক্তিসঙ্গত, নাকি ইচ্ছাকৃতভাবে নিজেকে এমন পরিস্থিতিতে ফেলে পরিস্থিতি আরও খারাপ করছি যা আমাকে উদ্বিগ্ন কর"&amp;"ে তুলবে বলে আমি জানি। যদি আপনি উদ্বেগের জন্য থেরাপি (যেমন GAD) নিয়ে থাকেন, তাহলে কি/আপনার কাছে এটি সহায়ক বলে মনে হয়েছে? যদি তাই হয়, তাহলে এটি কোন কোন উপায়ে সাহায্য করেছে? এটি সহায়ক হওয়ার আগে আপনি কতক্ষণ চিকিৎসা করেছিলেন? অন্য কেউ কি সেখানে থাকতে ভয"&amp;"় পেয়েছিলেন? আপনি কি এটি কাটিয়ে উঠেছেন? কীভাবে? ধন্যবাদ")</f>
        <v>থেরাপির মূল্য সবাইকে স্বাগতম, থেরাপি আমাকে উদ্বিগ্ন করে তোলে (পুরো পরিস্থিতি/প্রেক্ষাপট/সম্পর্ক/ইত্যাদি)। আমি এটা বোঝার চেষ্টা করছি যে এটি মেনে চলা কি যুক্তিসঙ্গত, নাকি ইচ্ছাকৃতভাবে নিজেকে এমন পরিস্থিতিতে ফেলে পরিস্থিতি আরও খারাপ করছি যা আমাকে উদ্বিগ্ন করে তুলবে বলে আমি জানি। যদি আপনি উদ্বেগের জন্য থেরাপি (যেমন GAD) নিয়ে থাকেন, তাহলে কি/আপনার কাছে এটি সহায়ক বলে মনে হয়েছে? যদি তাই হয়, তাহলে এটি কোন কোন উপায়ে সাহায্য করেছে? এটি সহায়ক হওয়ার আগে আপনি কতক্ষণ চিকিৎসা করেছিলেন? অন্য কেউ কি সেখানে থাকতে ভয় পেয়েছিলেন? আপনি কি এটি কাটিয়ে উঠেছেন? কীভাবে? ধন্যবাদ</v>
      </c>
    </row>
    <row r="2183" spans="1:3" ht="15" x14ac:dyDescent="0.25">
      <c r="A2183" s="3" t="s">
        <v>2176</v>
      </c>
      <c r="B2183" s="3" t="s">
        <v>1992</v>
      </c>
      <c r="C2183" s="4" t="str">
        <f ca="1">IFERROR(__xludf.DUMMYFUNCTION("GOOGLETRANSLATE(A2183, ""auto"", ""bn"")"),"আমি কেন নিজের সাথে এমন করে যাচ্ছি? আমি একটা মেরুদণ্ডহীন, দুর্বল ইচ্ছাশক্তিহীন। আমি কোকেনকে ঘৃণা করি, আমি এটা ঘৃণা করি যে এটি আমার নাক ব্যাথা করে, আমার সাইনাসকে কীভাবে ঝাঁকুনি দেয়, কীভাবে এটি সবকিছুকে অতিরিক্ত গতিতে নিয়ে যায়, যেমনটা আমার কম তীব্র ম্যানি"&amp;"ক আক্রমণের একটি। আমি আবেগপ্রবণ হয়ে পড়ি এবং আমার কোনও আত্মনিয়ন্ত্রণ থাকে না। এবং যতই এটি আমাকে কষ্ট দেয়, তবুও আমার সবসময় একই প্রতিক্রিয়া হয়: ""আমার খারাপ লাগছে, আমরা কি আরও কিছু কোক নিতে পারি?"" স্পষ্টতই আমার আনন্দ কেন্দ্রগুলিতে এর জাদু কাজ করছে না,"&amp;" তাহলে কেন এটি থেকে দূরে সরে যাওয়া এত কঠিন হয়ে উঠছে? আমার শরীরের প্রতিক্রিয়া খুব বেশি হয়ে যাওয়ার পরে আমি খুব কমই চেষ্টা করে মদ নামিয়ে দিয়েছিলাম, কিন্তু কোকেন আমার উপর যা করে তার তুলনায় এটি আনন্দদায়ক। আমি ভাবছি হয়তো আমার পুনর্বাসনে যাওয়া উচিত।")</f>
        <v>আমি কেন নিজের সাথে এমন করে যাচ্ছি? আমি একটা মেরুদণ্ডহীন, দুর্বল ইচ্ছাশক্তিহীন। আমি কোকেনকে ঘৃণা করি, আমি এটা ঘৃণা করি যে এটি আমার নাক ব্যাথা করে, আমার সাইনাসকে কীভাবে ঝাঁকুনি দেয়, কীভাবে এটি সবকিছুকে অতিরিক্ত গতিতে নিয়ে যায়, যেমনটা আমার কম তীব্র ম্যানিক আক্রমণের একটি। আমি আবেগপ্রবণ হয়ে পড়ি এবং আমার কোনও আত্মনিয়ন্ত্রণ থাকে না। এবং যতই এটি আমাকে কষ্ট দেয়, তবুও আমার সবসময় একই প্রতিক্রিয়া হয়: "আমার খারাপ লাগছে, আমরা কি আরও কিছু কোক নিতে পারি?" স্পষ্টতই আমার আনন্দ কেন্দ্রগুলিতে এর জাদু কাজ করছে না, তাহলে কেন এটি থেকে দূরে সরে যাওয়া এত কঠিন হয়ে উঠছে? আমার শরীরের প্রতিক্রিয়া খুব বেশি হয়ে যাওয়ার পরে আমি খুব কমই চেষ্টা করে মদ নামিয়ে দিয়েছিলাম, কিন্তু কোকেন আমার উপর যা করে তার তুলনায় এটি আনন্দদায়ক। আমি ভাবছি হয়তো আমার পুনর্বাসনে যাওয়া উচিত।</v>
      </c>
    </row>
    <row r="2184" spans="1:3" ht="15" x14ac:dyDescent="0.25">
      <c r="A2184" s="3" t="s">
        <v>2177</v>
      </c>
      <c r="B2184" s="3" t="s">
        <v>1992</v>
      </c>
      <c r="C2184" s="4" t="str">
        <f ca="1">IFERROR(__xludf.DUMMYFUNCTION("GOOGLETRANSLATE(A2184, ""auto"", ""bn"")"),"কাজের ব্যাপারে উদ্বেগ এবং আতঙ্ক। শারীরিক লক্ষণগুলি আমার কাছে সবসময়ই কাজের ব্যাপারে উদ্বেগ ছিল। যদি এটি আমার খণ্ডকালীন উচ্চ বিদ্যালয়ের চাকরি হত, তাহলে এখনকার কলেজ-পরবর্তী ক্যারিয়ার। সবসময়ই উদ্বেগ ছিল, তবে টুকরোগুলো এখন অন্য রঙে রঙিন হয়ে গেছে। অতীতের ক"&amp;"থা ভাবলে, আমি অতীতের দিকে তাকানোর সময় ঘটেনি এমন জিনিসগুলি নিয়ে চিন্তা করার জন্য অনেক সময়, শক্তি এবং মানসিক ক্ষমতা নষ্ট করে ফেলেছি। অস্থির সকাল, ঘামে ঢাকা রাত এবং সারা দিন ধরে এলোমেলো আতঙ্কের আক্রমণ। আমি সম্প্রতি শারীরিক লক্ষণগুলির সম্মুখীন হয়েছি। আমার"&amp;" ডান হাত, পা এবং শরীর বেশ কয়েক সপ্তাহ ধরে ঝিঁঝিঁ পোকা এবং STIF করছে। ER পরিদর্শন করা হয়েছে এবং আমার সাধারণ অনুশীলনকারী আমাকে নিউরোলজিতে রেফার করেছেন। এর ফলে কী হতে পারে তা নিয়ে আমি উদ্বিগ্ন, এবং আরও বেশি উদ্বিগ্ন যে আমার উদ্বেগ এর কারণ হতে পারে কিনা। এ"&amp;"র ফলে লক্ষণগুলি নিয়ে চিন্তা করার চেয়ে আরও বেশি উদ্বেগ তৈরি হয়। (আমি জানি খুব বেশি) আমি ওষুধ দিয়ে জিনিসগুলি নিয়ন্ত্রণে রাখার চেষ্টা করছি, কিন্তু প্রায়শই তা ফলপ্রসূ হয় না। আমি বিশ্বাস করতে শুরু করেছি যে আমার মস্তিষ্ক মূল স্তরে উদ্বেগ এবং আতঙ্কের সাথে"&amp;" জড়িত থাকার জন্য নির্ধারিত। আমি প্রায় ২০ বছর ধরে এটি মোকাবেলা করে আসছি এবং যদিও উজ্জ্বলতার কিছুটা কমতি আছে, প্রায়শই এটি ক্ষণস্থায়ী।")</f>
        <v>কাজের ব্যাপারে উদ্বেগ এবং আতঙ্ক। শারীরিক লক্ষণগুলি আমার কাছে সবসময়ই কাজের ব্যাপারে উদ্বেগ ছিল। যদি এটি আমার খণ্ডকালীন উচ্চ বিদ্যালয়ের চাকরি হত, তাহলে এখনকার কলেজ-পরবর্তী ক্যারিয়ার। সবসময়ই উদ্বেগ ছিল, তবে টুকরোগুলো এখন অন্য রঙে রঙিন হয়ে গেছে। অতীতের কথা ভাবলে, আমি অতীতের দিকে তাকানোর সময় ঘটেনি এমন জিনিসগুলি নিয়ে চিন্তা করার জন্য অনেক সময়, শক্তি এবং মানসিক ক্ষমতা নষ্ট করে ফেলেছি। অস্থির সকাল, ঘামে ঢাকা রাত এবং সারা দিন ধরে এলোমেলো আতঙ্কের আক্রমণ। আমি সম্প্রতি শারীরিক লক্ষণগুলির সম্মুখীন হয়েছি। আমার ডান হাত, পা এবং শরীর বেশ কয়েক সপ্তাহ ধরে ঝিঁঝিঁ পোকা এবং STIF করছে। ER পরিদর্শন করা হয়েছে এবং আমার সাধারণ অনুশীলনকারী আমাকে নিউরোলজিতে রেফার করেছেন। এর ফলে কী হতে পারে তা নিয়ে আমি উদ্বিগ্ন, এবং আরও বেশি উদ্বিগ্ন যে আমার উদ্বেগ এর কারণ হতে পারে কিনা। এর ফলে লক্ষণগুলি নিয়ে চিন্তা করার চেয়ে আরও বেশি উদ্বেগ তৈরি হয়। (আমি জানি খুব বেশি) আমি ওষুধ দিয়ে জিনিসগুলি নিয়ন্ত্রণে রাখার চেষ্টা করছি, কিন্তু প্রায়শই তা ফলপ্রসূ হয় না। আমি বিশ্বাস করতে শুরু করেছি যে আমার মস্তিষ্ক মূল স্তরে উদ্বেগ এবং আতঙ্কের সাথে জড়িত থাকার জন্য নির্ধারিত। আমি প্রায় ২০ বছর ধরে এটি মোকাবেলা করে আসছি এবং যদিও উজ্জ্বলতার কিছুটা কমতি আছে, প্রায়শই এটি ক্ষণস্থায়ী।</v>
      </c>
    </row>
    <row r="2185" spans="1:3" ht="15" x14ac:dyDescent="0.25">
      <c r="A2185" s="3" t="s">
        <v>2178</v>
      </c>
      <c r="B2185" s="3" t="s">
        <v>1992</v>
      </c>
      <c r="C2185" s="4" t="str">
        <f ca="1">IFERROR(__xludf.DUMMYFUNCTION("GOOGLETRANSLATE(A2185, ""auto"", ""bn"")"),"এই বছর আমার সাহায্য করা দরকার। আমার বাবা-মা মানসিক স্বাস্থ্যে বিশ্বাস করেন না এবং এটি কীভাবে একটি সমস্যা হতে পারে। এবং তারা আমাকে একজন থেরাপিস্টের সাথে দেখা করার ধারণাটি অনুমোদন করেন না। আমি একবার একজন থেরাপিস্টের সাথে দেখা করেছিলাম এবং আমার মা আমাকে আমার"&amp;" অ্যাপয়েন্টমেন্টে নিয়ে যেতে স্বাচ্ছন্দ্য বোধ করেননি এবং এটাই ছিল। ঠিক আছে, আমি বলতে পারি 2018 সালটি আমার জন্য ভয়াবহ ছিল। আমি কলেজে গিয়েছিলাম এবং এটাই ছিল সব। আমি ট্রাইকোটিলোম্যানিয়ায় ভুগছিলাম কিন্তু সম্প্রতি প্রায় চার মাস ধরে বন্ধ হয়ে গিয়েছিলাম। "&amp;"তাছাড়া, আমার একটি খারাপ ব্রেকআপের মধ্য দিয়ে গেছে, কিন্তু আমি এখনও এখানে আছি। তাছাড়া, আমি এখনও আমার বাবা-মায়ের সাথে থাকি এবং 2019 সালের জন্য আমার লক্ষ্য ছিল গাড়ি চালানো শেখা অথবা চাকরি পাওয়া। কিন্তু আমার উদ্বেগ আমাকে আমার সাক্ষাৎকারে যেতে এবং প্রথম দিন"&amp;"েই যেতে বাধা দেয়। আমি কেবল অভিভূত হই, এবং আমি কখনই এটির মধ্য দিয়ে যাই না। আমি নিজেকে এবং আমার বোকা উদ্বেগকে ঘৃণা করি এবং আমি আর কী করব জানি না। আমার কি প্রথমে গাড়ি চালানো শিখতে হবে? ছোট শুরু করুন এবং তারপর নিজেই আমার অ্যাপয়েন্টমেন্টে গাড়ি চালিয়ে যেত"&amp;"ে হবে? আমার কি প্রথমে চাকরি পাওয়া উচিত? আমার মনে হচ্ছে আমি আটকে গেছি, আর আমি নিজের জন্য তৈরি এই বুদবুদে থাকতে থাকতে ক্লান্ত। আমি স্বাধীন হতে চাই এবং আমার জীবনযাপন করতে চাই, কিন্তু আমি খুব ভয় পাচ্ছি।")</f>
        <v>এই বছর আমার সাহায্য করা দরকার। আমার বাবা-মা মানসিক স্বাস্থ্যে বিশ্বাস করেন না এবং এটি কীভাবে একটি সমস্যা হতে পারে। এবং তারা আমাকে একজন থেরাপিস্টের সাথে দেখা করার ধারণাটি অনুমোদন করেন না। আমি একবার একজন থেরাপিস্টের সাথে দেখা করেছিলাম এবং আমার মা আমাকে আমার অ্যাপয়েন্টমেন্টে নিয়ে যেতে স্বাচ্ছন্দ্য বোধ করেননি এবং এটাই ছিল। ঠিক আছে, আমি বলতে পারি 2018 সালটি আমার জন্য ভয়াবহ ছিল। আমি কলেজে গিয়েছিলাম এবং এটাই ছিল সব। আমি ট্রাইকোটিলোম্যানিয়ায় ভুগছিলাম কিন্তু সম্প্রতি প্রায় চার মাস ধরে বন্ধ হয়ে গিয়েছিলাম। তাছাড়া, আমার একটি খারাপ ব্রেকআপের মধ্য দিয়ে গেছে, কিন্তু আমি এখনও এখানে আছি। তাছাড়া, আমি এখনও আমার বাবা-মায়ের সাথে থাকি এবং 2019 সালের জন্য আমার লক্ষ্য ছিল গাড়ি চালানো শেখা অথবা চাকরি পাওয়া। কিন্তু আমার উদ্বেগ আমাকে আমার সাক্ষাৎকারে যেতে এবং প্রথম দিনেই যেতে বাধা দেয়। আমি কেবল অভিভূত হই, এবং আমি কখনই এটির মধ্য দিয়ে যাই না। আমি নিজেকে এবং আমার বোকা উদ্বেগকে ঘৃণা করি এবং আমি আর কী করব জানি না। আমার কি প্রথমে গাড়ি চালানো শিখতে হবে? ছোট শুরু করুন এবং তারপর নিজেই আমার অ্যাপয়েন্টমেন্টে গাড়ি চালিয়ে যেতে হবে? আমার কি প্রথমে চাকরি পাওয়া উচিত? আমার মনে হচ্ছে আমি আটকে গেছি, আর আমি নিজের জন্য তৈরি এই বুদবুদে থাকতে থাকতে ক্লান্ত। আমি স্বাধীন হতে চাই এবং আমার জীবনযাপন করতে চাই, কিন্তু আমি খুব ভয় পাচ্ছি।</v>
      </c>
    </row>
    <row r="2186" spans="1:3" ht="15" x14ac:dyDescent="0.25">
      <c r="A2186" s="3" t="s">
        <v>2179</v>
      </c>
      <c r="B2186" s="3" t="s">
        <v>1992</v>
      </c>
      <c r="C2186" s="4" t="str">
        <f ca="1">IFERROR(__xludf.DUMMYFUNCTION("GOOGLETRANSLATE(A2186, ""auto"", ""bn"")"),"গত রাতে বারে যৌন নির্যাতনের শিকার হওয়ার পর ভয়ে, গত রাতে আমি বারে ছিলাম, আর একজন মাতাল লোক আমার পোশাক টেনে টেনে বের করার চেষ্টা করছিল, আর সে আমার আঙুলগুলো আমার ভেতরে ঢুকিয়ে দিচ্ছিল। আমি তাকে ধাক্কা দিয়ে দূরে সরিয়ে দেওয়ার চেষ্টা করছিলাম, আর সে আমাকে বাথরুমে"&amp;" টেনে নিয়ে যাওয়ার চেষ্টা করছিল, কে জানে কী করতে। আমি বারে সাহায্যের জন্য চিৎকার করতে শুরু করি, আর ভাগ্যক্রমে দুজন খুব ভালো মানুষ তাকে ধাক্কা দিয়ে আমার কাছ থেকে দূরে সরিয়ে দেয়। সে আমার কাছে পৌঁছানোর চেষ্টা করতে থাকে, কিন্তু আমি দ্রুত বার থেকে বেরিয়ে আসি। "&amp;"এই ঘটনার পর আমার বাড়ি থেকে বের হতে ভয় পায়, আর আমার ভয় হয় যে কেউ আবার আমাকে আঘাত করতে পারে। আমার ইতিমধ্যেই উদ্বেগ এবং বিষণ্ণতা আছে, এবং আমার পক্ষে মানুষকে বিশ্বাস করা কঠিন। বাইরে গিয়ে রাত কাটানোর চেষ্টা করার জন্য আমি এটাই পাই।")</f>
        <v>গত রাতে বারে যৌন নির্যাতনের শিকার হওয়ার পর ভয়ে, গত রাতে আমি বারে ছিলাম, আর একজন মাতাল লোক আমার পোশাক টেনে টেনে বের করার চেষ্টা করছিল, আর সে আমার আঙুলগুলো আমার ভেতরে ঢুকিয়ে দিচ্ছিল। আমি তাকে ধাক্কা দিয়ে দূরে সরিয়ে দেওয়ার চেষ্টা করছিলাম, আর সে আমাকে বাথরুমে টেনে নিয়ে যাওয়ার চেষ্টা করছিল, কে জানে কী করতে। আমি বারে সাহায্যের জন্য চিৎকার করতে শুরু করি, আর ভাগ্যক্রমে দুজন খুব ভালো মানুষ তাকে ধাক্কা দিয়ে আমার কাছ থেকে দূরে সরিয়ে দেয়। সে আমার কাছে পৌঁছানোর চেষ্টা করতে থাকে, কিন্তু আমি দ্রুত বার থেকে বেরিয়ে আসি। এই ঘটনার পর আমার বাড়ি থেকে বের হতে ভয় পায়, আর আমার ভয় হয় যে কেউ আবার আমাকে আঘাত করতে পারে। আমার ইতিমধ্যেই উদ্বেগ এবং বিষণ্ণতা আছে, এবং আমার পক্ষে মানুষকে বিশ্বাস করা কঠিন। বাইরে গিয়ে রাত কাটানোর চেষ্টা করার জন্য আমি এটাই পাই।</v>
      </c>
    </row>
    <row r="2187" spans="1:3" ht="15" x14ac:dyDescent="0.25">
      <c r="A2187" s="3" t="s">
        <v>2180</v>
      </c>
      <c r="B2187" s="3" t="s">
        <v>1992</v>
      </c>
      <c r="C2187" s="4" t="str">
        <f ca="1">IFERROR(__xludf.DUMMYFUNCTION("GOOGLETRANSLATE(A2187, ""auto"", ""bn"")"),"দম বন্ধ হয়ে আসছে। আমাকে বের করে দেওয়া হয়েছে, চাকরি নেই - আমার বয়স্ক বস আমাকে চাকরিচ্যুত করেছেন কারণ আমি খুব বিষণ্ণ - আর একটা চাকরিও পাচ্ছি না, আমার মা অনেক কষ্টের পর ভেতরে ভেতরে ভেঙে পড়েছেন, আর মাঝে মাঝে মনে হয় যে তিনি আমাকে টেনে টেনে টেনে নিয়ে যাচ্ছেন, "&amp;"যদিও আমি তাকে খুব ভালোবাসি। এই বিশাল অভিশাপের অনুভূতি যা আমাকে ঘুমাতে এবং নিঃশ্বাস নিতে সাহায্য করে না। আমার জীবনের উপর শ্বাসরোধ করার মতো অনুভূতি হচ্ছে, এবং এটি আমাকে কোনও কিছুতেই আঁকড়ে রাখতে দিচ্ছে না।")</f>
        <v>দম বন্ধ হয়ে আসছে। আমাকে বের করে দেওয়া হয়েছে, চাকরি নেই - আমার বয়স্ক বস আমাকে চাকরিচ্যুত করেছেন কারণ আমি খুব বিষণ্ণ - আর একটা চাকরিও পাচ্ছি না, আমার মা অনেক কষ্টের পর ভেতরে ভেতরে ভেঙে পড়েছেন, আর মাঝে মাঝে মনে হয় যে তিনি আমাকে টেনে টেনে টেনে নিয়ে যাচ্ছেন, যদিও আমি তাকে খুব ভালোবাসি। এই বিশাল অভিশাপের অনুভূতি যা আমাকে ঘুমাতে এবং নিঃশ্বাস নিতে সাহায্য করে না। আমার জীবনের উপর শ্বাসরোধ করার মতো অনুভূতি হচ্ছে, এবং এটি আমাকে কোনও কিছুতেই আঁকড়ে রাখতে দিচ্ছে না।</v>
      </c>
    </row>
    <row r="2188" spans="1:3" ht="15" x14ac:dyDescent="0.25">
      <c r="A2188" s="3" t="s">
        <v>2181</v>
      </c>
      <c r="B2188" s="3" t="s">
        <v>1992</v>
      </c>
      <c r="C2188" s="4" t="str">
        <f ca="1">IFERROR(__xludf.DUMMYFUNCTION("GOOGLETRANSLATE(A2188, ""auto"", ""bn"")"),"আমার চাকরি নিয়ে চিন্তা না করার/উদ্বেগ না করার সবচেয়ে ভালো উপায়। সবাইকে হ্যালো! আমি এই পেজে নতুন, তাই যদি এটি এই পেজের জন্য উপযুক্ত না হয় তাহলে আমাকে জানান। আমি আমার কোম্পানিতে নতুন একটি পদ শুরু করেছি, এবং এটি এমন একটি বিষয় যার সাথে আমি উদ্বেগ এবং ক্র"&amp;"মাগত উদ্বেগের কারণে লড়াই করেছি। আমার কাজ হল শারীরিক আঘাতের দাবি নিষ্পত্তি করা, এবং আমি সবকিছু মূল্যায়ন করার সময় আমার সিদ্ধান্তগুলি নিয়ে ক্রমাগত চিন্তা করি এবং চাপ অনুভব করি। এই চাপ আমাকে নার্ভাস করে তোলে এবং আমাকে কর্মক্ষেত্রে কাজ ছেড়ে নিজের বা বাড়ি"&amp;"তে আমার SO-এর উপর মনোযোগ দিতে দেয় না। কেউ কি জানেন কিভাবে উচ্চ চাপের চাকরি মোকাবেলা করতে হয়? আমি সম্প্রতি খুব বেশি শারীরিক ব্যায়াম করছি না, এবং এটি সাহায্য করার একটি উপায় হতে পারে (আমি কিছুদিন ধরে একটি প্রাপ্তবয়স্ক আইস হকি দলে যোগ দিতে চাইছিলাম, তাই "&amp;"আমি এটি করতে পারি)। যেকোনো পরামর্শ বা জীবনের গল্প অত্যন্ত প্রশংসা করা হবে। সবাইকে নববর্ষের শুভেচ্ছা!")</f>
        <v>আমার চাকরি নিয়ে চিন্তা না করার/উদ্বেগ না করার সবচেয়ে ভালো উপায়। সবাইকে হ্যালো! আমি এই পেজে নতুন, তাই যদি এটি এই পেজের জন্য উপযুক্ত না হয় তাহলে আমাকে জানান। আমি আমার কোম্পানিতে নতুন একটি পদ শুরু করেছি, এবং এটি এমন একটি বিষয় যার সাথে আমি উদ্বেগ এবং ক্রমাগত উদ্বেগের কারণে লড়াই করেছি। আমার কাজ হল শারীরিক আঘাতের দাবি নিষ্পত্তি করা, এবং আমি সবকিছু মূল্যায়ন করার সময় আমার সিদ্ধান্তগুলি নিয়ে ক্রমাগত চিন্তা করি এবং চাপ অনুভব করি। এই চাপ আমাকে নার্ভাস করে তোলে এবং আমাকে কর্মক্ষেত্রে কাজ ছেড়ে নিজের বা বাড়িতে আমার SO-এর উপর মনোযোগ দিতে দেয় না। কেউ কি জানেন কিভাবে উচ্চ চাপের চাকরি মোকাবেলা করতে হয়? আমি সম্প্রতি খুব বেশি শারীরিক ব্যায়াম করছি না, এবং এটি সাহায্য করার একটি উপায় হতে পারে (আমি কিছুদিন ধরে একটি প্রাপ্তবয়স্ক আইস হকি দলে যোগ দিতে চাইছিলাম, তাই আমি এটি করতে পারি)। যেকোনো পরামর্শ বা জীবনের গল্প অত্যন্ত প্রশংসা করা হবে। সবাইকে নববর্ষের শুভেচ্ছা!</v>
      </c>
    </row>
    <row r="2189" spans="1:3" ht="15" x14ac:dyDescent="0.25">
      <c r="A2189" s="3" t="s">
        <v>2182</v>
      </c>
      <c r="B2189" s="3" t="s">
        <v>1992</v>
      </c>
      <c r="C2189" s="4" t="str">
        <f ca="1">IFERROR(__xludf.DUMMYFUNCTION("GOOGLETRANSLATE(A2189, ""auto"", ""bn"")"),"উদ্বেগ এবং বমি বমি ভাব/বমি? তোমাদের মধ্যে কেউ কেউ কীভাবে এর কার্যকর চিকিৎসা করেছেন তা জানতে আমার আগ্রহ আছে। আমি ভাবছি এটা কি কেবল একটি সমস্যা নাকি দুটি পৃথক সমস্যা। প্রধান সমস্যা হল তীব্র উদ্বেগ, তীব্র বমি বমি ভাব, মাঝে মাঝে পেটে ব্যথা এবং ঘন ঘন বমি হওয়া"&amp;"। বছরে একবার হতে পারে, বছরে ৫ বারও হতে পারে। লক্ষণগুলি একদিন বা বেশ কয়েক দিন স্থায়ী হতে পারে, যার ফলে অস্থিরতা, ঘুমের অভাব এবং পানিশূন্যতা দেখা দেয়। স্ট্রেস এবং মাসিক সম্ভবত এক ধরণের ট্রিগার হতে পারে তবে অন্যথায় মনে হয় কোনও পর্বের ""অনুভূতি"" ছাড়া আ"&amp;"র কোনও প্যাটার্ন নেই যার পরে লক্ষণগুলি ধীরে ধীরে বৃদ্ধি পায়। বেশিরভাগ মৌখিক অ্যান্টিমেটিকগুলি কাজ করে না যখন এটি একটি পূর্ণ-বিকশিত পর্বে পরিণত হয় এবং তারপরে একবার বমি শুরু হয়, স্পষ্টতই কিছুই স্থির থাকে না। জোফ্রান, প্রোমেথাজিন, তুলনা ইত্যাদি জিনিস গ্রহ"&amp;"ণ করলে প্রভাব ধীর হতে পারে তবে সাধারণত গুরুতর ক্ষেত্রে এটি বন্ধ হয় না। আমরা মূলত অসংখ্য ডাক্তার, একজন জিআই বিশেষজ্ঞের কাছে গিয়েছি। অনেক কিছুই বাতিল করা হয়েছে, কিন্তু কখনও একটি নির্দিষ্ট রোগ নির্ণয় হয়নি। চিকিৎসাগতভাবে সবকিছু মূলত স্বাভাবিক। তাহলে আমার"&amp;" প্রশ্ন হল: কেউ কি একই রকম লক্ষণ অনুভব করেছেন, এবং কোন চিকিৎসা সবচেয়ে ভালো বলে প্রমাণিত হয়েছে?")</f>
        <v>উদ্বেগ এবং বমি বমি ভাব/বমি? তোমাদের মধ্যে কেউ কেউ কীভাবে এর কার্যকর চিকিৎসা করেছেন তা জানতে আমার আগ্রহ আছে। আমি ভাবছি এটা কি কেবল একটি সমস্যা নাকি দুটি পৃথক সমস্যা। প্রধান সমস্যা হল তীব্র উদ্বেগ, তীব্র বমি বমি ভাব, মাঝে মাঝে পেটে ব্যথা এবং ঘন ঘন বমি হওয়া। বছরে একবার হতে পারে, বছরে ৫ বারও হতে পারে। লক্ষণগুলি একদিন বা বেশ কয়েক দিন স্থায়ী হতে পারে, যার ফলে অস্থিরতা, ঘুমের অভাব এবং পানিশূন্যতা দেখা দেয়। স্ট্রেস এবং মাসিক সম্ভবত এক ধরণের ট্রিগার হতে পারে তবে অন্যথায় মনে হয় কোনও পর্বের "অনুভূতি" ছাড়া আর কোনও প্যাটার্ন নেই যার পরে লক্ষণগুলি ধীরে ধীরে বৃদ্ধি পায়। বেশিরভাগ মৌখিক অ্যান্টিমেটিকগুলি কাজ করে না যখন এটি একটি পূর্ণ-বিকশিত পর্বে পরিণত হয় এবং তারপরে একবার বমি শুরু হয়, স্পষ্টতই কিছুই স্থির থাকে না। জোফ্রান, প্রোমেথাজিন, তুলনা ইত্যাদি জিনিস গ্রহণ করলে প্রভাব ধীর হতে পারে তবে সাধারণত গুরুতর ক্ষেত্রে এটি বন্ধ হয় না। আমরা মূলত অসংখ্য ডাক্তার, একজন জিআই বিশেষজ্ঞের কাছে গিয়েছি। অনেক কিছুই বাতিল করা হয়েছে, কিন্তু কখনও একটি নির্দিষ্ট রোগ নির্ণয় হয়নি। চিকিৎসাগতভাবে সবকিছু মূলত স্বাভাবিক। তাহলে আমার প্রশ্ন হল: কেউ কি একই রকম লক্ষণ অনুভব করেছেন, এবং কোন চিকিৎসা সবচেয়ে ভালো বলে প্রমাণিত হয়েছে?</v>
      </c>
    </row>
    <row r="2190" spans="1:3" ht="15" x14ac:dyDescent="0.25">
      <c r="A2190" s="3" t="s">
        <v>2183</v>
      </c>
      <c r="B2190" s="3" t="s">
        <v>1992</v>
      </c>
      <c r="C2190" s="4" t="str">
        <f ca="1">IFERROR(__xludf.DUMMYFUNCTION("GOOGLETRANSLATE(A2190, ""auto"", ""bn"")"),"কেউ কি নিজেকে উত্তেজিত করে তোলা এবং রাগ করা (একরকম নিজেকে উত্তেজিত করা) সাময়িকভাবে উদ্বেগ দূর করে বলে মনে করেন? কেউ কি নিজেকে উত্তেজিত করে তোলা এবং রাগ করা উদ্বেগ দূর করে (একরকম নিজেকে উত্তেজিত করা) মনে করেন? আমি এটি খুঁজে পেয়েছি এবং ভাবছি যে অন্য কেউ ক"&amp;"ি এটিকে একটি বিশেষ উদ্বেগজনক পরিস্থিতির জন্য প্রস্তুত করার জন্য একটি কার্যকর উপায় বলে মনে করেন?")</f>
        <v>কেউ কি নিজেকে উত্তেজিত করে তোলা এবং রাগ করা (একরকম নিজেকে উত্তেজিত করা) সাময়িকভাবে উদ্বেগ দূর করে বলে মনে করেন? কেউ কি নিজেকে উত্তেজিত করে তোলা এবং রাগ করা উদ্বেগ দূর করে (একরকম নিজেকে উত্তেজিত করা) মনে করেন? আমি এটি খুঁজে পেয়েছি এবং ভাবছি যে অন্য কেউ কি এটিকে একটি বিশেষ উদ্বেগজনক পরিস্থিতির জন্য প্রস্তুত করার জন্য একটি কার্যকর উপায় বলে মনে করেন?</v>
      </c>
    </row>
    <row r="2191" spans="1:3" ht="15" x14ac:dyDescent="0.25">
      <c r="A2191" s="3" t="s">
        <v>2184</v>
      </c>
      <c r="B2191" s="3" t="s">
        <v>1992</v>
      </c>
      <c r="C2191" s="4" t="str">
        <f ca="1">IFERROR(__xludf.DUMMYFUNCTION("GOOGLETRANSLATE(A2191, ""auto"", ""bn"")"),"আমার বান্ধবীকে তার উদ্বেগ দূর করতে আমি কীভাবে সাহায্য করব? আমার বান্ধবী ডাক্তারের কাছে যাচ্ছে, এবং তার প্যানিক ডিসঅর্ডার ধরা পড়েছে। কিছু দিন সে দিনটির প্রশংসা করে এবং খুশি থাকে। কিন্তু অন্য দিন সে খুশি হয় না যদিও এটির জন্য সে উত্তেজিত ছিল। যেমন সে বলত "&amp;"""আমি আর যেতে আগ্রহী নই"" বা সেখানে থাকতে, এবং সে খুশি হত। দুঃখের বিষয় হতে, কিন্তু আমি উদ্বেগ সম্পর্কে ভালভাবে শিক্ষিত নই। কিছু ভুল এবং জিনিসপত্র ঘটছে তা নিয়ে তার ভয় থাকে এবং এটি খুব বিভ্রান্তিকর। কখনও কখনও এই সমস্ত তর্কের দিকে পরিচালিত করে, তবে এটি অন"&amp;"্য গল্প। সাহায্য করার জন্য আমার কী করা উচিত?")</f>
        <v>আমার বান্ধবীকে তার উদ্বেগ দূর করতে আমি কীভাবে সাহায্য করব? আমার বান্ধবী ডাক্তারের কাছে যাচ্ছে, এবং তার প্যানিক ডিসঅর্ডার ধরা পড়েছে। কিছু দিন সে দিনটির প্রশংসা করে এবং খুশি থাকে। কিন্তু অন্য দিন সে খুশি হয় না যদিও এটির জন্য সে উত্তেজিত ছিল। যেমন সে বলত "আমি আর যেতে আগ্রহী নই" বা সেখানে থাকতে, এবং সে খুশি হত। দুঃখের বিষয় হতে, কিন্তু আমি উদ্বেগ সম্পর্কে ভালভাবে শিক্ষিত নই। কিছু ভুল এবং জিনিসপত্র ঘটছে তা নিয়ে তার ভয় থাকে এবং এটি খুব বিভ্রান্তিকর। কখনও কখনও এই সমস্ত তর্কের দিকে পরিচালিত করে, তবে এটি অন্য গল্প। সাহায্য করার জন্য আমার কী করা উচিত?</v>
      </c>
    </row>
    <row r="2192" spans="1:3" ht="15" x14ac:dyDescent="0.25">
      <c r="A2192" s="3" t="s">
        <v>2185</v>
      </c>
      <c r="B2192" s="3" t="s">
        <v>1992</v>
      </c>
      <c r="C2192" s="4" t="str">
        <f ca="1">IFERROR(__xludf.DUMMYFUNCTION("GOOGLETRANSLATE(A2192, ""auto"", ""bn"")"),"আমি বুঝতে পারছি না কেন আমি এত উদ্বিগ্ন, নতুন বছর হওয়ায় আমি যেখানে কাজ করি সেখানে আমাকে আসতে বা ছুটি নেওয়ার বিকল্প দেওয়া হয়েছিল, ঠিক আছে, আমি সোমবার তাড়াতাড়ি চলে গিয়েছিলাম কারণ অনিদ্রা আবারও বেড়ে গেছে, এবং এটি আমার কর্মক্ষমতাকে মারাত্মকভাবে হ্রাস "&amp;"করেছে, এবং আজ আমার বিল্ডিং সুপারভাইজারের কাছ থেকে সোমবার তাড়াতাড়ি চলে যাওয়ার ক্ষতিপূরণ দেওয়ার জন্য অর্ধেক দিন কাজ করার অনুমতি পেয়েছি, এর কোনও অর্থ হয় না, এবং আমি আসলে কিছুটা কাঁপছি এটি টাইপ করছি।")</f>
        <v>আমি বুঝতে পারছি না কেন আমি এত উদ্বিগ্ন, নতুন বছর হওয়ায় আমি যেখানে কাজ করি সেখানে আমাকে আসতে বা ছুটি নেওয়ার বিকল্প দেওয়া হয়েছিল, ঠিক আছে, আমি সোমবার তাড়াতাড়ি চলে গিয়েছিলাম কারণ অনিদ্রা আবারও বেড়ে গেছে, এবং এটি আমার কর্মক্ষমতাকে মারাত্মকভাবে হ্রাস করেছে, এবং আজ আমার বিল্ডিং সুপারভাইজারের কাছ থেকে সোমবার তাড়াতাড়ি চলে যাওয়ার ক্ষতিপূরণ দেওয়ার জন্য অর্ধেক দিন কাজ করার অনুমতি পেয়েছি, এর কোনও অর্থ হয় না, এবং আমি আসলে কিছুটা কাঁপছি এটি টাইপ করছি।</v>
      </c>
    </row>
    <row r="2193" spans="1:3" ht="15" x14ac:dyDescent="0.25">
      <c r="A2193" s="3" t="s">
        <v>2186</v>
      </c>
      <c r="B2193" s="3" t="s">
        <v>1992</v>
      </c>
      <c r="C2193" s="4" t="str">
        <f ca="1">IFERROR(__xludf.DUMMYFUNCTION("GOOGLETRANSLATE(A2193, ""auto"", ""bn"")"),"খারাপ উদ্বেগ এবং আমার সম্পর্ক, কেউ কি বুঝতে পারছেন? এটা আসলে খুব একটা বড় ব্যাপার নয়, কিন্তু আমার একটা দীর্ঘ দূরত্বের সম্পর্ক আছে ধরণের সম্পর্ক। আমরা আসলে ডেটিং করছি না, কিন্তু আমি চলে যাওয়ার পরও আমরা যোগাযোগ রেখেছিলাম। আমি জানি সে আমাকে অনেক পছন্দ করে"&amp;"। একদিন সকালে আমি তার বাড়ি ছেড়ে যাওয়ার পর সে আমাকে তার লেখা একটি গানের সিডি দিয়েছিল। সে আমাকে একটি চিঠি দিয়েছিল যেখানে সে আমাকে কতটা পছন্দ করে সে সম্পর্কে লেখা ছিল। পরশু সে আমাকে বলেছিল যে সে আমাকে আবার দেখার স্বপ্ন দেখবে। সে খুব লাজুক, বিশ্রী এবং এক"&amp;"েবারেই ভূমিকার মানুষ নয়, তাই আমি জানি এটা সত্যি। আমি মোটামুটি বিপরীত। যদিও আমরা যখনই ফেসটাইম করি, এবং আমরা বেরিয়ে আসি, আমি সবসময় আমার কথাগুলো অতিরিক্ত ভাবি। আমার মনে হয় আমি খুব বিরক্তিকর এবং বিরক্তিকর। আমি সবসময় নিজেকে মারধর করি এবং ক্রমাগত নিশ্চিত ক"&amp;"রতে চাই যে সে আমাকে পছন্দ করে। তাকে ছেড়ে যাওয়ার সময় এসেছে, এমন একটি সম্পর্ক নিয়ে চাপ দেওয়ার কোনও মানে নেই যা দূরত্বের কারণে কাজ করবে না। আমার কেবল এটি কীভাবে করা উচিত নয় এবং এর সাথে সম্পর্কিত কেউ থাকলে পরামর্শ প্রয়োজন। ধন্যবাদ!")</f>
        <v>খারাপ উদ্বেগ এবং আমার সম্পর্ক, কেউ কি বুঝতে পারছেন? এটা আসলে খুব একটা বড় ব্যাপার নয়, কিন্তু আমার একটা দীর্ঘ দূরত্বের সম্পর্ক আছে ধরণের সম্পর্ক। আমরা আসলে ডেটিং করছি না, কিন্তু আমি চলে যাওয়ার পরও আমরা যোগাযোগ রেখেছিলাম। আমি জানি সে আমাকে অনেক পছন্দ করে। একদিন সকালে আমি তার বাড়ি ছেড়ে যাওয়ার পর সে আমাকে তার লেখা একটি গানের সিডি দিয়েছিল। সে আমাকে একটি চিঠি দিয়েছিল যেখানে সে আমাকে কতটা পছন্দ করে সে সম্পর্কে লেখা ছিল। পরশু সে আমাকে বলেছিল যে সে আমাকে আবার দেখার স্বপ্ন দেখবে। সে খুব লাজুক, বিশ্রী এবং একেবারেই ভূমিকার মানুষ নয়, তাই আমি জানি এটা সত্যি। আমি মোটামুটি বিপরীত। যদিও আমরা যখনই ফেসটাইম করি, এবং আমরা বেরিয়ে আসি, আমি সবসময় আমার কথাগুলো অতিরিক্ত ভাবি। আমার মনে হয় আমি খুব বিরক্তিকর এবং বিরক্তিকর। আমি সবসময় নিজেকে মারধর করি এবং ক্রমাগত নিশ্চিত করতে চাই যে সে আমাকে পছন্দ করে। তাকে ছেড়ে যাওয়ার সময় এসেছে, এমন একটি সম্পর্ক নিয়ে চাপ দেওয়ার কোনও মানে নেই যা দূরত্বের কারণে কাজ করবে না। আমার কেবল এটি কীভাবে করা উচিত নয় এবং এর সাথে সম্পর্কিত কেউ থাকলে পরামর্শ প্রয়োজন। ধন্যবাদ!</v>
      </c>
    </row>
    <row r="2194" spans="1:3" ht="15" x14ac:dyDescent="0.25">
      <c r="A2194" s="3" t="s">
        <v>2187</v>
      </c>
      <c r="B2194" s="3" t="s">
        <v>1992</v>
      </c>
      <c r="C2194" s="4" t="str">
        <f ca="1">IFERROR(__xludf.DUMMYFUNCTION("GOOGLETRANSLATE(A2194, ""auto"", ""bn"")"),"যারা ADHD এবং ভয়-ভিত্তিক উদ্বেগে ভুগছেন, তারা আপনার শহর ছেড়ে নতুন জায়গায় নতুন জীবন শুরু করার জন্য কোন ছোট পদক্ষেপ নিয়েছেন? স্থানান্তরের আয়োজন করার সময় আমার মাথাব্যথা হয় এবং প্রথমে কী পদক্ষেপ নিতে হবে।")</f>
        <v>যারা ADHD এবং ভয়-ভিত্তিক উদ্বেগে ভুগছেন, তারা আপনার শহর ছেড়ে নতুন জায়গায় নতুন জীবন শুরু করার জন্য কোন ছোট পদক্ষেপ নিয়েছেন? স্থানান্তরের আয়োজন করার সময় আমার মাথাব্যথা হয় এবং প্রথমে কী পদক্ষেপ নিতে হবে।</v>
      </c>
    </row>
    <row r="2195" spans="1:3" ht="15" x14ac:dyDescent="0.25">
      <c r="A2195" s="3" t="s">
        <v>2188</v>
      </c>
      <c r="B2195" s="3" t="s">
        <v>1992</v>
      </c>
      <c r="C2195" s="4" t="str">
        <f ca="1">IFERROR(__xludf.DUMMYFUNCTION("GOOGLETRANSLATE(A2195, ""auto"", ""bn"")"),"গেমিং জগতে কেউ কি কখনও ভিডিও গেম খেলার সাথে বন্ধুত্ব করে, কিন্তু একবার যখন তুমি তাদের বন্ধু হিসেবে যুক্ত করো এবং প্রথমবার একসাথে খেলা বন্ধ করে দাও, তখন আর কখনোই একে অপরের সাথে কথা বলো না বা খেলো না? PSN-এ আমার বন্ধু তালিকা শত শত কিন্তু আমি কেবল একজন একক ব"&amp;"ন্ধুর সাথেই খেলি (যাকে আমি বাস্তব জীবনে বছরের পর বছর ধরে চিনি)। আমি জানি না কেন আমি এটা করি।")</f>
        <v>গেমিং জগতে কেউ কি কখনও ভিডিও গেম খেলার সাথে বন্ধুত্ব করে, কিন্তু একবার যখন তুমি তাদের বন্ধু হিসেবে যুক্ত করো এবং প্রথমবার একসাথে খেলা বন্ধ করে দাও, তখন আর কখনোই একে অপরের সাথে কথা বলো না বা খেলো না? PSN-এ আমার বন্ধু তালিকা শত শত কিন্তু আমি কেবল একজন একক বন্ধুর সাথেই খেলি (যাকে আমি বাস্তব জীবনে বছরের পর বছর ধরে চিনি)। আমি জানি না কেন আমি এটা করি।</v>
      </c>
    </row>
    <row r="2196" spans="1:3" ht="15" x14ac:dyDescent="0.25">
      <c r="A2196" s="3" t="s">
        <v>2189</v>
      </c>
      <c r="B2196" s="3" t="s">
        <v>1992</v>
      </c>
      <c r="C2196" s="4" t="str">
        <f ca="1">IFERROR(__xludf.DUMMYFUNCTION("GOOGLETRANSLATE(A2196, ""auto"", ""bn"")"),"আমার মেজাজ/অনুভূতি কয়েক মিনিটের মধ্যেই বদলে যায়?? তাহলে গত কয়েক মাস ধরে আমার উদ্বেগ বেশ খারাপ (কয়েক বছর ধরে এরকম হয়নি)। আমি এটাও লক্ষ্য করেছি যে আমার মেজাজ কয়েক মিনিটের মধ্যেই আক্ষরিক অর্থেই বদলে যায়। আমি এক মুহূর্তের মধ্যেই খুশি, ইতিবাচক, অনুপ্রাণ"&amp;"িত এবং সন্তুষ্ট হতে পারি.... তারপর ৫ মিনিটও না যেতেই, আমি নেতিবাচক চিন্তা করব, খুশি হব না, আমার শখ করার জন্য কোনও প্রেরণা থাকবে না, ইত্যাদি। LSD সেবন করলে এটি 3 গুণ খারাপ হয়ে যায়। আমি সুখের তীব্র অনুভূতি থেকে আনন্দের শিবিরে যেতে পারি; এমন একটি নেতিবাচক "&amp;"হেডস্পেসে যেখানে আমি কেবল ইতিবাচক হতে পারি না। আমি নিশ্চিত নই যে এটি আসলে কী হতে পারে কারণ আমি দুঃখিত নই এবং মেজাজের সমস্যা ছাড়াও আমি কোনও ক্লিনিকাল ডিপ্রেশন লক্ষণ প্রকাশ করি না। তোমাদের মধ্যে কেউ কি এর মধ্য দিয়ে যাও? এই সব কি কেবল উদ্বেগ আমার চিন্তাভাব"&amp;"না নিয়ন্ত্রণ করার মতো সহজ কিছু হতে পারে? যাই হোক, কোনও ধরণের রোগ নির্ণয়ের জন্য জিজ্ঞাসা করছি না... শুধু মতামত এবং অভিজ্ঞতা!")</f>
        <v>আমার মেজাজ/অনুভূতি কয়েক মিনিটের মধ্যেই বদলে যায়?? তাহলে গত কয়েক মাস ধরে আমার উদ্বেগ বেশ খারাপ (কয়েক বছর ধরে এরকম হয়নি)। আমি এটাও লক্ষ্য করেছি যে আমার মেজাজ কয়েক মিনিটের মধ্যেই আক্ষরিক অর্থেই বদলে যায়। আমি এক মুহূর্তের মধ্যেই খুশি, ইতিবাচক, অনুপ্রাণিত এবং সন্তুষ্ট হতে পারি.... তারপর ৫ মিনিটও না যেতেই, আমি নেতিবাচক চিন্তা করব, খুশি হব না, আমার শখ করার জন্য কোনও প্রেরণা থাকবে না, ইত্যাদি। LSD সেবন করলে এটি 3 গুণ খারাপ হয়ে যায়। আমি সুখের তীব্র অনুভূতি থেকে আনন্দের শিবিরে যেতে পারি; এমন একটি নেতিবাচক হেডস্পেসে যেখানে আমি কেবল ইতিবাচক হতে পারি না। আমি নিশ্চিত নই যে এটি আসলে কী হতে পারে কারণ আমি দুঃখিত নই এবং মেজাজের সমস্যা ছাড়াও আমি কোনও ক্লিনিকাল ডিপ্রেশন লক্ষণ প্রকাশ করি না। তোমাদের মধ্যে কেউ কি এর মধ্য দিয়ে যাও? এই সব কি কেবল উদ্বেগ আমার চিন্তাভাবনা নিয়ন্ত্রণ করার মতো সহজ কিছু হতে পারে? যাই হোক, কোনও ধরণের রোগ নির্ণয়ের জন্য জিজ্ঞাসা করছি না... শুধু মতামত এবং অভিজ্ঞতা!</v>
      </c>
    </row>
    <row r="2197" spans="1:3" ht="15" x14ac:dyDescent="0.25">
      <c r="A2197" s="3" t="s">
        <v>2190</v>
      </c>
      <c r="B2197" s="3" t="s">
        <v>1992</v>
      </c>
      <c r="C2197" s="4" t="str">
        <f ca="1">IFERROR(__xludf.DUMMYFUNCTION("GOOGLETRANSLATE(A2197, ""auto"", ""bn"")"),"ঘুম থেকে ওঠার পর উদ্বেগ আরও তীব্র হয়। আর কারো কি এই সমস্যা আছে? জ্ঞান ফেরার সাথে সাথেই আমার মনে হয়, আমার মধ্যে একধরনের উদ্বেগের ঝড় বইছে যা প্রায় আধ ঘন্টা স্থায়ী হয়। উদ্বেগের কম্বলের মতো কিছু কি এতে সাহায্য করবে? ঘুম থেকে উঠতে আমার প্রায় ভয় লাগে...")</f>
        <v>ঘুম থেকে ওঠার পর উদ্বেগ আরও তীব্র হয়। আর কারো কি এই সমস্যা আছে? জ্ঞান ফেরার সাথে সাথেই আমার মনে হয়, আমার মধ্যে একধরনের উদ্বেগের ঝড় বইছে যা প্রায় আধ ঘন্টা স্থায়ী হয়। উদ্বেগের কম্বলের মতো কিছু কি এতে সাহায্য করবে? ঘুম থেকে উঠতে আমার প্রায় ভয় লাগে...</v>
      </c>
    </row>
    <row r="2198" spans="1:3" ht="15" x14ac:dyDescent="0.25">
      <c r="A2198" s="3" t="s">
        <v>2191</v>
      </c>
      <c r="B2198" s="3" t="s">
        <v>1992</v>
      </c>
      <c r="C2198" s="4" t="str">
        <f ca="1">IFERROR(__xludf.DUMMYFUNCTION("GOOGLETRANSLATE(A2198, ""auto"", ""bn"")"),"নেটফ্লিক্স শো কি উদ্বেগ দূর করবে? হ্যালো সবাই! আমার বেশ কিছু দিন খুব খারাপ কেটেছে যখন আমি খুব একটা অস্থির বোধ করছিলাম। আমি শুয়ে শুয়ে আমার কিছু স্বাভাবিক অনুষ্ঠান দেখছিলাম, এবং তারপর বুঝতে পারছিলাম যে সেগুলো আমার পেটের গর্তের সমস্যা সমাধানে সাহায্য করছে "&amp;"না। তাই, আমি কয়েকটি অনুষ্ঠান দেখছিলাম, এবং জানতে চেয়েছিলাম যে, যদি থাকে, তাহলে কোনটি দেখতে পছন্দ করো? আমি (অবশ্যই) বব রসের সৃষ্টিতে মনোযোগ দিতে চাই, এবং অবশ্যই তার কণ্ঠস্বরে। এছাড়াও গ্রেট ব্রিটিশ বেকিং শো বারবার দেখছিলাম। এই অনুষ্ঠানটিতে দেখার জন্য অনে"&amp;"ক আকর্ষণীয় জিনিস আছে, কিন্তু আরও গুরুত্বপূর্ণ বিষয় হল, এটি আমাকে মানবতা সম্পর্কে এক ধরণের উষ্ণ অনুভূতি দেয়। এটি আমাদের ভয়ঙ্কর মার্কিন রান্নার অনুষ্ঠানের মতো নয় যেখানে সবাই একে অপরের দিকে চিৎকার করে। তাহলে, এই দুটি ছিল আমার প্রধান দুটি। তোমরা কী দেখো "&amp;"যা সত্যিই তোমাদের মনোযোগ আকর্ষণ করতে পারে অথবা মানবতার প্রতি তোমার বিশ্বাস ফিরিয়ে আনতে পারে?")</f>
        <v>নেটফ্লিক্স শো কি উদ্বেগ দূর করবে? হ্যালো সবাই! আমার বেশ কিছু দিন খুব খারাপ কেটেছে যখন আমি খুব একটা অস্থির বোধ করছিলাম। আমি শুয়ে শুয়ে আমার কিছু স্বাভাবিক অনুষ্ঠান দেখছিলাম, এবং তারপর বুঝতে পারছিলাম যে সেগুলো আমার পেটের গর্তের সমস্যা সমাধানে সাহায্য করছে না। তাই, আমি কয়েকটি অনুষ্ঠান দেখছিলাম, এবং জানতে চেয়েছিলাম যে, যদি থাকে, তাহলে কোনটি দেখতে পছন্দ করো? আমি (অবশ্যই) বব রসের সৃষ্টিতে মনোযোগ দিতে চাই, এবং অবশ্যই তার কণ্ঠস্বরে। এছাড়াও গ্রেট ব্রিটিশ বেকিং শো বারবার দেখছিলাম। এই অনুষ্ঠানটিতে দেখার জন্য অনেক আকর্ষণীয় জিনিস আছে, কিন্তু আরও গুরুত্বপূর্ণ বিষয় হল, এটি আমাকে মানবতা সম্পর্কে এক ধরণের উষ্ণ অনুভূতি দেয়। এটি আমাদের ভয়ঙ্কর মার্কিন রান্নার অনুষ্ঠানের মতো নয় যেখানে সবাই একে অপরের দিকে চিৎকার করে। তাহলে, এই দুটি ছিল আমার প্রধান দুটি। তোমরা কী দেখো যা সত্যিই তোমাদের মনোযোগ আকর্ষণ করতে পারে অথবা মানবতার প্রতি তোমার বিশ্বাস ফিরিয়ে আনতে পারে?</v>
      </c>
    </row>
    <row r="2199" spans="1:3" ht="15" x14ac:dyDescent="0.25">
      <c r="A2199" s="3" t="s">
        <v>2192</v>
      </c>
      <c r="B2199" s="3" t="s">
        <v>1992</v>
      </c>
      <c r="C2199" s="4" t="str">
        <f ca="1">IFERROR(__xludf.DUMMYFUNCTION("GOOGLETRANSLATE(A2199, ""auto"", ""bn"")"),"সুপারিশ? হ্যালো বন্ধুরা। এই বিষয়ে একটু নতুন কিন্তু ভেবেছিলাম কিছু ধারণা এবং পরামর্শ পাওয়ার জন্য এটি একটি ভালো জায়গা হতে পারে। সম্প্রতি আমার উদ্বেগ আরও বেশি দেখা যাচ্ছে, এবং আমি তা এড়াতে পারছি না। এটি সত্যিই আমার মিথস্ক্রিয়াকে প্রভাবিত করছে, এবং আমি ক"&amp;"ী করব তা নিশ্চিত নই। আসল সমস্যা হল আমার সমস্ত মোকাবেলার ব্যায়াম কাজ করছে বলে মনে হচ্ছে না। আমি সাধারণত কিছু শ্বাস-প্রশ্বাসের কাজ করি, এবং এটি আমাকে শান্ত করে বলে মনে হয় না। আমি তোমাদের জন্য কী কাজ করে তা শুনতে চাই! তাছাড়া, আমি এমন জিনিস পছন্দ করব যা আম"&amp;"ি কিছু না খেয়ে স্বাভাবিকভাবে করতে পারি, তবে আমি কী তা নির্ভর করে জিনিস গ্রহণ করতেও প্রস্তুত। এটি পড়ার জন্য এবং আমার কথা শোনার জন্য সময় দেওয়ার জন্য ধন্যবাদ। সকলের জন্য শুভ নববর্ষ এবং শান্তি।")</f>
        <v>সুপারিশ? হ্যালো বন্ধুরা। এই বিষয়ে একটু নতুন কিন্তু ভেবেছিলাম কিছু ধারণা এবং পরামর্শ পাওয়ার জন্য এটি একটি ভালো জায়গা হতে পারে। সম্প্রতি আমার উদ্বেগ আরও বেশি দেখা যাচ্ছে, এবং আমি তা এড়াতে পারছি না। এটি সত্যিই আমার মিথস্ক্রিয়াকে প্রভাবিত করছে, এবং আমি কী করব তা নিশ্চিত নই। আসল সমস্যা হল আমার সমস্ত মোকাবেলার ব্যায়াম কাজ করছে বলে মনে হচ্ছে না। আমি সাধারণত কিছু শ্বাস-প্রশ্বাসের কাজ করি, এবং এটি আমাকে শান্ত করে বলে মনে হয় না। আমি তোমাদের জন্য কী কাজ করে তা শুনতে চাই! তাছাড়া, আমি এমন জিনিস পছন্দ করব যা আমি কিছু না খেয়ে স্বাভাবিকভাবে করতে পারি, তবে আমি কী তা নির্ভর করে জিনিস গ্রহণ করতেও প্রস্তুত। এটি পড়ার জন্য এবং আমার কথা শোনার জন্য সময় দেওয়ার জন্য ধন্যবাদ। সকলের জন্য শুভ নববর্ষ এবং শান্তি।</v>
      </c>
    </row>
    <row r="2200" spans="1:3" ht="15" x14ac:dyDescent="0.25">
      <c r="A2200" s="3" t="s">
        <v>2193</v>
      </c>
      <c r="B2200" s="3" t="s">
        <v>1992</v>
      </c>
      <c r="C2200" s="4" t="str">
        <f ca="1">IFERROR(__xludf.DUMMYFUNCTION("GOOGLETRANSLATE(A2200, ""auto"", ""bn"")"),"আমি আমার জীবনের যে ভয়ের সাথে ১৭ বছর ধরে লড়াই করে আসছি, তা কাটিয়ে উঠতে পেরেছি। গত ১৭ বছর ধরে বমি বমি ভাবের ভয়ে আমি ভীত। বমি বমি ভাবের ভয়ে আমি এতটাই ভীত থাকতাম যে আমার প্যানিক অ্যাটাক হতো। ছোটবেলায় একটা রেস্তোরাঁয় হঠাৎ বমি বমি ভাব হতো, আর তখন থেকেই এ"&amp;"টা আমাকে ক্ষতবিক্ষত করে তুলতো। আজ রাতে আমার মনে হয় আমার কিছু একটা হয়েছিল এবং আমার জীবনের সবচেয়ে খারাপ প্যানিক অ্যাটাক হয়েছিল এবং শেষ পর্যন্ত বমি বমি ভাব হয়েছিল। যদিও এটা মোটেও সুখকর নয়, তবুও জীবনের বেশিরভাগ সময় যতটা ভয় পেয়েছিলাম, ততটা খারাপ নয়। "&amp;"তাই যদিও আমি এখন বেশ দুঃখী, তবুও বমি বমি ভাব কাটিয়ে উঠতে পেরে আমি কৃতিত্বের অনুভূতি পাচ্ছি।")</f>
        <v>আমি আমার জীবনের যে ভয়ের সাথে ১৭ বছর ধরে লড়াই করে আসছি, তা কাটিয়ে উঠতে পেরেছি। গত ১৭ বছর ধরে বমি বমি ভাবের ভয়ে আমি ভীত। বমি বমি ভাবের ভয়ে আমি এতটাই ভীত থাকতাম যে আমার প্যানিক অ্যাটাক হতো। ছোটবেলায় একটা রেস্তোরাঁয় হঠাৎ বমি বমি ভাব হতো, আর তখন থেকেই এটা আমাকে ক্ষতবিক্ষত করে তুলতো। আজ রাতে আমার মনে হয় আমার কিছু একটা হয়েছিল এবং আমার জীবনের সবচেয়ে খারাপ প্যানিক অ্যাটাক হয়েছিল এবং শেষ পর্যন্ত বমি বমি ভাব হয়েছিল। যদিও এটা মোটেও সুখকর নয়, তবুও জীবনের বেশিরভাগ সময় যতটা ভয় পেয়েছিলাম, ততটা খারাপ নয়। তাই যদিও আমি এখন বেশ দুঃখী, তবুও বমি বমি ভাব কাটিয়ে উঠতে পেরে আমি কৃতিত্বের অনুভূতি পাচ্ছি।</v>
      </c>
    </row>
    <row r="2201" spans="1:3" ht="15" x14ac:dyDescent="0.25">
      <c r="A2201" s="3" t="s">
        <v>2194</v>
      </c>
      <c r="B2201" s="3" t="s">
        <v>1992</v>
      </c>
      <c r="C2201" s="4" t="str">
        <f ca="1">IFERROR(__xludf.DUMMYFUNCTION("GOOGLETRANSLATE(A2201, ""auto"", ""bn"")"),"শুভ নববর্ষ, বন্ধুরা! আমাদের মধ্যে কতজন বর্তমানে ক্ষুধার্ত, গত রাতে তারা কতটা মাতাল হয়েছিল তা নিয়ে ভয়ানক উদ্বেগে ভুগছি? *ধীরে ধীরে হাত তোলে* আমি কীভাবে বাড়ি ফিরেছিলাম তার বিস্তারিত মনে নেই, আমি শুধু জানি আমার জামাকাপড় কাদা লেগেছিল, এখানে-সেখানে কিছু আ"&amp;"ঁচড় ছিল, এবং ঘুম থেকে ওঠার সময় আমার ফোনের ছবিতে একটি গাছের লো-অ্যাঙ্গেল ছবি ছিল ???????????????? এই বছর পানীয়টি ফেলে দিতে পেরে খুব খুশি হলাম হা হা। আমি যখন আমার ডাভেটের নীচে লুকিয়ে থাকি তখন যদি কেউ তাদের ভৌতিক গল্পগুলি আমার সাথে শেয়ার করতে চায় তবে ত"&amp;"া দুর্দান্ত হবে ????")</f>
        <v>শুভ নববর্ষ, বন্ধুরা! আমাদের মধ্যে কতজন বর্তমানে ক্ষুধার্ত, গত রাতে তারা কতটা মাতাল হয়েছিল তা নিয়ে ভয়ানক উদ্বেগে ভুগছি? *ধীরে ধীরে হাত তোলে* আমি কীভাবে বাড়ি ফিরেছিলাম তার বিস্তারিত মনে নেই, আমি শুধু জানি আমার জামাকাপড় কাদা লেগেছিল, এখানে-সেখানে কিছু আঁচড় ছিল, এবং ঘুম থেকে ওঠার সময় আমার ফোনের ছবিতে একটি গাছের লো-অ্যাঙ্গেল ছবি ছিল ???????????????? এই বছর পানীয়টি ফেলে দিতে পেরে খুব খুশি হলাম হা হা। আমি যখন আমার ডাভেটের নীচে লুকিয়ে থাকি তখন যদি কেউ তাদের ভৌতিক গল্পগুলি আমার সাথে শেয়ার করতে চায় তবে তা দুর্দান্ত হবে ????</v>
      </c>
    </row>
    <row r="2202" spans="1:3" ht="15" x14ac:dyDescent="0.25">
      <c r="A2202" s="3" t="s">
        <v>2195</v>
      </c>
      <c r="B2202" s="3" t="s">
        <v>1992</v>
      </c>
      <c r="C2202" s="4" t="str">
        <f ca="1">IFERROR(__xludf.DUMMYFUNCTION("GOOGLETRANSLATE(A2202, ""auto"", ""bn"")"),"নিউ ইয়র্ক সিটিতে বসবাসকারী সদস্যদের জন্য সহায়তা গোষ্ঠীর সভা ম্যানহাটন অ্যাডাল্ট ADD সহায়তা গোষ্ঠীর ২০১৯ সালের প্রথম সভা বৃহস্পতিবার, ৩ জানুয়ারী, ২০১৯, সন্ধ্যা ৬:০০ টায় অনুষ্ঠিত হবে এবং আমরা একটি সাধারণ সহায়তা গোষ্ঠীর সভা দিয়ে নতুন বছর শুরু করব। আমা"&amp;"দের সভায় অংশগ্রহণকারী সদস্যরা একটি সংক্ষিপ্ত ভূমিকা দেওয়ার এবং তাদের গল্প গ্রুপের সাথে ভাগ করে নেওয়ার সুযোগ পাবেন। গ্রুপের সদস্যরা প্রতিক্রিয়া জানাবেন এবং একটি সংক্ষিপ্ত সংলাপে অংশগ্রহণ করবেন। এই সংলাপটি মানুষকে অন্যদের সাথে তাদের কী মিল রয়েছে তা দেখ"&amp;"ার, তাদের কৌশলগুলি এবং তাদের চ্যালেঞ্জ মোকাবেলায় ব্যক্তিগত সাফল্যগুলি ভাগ করে নেওয়ার সুযোগ দেয়। আমাদের লক্ষ্য হল ADD/ADHD আক্রান্ত প্রাপ্তবয়স্কদের জন্য একটি সহায়ক সম্প্রদায় তৈরি করা। আমরা এমন লোকদেরও পাই যাদের উদ্বেগ শিবির; OCD এর মতো সমস্যা রয়েছে।"&amp;" আমাদের সভাগুলি 245 ওয়েস্ট 77 তম স্ট্রিটে অবস্থিত ওয়েস্ট এন্ড কলেজিয়েট চার্চে (পাবলিক অডিটোরিয়াম) (ব্রডওয়ে ক্যাম্পের মধ্যে; ওয়েস্ট এন্ড অ্যাভিনিউ - রাস্তার উত্তর দিকে) অনুষ্ঠিত হয়। গ্রুপের খরচ মেটাতে সাহায্য করার জন্য আমরা আমাদের সভাগুলিতে $5.00 অন"&amp;"ুদানের অনুরোধ করছি। সভায় সকলের সাথে দেখা করার জন্য আমরা উন্মুখ।")</f>
        <v>নিউ ইয়র্ক সিটিতে বসবাসকারী সদস্যদের জন্য সহায়তা গোষ্ঠীর সভা ম্যানহাটন অ্যাডাল্ট ADD সহায়তা গোষ্ঠীর ২০১৯ সালের প্রথম সভা বৃহস্পতিবার, ৩ জানুয়ারী, ২০১৯, সন্ধ্যা ৬:০০ টায় অনুষ্ঠিত হবে এবং আমরা একটি সাধারণ সহায়তা গোষ্ঠীর সভা দিয়ে নতুন বছর শুরু করব। আমাদের সভায় অংশগ্রহণকারী সদস্যরা একটি সংক্ষিপ্ত ভূমিকা দেওয়ার এবং তাদের গল্প গ্রুপের সাথে ভাগ করে নেওয়ার সুযোগ পাবেন। গ্রুপের সদস্যরা প্রতিক্রিয়া জানাবেন এবং একটি সংক্ষিপ্ত সংলাপে অংশগ্রহণ করবেন। এই সংলাপটি মানুষকে অন্যদের সাথে তাদের কী মিল রয়েছে তা দেখার, তাদের কৌশলগুলি এবং তাদের চ্যালেঞ্জ মোকাবেলায় ব্যক্তিগত সাফল্যগুলি ভাগ করে নেওয়ার সুযোগ দেয়। আমাদের লক্ষ্য হল ADD/ADHD আক্রান্ত প্রাপ্তবয়স্কদের জন্য একটি সহায়ক সম্প্রদায় তৈরি করা। আমরা এমন লোকদেরও পাই যাদের উদ্বেগ শিবির; OCD এর মতো সমস্যা রয়েছে। আমাদের সভাগুলি 245 ওয়েস্ট 77 তম স্ট্রিটে অবস্থিত ওয়েস্ট এন্ড কলেজিয়েট চার্চে (পাবলিক অডিটোরিয়াম) (ব্রডওয়ে ক্যাম্পের মধ্যে; ওয়েস্ট এন্ড অ্যাভিনিউ - রাস্তার উত্তর দিকে) অনুষ্ঠিত হয়। গ্রুপের খরচ মেটাতে সাহায্য করার জন্য আমরা আমাদের সভাগুলিতে $5.00 অনুদানের অনুরোধ করছি। সভায় সকলের সাথে দেখা করার জন্য আমরা উন্মুখ।</v>
      </c>
    </row>
    <row r="2203" spans="1:3" ht="15" x14ac:dyDescent="0.25">
      <c r="A2203" s="3" t="s">
        <v>2196</v>
      </c>
      <c r="B2203" s="3" t="s">
        <v>1992</v>
      </c>
      <c r="C2203" s="4" t="str">
        <f ca="1">IFERROR(__xludf.DUMMYFUNCTION("GOOGLETRANSLATE(A2203, ""auto"", ""bn"")"),"আশ্বাসের প্রয়োজন - ভয়ে আছি, আমার বাবার মতোই হয়ে যাব, যার PTSD/সিজোফ্রেনিয়া আছে। গত ৬ মাসে, আমি ডিরিয়ালাইজেশন এবং উদ্বেগের সাথে সত্যিই কঠিনভাবে লড়াই করেছি; গত কয়েক সপ্তাহে, পরবর্তীকালের আরও বেশি। এর সাথে ভয়ঙ্কর, অনুপ্রবেশকারী চিন্তাভাবনা, তীব্র উত্তেজনা এ"&amp;"বং আতঙ্কের এলোমেলো উত্থান, সর্বনাশ/শূন্যতার একটি সাধারণ অনুভূতি এবং আরও অনেক মজার জিনিস সম্পর্কে আবেশী চিন্তাভাবনা রয়েছে। যাই হোক, আমার জীবনের বেশিরভাগ সময়, আমার বাবা PTSD-তে কাটিয়েছেন, আগে সিজোফ্রেনিয়া ধরা পড়েছিল, তার প্রাথমিক বছরগুলিতে একটি ভয়াবহ অ"&amp;"স্থির, অপমানজনক এবং আঘাতমূলক লালন-পালনের ফলে। এই অসুস্থতার সাথে তার সবচেয়ে প্রধান সংগ্রাম হল যে তিনি এমন কণ্ঠস্বর (শ্রবণ/মৌখিক হ্যালুসিনেশন) শুনতে পান যা খুব বাস্তববাদী বলে মনে হয় এবং প্রতিকূল এবং আক্রমণাত্মক, এবং তিনি এলোমেলো জিনিস সম্পর্কে ভয়ঙ্কর/সন্দ"&amp;"েহজনকও। আমি তার এই অসুস্থতার কিছু অন্ধকার পর্ব এবং সময়কালের মধ্য দিয়ে বেঁচে আছি এবং তাকে কিছু পাগলাটে, উদ্বেগজনক, হৃদয়বিদারক এবং ক্রোধজনক কাজ করতে দেখেছি, শুনেছি এবং অভিজ্ঞতা অর্জন করেছি, এবং আমি বিশ্বাস করি যে দীর্ঘস্থায়ী এবং ক্রমাগত পরিমাণে এই জিনিস"&amp;"গুলির শিকার হওয়ার ফলে, এটি বছরের পর বছর ধরে আমার কিছু হালকা উদ্বেগের সমস্যা তৈরি করেছে, তবে, গত 6 মাসে, হঠাৎ করেই, এটি অত্যন্ত খারাপ হয়ে গেছে, আমার ডিরিয়েলাইজেশনের সাথে। সে এখন 2 বছরের বেশির ভাগ সময় ধরে তুলনামূলকভাবে অনেক বেশি স্থিতিশীল অবস্থায় ছিল, "&amp;"কিন্তু এখন সাম্প্রতিক সময়ে, আমার এই আবেগপ্রবণ, ভীতিকর, ভয়ঙ্কর ভয় আছে যে আমিও এমন জিনিস শুনতে শুরু করব যা সেখানে নেই এবং মূলত আমার বাবার মতো শেষ হয়ে যাব। এটি আমাকে অবিশ্বাস্য যন্ত্রণা এবং আতঙ্কের কারণ করে, এবং আমি ক্রমাগত এই অশুভ অনুভূতিতে জর্জরিত থাকি"&amp;" এবং সূক্ষ্ম, আরও শান্ত শব্দের বাস্তবতা নিয়ে প্রশ্ন তুলি, এই ভয়ে যে আমি সেগুলি কল্পনা করছি (যেমন ছোট শব্দ, যেমন ঘরে চিৎকার, উচ্চ ফ্রিকোয়েন্সি ইত্যাদি)। কেউ কি আমাকে বলতে পারবেন কিভাবে এই নির্মম চিন্তাভাবনা বন্ধ করা যায় এবং আপনার বাবা-মায় যদি PTSD/সিজোফ"&amp;"্রেনিয়া থাকে তাহলে (আমি জানি এটা অযৌক্তিক শোনাচ্ছে) PTSD/সিজোফ্রেনিয়া হওয়ার সম্ভাবনা কতটুকু তাও ব্যাখ্যা করতে পারেন? ধন্যবাদ এবং দীর্ঘ পোস্টের জন্য দুঃখিত।")</f>
        <v>আশ্বাসের প্রয়োজন - ভয়ে আছি, আমার বাবার মতোই হয়ে যাব, যার PTSD/সিজোফ্রেনিয়া আছে। গত ৬ মাসে, আমি ডিরিয়ালাইজেশন এবং উদ্বেগের সাথে সত্যিই কঠিনভাবে লড়াই করেছি; গত কয়েক সপ্তাহে, পরবর্তীকালের আরও বেশি। এর সাথে ভয়ঙ্কর, অনুপ্রবেশকারী চিন্তাভাবনা, তীব্র উত্তেজনা এবং আতঙ্কের এলোমেলো উত্থান, সর্বনাশ/শূন্যতার একটি সাধারণ অনুভূতি এবং আরও অনেক মজার জিনিস সম্পর্কে আবেশী চিন্তাভাবনা রয়েছে। যাই হোক, আমার জীবনের বেশিরভাগ সময়, আমার বাবা PTSD-তে কাটিয়েছেন, আগে সিজোফ্রেনিয়া ধরা পড়েছিল, তার প্রাথমিক বছরগুলিতে একটি ভয়াবহ অস্থির, অপমানজনক এবং আঘাতমূলক লালন-পালনের ফলে। এই অসুস্থতার সাথে তার সবচেয়ে প্রধান সংগ্রাম হল যে তিনি এমন কণ্ঠস্বর (শ্রবণ/মৌখিক হ্যালুসিনেশন) শুনতে পান যা খুব বাস্তববাদী বলে মনে হয় এবং প্রতিকূল এবং আক্রমণাত্মক, এবং তিনি এলোমেলো জিনিস সম্পর্কে ভয়ঙ্কর/সন্দেহজনকও। আমি তার এই অসুস্থতার কিছু অন্ধকার পর্ব এবং সময়কালের মধ্য দিয়ে বেঁচে আছি এবং তাকে কিছু পাগলাটে, উদ্বেগজনক, হৃদয়বিদারক এবং ক্রোধজনক কাজ করতে দেখেছি, শুনেছি এবং অভিজ্ঞতা অর্জন করেছি, এবং আমি বিশ্বাস করি যে দীর্ঘস্থায়ী এবং ক্রমাগত পরিমাণে এই জিনিসগুলির শিকার হওয়ার ফলে, এটি বছরের পর বছর ধরে আমার কিছু হালকা উদ্বেগের সমস্যা তৈরি করেছে, তবে, গত 6 মাসে, হঠাৎ করেই, এটি অত্যন্ত খারাপ হয়ে গেছে, আমার ডিরিয়েলাইজেশনের সাথে। সে এখন 2 বছরের বেশির ভাগ সময় ধরে তুলনামূলকভাবে অনেক বেশি স্থিতিশীল অবস্থায় ছিল, কিন্তু এখন সাম্প্রতিক সময়ে, আমার এই আবেগপ্রবণ, ভীতিকর, ভয়ঙ্কর ভয় আছে যে আমিও এমন জিনিস শুনতে শুরু করব যা সেখানে নেই এবং মূলত আমার বাবার মতো শেষ হয়ে যাব। এটি আমাকে অবিশ্বাস্য যন্ত্রণা এবং আতঙ্কের কারণ করে, এবং আমি ক্রমাগত এই অশুভ অনুভূতিতে জর্জরিত থাকি এবং সূক্ষ্ম, আরও শান্ত শব্দের বাস্তবতা নিয়ে প্রশ্ন তুলি, এই ভয়ে যে আমি সেগুলি কল্পনা করছি (যেমন ছোট শব্দ, যেমন ঘরে চিৎকার, উচ্চ ফ্রিকোয়েন্সি ইত্যাদি)। কেউ কি আমাকে বলতে পারবেন কিভাবে এই নির্মম চিন্তাভাবনা বন্ধ করা যায় এবং আপনার বাবা-মায় যদি PTSD/সিজোফ্রেনিয়া থাকে তাহলে (আমি জানি এটা অযৌক্তিক শোনাচ্ছে) PTSD/সিজোফ্রেনিয়া হওয়ার সম্ভাবনা কতটুকু তাও ব্যাখ্যা করতে পারেন? ধন্যবাদ এবং দীর্ঘ পোস্টের জন্য দুঃখিত।</v>
      </c>
    </row>
    <row r="2204" spans="1:3" ht="15" x14ac:dyDescent="0.25">
      <c r="A2204" s="3" t="s">
        <v>2197</v>
      </c>
      <c r="B2204" s="3" t="s">
        <v>1992</v>
      </c>
      <c r="C2204" s="4" t="str">
        <f ca="1">IFERROR(__xludf.DUMMYFUNCTION("GOOGLETRANSLATE(A2204, ""auto"", ""bn"")"),"২০১৯: এক সপ্তাহের জন্য বাইরে বেড়াতে গিয়েছিলাম। এক সপ্তাহ। আমার অ্যাপার্টমেন্টের ভাড়া আগামী মাসে শেষ হচ্ছে, আর আমি ভাবছিলাম কবে নতুন ভাড়া পাবো। আমি আমার ভ্রমণের জন্য বেরিয়েছি এবং আবার ভাড়ায় ফিরে এসেছি। গত বছরের তুলনায় এ বছর ৫০০ ডলার বেশি!!! আমার পক্"&amp;"ষে এটা বহন করা সম্ভব নয়... আমি ঘুমাতে পারিনি, সারা রাত কাঁদতে কাঁদতে, চিন্তিত হতে কাটিয়েছি এবং কী করব বুঝতে পারছি না। তাছাড়া, আমি এই জায়গাটা ভালোবাসি, কিন্তু এখন আর নিরাপদ বোধ করছি না। তাছাড়া, আমি অন্যান্য অ্যাপার্টমেন্টগুলো দেখি কিন্তু কিছুই ঠিক মনে হ"&amp;"চ্ছে না। তাছাড়া, আমি আমার দরিদ্র লোকদের ৪০টি মেসেজ পাঠিয়েছিলাম যাতে আমি আতঙ্কিত হই। তারপর; আমি ঘুমানোর চেষ্টা করেছি। কিন্তু পারিনি, কারণ আমার রান্নাঘরে ইঁদুর আছে! কী?? আমি সুশৃঙ্খল এবং খাবার বাইরে রাখি না। আমি বুঝতে পারছি না। একটু ঘুমিয়েছি... পরিষ্কার "&amp;"করতে উঠেছি, আর... ২টি মাকড়সা ছিল, ১টি বিশাল আমার পরিষ্কারের সরবরাহ আটকে রেখেছে। কী। দ্য। জাহান্নাম। আমি মাকড়সাকে ​​ভয় পাই কিন্তু ইঁদুরের বিষ্ঠা পরিষ্কার করার জন্য পরিষ্কারের সরঞ্জামের প্রয়োজন। ওহ, আর তাই আমি আগে যা বলেছি? সে নিখুঁত। তবে, তারও উদ্বেগ আ"&amp;"ছে, এবং সে জানে না যে সে আমার সাথে ভবিষ্যতে থাকতে পারবে কিনা। কিন্তু আমাকে ভালোবাসে এবং চেষ্টা করতে চায়। এটা কিছুটা পুরানো খবর কিন্তু উফ, এটা সব জটিল। আমার বীমা পরিবর্তনের কারণে থেরাপিও AMT 3 গুণ বেড়েছে। আমার সন্দেহ আছে যে আমার থেরাপিস্ট আমাকে প্রতি 3 স"&amp;"প্তাহে দেখা করতে দেবেন। এটা কি রসিকতা? দুঃস্বপ্ন?")</f>
        <v>২০১৯: এক সপ্তাহের জন্য বাইরে বেড়াতে গিয়েছিলাম। এক সপ্তাহ। আমার অ্যাপার্টমেন্টের ভাড়া আগামী মাসে শেষ হচ্ছে, আর আমি ভাবছিলাম কবে নতুন ভাড়া পাবো। আমি আমার ভ্রমণের জন্য বেরিয়েছি এবং আবার ভাড়ায় ফিরে এসেছি। গত বছরের তুলনায় এ বছর ৫০০ ডলার বেশি!!! আমার পক্ষে এটা বহন করা সম্ভব নয়... আমি ঘুমাতে পারিনি, সারা রাত কাঁদতে কাঁদতে, চিন্তিত হতে কাটিয়েছি এবং কী করব বুঝতে পারছি না। তাছাড়া, আমি এই জায়গাটা ভালোবাসি, কিন্তু এখন আর নিরাপদ বোধ করছি না। তাছাড়া, আমি অন্যান্য অ্যাপার্টমেন্টগুলো দেখি কিন্তু কিছুই ঠিক মনে হচ্ছে না। তাছাড়া, আমি আমার দরিদ্র লোকদের ৪০টি মেসেজ পাঠিয়েছিলাম যাতে আমি আতঙ্কিত হই। তারপর; আমি ঘুমানোর চেষ্টা করেছি। কিন্তু পারিনি, কারণ আমার রান্নাঘরে ইঁদুর আছে! কী?? আমি সুশৃঙ্খল এবং খাবার বাইরে রাখি না। আমি বুঝতে পারছি না। একটু ঘুমিয়েছি... পরিষ্কার করতে উঠেছি, আর... ২টি মাকড়সা ছিল, ১টি বিশাল আমার পরিষ্কারের সরবরাহ আটকে রেখেছে। কী। দ্য। জাহান্নাম। আমি মাকড়সাকে ​​ভয় পাই কিন্তু ইঁদুরের বিষ্ঠা পরিষ্কার করার জন্য পরিষ্কারের সরঞ্জামের প্রয়োজন। ওহ, আর তাই আমি আগে যা বলেছি? সে নিখুঁত। তবে, তারও উদ্বেগ আছে, এবং সে জানে না যে সে আমার সাথে ভবিষ্যতে থাকতে পারবে কিনা। কিন্তু আমাকে ভালোবাসে এবং চেষ্টা করতে চায়। এটা কিছুটা পুরানো খবর কিন্তু উফ, এটা সব জটিল। আমার বীমা পরিবর্তনের কারণে থেরাপিও AMT 3 গুণ বেড়েছে। আমার সন্দেহ আছে যে আমার থেরাপিস্ট আমাকে প্রতি 3 সপ্তাহে দেখা করতে দেবেন। এটা কি রসিকতা? দুঃস্বপ্ন?</v>
      </c>
    </row>
    <row r="2205" spans="1:3" ht="15" x14ac:dyDescent="0.25">
      <c r="A2205" s="3" t="s">
        <v>2198</v>
      </c>
      <c r="B2205" s="3" t="s">
        <v>1992</v>
      </c>
      <c r="C2205" s="4" t="str">
        <f ca="1">IFERROR(__xludf.DUMMYFUNCTION("GOOGLETRANSLATE(A2205, ""auto"", ""bn"")"),"কম অলসতা, কম উদ্বেগ, কম বিষণ্ণতা আমি এখন কলেজের তৃতীয় বর্ষের একজন ছাত্র। গত শরৎকালে ২০১৭ (পড়াশোনার দ্বিতীয় বর্ষ) আমি প্রথম বর্ষের অনুপস্থিত কোর্সগুলি পূরণ করার চেষ্টা করছিলাম, কিন্তু আমি খুব হতাশ হয়ে পড়েছিলাম এবং একেবারেই পড়াশোনা করতে পারিনি এবং আবা"&amp;"রও আমার কোর্সগুলি ব্যর্থ হয়েছি... আমি বাড়িতেই থাকতাম এবং আলাদা হয়ে যেতাম কারণ আমার কোনও সামাজিক প্রেক্ষাপট বা বন্ধুবান্ধব ছিল না, যার ফলে আমার উদ্বেগ এবং বিষণ্ণতা বেড়ে যেত। আমি নিশ্চিত ছিলাম সবাই মেডিক্যালকে ঘৃণা করে। খাবার কিনতে সুপারমার্কেটে যাওয়া "&amp;"অত্যন্ত কঠিন ছিল। সমস্ত উদ্বেগ এবং পড়াশোনা করতে ব্যর্থতা আমাকে অপ্রয়োজনীয় এবং অকেজো মনে করত। এর ফলে আমার উদ্বেগ এবং বিষণ্ণতা আরও খারাপ হয়ে যেত। ২০১৮ সালের জানুয়ারিতে, আমি নতুন কোর্স শুরু করি, এবার আমি বক্তৃতা দিতে যাই এবং বাড়িতে থাকিনি। আমি একই সমস্"&amp;"যাযুক্ত শিক্ষার্থীদের জন্য একটি অলসতা সহায়তা গোষ্ঠীতে যোগ দিয়েছিলাম। গ্রুপটি সপ্তাহে একবার মিলিত হয়, এবং আপনি লক্ষ্য নির্ধারণ করেন এবং নিজেকে মূল্যায়ন করেন এবং উদাহরণস্বরূপ, যদি আপনি গত সপ্তাহের ব্যক্তিগত লক্ষ্যগুলি পূরণ করেন তবে প্লাস বা মাইনাস পান, "&amp;"তারপর আপনি পরবর্তী সপ্তাহের জন্য নতুন লক্ষ্য নির্ধারণ করেন। এটা শুনতে ভয়াবহ এবং কঠোর মনে হতে পারে, কিন্তু গ্রুপের সবাই খুব বন্ধুত্বপূর্ণ এবং সহায়ক। তুমি তোমার নিজস্ব লক্ষ্য নির্ধারণ করো এবং কেউ বিচার করে না, কারণ আমরা সবাই একই জিনিসের সাথে লড়াই করি। গ্র"&amp;"ুপে আমি নতুন বন্ধু পেয়েছি যাদের সাথে আড্ডা দেওয়ার জন্য এবং বুঝতে পেরেছি যে আমি একা নই যে পড়াশোনার সময় দীর্ঘসূত্রিতা এবং উদ্বেগের সাথে লড়াই করছি। এটি আমার জীবনের অন্যান্য বিষয়গুলির সাথে মিলিত হয়েছে যেমন নতুন বন্ধু খুঁজে বের করা এবং ক্রিয়াকলাপে যোগদ"&amp;"ান করা। অবশেষে এই শরতে আমি কম দীর্ঘসূত্রিতায় অনেক উন্নতি করেছি। আমি আমার সময়সূচী এবং কাঠামো তৈরি করেছি এবং অনুসরণ করেছি যা আমার পড়াশোনায় ফলাফল দেখিয়েছে। এই কাঠামো আমাকে বাড়িতে ফিরে আসার সময় আরাম করতে সক্ষম করে তোলে, জেনে যে আমি আজ যথেষ্ট পড়াশোনা কর"&amp;"েছি। ফলাফল হল আমার চাপ এবং উদ্বেগ অনেক কমে গেছে। 1 বছর আগের তুলনায়, জীবন আশ্চর্যজনক বোধ করে। (অবশ্যই এটিই একমাত্র কারণ নয়, আরও অনেক কিছু আমার মানসিক স্বাস্থ্যের উপরও প্রভাব ফেলেছিল) TLDR: খুব হতাশাগ্রস্ত ছিলাম, পড়াশোনায় ব্যর্থ হয়েছিলাম। আমি অন্যান্য "&amp;"বিষয়ের মধ্যে একটি দীর্ঘসূত্রিতা গ্রুপে যোগ দিয়েছিলাম, কম হতাশাগ্রস্ত এবং পড়াশোনার প্রতি আমার কম উদ্বেগ রয়েছে যা আশ্চর্যজনক বোধ করে :)")</f>
        <v>কম অলসতা, কম উদ্বেগ, কম বিষণ্ণতা আমি এখন কলেজের তৃতীয় বর্ষের একজন ছাত্র। গত শরৎকালে ২০১৭ (পড়াশোনার দ্বিতীয় বর্ষ) আমি প্রথম বর্ষের অনুপস্থিত কোর্সগুলি পূরণ করার চেষ্টা করছিলাম, কিন্তু আমি খুব হতাশ হয়ে পড়েছিলাম এবং একেবারেই পড়াশোনা করতে পারিনি এবং আবারও আমার কোর্সগুলি ব্যর্থ হয়েছি... আমি বাড়িতেই থাকতাম এবং আলাদা হয়ে যেতাম কারণ আমার কোনও সামাজিক প্রেক্ষাপট বা বন্ধুবান্ধব ছিল না, যার ফলে আমার উদ্বেগ এবং বিষণ্ণতা বেড়ে যেত। আমি নিশ্চিত ছিলাম সবাই মেডিক্যালকে ঘৃণা করে। খাবার কিনতে সুপারমার্কেটে যাওয়া অত্যন্ত কঠিন ছিল। সমস্ত উদ্বেগ এবং পড়াশোনা করতে ব্যর্থতা আমাকে অপ্রয়োজনীয় এবং অকেজো মনে করত। এর ফলে আমার উদ্বেগ এবং বিষণ্ণতা আরও খারাপ হয়ে যেত। ২০১৮ সালের জানুয়ারিতে, আমি নতুন কোর্স শুরু করি, এবার আমি বক্তৃতা দিতে যাই এবং বাড়িতে থাকিনি। আমি একই সমস্যাযুক্ত শিক্ষার্থীদের জন্য একটি অলসতা সহায়তা গোষ্ঠীতে যোগ দিয়েছিলাম। গ্রুপটি সপ্তাহে একবার মিলিত হয়, এবং আপনি লক্ষ্য নির্ধারণ করেন এবং নিজেকে মূল্যায়ন করেন এবং উদাহরণস্বরূপ, যদি আপনি গত সপ্তাহের ব্যক্তিগত লক্ষ্যগুলি পূরণ করেন তবে প্লাস বা মাইনাস পান, তারপর আপনি পরবর্তী সপ্তাহের জন্য নতুন লক্ষ্য নির্ধারণ করেন। এটা শুনতে ভয়াবহ এবং কঠোর মনে হতে পারে, কিন্তু গ্রুপের সবাই খুব বন্ধুত্বপূর্ণ এবং সহায়ক। তুমি তোমার নিজস্ব লক্ষ্য নির্ধারণ করো এবং কেউ বিচার করে না, কারণ আমরা সবাই একই জিনিসের সাথে লড়াই করি। গ্রুপে আমি নতুন বন্ধু পেয়েছি যাদের সাথে আড্ডা দেওয়ার জন্য এবং বুঝতে পেরেছি যে আমি একা নই যে পড়াশোনার সময় দীর্ঘসূত্রিতা এবং উদ্বেগের সাথে লড়াই করছি। এটি আমার জীবনের অন্যান্য বিষয়গুলির সাথে মিলিত হয়েছে যেমন নতুন বন্ধু খুঁজে বের করা এবং ক্রিয়াকলাপে যোগদান করা। অবশেষে এই শরতে আমি কম দীর্ঘসূত্রিতায় অনেক উন্নতি করেছি। আমি আমার সময়সূচী এবং কাঠামো তৈরি করেছি এবং অনুসরণ করেছি যা আমার পড়াশোনায় ফলাফল দেখিয়েছে। এই কাঠামো আমাকে বাড়িতে ফিরে আসার সময় আরাম করতে সক্ষম করে তোলে, জেনে যে আমি আজ যথেষ্ট পড়াশোনা করেছি। ফলাফল হল আমার চাপ এবং উদ্বেগ অনেক কমে গেছে। 1 বছর আগের তুলনায়, জীবন আশ্চর্যজনক বোধ করে। (অবশ্যই এটিই একমাত্র কারণ নয়, আরও অনেক কিছু আমার মানসিক স্বাস্থ্যের উপরও প্রভাব ফেলেছিল) TLDR: খুব হতাশাগ্রস্ত ছিলাম, পড়াশোনায় ব্যর্থ হয়েছিলাম। আমি অন্যান্য বিষয়ের মধ্যে একটি দীর্ঘসূত্রিতা গ্রুপে যোগ দিয়েছিলাম, কম হতাশাগ্রস্ত এবং পড়াশোনার প্রতি আমার কম উদ্বেগ রয়েছে যা আশ্চর্যজনক বোধ করে :)</v>
      </c>
    </row>
    <row r="2206" spans="1:3" ht="15" x14ac:dyDescent="0.25">
      <c r="A2206" s="3" t="s">
        <v>2199</v>
      </c>
      <c r="B2206" s="3" t="s">
        <v>1992</v>
      </c>
      <c r="C2206" s="4" t="str">
        <f ca="1">IFERROR(__xludf.DUMMYFUNCTION("GOOGLETRANSLATE(A2206, ""auto"", ""bn"")"),"উচ্চ-কার্যক্ষম ব্যক্তিদের জন্য ইতিবাচক এসকিটালোপ্রাম (সার্কেল/লেক্সা প্রো) অভিজ্ঞতা আমি ২০১৯ সাল থেকে আমার প্রথম অ্যান্টি-ডিপ্রেসেন্ট দিয়ে শুরু করতে পারি। আমার জিপি আমার লক্ষণগুলির উপর ভিত্তি করে এসকিটালোপ্রামের পরামর্শ দিয়েছেন। গত ৩-৪ মাস ধরে (অপ্রত্যা"&amp;"শিতভাবে) আমি কয়েকটি প্যানিক অ্যাটাক এবং খুব উচ্চ বেসলাইন উদ্বেগ অনুভব করেছি। আমি মাঝারি স্তরের বিষণ্নতাও অনুভব করেছি যা মেজর ডিপ্রেশনের সময়কালে ওঠানামা করেছে। মূলত আমি স্বাভাবিক পরিস্থিতিতে (সহকর্মীদের সাথে কথা বলার সময়) উদ্বিগ্ন হতে শুরু করেছি এবং স্ব"&amp;"াভাবিক কার্যকলাপ (আমার চাকরি, খেলাধুলা ইত্যাদি) উপভোগে তীব্র হ্রাস অনুভব করেছি। আমি বিশ্বাস করি যে অল্প সময়ের মধ্যে জীবনের একাধিক ঘটনা এই পরিস্থিতি তৈরি করেছে (বিবাহ, নতুন বাড়ি, নতুন চাকরি - ১২ মাসের মধ্যে)। আমি এই অ্যান্টি-ডিপ্রেসেন্টের উপর উচ্চ-কার্যক"&amp;"্ষম ব্যক্তিদের অভিজ্ঞতার সন্ধান করছি। ""উচ্চ-কার্যক্ষম"" বলতে আমি যা বোঝাতে চাইছি তা হল এমন ব্যক্তিরা যারা আসলে পূর্ণ-সময়ের চাকরি করে, যাদের একটি সহায়ক পরিবার আছে, কাজের বাইরে বন্ধুবান্ধব এবং আগ্রহ আছে, সঠিকভাবে খায়, বাইরে কাজ করে এবং তাদের শরীরের যত্ন"&amp;" নেয়, ওষুধের অপব্যবহার করে না, ইত্যাদি। আমার করা গবেষণা থেকে জানা গেছে যে SSRIs উচ্চ-কার্যক্ষম অবস্থায় থাকা ব্যক্তিদের জন্য উল্লেখযোগ্যভাবে ভাল কাজ করে (কিন্তু হতাশাগ্রস্ত/উদ্বেগপূর্ণ ব্যাধিতে ভুগছেন)। escitalopram আপনার জন্য কী করেছে তা দয়া করে মন্তব্"&amp;"য করুন। বিশেষ করে মন্তব্য খুঁজছেন: * উদ্বেগ * বিষণ্ণতা * প্রেরণা * মনোযোগ * সুখ * বহির্মুখীকরণ")</f>
        <v>উচ্চ-কার্যক্ষম ব্যক্তিদের জন্য ইতিবাচক এসকিটালোপ্রাম (সার্কেল/লেক্সা প্রো) অভিজ্ঞতা আমি ২০১৯ সাল থেকে আমার প্রথম অ্যান্টি-ডিপ্রেসেন্ট দিয়ে শুরু করতে পারি। আমার জিপি আমার লক্ষণগুলির উপর ভিত্তি করে এসকিটালোপ্রামের পরামর্শ দিয়েছেন। গত ৩-৪ মাস ধরে (অপ্রত্যাশিতভাবে) আমি কয়েকটি প্যানিক অ্যাটাক এবং খুব উচ্চ বেসলাইন উদ্বেগ অনুভব করেছি। আমি মাঝারি স্তরের বিষণ্নতাও অনুভব করেছি যা মেজর ডিপ্রেশনের সময়কালে ওঠানামা করেছে। মূলত আমি স্বাভাবিক পরিস্থিতিতে (সহকর্মীদের সাথে কথা বলার সময়) উদ্বিগ্ন হতে শুরু করেছি এবং স্বাভাবিক কার্যকলাপ (আমার চাকরি, খেলাধুলা ইত্যাদি) উপভোগে তীব্র হ্রাস অনুভব করেছি। আমি বিশ্বাস করি যে অল্প সময়ের মধ্যে জীবনের একাধিক ঘটনা এই পরিস্থিতি তৈরি করেছে (বিবাহ, নতুন বাড়ি, নতুন চাকরি - ১২ মাসের মধ্যে)। আমি এই অ্যান্টি-ডিপ্রেসেন্টের উপর উচ্চ-কার্যক্ষম ব্যক্তিদের অভিজ্ঞতার সন্ধান করছি। "উচ্চ-কার্যক্ষম" বলতে আমি যা বোঝাতে চাইছি তা হল এমন ব্যক্তিরা যারা আসলে পূর্ণ-সময়ের চাকরি করে, যাদের একটি সহায়ক পরিবার আছে, কাজের বাইরে বন্ধুবান্ধব এবং আগ্রহ আছে, সঠিকভাবে খায়, বাইরে কাজ করে এবং তাদের শরীরের যত্ন নেয়, ওষুধের অপব্যবহার করে না, ইত্যাদি। আমার করা গবেষণা থেকে জানা গেছে যে SSRIs উচ্চ-কার্যক্ষম অবস্থায় থাকা ব্যক্তিদের জন্য উল্লেখযোগ্যভাবে ভাল কাজ করে (কিন্তু হতাশাগ্রস্ত/উদ্বেগপূর্ণ ব্যাধিতে ভুগছেন)। escitalopram আপনার জন্য কী করেছে তা দয়া করে মন্তব্য করুন। বিশেষ করে মন্তব্য খুঁজছেন: * উদ্বেগ * বিষণ্ণতা * প্রেরণা * মনোযোগ * সুখ * বহির্মুখীকরণ</v>
      </c>
    </row>
    <row r="2207" spans="1:3" ht="15" x14ac:dyDescent="0.25">
      <c r="A2207" s="3" t="s">
        <v>2200</v>
      </c>
      <c r="B2207" s="3" t="s">
        <v>1992</v>
      </c>
      <c r="C2207" s="4" t="str">
        <f ca="1">IFERROR(__xludf.DUMMYFUNCTION("GOOGLETRANSLATE(A2207, ""auto"", ""bn"")"),"অন্য কেউ কি নিজে নিজে চেকআউট করলে উদ্বিগ্ন হয়? আমি যখন কেনাকাটা করতে যাই, তখন মাঝে মাঝে আমি নিজেই চেকআউট ব্যবহার করি (যখন আমার কাছে মাত্র কয়েকটি জিনিস থাকে, অথবা ব্যস্ততা থাকে)। আমি নিজে নিজে চেকআউট ব্যবহার করতে পছন্দ করি, মানে আমি নিজের গতিতে যেতে পারি "&amp;"এবং খুব বেশি চিন্তা না করে, কিন্তু যখন দোকানের কোনও কর্মী আপনাকে প্যাকিং করতে দেখছে তখন আমি উদ্বিগ্ন হয়ে পড়ি। আমার মনে হয় আমি একেবারেই ভুল করছি, এবং তারা হয়তো ভাবছে আমি দোকান থেকে চুরি করছি। তাছাড়া, আমি আমার পকেটে হাত ঢুকিয়ে ঘাবড়ে যাই, হয়তো তারা মন"&amp;"ে করে যে আমার পকেটে এমন কিছু আছে যা হওয়া উচিত নয়। এইরকম অনুভূতিতে, আমি তখন সত্যিই বিশ্রী মুখ দেখি যা তারা সন্দেহজনক মনে করতে পারে, এবং তারপর আমি এটি নিয়ে চিন্তিত হই! এটি একটি দুষ্ট চক্র, এবং এটি সম্পূর্ণ অদ্ভুত দেখাচ্ছে কারণ আমি কেবল কিছু রুটি কিনছি এব"&amp;"ং রস পাতলা করছি। শুধু ভাবছি যে অন্য কেউ কি এমন অনুভব করছে নাকি আমি কি অদ্ভুত!")</f>
        <v>অন্য কেউ কি নিজে নিজে চেকআউট করলে উদ্বিগ্ন হয়? আমি যখন কেনাকাটা করতে যাই, তখন মাঝে মাঝে আমি নিজেই চেকআউট ব্যবহার করি (যখন আমার কাছে মাত্র কয়েকটি জিনিস থাকে, অথবা ব্যস্ততা থাকে)। আমি নিজে নিজে চেকআউট ব্যবহার করতে পছন্দ করি, মানে আমি নিজের গতিতে যেতে পারি এবং খুব বেশি চিন্তা না করে, কিন্তু যখন দোকানের কোনও কর্মী আপনাকে প্যাকিং করতে দেখছে তখন আমি উদ্বিগ্ন হয়ে পড়ি। আমার মনে হয় আমি একেবারেই ভুল করছি, এবং তারা হয়তো ভাবছে আমি দোকান থেকে চুরি করছি। তাছাড়া, আমি আমার পকেটে হাত ঢুকিয়ে ঘাবড়ে যাই, হয়তো তারা মনে করে যে আমার পকেটে এমন কিছু আছে যা হওয়া উচিত নয়। এইরকম অনুভূতিতে, আমি তখন সত্যিই বিশ্রী মুখ দেখি যা তারা সন্দেহজনক মনে করতে পারে, এবং তারপর আমি এটি নিয়ে চিন্তিত হই! এটি একটি দুষ্ট চক্র, এবং এটি সম্পূর্ণ অদ্ভুত দেখাচ্ছে কারণ আমি কেবল কিছু রুটি কিনছি এবং রস পাতলা করছি। শুধু ভাবছি যে অন্য কেউ কি এমন অনুভব করছে নাকি আমি কি অদ্ভুত!</v>
      </c>
    </row>
    <row r="2208" spans="1:3" ht="15" x14ac:dyDescent="0.25">
      <c r="A2208" s="3" t="s">
        <v>2201</v>
      </c>
      <c r="B2208" s="3" t="s">
        <v>1992</v>
      </c>
      <c r="C2208" s="4" t="str">
        <f ca="1">IFERROR(__xludf.DUMMYFUNCTION("GOOGLETRANSLATE(A2208, ""auto"", ""bn"")"),"আমি নতুন বছরের ঝগড়ায় জড়িয়ে পড়েছিলাম, আর এর জন্য সারা রাত ঘুমাতে পারিনি। আমার ঘরে আমার রুমমেটদের সাথে নতুন বছরের পার্টি করছিলাম। তাছাড়া, আমার উদ্বেগের কারণে আমি খুব বেশি সামাজিক নই, তাই আমি সব অতিথিদের জন্য কিছু খাবার তৈরি করার সিদ্ধান্ত নিলাম। তাছাড"&amp;"়া, আমি আক্ষরিক অর্থেই সারাদিন একা কাটিয়েছি (কারণ আমার রুমমেটরা কাজে ছিল) ঘর তৈরি করে, খাবার রান্না করে এবং সাধারণভাবে নিশ্চিত করেছি যে বাড়িটি সকলের জন্য উপযুক্ত। সবাই ঠিক হয়ে যাওয়ার পর, এবং কয়েক ঘন্টা পরে, এই মেয়েটি একদল লোকের সাথে দেখা করে। এখন, আ"&amp;"মি কখনও কোনও মেয়েকে আঘাত করার মতো ব্যক্তি নই, কিন্তু এই মেয়েটি আমার সাথে খুব বেশি আড্ডা দিচ্ছিল। সে আমাকে মেকআপ করতে বলেছিল তাই আমি তাকে বলেছিলাম যে আমাদের কেবল আমার ঘরে যাওয়া উচিত। তাই আমরা আমার ঘরে যাই, এবং আমরা 5 মিনিটের জন্য মেকআপ করি যতক্ষণ না কিছ"&amp;"ু লোক আমার ঘরে এসে চিৎকার করে আমাকে ধমক দিতে থাকে এবং সে বিশ্বাস করতে পারে না যে সে আবার এই ধরণের কাজ করছে। এই লোকটি তার বড় ভাই ছিল। স্পষ্টতই এই লোকটির অনেক লোককে মারধর করার ইতিহাস আছে, যারা তার বোনের সাথেই মারামারি করে। আমি ভয় পেয়েছিলাম কারণ আমি উদ্বি"&amp;"গ্ন, আমি মেয়েদের সাথে কথা বলতে ভালো নই, এবং অবশেষে এই মেয়েটি আমার কাছে আসে, এবং এর জন্য আমাকে মারধর করা হচ্ছে। যাই হোক, এই লোকটি ঘুষি মারতে শুরু করে, এবং আমি খুব ভাগ্যবান যে আমার রুমমেটরা জড়িত ছিল কারণ এই লোকটি আমাকে শার্ট ধরে আমার ঘরে ফেলে দিয়েছিল এব"&amp;"ং তার পিছনে দরজা বন্ধ করে দিয়েছিল। আমি আরও খুশি যে সে দরজা বন্ধ করার কথা ভাবেনি কারণ সে যদি তা করত, তাহলে পরিস্থিতি অনেক আলাদা হত (আমি নির্মমভাবে মারধর করতাম)। অবশেষে আমাকে পুলিশ ডাকতে হয়েছিল কারণ লড়াইটি 10+ লোকের সাথে শেষ হয়েছিল, এবং কারণ আমি কিছু ছে"&amp;"লের বোনের সাথে বেরিয়ে এসেছিলাম। আমার উদ্বেগ আমাকে মেরে ফেলছিল। আমার দরিদ্র প্রতিবেশীরা পুরো ব্যাপারটি দেখেছিল, তাকে এবং তার বোনকে পুলিশ ধরে নিয়ে গেছে এবং আমার মনে হচ্ছে তারা আমার উপর প্রতিশোধ নেবে। আমার যে রাতটি আমি সবাইকে খুশি এবং সন্তুষ্ট করার জন্য এত"&amp;" কঠোর পরিশ্রম করেছিলাম, তা নষ্ট হয়ে গেছে কারণ আমি কারও সাথে থাকার সিদ্ধান্ত নিয়েছিলাম।")</f>
        <v>আমি নতুন বছরের ঝগড়ায় জড়িয়ে পড়েছিলাম, আর এর জন্য সারা রাত ঘুমাতে পারিনি। আমার ঘরে আমার রুমমেটদের সাথে নতুন বছরের পার্টি করছিলাম। তাছাড়া, আমার উদ্বেগের কারণে আমি খুব বেশি সামাজিক নই, তাই আমি সব অতিথিদের জন্য কিছু খাবার তৈরি করার সিদ্ধান্ত নিলাম। তাছাড়া, আমি আক্ষরিক অর্থেই সারাদিন একা কাটিয়েছি (কারণ আমার রুমমেটরা কাজে ছিল) ঘর তৈরি করে, খাবার রান্না করে এবং সাধারণভাবে নিশ্চিত করেছি যে বাড়িটি সকলের জন্য উপযুক্ত। সবাই ঠিক হয়ে যাওয়ার পর, এবং কয়েক ঘন্টা পরে, এই মেয়েটি একদল লোকের সাথে দেখা করে। এখন, আমি কখনও কোনও মেয়েকে আঘাত করার মতো ব্যক্তি নই, কিন্তু এই মেয়েটি আমার সাথে খুব বেশি আড্ডা দিচ্ছিল। সে আমাকে মেকআপ করতে বলেছিল তাই আমি তাকে বলেছিলাম যে আমাদের কেবল আমার ঘরে যাওয়া উচিত। তাই আমরা আমার ঘরে যাই, এবং আমরা 5 মিনিটের জন্য মেকআপ করি যতক্ষণ না কিছু লোক আমার ঘরে এসে চিৎকার করে আমাকে ধমক দিতে থাকে এবং সে বিশ্বাস করতে পারে না যে সে আবার এই ধরণের কাজ করছে। এই লোকটি তার বড় ভাই ছিল। স্পষ্টতই এই লোকটির অনেক লোককে মারধর করার ইতিহাস আছে, যারা তার বোনের সাথেই মারামারি করে। আমি ভয় পেয়েছিলাম কারণ আমি উদ্বিগ্ন, আমি মেয়েদের সাথে কথা বলতে ভালো নই, এবং অবশেষে এই মেয়েটি আমার কাছে আসে, এবং এর জন্য আমাকে মারধর করা হচ্ছে। যাই হোক, এই লোকটি ঘুষি মারতে শুরু করে, এবং আমি খুব ভাগ্যবান যে আমার রুমমেটরা জড়িত ছিল কারণ এই লোকটি আমাকে শার্ট ধরে আমার ঘরে ফেলে দিয়েছিল এবং তার পিছনে দরজা বন্ধ করে দিয়েছিল। আমি আরও খুশি যে সে দরজা বন্ধ করার কথা ভাবেনি কারণ সে যদি তা করত, তাহলে পরিস্থিতি অনেক আলাদা হত (আমি নির্মমভাবে মারধর করতাম)। অবশেষে আমাকে পুলিশ ডাকতে হয়েছিল কারণ লড়াইটি 10+ লোকের সাথে শেষ হয়েছিল, এবং কারণ আমি কিছু ছেলের বোনের সাথে বেরিয়ে এসেছিলাম। আমার উদ্বেগ আমাকে মেরে ফেলছিল। আমার দরিদ্র প্রতিবেশীরা পুরো ব্যাপারটি দেখেছিল, তাকে এবং তার বোনকে পুলিশ ধরে নিয়ে গেছে এবং আমার মনে হচ্ছে তারা আমার উপর প্রতিশোধ নেবে। আমার যে রাতটি আমি সবাইকে খুশি এবং সন্তুষ্ট করার জন্য এত কঠোর পরিশ্রম করেছিলাম, তা নষ্ট হয়ে গেছে কারণ আমি কারও সাথে থাকার সিদ্ধান্ত নিয়েছিলাম।</v>
      </c>
    </row>
    <row r="2209" spans="1:3" ht="15" x14ac:dyDescent="0.25">
      <c r="A2209" s="3" t="s">
        <v>2202</v>
      </c>
      <c r="B2209" s="3" t="s">
        <v>1992</v>
      </c>
      <c r="C2209" s="4" t="str">
        <f ca="1">IFERROR(__xludf.DUMMYFUNCTION("GOOGLETRANSLATE(A2209, ""auto"", ""bn"")"),"""জরুরি পরিস্থিতিতে"" আমাকে এশিয়ান ওষুধের পরামর্শ দেওয়া হয়েছে, কিন্তু এই মাসে প্রায় প্রতিদিনই আমি এগুলো খাচ্ছি। আমি এতটাই উদ্বিগ্ন ছিলাম যে এটা অবাস্তব মনে হচ্ছিল। আমার জীবনযাত্রার অবস্থা এখন খারাপ ((আমার ছেলের সাথে থাকার কথা ছিল কিন্তু হঠাৎ করেই আমাদের "&amp;"মধ্যে ভালো সম্পর্ক তৈরি হচ্ছে না)), আমি চাকরি ছেড়ে দিয়েছি কারণ তারা আমার সুযোগ নিয়ে উবার ব্যবহার করেছে, এবং আমার আতঙ্কের কারণে আমি নিজেকে অনেক আলাদা করে রেখেছি, হা হা। আমিও আশাবাদী বোধ করছি-- আমার দুটি চাকরির সুযোগ আছে, শুধু ""হ্যাঁ"" বলার অপেক্ষায়, আম"&amp;"ার আরেকটি ভালো আবাসন বিকল্প আছে, ইত্যাদি। কিন্তু মাঝে মাঝে আমি এতটাই উদ্বিগ্ন বোধ করি যে আমি নিজেকে পঙ্গু করে ফেলি, এবং ততক্ষণে আমি এতটাই ব্যস্ত হয়ে পড়ি যে আমার একজন এশিয়ান দরকার যাতে আমার হার্ট অ্যাটাক না হয়।")</f>
        <v>"জরুরি পরিস্থিতিতে" আমাকে এশিয়ান ওষুধের পরামর্শ দেওয়া হয়েছে, কিন্তু এই মাসে প্রায় প্রতিদিনই আমি এগুলো খাচ্ছি। আমি এতটাই উদ্বিগ্ন ছিলাম যে এটা অবাস্তব মনে হচ্ছিল। আমার জীবনযাত্রার অবস্থা এখন খারাপ ((আমার ছেলের সাথে থাকার কথা ছিল কিন্তু হঠাৎ করেই আমাদের মধ্যে ভালো সম্পর্ক তৈরি হচ্ছে না)), আমি চাকরি ছেড়ে দিয়েছি কারণ তারা আমার সুযোগ নিয়ে উবার ব্যবহার করেছে, এবং আমার আতঙ্কের কারণে আমি নিজেকে অনেক আলাদা করে রেখেছি, হা হা। আমিও আশাবাদী বোধ করছি-- আমার দুটি চাকরির সুযোগ আছে, শুধু "হ্যাঁ" বলার অপেক্ষায়, আমার আরেকটি ভালো আবাসন বিকল্প আছে, ইত্যাদি। কিন্তু মাঝে মাঝে আমি এতটাই উদ্বিগ্ন বোধ করি যে আমি নিজেকে পঙ্গু করে ফেলি, এবং ততক্ষণে আমি এতটাই ব্যস্ত হয়ে পড়ি যে আমার একজন এশিয়ান দরকার যাতে আমার হার্ট অ্যাটাক না হয়।</v>
      </c>
    </row>
    <row r="2210" spans="1:3" ht="15" x14ac:dyDescent="0.25">
      <c r="A2210" s="3" t="s">
        <v>2203</v>
      </c>
      <c r="B2210" s="3" t="s">
        <v>1992</v>
      </c>
      <c r="C2210" s="4" t="str">
        <f ca="1">IFERROR(__xludf.DUMMYFUNCTION("GOOGLETRANSLATE(A2210, ""auto"", ""bn"")"),"খারাপ স্বপ্ন দেখে কি আর কেউ নতুন করে দুশ্চিন্তায় ভুগছে? আমি জিজ্ঞাসা করছি কারণ আমি সাধারণত সবসময়ই খারাপ স্বপ্ন দেখি। (স্বামী আমাকে ছেড়ে চলে যায়, স্বামী আমাকে প্রতারণা করে, আমার মা খুন হয় ইত্যাদি) কিন্তু সম্প্রতি আমার একটা অদ্ভুত স্বপ্ন দেখে নতুন একটা দুশ্"&amp;"চিন্তা তৈরি হয়েছে যা আমি আগে কখনও অনুভব করিনি। আমার একটা স্বপ্ন ছিল যে আমার দ্বিতীয় ফোনটি পড়ে গেছে (যা আসলে আমার কাছে নেই) এবং কেউ একজন সেটা নিয়ে পালিয়ে গেছে। তারপর তারা আমার সোশ্যাল মিডিয়া অ্যাকাউন্ট পরিবর্তন করে এবং আমার ভিসা এবং ডেবিট কার্ড ফোনের কেস"&amp;"ে থাকার কারণে অ্যাক্সেস পায়। স্বপ্নে আমি ভিসা কেটে ফেলতে সক্ষম হই, ডেবিট নয়, এবং মূলত দেখছিলাম যে সে আমার সমস্ত সোশ্যাল মিডিয়া পরিবর্তন করছে এবং আমার ফোনের মাধ্যমে আমার ডেবিট কার্ড ব্যবহার করছে। যখন আমি সবকিছু কেটে ফেলার জন্য ব্যাংকে ফোন করার চেষ্টা করছিল"&amp;"াম তখন আমি কোথাও নম্বরটি খুঁজে পাচ্ছিলাম না (এটা আমার স্বপ্নে সবসময় ঘটে) তাই আমি আসলে কিছুই করতে পারিনি। তাই এখন আমি আমার ফোন এবং ভিসা/ডেবিট কার্ড কোথাও আনতে ভয় পাচ্ছি কারণ কেউ হয়তো এটা কেড়ে নেবে এই অযৌক্তিক উদ্বেগের কারণে। আমি জানি এটা অযৌক্তিক কিন্ত"&amp;"ু আমি অনুভূতিগুলোকে এড়াতে পারছি না। কীভাবে মোকাবেলা করতে হবে সে সম্পর্কে কোন পরামর্শ? এটা কি অন্য কারো সাথে ঘটেছে? [এক মিনিট আগে পোস্ট করেছি, শিরোনামে বানান ভুলের কারণে আবার পোস্ট করতে হয়েছে এবং আমি ভয় পেয়েছি। আমি একটা কারণে Subreddit-এর উদ্বেগে আছি LOLO"&amp;"L]")</f>
        <v>খারাপ স্বপ্ন দেখে কি আর কেউ নতুন করে দুশ্চিন্তায় ভুগছে? আমি জিজ্ঞাসা করছি কারণ আমি সাধারণত সবসময়ই খারাপ স্বপ্ন দেখি। (স্বামী আমাকে ছেড়ে চলে যায়, স্বামী আমাকে প্রতারণা করে, আমার মা খুন হয় ইত্যাদি) কিন্তু সম্প্রতি আমার একটা অদ্ভুত স্বপ্ন দেখে নতুন একটা দুশ্চিন্তা তৈরি হয়েছে যা আমি আগে কখনও অনুভব করিনি। আমার একটা স্বপ্ন ছিল যে আমার দ্বিতীয় ফোনটি পড়ে গেছে (যা আসলে আমার কাছে নেই) এবং কেউ একজন সেটা নিয়ে পালিয়ে গেছে। তারপর তারা আমার সোশ্যাল মিডিয়া অ্যাকাউন্ট পরিবর্তন করে এবং আমার ভিসা এবং ডেবিট কার্ড ফোনের কেসে থাকার কারণে অ্যাক্সেস পায়। স্বপ্নে আমি ভিসা কেটে ফেলতে সক্ষম হই, ডেবিট নয়, এবং মূলত দেখছিলাম যে সে আমার সমস্ত সোশ্যাল মিডিয়া পরিবর্তন করছে এবং আমার ফোনের মাধ্যমে আমার ডেবিট কার্ড ব্যবহার করছে। যখন আমি সবকিছু কেটে ফেলার জন্য ব্যাংকে ফোন করার চেষ্টা করছিলাম তখন আমি কোথাও নম্বরটি খুঁজে পাচ্ছিলাম না (এটা আমার স্বপ্নে সবসময় ঘটে) তাই আমি আসলে কিছুই করতে পারিনি। তাই এখন আমি আমার ফোন এবং ভিসা/ডেবিট কার্ড কোথাও আনতে ভয় পাচ্ছি কারণ কেউ হয়তো এটা কেড়ে নেবে এই অযৌক্তিক উদ্বেগের কারণে। আমি জানি এটা অযৌক্তিক কিন্তু আমি অনুভূতিগুলোকে এড়াতে পারছি না। কীভাবে মোকাবেলা করতে হবে সে সম্পর্কে কোন পরামর্শ? এটা কি অন্য কারো সাথে ঘটেছে? [এক মিনিট আগে পোস্ট করেছি, শিরোনামে বানান ভুলের কারণে আবার পোস্ট করতে হয়েছে এবং আমি ভয় পেয়েছি। আমি একটা কারণে Subreddit-এর উদ্বেগে আছি LOLOL]</v>
      </c>
    </row>
    <row r="2211" spans="1:3" ht="15" x14ac:dyDescent="0.25">
      <c r="A2211" s="3" t="s">
        <v>2204</v>
      </c>
      <c r="B2211" s="3" t="s">
        <v>1992</v>
      </c>
      <c r="C2211" s="4" t="str">
        <f ca="1">IFERROR(__xludf.DUMMYFUNCTION("GOOGLETRANSLATE(A2211, ""auto"", ""bn"")"),"২০১৮ সালে আমি কীভাবে সাহায্য পাবো, সেই বছরটিই আমার জীবনকে আচ্ছন্ন করে ফেলেছিল। আমার এখনও আনুষ্ঠানিকভাবে রোগ নির্ণয় করা হয়নি, তবে আমি বেশিরভাগ দিনই দুঃখে, চাপে বা চিন্তিতভাবে কাটাই। আমার বেশ কয়েকটি প্যানিক অ্যাটাক-সমস্যা হয়েছে এবং প্রায়শই আসন্ন ধ্বংসে"&amp;"র অনুভূতি হয়। তাছাড়া, আমি বেশিরভাগ সময়ই দুঃখী বোধ করি। তাছাড়া, আমি বেশিরভাগ সময় নিজেকে বলতাম যে এটি হতে পারে কারণ এটি আমার ক্যারিয়ারের প্রথম বছর এবং আমি একা শহরে থাকার প্রথম বছর। কিন্তু এটি এতটাই অপ্রতিরোধ্য হয়ে উঠছে, এবং আমার চিন্তাভাবনা ক্রমশ অন্"&amp;"ধকার হয়ে আসছে। আমি সাহায্য চাই। আমি চাই। কিন্তু আমি সত্যিই সাহায্য চাই না। আমি একজন কাউন্সেলর বা থেরাপিস্টের সাথে দেখা করার ধারণাটি ঘৃণা করি। আমি ওষুধ অন্বেষণ করতে চাই কিন্তু সম্ভাব্য পার্শ্বপ্রতিক্রিয়া বা আমার মস্তিষ্কের অবস্থার পরিবর্তনের ভয় পাই। তাছ"&amp;"াড়া, আমি নিজেকে বারবার বলি যে আমার বছরের পর বছর ধরে একটি সুস্থ মন ছিল, তাই আমার ফিরে আসা উচিত। তাই আসলে আমার প্রশ্ন হল: আপনি কীভাবে সাহায্য চাইবেন বা আমার কোন বিকল্পগুলি অনুসরণ করা উচিত? আমি হারিয়ে গেছি এবং মনে হচ্ছে কোনও সমাধান নেই।")</f>
        <v>২০১৮ সালে আমি কীভাবে সাহায্য পাবো, সেই বছরটিই আমার জীবনকে আচ্ছন্ন করে ফেলেছিল। আমার এখনও আনুষ্ঠানিকভাবে রোগ নির্ণয় করা হয়নি, তবে আমি বেশিরভাগ দিনই দুঃখে, চাপে বা চিন্তিতভাবে কাটাই। আমার বেশ কয়েকটি প্যানিক অ্যাটাক-সমস্যা হয়েছে এবং প্রায়শই আসন্ন ধ্বংসের অনুভূতি হয়। তাছাড়া, আমি বেশিরভাগ সময়ই দুঃখী বোধ করি। তাছাড়া, আমি বেশিরভাগ সময় নিজেকে বলতাম যে এটি হতে পারে কারণ এটি আমার ক্যারিয়ারের প্রথম বছর এবং আমি একা শহরে থাকার প্রথম বছর। কিন্তু এটি এতটাই অপ্রতিরোধ্য হয়ে উঠছে, এবং আমার চিন্তাভাবনা ক্রমশ অন্ধকার হয়ে আসছে। আমি সাহায্য চাই। আমি চাই। কিন্তু আমি সত্যিই সাহায্য চাই না। আমি একজন কাউন্সেলর বা থেরাপিস্টের সাথে দেখা করার ধারণাটি ঘৃণা করি। আমি ওষুধ অন্বেষণ করতে চাই কিন্তু সম্ভাব্য পার্শ্বপ্রতিক্রিয়া বা আমার মস্তিষ্কের অবস্থার পরিবর্তনের ভয় পাই। তাছাড়া, আমি নিজেকে বারবার বলি যে আমার বছরের পর বছর ধরে একটি সুস্থ মন ছিল, তাই আমার ফিরে আসা উচিত। তাই আসলে আমার প্রশ্ন হল: আপনি কীভাবে সাহায্য চাইবেন বা আমার কোন বিকল্পগুলি অনুসরণ করা উচিত? আমি হারিয়ে গেছি এবং মনে হচ্ছে কোনও সমাধান নেই।</v>
      </c>
    </row>
    <row r="2212" spans="1:3" ht="15" x14ac:dyDescent="0.25">
      <c r="A2212" s="3" t="s">
        <v>2205</v>
      </c>
      <c r="B2212" s="3" t="s">
        <v>1992</v>
      </c>
      <c r="C2212" s="4" t="str">
        <f ca="1">IFERROR(__xludf.DUMMYFUNCTION("GOOGLETRANSLATE(A2212, ""auto"", ""bn"")"),"ডেটিং এবং সামাজিক উদ্বেগ আরে, আমি ভাবছিলাম তোমরা ডেটিং জীবনে উদ্বেগের সাথে কীভাবে মোকাবিলা করো? আমি সামাজিক উদ্বেগে ভুগছি, এবং এটি সত্যিই আমার ডেটিং জীবনে হস্তক্ষেপ করে। আমি এখন ৬-৭ বছর ধরে অবিবাহিত, কোনও ডেট নেই, কিছুই নেই। তাছাড়া, আমি অনলাইনে মেয়েদের স"&amp;"াথে কথা বলার জন্য সোশ্যাল নেটওয়ার্ক ব্যবহারও করি না (এটা করতে খুব ভয় পাই), একরকম আমি ডেটিং ছেড়ে দিয়েছি। আমার উদ্বেগের সমস্যার কারণে আমি মনে করি যে আমি সম্পর্কের যোগ্য নই। যেকোনো পরামর্শ স্বাগত জানানো হবে।")</f>
        <v>ডেটিং এবং সামাজিক উদ্বেগ আরে, আমি ভাবছিলাম তোমরা ডেটিং জীবনে উদ্বেগের সাথে কীভাবে মোকাবিলা করো? আমি সামাজিক উদ্বেগে ভুগছি, এবং এটি সত্যিই আমার ডেটিং জীবনে হস্তক্ষেপ করে। আমি এখন ৬-৭ বছর ধরে অবিবাহিত, কোনও ডেট নেই, কিছুই নেই। তাছাড়া, আমি অনলাইনে মেয়েদের সাথে কথা বলার জন্য সোশ্যাল নেটওয়ার্ক ব্যবহারও করি না (এটা করতে খুব ভয় পাই), একরকম আমি ডেটিং ছেড়ে দিয়েছি। আমার উদ্বেগের সমস্যার কারণে আমি মনে করি যে আমি সম্পর্কের যোগ্য নই। যেকোনো পরামর্শ স্বাগত জানানো হবে।</v>
      </c>
    </row>
    <row r="2213" spans="1:3" ht="15" x14ac:dyDescent="0.25">
      <c r="A2213" s="3" t="s">
        <v>2206</v>
      </c>
      <c r="B2213" s="3" t="s">
        <v>1992</v>
      </c>
      <c r="C2213" s="4" t="str">
        <f ca="1">IFERROR(__xludf.DUMMYFUNCTION("GOOGLETRANSLATE(A2213, ""auto"", ""bn"")"),"পেট খারাপের জন্য ঘুম থেকে ওঠা কি আর কারো কি এই সমস্যা হয়? গত ৩ দিন ধরে প্রতিদিন সকালে আমি অনিয়ন্ত্রিতভাবে ঘুম থেকে উঠি এবং প্রচণ্ড বমি বমি ভাব এবং অস্থির বোধ করি। শেষবার যখন এটি ঘটেছিল তখন আমার জীবনের এক অত্যন্ত বেদনাদায়ক সময় ছিল, এটি এক মাসেরও বেশি স"&amp;"ময় ধরে চলেছিল। আমি ভেবেছিলাম আমি এটি কাটিয়ে উঠেছি, কিন্তু এখন এটি ফিরে এসেছে। এটি বন্ধ করার জন্য আমি কি কিছু করতে পারি? আমি নিকোটিন ব্যবহার করতাম (ভেপিং এবং ধূমপান খুব কমই) এবং এটি অনেক সাহায্য করেছিল, কিন্তু আমি ছেড়ে দিয়েছিলাম কারণ আমি জানতাম এটি আমা"&amp;"র জন্য ভালো নয়। আমি ৩ সপ্তাহ সুস্থ, কিন্তু এখন এটি ফিরে এসেছে। এই মুহুর্তে আমার কি কেবল একজন মনোরোগ বিশেষজ্ঞের কাছে যাওয়া উচিত? এই কারণে আমার ঘুম নষ্ট হয়ে যাচ্ছে। আমার বয়স প্রায় ২০ এবং সিগারেট খেয়ে নিজেকে ধ্বংস করতে চাই না।")</f>
        <v>পেট খারাপের জন্য ঘুম থেকে ওঠা কি আর কারো কি এই সমস্যা হয়? গত ৩ দিন ধরে প্রতিদিন সকালে আমি অনিয়ন্ত্রিতভাবে ঘুম থেকে উঠি এবং প্রচণ্ড বমি বমি ভাব এবং অস্থির বোধ করি। শেষবার যখন এটি ঘটেছিল তখন আমার জীবনের এক অত্যন্ত বেদনাদায়ক সময় ছিল, এটি এক মাসেরও বেশি সময় ধরে চলেছিল। আমি ভেবেছিলাম আমি এটি কাটিয়ে উঠেছি, কিন্তু এখন এটি ফিরে এসেছে। এটি বন্ধ করার জন্য আমি কি কিছু করতে পারি? আমি নিকোটিন ব্যবহার করতাম (ভেপিং এবং ধূমপান খুব কমই) এবং এটি অনেক সাহায্য করেছিল, কিন্তু আমি ছেড়ে দিয়েছিলাম কারণ আমি জানতাম এটি আমার জন্য ভালো নয়। আমি ৩ সপ্তাহ সুস্থ, কিন্তু এখন এটি ফিরে এসেছে। এই মুহুর্তে আমার কি কেবল একজন মনোরোগ বিশেষজ্ঞের কাছে যাওয়া উচিত? এই কারণে আমার ঘুম নষ্ট হয়ে যাচ্ছে। আমার বয়স প্রায় ২০ এবং সিগারেট খেয়ে নিজেকে ধ্বংস করতে চাই না।</v>
      </c>
    </row>
    <row r="2214" spans="1:3" ht="15" x14ac:dyDescent="0.25">
      <c r="A2214" s="3" t="s">
        <v>2207</v>
      </c>
      <c r="B2214" s="3" t="s">
        <v>1992</v>
      </c>
      <c r="C2214" s="4" t="str">
        <f ca="1">IFERROR(__xludf.DUMMYFUNCTION("GOOGLETRANSLATE(A2214, ""auto"", ""bn"")"),"DAE কি উদ্বেগ থেকে নিজেকে দূরে সরাতে যৌনতা/অ্যালকোহল/অন্যান্য খারাপ অভ্যাস ব্যবহার করে? আমি সম্প্রতি পর্যন্ত লক্ষ্য করিনি, কিন্তু আমি লক্ষ্য করেছি যে আমার পেটের তীব্র স্নায়বিক অনুভূতি সাধারণত এক বা দুই পানীয়ের পরে (অন্তত কিছুক্ষণের জন্য) অদৃশ্য হয়ে যায"&amp;"়। এবং তারপরে আমি সাধারণত প্রায় 3 দিন ধরে শুয়ে থাকার মতো উত্তেজনায় চড়ি - যেমন আমি পরবর্তী কয়েক দিনের জন্য আমার ভাল সময় কাটানোর উপর মনোযোগ দিই এবং আসলে এমন জিনিসগুলি নিয়ে ভাবি না যা আমাকে চাপ দেয়। অন্য কেউ একই রকম? আপনার কি অন্য কোনও খারাপ অভ্যাস আ"&amp;"ছে যা আপনাকে বিভ্রান্ত করতে সাহায্য করে?")</f>
        <v>DAE কি উদ্বেগ থেকে নিজেকে দূরে সরাতে যৌনতা/অ্যালকোহল/অন্যান্য খারাপ অভ্যাস ব্যবহার করে? আমি সম্প্রতি পর্যন্ত লক্ষ্য করিনি, কিন্তু আমি লক্ষ্য করেছি যে আমার পেটের তীব্র স্নায়বিক অনুভূতি সাধারণত এক বা দুই পানীয়ের পরে (অন্তত কিছুক্ষণের জন্য) অদৃশ্য হয়ে যায়। এবং তারপরে আমি সাধারণত প্রায় 3 দিন ধরে শুয়ে থাকার মতো উত্তেজনায় চড়ি - যেমন আমি পরবর্তী কয়েক দিনের জন্য আমার ভাল সময় কাটানোর উপর মনোযোগ দিই এবং আসলে এমন জিনিসগুলি নিয়ে ভাবি না যা আমাকে চাপ দেয়। অন্য কেউ একই রকম? আপনার কি অন্য কোনও খারাপ অভ্যাস আছে যা আপনাকে বিভ্রান্ত করতে সাহায্য করে?</v>
      </c>
    </row>
    <row r="2215" spans="1:3" ht="15" x14ac:dyDescent="0.25">
      <c r="A2215" s="3" t="s">
        <v>2208</v>
      </c>
      <c r="B2215" s="3" t="s">
        <v>1992</v>
      </c>
      <c r="C2215" s="4" t="str">
        <f ca="1">IFERROR(__xludf.DUMMYFUNCTION("GOOGLETRANSLATE(A2215, ""auto"", ""bn"")"),"আমি ওষুধ সম্পর্কে কথা বলতে চাই। তোমাদের মধ্যে কতজন এত খারাপ অবস্থায় ছিলে যে ওষুধ খেয়ে জীবন বদলে দিয়েছিলে? কেউ কি আমাকে তাদের জীবনের মোড় ঘুরিয়ে দেওয়ার কিছু সাফল্যের গল্প বলতে পারেন? আমি drugs.com-এ কিছু পর্যালোচনা পড়েছি কিন্তু আমি সবসময় ভাবি যে ওষু"&amp;"ধ কোম্পানিগুলি কি ভালো পর্যালোচনা দেওয়ার জন্য তাদের অর্থ প্রদান করে? আমার উদ্বেগ ভয়াবহ, অ্যাগোরাফোবিয়া/স্বাস্থ্য উদ্বেগ/প্যানিক ডিসঅর্ডার/GAD। থেরাপি সাহায্য করেনি, এবং আমি 3 জন ভিন্ন থেরাপিস্ট এবং বিভিন্ন কৌশল চেষ্টা করেছি। হয়তো আমার মস্তিষ্কে রাসায়"&amp;"নিক ভারসাম্যহীনতা আছে যা ঠিক করা দরকার? মননশীলতা/CBT/ধ্যানের মাধ্যমেও আমি উদ্বেগ থামাতে অসহায় বোধ করি। এটি এত শক্তিশালী।")</f>
        <v>আমি ওষুধ সম্পর্কে কথা বলতে চাই। তোমাদের মধ্যে কতজন এত খারাপ অবস্থায় ছিলে যে ওষুধ খেয়ে জীবন বদলে দিয়েছিলে? কেউ কি আমাকে তাদের জীবনের মোড় ঘুরিয়ে দেওয়ার কিছু সাফল্যের গল্প বলতে পারেন? আমি drugs.com-এ কিছু পর্যালোচনা পড়েছি কিন্তু আমি সবসময় ভাবি যে ওষুধ কোম্পানিগুলি কি ভালো পর্যালোচনা দেওয়ার জন্য তাদের অর্থ প্রদান করে? আমার উদ্বেগ ভয়াবহ, অ্যাগোরাফোবিয়া/স্বাস্থ্য উদ্বেগ/প্যানিক ডিসঅর্ডার/GAD। থেরাপি সাহায্য করেনি, এবং আমি 3 জন ভিন্ন থেরাপিস্ট এবং বিভিন্ন কৌশল চেষ্টা করেছি। হয়তো আমার মস্তিষ্কে রাসায়নিক ভারসাম্যহীনতা আছে যা ঠিক করা দরকার? মননশীলতা/CBT/ধ্যানের মাধ্যমেও আমি উদ্বেগ থামাতে অসহায় বোধ করি। এটি এত শক্তিশালী।</v>
      </c>
    </row>
    <row r="2216" spans="1:3" ht="15" x14ac:dyDescent="0.25">
      <c r="A2216" s="3" t="s">
        <v>2209</v>
      </c>
      <c r="B2216" s="3" t="s">
        <v>1992</v>
      </c>
      <c r="C2216" s="4" t="str">
        <f ca="1">IFERROR(__xludf.DUMMYFUNCTION("GOOGLETRANSLATE(A2216, ""auto"", ""bn"")"),"আমি বাইরে গিয়েছিলাম। এটা পোস্ট করা বোকামি মনে হতে পারে, কিন্তু আমি নিজেও গর্বিত। আমার বয়স ১৭ বছর। তাছাড়া, আমার অনেক সামাজিক উদ্বেগ থাকে এবং আমি অতিরিক্ত কাজের চাপে পড়ে যাই এবং মানসিক চাপে থাকি, এবং আমার মস্তিষ্ক খালি থাকে। আমি সাধারণত কেবল সেইসব লোকদে"&amp;"র সাথেই থাকি যাদের সাথে আমি খুব ঘনিষ্ঠ হতে পেরেছি কারণ এটি উদ্বেগ দূর করে। তারা কয়েকদিন আগে বাইরে যেতে চাইনি, এবং আমি সত্যিই এটিকে আমার উদ্বেগ কাটিয়ে ওঠার সুযোগ হিসেবে নিয়েছিলাম, তাই আমি একা বাইরে গিয়েছিলাম এবং এমন অন্যদের সাথে দেখা করেছি যাদের সাথে আ"&amp;"মি ঠিক ঘনিষ্ঠ নই। আমি গত রাতেও এটি করেছি এবং যদিও এটি একটি ছোট পদক্ষেপ, আমার মনে হয় এটি একরকমভাবে খুব মুক্ত! আমি এটি কাটিয়ে উঠতে চাই এবং আরও স্বাচ্ছন্দ্য বোধ করার চেষ্টা করতে চাই। তাছাড়া, আমি সবাইকে শুভ নববর্ষের শুভেচ্ছা জানাই!")</f>
        <v>আমি বাইরে গিয়েছিলাম। এটা পোস্ট করা বোকামি মনে হতে পারে, কিন্তু আমি নিজেও গর্বিত। আমার বয়স ১৭ বছর। তাছাড়া, আমার অনেক সামাজিক উদ্বেগ থাকে এবং আমি অতিরিক্ত কাজের চাপে পড়ে যাই এবং মানসিক চাপে থাকি, এবং আমার মস্তিষ্ক খালি থাকে। আমি সাধারণত কেবল সেইসব লোকদের সাথেই থাকি যাদের সাথে আমি খুব ঘনিষ্ঠ হতে পেরেছি কারণ এটি উদ্বেগ দূর করে। তারা কয়েকদিন আগে বাইরে যেতে চাইনি, এবং আমি সত্যিই এটিকে আমার উদ্বেগ কাটিয়ে ওঠার সুযোগ হিসেবে নিয়েছিলাম, তাই আমি একা বাইরে গিয়েছিলাম এবং এমন অন্যদের সাথে দেখা করেছি যাদের সাথে আমি ঠিক ঘনিষ্ঠ নই। আমি গত রাতেও এটি করেছি এবং যদিও এটি একটি ছোট পদক্ষেপ, আমার মনে হয় এটি একরকমভাবে খুব মুক্ত! আমি এটি কাটিয়ে উঠতে চাই এবং আরও স্বাচ্ছন্দ্য বোধ করার চেষ্টা করতে চাই। তাছাড়া, আমি সবাইকে শুভ নববর্ষের শুভেচ্ছা জানাই!</v>
      </c>
    </row>
    <row r="2217" spans="1:3" ht="15" x14ac:dyDescent="0.25">
      <c r="A2217" s="3" t="s">
        <v>2210</v>
      </c>
      <c r="B2217" s="3" t="s">
        <v>1992</v>
      </c>
      <c r="C2217" s="4" t="str">
        <f ca="1">IFERROR(__xludf.DUMMYFUNCTION("GOOGLETRANSLATE(A2217, ""auto"", ""bn"")"),"এসেনশিয়াল ট্রেমার্সের জন্য আউটলেট[?] হাই। আমাকে এখানে আমার প্রশ্নটি পোস্ট করার পরামর্শ দেওয়া হয়েছে। আমি এমন একটি আউটলেট খুঁজছি যেখানে আমি এসেনশিয়াল ট্রেমার্সে আক্রান্ত অন্যান্য লোকদের সাথে কথা বলতে পারি। প্রথমে আমি এসেনশিয়াল ট্রেমার্স-থিমযুক্ত ডিসকর্"&amp;"ড সার্ভার খুঁজছিলাম, তারপর নড়াচড়ার ব্যাধি এবং এমনকি স্নায়বিকভাবে-থিমযুক্ত ডিসকর্ড সার্ভারও খুঁজেছিলাম, কিন্তু কিছুই পাইনি। আমি ভেবেছিলাম এই জিনিসটির জন্য ডিজাইন করা আমার নিজস্ব ডিসকর্ড সার্ভার তৈরি করব, কিন্তু মনে হচ্ছে এতে কিছুটা সময় লাগবে। আমি অনলাই"&amp;"নে কিছু সাপোর্ট-গ্রুপও দেখেছি, কিন্তু মনে হচ্ছে তারা কিছু সময়ের জন্য বিলুপ্ত হয়ে গেছে (কিছু ফোরাম 2000 এর দশকের গোড়ার দিক থেকে কার্যকলাপ দেখেনি)। তাছাড়া, আমি জানি এটি জিজ্ঞাসা করার জন্য ঠিক *সঠিক* জায়গা নয়, তবে যেহেতু আপনি টেকনিক্যালি এসেনশিয়াল ট্র"&amp;"েমার্সের মাধ্যমে উদ্বেগের একটি নকল সংস্করণ অনুভব করতে পারেন তাই আমি মনে করি এটি গ্রহণযোগ্য। তাছাড়া, আমি সাহায্যের জন্য কল করার এবং সেইসাথে যারা আগে থেকে সাহায্য করার চেষ্টা করছেন তাদের প্রশংসা করি।")</f>
        <v>এসেনশিয়াল ট্রেমার্সের জন্য আউটলেট[?] হাই। আমাকে এখানে আমার প্রশ্নটি পোস্ট করার পরামর্শ দেওয়া হয়েছে। আমি এমন একটি আউটলেট খুঁজছি যেখানে আমি এসেনশিয়াল ট্রেমার্সে আক্রান্ত অন্যান্য লোকদের সাথে কথা বলতে পারি। প্রথমে আমি এসেনশিয়াল ট্রেমার্স-থিমযুক্ত ডিসকর্ড সার্ভার খুঁজছিলাম, তারপর নড়াচড়ার ব্যাধি এবং এমনকি স্নায়বিকভাবে-থিমযুক্ত ডিসকর্ড সার্ভারও খুঁজেছিলাম, কিন্তু কিছুই পাইনি। আমি ভেবেছিলাম এই জিনিসটির জন্য ডিজাইন করা আমার নিজস্ব ডিসকর্ড সার্ভার তৈরি করব, কিন্তু মনে হচ্ছে এতে কিছুটা সময় লাগবে। আমি অনলাইনে কিছু সাপোর্ট-গ্রুপও দেখেছি, কিন্তু মনে হচ্ছে তারা কিছু সময়ের জন্য বিলুপ্ত হয়ে গেছে (কিছু ফোরাম 2000 এর দশকের গোড়ার দিক থেকে কার্যকলাপ দেখেনি)। তাছাড়া, আমি জানি এটি জিজ্ঞাসা করার জন্য ঠিক *সঠিক* জায়গা নয়, তবে যেহেতু আপনি টেকনিক্যালি এসেনশিয়াল ট্রেমার্সের মাধ্যমে উদ্বেগের একটি নকল সংস্করণ অনুভব করতে পারেন তাই আমি মনে করি এটি গ্রহণযোগ্য। তাছাড়া, আমি সাহায্যের জন্য কল করার এবং সেইসাথে যারা আগে থেকে সাহায্য করার চেষ্টা করছেন তাদের প্রশংসা করি।</v>
      </c>
    </row>
    <row r="2218" spans="1:3" ht="15" x14ac:dyDescent="0.25">
      <c r="A2218" s="3" t="s">
        <v>2211</v>
      </c>
      <c r="B2218" s="3" t="s">
        <v>1992</v>
      </c>
      <c r="C2218" s="4" t="str">
        <f ca="1">IFERROR(__xludf.DUMMYFUNCTION("GOOGLETRANSLATE(A2218, ""auto"", ""bn"")"),"২০১৯ সাল আমার জন্য পরিবর্তনের এক ভয়াবহ বছর হতে চলেছে। ২০১৯ সাল আমার জন্য পরিবর্তনের এক ভয়াবহ বছর হতে চলেছে। আমার বয়স ২০ বছর এবং আমি কলেজে পড়ি। আমার চাকরি হওয়ার প্রায় এক বছর হয়ে গেছে এবং আমি আমার সব বন্ধুকে নার্সিসিস্টিক অপব্যবহারের কারণে হারিয়েছি। ত"&amp;"া ছাড়াও, আমি সঙ্গীত শিক্ষার জন্য কলেজে আছি, যাতে আমি গির্জার উপাসনা পরিচালনা করতে পারি। কিন্তু এক পর্যায়ে আমি মনোবিজ্ঞানে আমার ডক্টরেট ডিগ্রি অর্জন করতে চাই এবং একজন ক্লিনিক্যাল সাইকোলজিস্ট হতে চাই। পরিবর্তনের প্রেক্ষাপটে এই বছরটি ভয়াবহ। পরিবর্তনের ক্ষে"&amp;"ত্রে আমি খুব খারাপ নই, এবং আমি এর সাথে বেশ খাপ খাইয়েও নিচ্ছি। কিন্তু আমি ভীত কারণ চাকরি পাওয়া, লাইসেন্স পাওয়া এবং অবশেষে নিজের যত্ন নেওয়া সত্যিই কঠিন বিষয়। আমি কিছু রাত স্বাভাবিকভাবে ঘুমাতে পারি না, এবং আমি নিজেকে সারাদিন বিছানায় শুয়ে থাকতে দেখি, ক"&amp;"িছুই করতে পারি না, এবং আরও বেশি মূল্যহীন বোধ করি কারণ আমি কিছুই করিনি। তাই আমি কেবল আত্ম-ঘৃণা, আত্ম-বিদ্বেষ এবং অলসতার এক চিরস্থায়ী চক্রে আছি। আমি বলতে পারছি না এটা কি বিষণ্ণতা, নাকি আসল অলসতা। চাকরির সাক্ষাৎকার আমাকে ভীষণ ভয় দেখায়, এবং আমি ফোন কল ঘৃণা"&amp;" করি। আমার আগের চাকরিতে আমি ভালো ছিলাম, কিন্তু সংক্ষেপে বলতে গেলে, সেই সময় আমি আমার নির্যাতনকারী প্রাক্তনের সাথে কাজ করেছি। এবং তিনিই আমাকে প্রথম স্থান অধিকার করে চাকরি পেতে সাহায্য করেছিলেন। আমি সবসময় ভাবতাম যে তিনি না থাকলে আমি চাকরি পেতাম না। চাকরি প"&amp;"েতে এবং প্রকৃতপক্ষে একজন স্বাধীন প্রাপ্তবয়স্ক হতে আমার প্রায় এক মাস সময় আছে। আমি এর এই দিকটি নিয়ে উত্তেজিত, কিন্তু ঊর্ধ্বতনদের জন্য কাজ করার জন্য এবং কর্মক্ষেত্রে অপ্রীতিকর লোকদের সাথে আচরণ করার জন্য ক্রমাগত চাপের সাথে যা আসে তা আমাকে এক কোণে কাওয়ানক"&amp;"ে কাঁদতে এবং কখনও চলে না যাওয়ার জন্য এবং আমাকে গুলি করার জন্য অনুরোধ করতে বাধ্য করে। আমি জানি না অন্যরা এর সাথে সম্পর্কিত হতে পারে কিনা। আর আমি জানি আমি কাজ না করার জন্য অজুহাত খুঁজছি, কিন্তু কাজ করা আমার জন্য সমস্যা নয়... যখন আমাকে কাজ দেওয়ার কথা আসে ত"&amp;"খন আমি সত্যিই পরিশ্রমী মানুষ। আমি খুব দ্রুত কাজটা করে ফেলি। কিন্তু আসলে চাকরি পাওয়ার প্রক্রিয়াটা এত ভয়াবহ করে তোলে। যদি না করি, তাহলে সম্ভবত কিছুদিনের জন্য কলেজ ছেড়ে বাবা-মায়ের সাথে থাকতে হবে, যতক্ষণ না আমি আসলে চাকরি খুঁজে পাই। আমি নিজেকে খুব অকেজো এবং ম"&amp;"ূল্যহীন মনে করি, এবং এই সব নিয়ে আমার উদ্বেগ কীভাবে কাটিয়ে উঠব তা আমি জানি না। আমার বকবক করার জন্য আমি দুঃখিত। TLDR: আমি মূল্যহীন এবং চাকরির ইন্টারভিউ এবং সাধারণভাবে কাজ করতে ভয় পাই কারণ লোকেরা আমাকে বিচার করতে ভয় পায়, এবং আমি এর ভয় কাটিয়ে উঠতে পারছি না। "&amp;"আমার শীঘ্রই একটি চাকরির প্রয়োজন যাতে আমি একজন সত্যিকারের প্রাপ্তবয়স্ক হতে পারি এবং আমার বাবা-মায়ের এখনও আমার যত্ন নেওয়া বন্ধ করতে পারি।")</f>
        <v>২০১৯ সাল আমার জন্য পরিবর্তনের এক ভয়াবহ বছর হতে চলেছে। ২০১৯ সাল আমার জন্য পরিবর্তনের এক ভয়াবহ বছর হতে চলেছে। আমার বয়স ২০ বছর এবং আমি কলেজে পড়ি। আমার চাকরি হওয়ার প্রায় এক বছর হয়ে গেছে এবং আমি আমার সব বন্ধুকে নার্সিসিস্টিক অপব্যবহারের কারণে হারিয়েছি। তা ছাড়াও, আমি সঙ্গীত শিক্ষার জন্য কলেজে আছি, যাতে আমি গির্জার উপাসনা পরিচালনা করতে পারি। কিন্তু এক পর্যায়ে আমি মনোবিজ্ঞানে আমার ডক্টরেট ডিগ্রি অর্জন করতে চাই এবং একজন ক্লিনিক্যাল সাইকোলজিস্ট হতে চাই। পরিবর্তনের প্রেক্ষাপটে এই বছরটি ভয়াবহ। পরিবর্তনের ক্ষেত্রে আমি খুব খারাপ নই, এবং আমি এর সাথে বেশ খাপ খাইয়েও নিচ্ছি। কিন্তু আমি ভীত কারণ চাকরি পাওয়া, লাইসেন্স পাওয়া এবং অবশেষে নিজের যত্ন নেওয়া সত্যিই কঠিন বিষয়। আমি কিছু রাত স্বাভাবিকভাবে ঘুমাতে পারি না, এবং আমি নিজেকে সারাদিন বিছানায় শুয়ে থাকতে দেখি, কিছুই করতে পারি না, এবং আরও বেশি মূল্যহীন বোধ করি কারণ আমি কিছুই করিনি। তাই আমি কেবল আত্ম-ঘৃণা, আত্ম-বিদ্বেষ এবং অলসতার এক চিরস্থায়ী চক্রে আছি। আমি বলতে পারছি না এটা কি বিষণ্ণতা, নাকি আসল অলসতা। চাকরির সাক্ষাৎকার আমাকে ভীষণ ভয় দেখায়, এবং আমি ফোন কল ঘৃণা করি। আমার আগের চাকরিতে আমি ভালো ছিলাম, কিন্তু সংক্ষেপে বলতে গেলে, সেই সময় আমি আমার নির্যাতনকারী প্রাক্তনের সাথে কাজ করেছি। এবং তিনিই আমাকে প্রথম স্থান অধিকার করে চাকরি পেতে সাহায্য করেছিলেন। আমি সবসময় ভাবতাম যে তিনি না থাকলে আমি চাকরি পেতাম না। চাকরি পেতে এবং প্রকৃতপক্ষে একজন স্বাধীন প্রাপ্তবয়স্ক হতে আমার প্রায় এক মাস সময় আছে। আমি এর এই দিকটি নিয়ে উত্তেজিত, কিন্তু ঊর্ধ্বতনদের জন্য কাজ করার জন্য এবং কর্মক্ষেত্রে অপ্রীতিকর লোকদের সাথে আচরণ করার জন্য ক্রমাগত চাপের সাথে যা আসে তা আমাকে এক কোণে কাওয়ানকে কাঁদতে এবং কখনও চলে না যাওয়ার জন্য এবং আমাকে গুলি করার জন্য অনুরোধ করতে বাধ্য করে। আমি জানি না অন্যরা এর সাথে সম্পর্কিত হতে পারে কিনা। আর আমি জানি আমি কাজ না করার জন্য অজুহাত খুঁজছি, কিন্তু কাজ করা আমার জন্য সমস্যা নয়... যখন আমাকে কাজ দেওয়ার কথা আসে তখন আমি সত্যিই পরিশ্রমী মানুষ। আমি খুব দ্রুত কাজটা করে ফেলি। কিন্তু আসলে চাকরি পাওয়ার প্রক্রিয়াটা এত ভয়াবহ করে তোলে। যদি না করি, তাহলে সম্ভবত কিছুদিনের জন্য কলেজ ছেড়ে বাবা-মায়ের সাথে থাকতে হবে, যতক্ষণ না আমি আসলে চাকরি খুঁজে পাই। আমি নিজেকে খুব অকেজো এবং মূল্যহীন মনে করি, এবং এই সব নিয়ে আমার উদ্বেগ কীভাবে কাটিয়ে উঠব তা আমি জানি না। আমার বকবক করার জন্য আমি দুঃখিত। TLDR: আমি মূল্যহীন এবং চাকরির ইন্টারভিউ এবং সাধারণভাবে কাজ করতে ভয় পাই কারণ লোকেরা আমাকে বিচার করতে ভয় পায়, এবং আমি এর ভয় কাটিয়ে উঠতে পারছি না। আমার শীঘ্রই একটি চাকরির প্রয়োজন যাতে আমি একজন সত্যিকারের প্রাপ্তবয়স্ক হতে পারি এবং আমার বাবা-মায়ের এখনও আমার যত্ন নেওয়া বন্ধ করতে পারি।</v>
      </c>
    </row>
    <row r="2219" spans="1:3" ht="15" x14ac:dyDescent="0.25">
      <c r="A2219" s="3" t="s">
        <v>2212</v>
      </c>
      <c r="B2219" s="3" t="s">
        <v>1992</v>
      </c>
      <c r="C2219" s="4" t="str">
        <f ca="1">IFERROR(__xludf.DUMMYFUNCTION("GOOGLETRANSLATE(A2219, ""auto"", ""bn"")"),"পরিবারের সাথে নৌকায় যাচ্ছি। কয়েক ঘন্টা পর আমি কিছু পরিবার এবং বন্ধুদের সাথে সমুদ্রে মাঝারি আকারের নৌকায় যাব। গতকাল আমার ঘুমাতে সমস্যা হয়েছিল, আর আজ আমি অত্যন্ত উদ্বিগ্ন। প্রতিবারই যখন আমরা কিছু নতুন করে করি, তখন আমার বা আমার পরিবারের মৃত্যুর চিন্তা আসে। আ"&amp;"র, শুভ নববর্ষ!")</f>
        <v>পরিবারের সাথে নৌকায় যাচ্ছি। কয়েক ঘন্টা পর আমি কিছু পরিবার এবং বন্ধুদের সাথে সমুদ্রে মাঝারি আকারের নৌকায় যাব। গতকাল আমার ঘুমাতে সমস্যা হয়েছিল, আর আজ আমি অত্যন্ত উদ্বিগ্ন। প্রতিবারই যখন আমরা কিছু নতুন করে করি, তখন আমার বা আমার পরিবারের মৃত্যুর চিন্তা আসে। আর, শুভ নববর্ষ!</v>
      </c>
    </row>
    <row r="2220" spans="1:3" ht="15" x14ac:dyDescent="0.25">
      <c r="A2220" s="3" t="s">
        <v>2213</v>
      </c>
      <c r="B2220" s="3" t="s">
        <v>1992</v>
      </c>
      <c r="C2220" s="4" t="str">
        <f ca="1">IFERROR(__xludf.DUMMYFUNCTION("GOOGLETRANSLATE(A2220, ""auto"", ""bn"")"),"দুঃস্বপ্ন আমার (২৩ ফারেনহাইট) উদ্বেগ গত কয়েক মাসে আগের তুলনায় অনেক কমে গেছে, কিন্তু আমি প্রতি রাতে দুঃস্বপ্ন দেখি। আর কেউ কি এইরকম অভিজ্ঞতা লাভ করে? এটা সত্যিই আমাকে হতাশ করতে শুরু করেছে, এবং আমি নিশ্চিত নই যে এর জন্য কী করব...")</f>
        <v>দুঃস্বপ্ন আমার (২৩ ফারেনহাইট) উদ্বেগ গত কয়েক মাসে আগের তুলনায় অনেক কমে গেছে, কিন্তু আমি প্রতি রাতে দুঃস্বপ্ন দেখি। আর কেউ কি এইরকম অভিজ্ঞতা লাভ করে? এটা সত্যিই আমাকে হতাশ করতে শুরু করেছে, এবং আমি নিশ্চিত নই যে এর জন্য কী করব...</v>
      </c>
    </row>
    <row r="2221" spans="1:3" ht="15" x14ac:dyDescent="0.25">
      <c r="A2221" s="3" t="s">
        <v>2214</v>
      </c>
      <c r="B2221" s="3" t="s">
        <v>1992</v>
      </c>
      <c r="C2221" s="4" t="str">
        <f ca="1">IFERROR(__xludf.DUMMYFUNCTION("GOOGLETRANSLATE(A2221, ""auto"", ""bn"")"),"আমি মৃত্যুকে খুব ভয় পাই। নতুন বছর উপলক্ষে আমি ভ্রমণ করছি এবং আমার এত ভয় হচ্ছে যে আমি যদি মারা যাই এবং আমি সত্যিই তা করতে চাই না। গত কয়েকদিন ধরে আমি বাইরে ছিলাম কিন্তু আজ তীব্র উদ্বেগের কারণে আমি আমার ঘরে থাকার সিদ্ধান্ত নিয়েছি। আমার সাথে কিছু একটা ঘটত"&amp;"ে চলেছে এই ভেবে আমি কেঁদে কেঁদে ঘুম থেকে উঠেছিলাম। শুক্রবারের আগে আমি বাড়ি ফিরে যাই না এবং জানি না যে ততক্ষণ পর্যন্ত আমি কীভাবে বাঁচব। আমি আমার বাড়ির কথা খুব মনে করি।")</f>
        <v>আমি মৃত্যুকে খুব ভয় পাই। নতুন বছর উপলক্ষে আমি ভ্রমণ করছি এবং আমার এত ভয় হচ্ছে যে আমি যদি মারা যাই এবং আমি সত্যিই তা করতে চাই না। গত কয়েকদিন ধরে আমি বাইরে ছিলাম কিন্তু আজ তীব্র উদ্বেগের কারণে আমি আমার ঘরে থাকার সিদ্ধান্ত নিয়েছি। আমার সাথে কিছু একটা ঘটতে চলেছে এই ভেবে আমি কেঁদে কেঁদে ঘুম থেকে উঠেছিলাম। শুক্রবারের আগে আমি বাড়ি ফিরে যাই না এবং জানি না যে ততক্ষণ পর্যন্ত আমি কীভাবে বাঁচব। আমি আমার বাড়ির কথা খুব মনে করি।</v>
      </c>
    </row>
    <row r="2222" spans="1:3" ht="15" x14ac:dyDescent="0.25">
      <c r="A2222" s="3" t="s">
        <v>2215</v>
      </c>
      <c r="B2222" s="3" t="s">
        <v>1992</v>
      </c>
      <c r="C2222" s="4" t="str">
        <f ca="1">IFERROR(__xludf.DUMMYFUNCTION("GOOGLETRANSLATE(A2222, ""auto"", ""bn"")"),"আমার নববর্ষ। (উদ্বেগ) সন্ধ্যা ৭:০০টা - আমার ঘরে বসে ভাবছি বাইরে যাব কি যাব না। আমার নিজের ঘরে আরামে লুকিয়ে থাকা অবস্থায় কয়েক মাস ধরে যাদের সাথে দেখা হয়নি তাদের সাথে কথা বলতে আমার কেমন লাগবে? রাত ৮:৩০টা - আমার বোন আমাদের স্থানীয় পানীয় বারে যাচ্ছে নতু"&amp;"ন বছর আনতে। আমি বললাম, এটা করা যাক। আমার ক্যালভিন ক্লেইন সোয়েটার পরো, চুল আঁচড়াও, এটা করা যাক। আমি ২০১৯ সালে সামাজিক পরিস্থিতির ভয়ে যাচ্ছি না। আমি বিয়ার খুলি। রাত ৯:৩০টা - আমরা বারে গাড়ি চালিয়ে যাই (হেঁটে বাড়ি যাওয়ার জন্য)। আমরা ভেতরে যাই এবং একটি"&amp;" টেবিল নিই। আমি কয়েকজন পুরনো বন্ধুকে দেখি যাদের আমি আমার নিজের সমস্যার কারণে বাইরে রেখেছি। রাত ১০:৩০টা - একজন পুরনো বন্ধু আমাকে স্বাগত জানাতে আসে। সে বসে আমাকে জিজ্ঞাসা করে আমি কেমন আছি, আমার ছেলে কেমন আছে, কলেজ কেমন চলছে, এবং সে আমার কথা বলতে সত্যিই আগ্"&amp;"রহী বলে মনে হচ্ছে। অপরিচিত ব্যক্তির সাথে কথা বলতে ভালো লাগলো, আমি কি বলব? আর বিচার না করার একটা সংযোগ অনুভব করি। সারা রাত ধরে আমার আরও কিছু বন্ধুর সাথে দেখা হয়, আর তারা বলে আমার আরও বাইরে আসা উচিত অথবা তাদের মাঝে মাঝে টেক্সট করা উচিত। আমি খুশি যে আমি বাই"&amp;"রে গিয়েছিলাম! সবাইকে নতুন বছরের শুভেচ্ছা।")</f>
        <v>আমার নববর্ষ। (উদ্বেগ) সন্ধ্যা ৭:০০টা - আমার ঘরে বসে ভাবছি বাইরে যাব কি যাব না। আমার নিজের ঘরে আরামে লুকিয়ে থাকা অবস্থায় কয়েক মাস ধরে যাদের সাথে দেখা হয়নি তাদের সাথে কথা বলতে আমার কেমন লাগবে? রাত ৮:৩০টা - আমার বোন আমাদের স্থানীয় পানীয় বারে যাচ্ছে নতুন বছর আনতে। আমি বললাম, এটা করা যাক। আমার ক্যালভিন ক্লেইন সোয়েটার পরো, চুল আঁচড়াও, এটা করা যাক। আমি ২০১৯ সালে সামাজিক পরিস্থিতির ভয়ে যাচ্ছি না। আমি বিয়ার খুলি। রাত ৯:৩০টা - আমরা বারে গাড়ি চালিয়ে যাই (হেঁটে বাড়ি যাওয়ার জন্য)। আমরা ভেতরে যাই এবং একটি টেবিল নিই। আমি কয়েকজন পুরনো বন্ধুকে দেখি যাদের আমি আমার নিজের সমস্যার কারণে বাইরে রেখেছি। রাত ১০:৩০টা - একজন পুরনো বন্ধু আমাকে স্বাগত জানাতে আসে। সে বসে আমাকে জিজ্ঞাসা করে আমি কেমন আছি, আমার ছেলে কেমন আছে, কলেজ কেমন চলছে, এবং সে আমার কথা বলতে সত্যিই আগ্রহী বলে মনে হচ্ছে। অপরিচিত ব্যক্তির সাথে কথা বলতে ভালো লাগলো, আমি কি বলব? আর বিচার না করার একটা সংযোগ অনুভব করি। সারা রাত ধরে আমার আরও কিছু বন্ধুর সাথে দেখা হয়, আর তারা বলে আমার আরও বাইরে আসা উচিত অথবা তাদের মাঝে মাঝে টেক্সট করা উচিত। আমি খুশি যে আমি বাইরে গিয়েছিলাম! সবাইকে নতুন বছরের শুভেচ্ছা।</v>
      </c>
    </row>
    <row r="2223" spans="1:3" ht="15" x14ac:dyDescent="0.25">
      <c r="A2223" s="3" t="s">
        <v>2216</v>
      </c>
      <c r="B2223" s="3" t="s">
        <v>1992</v>
      </c>
      <c r="C2223" s="4" t="str">
        <f ca="1">IFERROR(__xludf.DUMMYFUNCTION("GOOGLETRANSLATE(A2223, ""auto"", ""bn"")"),"বন্ধুদের পরিবারে আমার নতুন বছর কাটানো উদ্বেগের ঝড়ের মধ্যে একটা শান্ত ভাব। তার পরিবার এবং অন্যান্য বন্ধুরা শেষ হয়ে গেছে। ভালো সময় কাটিয়েছি, যদিও আমি খুব আত্ম-সচেতন এবং ছোটখাটো কথাবার্তার ব্যাপারে সতর্ক ছিলাম। কিন্তু ওহ, এই মুহূর্তে আমি সমস্ত শাস্তিমূলক"&amp;"/অনুপ্রবেশকারী চিন্তাভাবনা থেকে মুক্ত। আমি একজন ব্যক্তি হিসেবে, বন্ধু হিসেবে যথেষ্ট ভালো নই তা নিয়ে কোনও উদ্বেগ, সন্দেহ, আত্ম-বিদ্বেষ নেই। এই মুহূর্তে আমি জানি এই বন্ধুত্বটি আসল, শক্তিশালী এবং বুঝতে পারি যে এটি পারস্পরিক। আমি ভাবছি এই সময় এটি কতদিন স্থা"&amp;"য়ী হবে, যেহেতু এটি সর্বদা ক্ষণস্থায়ী, আমি আবার নিজেকে সন্দেহ করতে শুরু করার আগে, আমার বন্ধুত্ব সম্পর্কে সন্দেহ করার আগে, আমি বলার জন্য যথেষ্ট যোগ্য নই, এমন বন্ধু পাওয়ার জন্য, স্বাগত জানানোর জন্য, ভালোবাসা পাওয়ার জন্য যথেষ্ট যোগ্য নই। কিন্তু আপাতত, হ্য"&amp;"াঁ, আমি।")</f>
        <v>বন্ধুদের পরিবারে আমার নতুন বছর কাটানো উদ্বেগের ঝড়ের মধ্যে একটা শান্ত ভাব। তার পরিবার এবং অন্যান্য বন্ধুরা শেষ হয়ে গেছে। ভালো সময় কাটিয়েছি, যদিও আমি খুব আত্ম-সচেতন এবং ছোটখাটো কথাবার্তার ব্যাপারে সতর্ক ছিলাম। কিন্তু ওহ, এই মুহূর্তে আমি সমস্ত শাস্তিমূলক/অনুপ্রবেশকারী চিন্তাভাবনা থেকে মুক্ত। আমি একজন ব্যক্তি হিসেবে, বন্ধু হিসেবে যথেষ্ট ভালো নই তা নিয়ে কোনও উদ্বেগ, সন্দেহ, আত্ম-বিদ্বেষ নেই। এই মুহূর্তে আমি জানি এই বন্ধুত্বটি আসল, শক্তিশালী এবং বুঝতে পারি যে এটি পারস্পরিক। আমি ভাবছি এই সময় এটি কতদিন স্থায়ী হবে, যেহেতু এটি সর্বদা ক্ষণস্থায়ী, আমি আবার নিজেকে সন্দেহ করতে শুরু করার আগে, আমার বন্ধুত্ব সম্পর্কে সন্দেহ করার আগে, আমি বলার জন্য যথেষ্ট যোগ্য নই, এমন বন্ধু পাওয়ার জন্য, স্বাগত জানানোর জন্য, ভালোবাসা পাওয়ার জন্য যথেষ্ট যোগ্য নই। কিন্তু আপাতত, হ্যাঁ, আমি।</v>
      </c>
    </row>
    <row r="2224" spans="1:3" ht="15" x14ac:dyDescent="0.25">
      <c r="A2224" s="3" t="s">
        <v>2217</v>
      </c>
      <c r="B2224" s="3" t="s">
        <v>1992</v>
      </c>
      <c r="C2224" s="4" t="str">
        <f ca="1">IFERROR(__xludf.DUMMYFUNCTION("GOOGLETRANSLATE(A2224, ""auto"", ""bn"")"),"গত রাতে কর্মক্ষেত্রে কিছু সমস্যা হয়েছিল। গল্পটা এই রকম, আমি আর আমার ম্যানেজার নববর্ষের রাতের সময়সূচী নিয়ে একটা পরিকল্পনা করেছিলাম কারণ তারা সবাইকে ভুল অবস্থানে বসিয়েছিল। আরেকজন ম্যানেজার সিদ্ধান্ত নিলেন যে আমি নববর্ষে এমন একটা অবস্থানে বসবেন না যেখানে"&amp;" আমি আরামে থাকতে পারব না কারণ রান্না করতে আমার অনেক সময় লাগে, তাই রাত ১১টার পরিবর্তে ভোর ৫টায় সব রান্না করতে পারব না। আমি খুব আবেগপ্রবণ হয়ে পড়লাম এবং কেউ আমার কথা ভাবল না, কারণ ম্যানেজাররা আমার সবচেয়ে ভালো বন্ধুকে বলতে শুনলেন যে, না, তুমি হেরার জন্য "&amp;"রান্না করছো না এবং তাকে বলতে চাইছে যে আমাকে সারা রাত কষ্ট করতে দাও। তারপর আমার অবস্থান বদল করা হল কারণ ম্যানেজার যিনি আমার সাথে পরিকল্পনা করেছিলেন তিনি বলেছিলেন যে তিনি আমাকে রান্না করতে চান না এবং আমাকে রান্নাঘরে রাখতে চান। আমি তাকে ধন্যবাদ জানালাম এবং ভ"&amp;"োর ৪টা পর্যন্ত সারা রাত খুব ভালো মেজাজে ছিলাম, যেখানে আমাকে সর্বশেষ ৪:৩০ এর মধ্যে কিছু পণ্য ফেলে দিতে হয়েছিল, এবং আমার এক ঘন্টা এবং দেড় ঘন্টা কাজ ছিল কারণ আমি ৩টি ভিন্ন কাজ করছিলাম। আমি ভেঙে পড়তে শুরু করলাম, সবাই এটা দেখে খুব কেঁদে ফেললাম, আমি চিৎকার ক"&amp;"রে বলছিলাম, যদি কেউ আমাকে সাহায্য করতে জানতো, কারণ সেখানে আরও ৫ জন ছিল এবং তাদের কেউই আমাকে সাহায্য করতে জানতো না। আমার সবচেয়ে ভালো বন্ধু এতটাই পিছিয়ে ছিল যে সে আমাকে সাহায্য করতে পারছিল না, সে এখনও তার শিফটের পরেও কাজ করছে কারণ আমার ফিনিশার জানতো না কি"&amp;"ভাবে পণ্যটি একা ফেলে দিতে হয় কিন্তু রান্নাঘরে থাকার জন্য জোর করছিল যাতে সে তাকে কাজটি করতে বলে। আমি অনেক ভুল করেছি, এবং আমরা এত দেরি করে খুলেছিলাম, ভোর ৫ টার জন্য লবির দরজা খোলা ছিল না। সেই রাতে আমি আগের চেয়ে বেশিবার কেঁদেছিলাম, এবং আমার এত আতঙ্কিত হওয়"&amp;"ার মতো অবস্থা হয়েছিল যে আমি আত্মহত্যা করতে চেয়েছিলাম। তাছাড়া, আমি এটি সম্পূর্ণরূপে বর্ণনা করতে পারছি না কারণ আমি এটি আবার বাঁচতে চাই না, আমি কেবল এটি সম্পর্কে চিন্তা করেই বুঝতে পারছি। তাছাড়া, আমি পদত্যাগ করতে চাই, কিন্তু আমার টাকার খুব প্রয়োজন এবং আম"&amp;"ি অন্য কোনও চাকরি খুঁজে পাচ্ছি না।")</f>
        <v>গত রাতে কর্মক্ষেত্রে কিছু সমস্যা হয়েছিল। গল্পটা এই রকম, আমি আর আমার ম্যানেজার নববর্ষের রাতের সময়সূচী নিয়ে একটা পরিকল্পনা করেছিলাম কারণ তারা সবাইকে ভুল অবস্থানে বসিয়েছিল। আরেকজন ম্যানেজার সিদ্ধান্ত নিলেন যে আমি নববর্ষে এমন একটা অবস্থানে বসবেন না যেখানে আমি আরামে থাকতে পারব না কারণ রান্না করতে আমার অনেক সময় লাগে, তাই রাত ১১টার পরিবর্তে ভোর ৫টায় সব রান্না করতে পারব না। আমি খুব আবেগপ্রবণ হয়ে পড়লাম এবং কেউ আমার কথা ভাবল না, কারণ ম্যানেজাররা আমার সবচেয়ে ভালো বন্ধুকে বলতে শুনলেন যে, না, তুমি হেরার জন্য রান্না করছো না এবং তাকে বলতে চাইছে যে আমাকে সারা রাত কষ্ট করতে দাও। তারপর আমার অবস্থান বদল করা হল কারণ ম্যানেজার যিনি আমার সাথে পরিকল্পনা করেছিলেন তিনি বলেছিলেন যে তিনি আমাকে রান্না করতে চান না এবং আমাকে রান্নাঘরে রাখতে চান। আমি তাকে ধন্যবাদ জানালাম এবং ভোর ৪টা পর্যন্ত সারা রাত খুব ভালো মেজাজে ছিলাম, যেখানে আমাকে সর্বশেষ ৪:৩০ এর মধ্যে কিছু পণ্য ফেলে দিতে হয়েছিল, এবং আমার এক ঘন্টা এবং দেড় ঘন্টা কাজ ছিল কারণ আমি ৩টি ভিন্ন কাজ করছিলাম। আমি ভেঙে পড়তে শুরু করলাম, সবাই এটা দেখে খুব কেঁদে ফেললাম, আমি চিৎকার করে বলছিলাম, যদি কেউ আমাকে সাহায্য করতে জানতো, কারণ সেখানে আরও ৫ জন ছিল এবং তাদের কেউই আমাকে সাহায্য করতে জানতো না। আমার সবচেয়ে ভালো বন্ধু এতটাই পিছিয়ে ছিল যে সে আমাকে সাহায্য করতে পারছিল না, সে এখনও তার শিফটের পরেও কাজ করছে কারণ আমার ফিনিশার জানতো না কিভাবে পণ্যটি একা ফেলে দিতে হয় কিন্তু রান্নাঘরে থাকার জন্য জোর করছিল যাতে সে তাকে কাজটি করতে বলে। আমি অনেক ভুল করেছি, এবং আমরা এত দেরি করে খুলেছিলাম, ভোর ৫ টার জন্য লবির দরজা খোলা ছিল না। সেই রাতে আমি আগের চেয়ে বেশিবার কেঁদেছিলাম, এবং আমার এত আতঙ্কিত হওয়ার মতো অবস্থা হয়েছিল যে আমি আত্মহত্যা করতে চেয়েছিলাম। তাছাড়া, আমি এটি সম্পূর্ণরূপে বর্ণনা করতে পারছি না কারণ আমি এটি আবার বাঁচতে চাই না, আমি কেবল এটি সম্পর্কে চিন্তা করেই বুঝতে পারছি। তাছাড়া, আমি পদত্যাগ করতে চাই, কিন্তু আমার টাকার খুব প্রয়োজন এবং আমি অন্য কোনও চাকরি খুঁজে পাচ্ছি না।</v>
      </c>
    </row>
    <row r="2225" spans="1:3" ht="15" x14ac:dyDescent="0.25">
      <c r="A2225" s="3" t="s">
        <v>2218</v>
      </c>
      <c r="B2225" s="3" t="s">
        <v>1992</v>
      </c>
      <c r="C2225" s="4" t="str">
        <f ca="1">IFERROR(__xludf.DUMMYFUNCTION("GOOGLETRANSLATE(A2225, ""auto"", ""bn"")"),"ঘুমের সমস্যা ঘুম না আসলে কী করবেন সে সম্পর্কে পরামর্শ খুঁজছি (ঘুমানোর জন্য)। সম্প্রতি আমার বুকে খুব টান অনুভব হচ্ছে, এবং যত ক্লান্তই থাকি না কেন আমার মন অবিরাম ছুটে চলেছে। আমি শুধু ঘুমাতে চাই।")</f>
        <v>ঘুমের সমস্যা ঘুম না আসলে কী করবেন সে সম্পর্কে পরামর্শ খুঁজছি (ঘুমানোর জন্য)। সম্প্রতি আমার বুকে খুব টান অনুভব হচ্ছে, এবং যত ক্লান্তই থাকি না কেন আমার মন অবিরাম ছুটে চলেছে। আমি শুধু ঘুমাতে চাই।</v>
      </c>
    </row>
    <row r="2226" spans="1:3" ht="15" x14ac:dyDescent="0.25">
      <c r="A2226" s="3" t="s">
        <v>2219</v>
      </c>
      <c r="B2226" s="3" t="s">
        <v>1992</v>
      </c>
      <c r="C2226" s="4" t="str">
        <f ca="1">IFERROR(__xludf.DUMMYFUNCTION("GOOGLETRANSLATE(A2226, ""auto"", ""bn"")"),"আমি অপরাধবোধ করি কারণ আমি সবসময় উদ্বিগ্ন থাকি না, আমি জানি যে এটা হতে পারে কারণ আমি এর জন্য ওষুধ খাচ্ছি, কিন্তু আমার মনে হয় এটা নিয়ে কথা বলার কোন অধিকার আমার নেই কারণ ""ভয়াবহভাবে উদ্বিগ্ন"" এখন আর আমার ধ্রুবক অবস্থা নয়। প্রায়... স্বাভাবিক বোধ করার জন্য আ"&amp;"মি অপরাধবোধ করি।")</f>
        <v>আমি অপরাধবোধ করি কারণ আমি সবসময় উদ্বিগ্ন থাকি না, আমি জানি যে এটা হতে পারে কারণ আমি এর জন্য ওষুধ খাচ্ছি, কিন্তু আমার মনে হয় এটা নিয়ে কথা বলার কোন অধিকার আমার নেই কারণ "ভয়াবহভাবে উদ্বিগ্ন" এখন আর আমার ধ্রুবক অবস্থা নয়। প্রায়... স্বাভাবিক বোধ করার জন্য আমি অপরাধবোধ করি।</v>
      </c>
    </row>
    <row r="2227" spans="1:3" ht="15" x14ac:dyDescent="0.25">
      <c r="A2227" s="3" t="s">
        <v>2220</v>
      </c>
      <c r="B2227" s="3" t="s">
        <v>1992</v>
      </c>
      <c r="C2227" s="4" t="str">
        <f ca="1">IFERROR(__xludf.DUMMYFUNCTION("GOOGLETRANSLATE(A2227, ""auto"", ""bn"")"),"আমার উদ্বেগকে দূরে রেখে...২০১৯ সালে আমি কখনোই পরাজিত হব না!! ১৩ বছর বয়স থেকেই আমার জেনারেলাইজড অ্যাংজাইটি ডিসঅর্ডার ধরা পড়েছে (এবং MDD, BPD ক্যাম্প; পথিমধ্যে প্যানিক ডিসঅর্ডার)। ২ দিন (৩ জানুয়ারী) আমার ২২তম জন্মদিন এবং গত বছরের দিকে তাকালে, আমি বুঝতে প"&amp;"েরেছি যে আমি একেবারে কিছুই অর্জন করতে পারিনি। গত ১২ মাসে আমি আমার বাড়ি থেকে খুব কমই বেরিয়েছি, এবং মাত্র কয়েকবার আমার শহর ছেড়েছি - এক ঘন্টারও বেশি দূরে ভ্রমণ করিনি। আমি জানি এটি একই পুরানো ""নতুন বছর নতুন আমি"" বাজে কথা বলে মনে হচ্ছে, কিন্তু আমি বুঝতে "&amp;"পেরেছি যে আমাকে আরও ভালো হতে হবে। অন্য কোন বিকল্প নেই। ব্যর্থতা আমার জন্য আর কোন বিকল্প নয়। আমার জীবনের সাথে আমার অনেক কিছু করার আছে! আমি ভ্রমণ করতে চাই, আমি পৃথিবী দেখতে চাই। তাছাড়া, আমি বিভিন্ন শহর ঘুরে দেখতে চাই...একা! তাছাড়া, আমার একজন সঙ্গী আছে যা"&amp;"র উপর আমি সম্পূর্ণ নির্ভর করি এবং ২০১৯ সালে আমি এটি পরিবর্তন করতে যাচ্ছি। তাছাড়া, সুযোগ পেলে আমি একা ভ্রমণ করতে চাই। এখন এটা আমার কাছে একেবারেই ভয়াবহ শোনাচ্ছে, কিন্তু আমি এই ভয়াবহ ব্যাধি কাটিয়ে ওঠাকে আমার লক্ষ্য হিসেবে নিয়েছি। উদ্বেগ আর কখনও জয়ী হবে না।")</f>
        <v>আমার উদ্বেগকে দূরে রেখে...২০১৯ সালে আমি কখনোই পরাজিত হব না!! ১৩ বছর বয়স থেকেই আমার জেনারেলাইজড অ্যাংজাইটি ডিসঅর্ডার ধরা পড়েছে (এবং MDD, BPD ক্যাম্প; পথিমধ্যে প্যানিক ডিসঅর্ডার)। ২ দিন (৩ জানুয়ারী) আমার ২২তম জন্মদিন এবং গত বছরের দিকে তাকালে, আমি বুঝতে পেরেছি যে আমি একেবারে কিছুই অর্জন করতে পারিনি। গত ১২ মাসে আমি আমার বাড়ি থেকে খুব কমই বেরিয়েছি, এবং মাত্র কয়েকবার আমার শহর ছেড়েছি - এক ঘন্টারও বেশি দূরে ভ্রমণ করিনি। আমি জানি এটি একই পুরানো "নতুন বছর নতুন আমি" বাজে কথা বলে মনে হচ্ছে, কিন্তু আমি বুঝতে পেরেছি যে আমাকে আরও ভালো হতে হবে। অন্য কোন বিকল্প নেই। ব্যর্থতা আমার জন্য আর কোন বিকল্প নয়। আমার জীবনের সাথে আমার অনেক কিছু করার আছে! আমি ভ্রমণ করতে চাই, আমি পৃথিবী দেখতে চাই। তাছাড়া, আমি বিভিন্ন শহর ঘুরে দেখতে চাই...একা! তাছাড়া, আমার একজন সঙ্গী আছে যার উপর আমি সম্পূর্ণ নির্ভর করি এবং ২০১৯ সালে আমি এটি পরিবর্তন করতে যাচ্ছি। তাছাড়া, সুযোগ পেলে আমি একা ভ্রমণ করতে চাই। এখন এটা আমার কাছে একেবারেই ভয়াবহ শোনাচ্ছে, কিন্তু আমি এই ভয়াবহ ব্যাধি কাটিয়ে ওঠাকে আমার লক্ষ্য হিসেবে নিয়েছি। উদ্বেগ আর কখনও জয়ী হবে না।</v>
      </c>
    </row>
    <row r="2228" spans="1:3" ht="15" x14ac:dyDescent="0.25">
      <c r="A2228" s="3" t="s">
        <v>2221</v>
      </c>
      <c r="B2228" s="3" t="s">
        <v>1992</v>
      </c>
      <c r="C2228" s="4" t="str">
        <f ca="1">IFERROR(__xludf.DUMMYFUNCTION("GOOGLETRANSLATE(A2228, ""auto"", ""bn"")"),"ভবিষ্যতের ভয়। সম্প্রতি আমি ভবিষ্যতের জন্য মগ্ন। বিশেষ করে এর শোক। ২০১৫ সালে কয়েক মাসের মধ্যেই আমি আমার পরিবারের অর্ধেক সদস্যকে হারিয়ে ফেলেছি। তখন থেকেই আমার মৃত্যু/শোকের ভয় ছিল। আমার বয়স ২০-এর কোঠার প্রথম দিকে, এবং একমাত্র সন্তান হিসেবে আমি আমার পরিব"&amp;"ারের বাকি সদস্যদের, বিশেষ করে আমার মাকে হারানোর চিন্তা করতে শুরু করেছি। আমি মূলত যারা এখনও বেঁচে আছেন তাদের জন্য শোক করছি, কারণ আমি তাদের মৃত্যু এবং ভবিষ্যতে আমাকে একা ফেলে যাওয়ার ভয়ে খুব ভীত। তাছাড়া, আমি জানি আমি এখন একজন প্রাপ্তবয়স্ক কিন্তু আমার মানস"&amp;"িক স্বাস্থ্য এতটাই খারাপ যে আমি আমার মায়ের উপর খুব বেশি নির্ভর করি, এবং তাকে ছাড়া জীবনের চিন্তা আমাকে আতঙ্কিত করে তোলে। তাছাড়া, আমি জানি না এই পোস্টটি দিয়ে আমি কী অর্জন করতে চাই, হয়তো এই ধারণা থেকে কিছুটা দূরে সরে যেতে পারি যে আমি এইরকম একা নই।")</f>
        <v>ভবিষ্যতের ভয়। সম্প্রতি আমি ভবিষ্যতের জন্য মগ্ন। বিশেষ করে এর শোক। ২০১৫ সালে কয়েক মাসের মধ্যেই আমি আমার পরিবারের অর্ধেক সদস্যকে হারিয়ে ফেলেছি। তখন থেকেই আমার মৃত্যু/শোকের ভয় ছিল। আমার বয়স ২০-এর কোঠার প্রথম দিকে, এবং একমাত্র সন্তান হিসেবে আমি আমার পরিবারের বাকি সদস্যদের, বিশেষ করে আমার মাকে হারানোর চিন্তা করতে শুরু করেছি। আমি মূলত যারা এখনও বেঁচে আছেন তাদের জন্য শোক করছি, কারণ আমি তাদের মৃত্যু এবং ভবিষ্যতে আমাকে একা ফেলে যাওয়ার ভয়ে খুব ভীত। তাছাড়া, আমি জানি আমি এখন একজন প্রাপ্তবয়স্ক কিন্তু আমার মানসিক স্বাস্থ্য এতটাই খারাপ যে আমি আমার মায়ের উপর খুব বেশি নির্ভর করি, এবং তাকে ছাড়া জীবনের চিন্তা আমাকে আতঙ্কিত করে তোলে। তাছাড়া, আমি জানি না এই পোস্টটি দিয়ে আমি কী অর্জন করতে চাই, হয়তো এই ধারণা থেকে কিছুটা দূরে সরে যেতে পারি যে আমি এইরকম একা নই।</v>
      </c>
    </row>
    <row r="2229" spans="1:3" ht="15" x14ac:dyDescent="0.25">
      <c r="A2229" s="3" t="s">
        <v>2222</v>
      </c>
      <c r="B2229" s="3" t="s">
        <v>1992</v>
      </c>
      <c r="C2229" s="4" t="str">
        <f ca="1">IFERROR(__xludf.DUMMYFUNCTION("GOOGLETRANSLATE(A2229, ""auto"", ""bn"")"),"হ্যালো, দয়া করে আমাকে সাহায্য করুন। আমি খুব উদ্বিগ্ন বোধ করছি। এখনই আমার বান্ধবীর সাথে ঝগড়া হয়েছে, আর আমরা দ্রুত কথা বলতে পারছি না এটা আমার ভালো লাগছে না, সে সম্ভবত বিশ্রাম নিচ্ছে। কিন্তু আমি এটা সহ্য করতে পারছি না, এটা দেখে আমি আসলে কাঁদছি।")</f>
        <v>হ্যালো, দয়া করে আমাকে সাহায্য করুন। আমি খুব উদ্বিগ্ন বোধ করছি। এখনই আমার বান্ধবীর সাথে ঝগড়া হয়েছে, আর আমরা দ্রুত কথা বলতে পারছি না এটা আমার ভালো লাগছে না, সে সম্ভবত বিশ্রাম নিচ্ছে। কিন্তু আমি এটা সহ্য করতে পারছি না, এটা দেখে আমি আসলে কাঁদছি।</v>
      </c>
    </row>
    <row r="2230" spans="1:3" ht="15" x14ac:dyDescent="0.25">
      <c r="A2230" s="3" t="s">
        <v>2223</v>
      </c>
      <c r="B2230" s="3" t="s">
        <v>1992</v>
      </c>
      <c r="C2230" s="4" t="str">
        <f ca="1">IFERROR(__xludf.DUMMYFUNCTION("GOOGLETRANSLATE(A2230, ""auto"", ""bn"")"),"কাজের বাইরে আত্মসম্মান কমে যাচ্ছে? আমি এখন তিন মাসের ছুটিতে আছি, এক মাস। মূল উদ্দেশ্য হল আমার দূর-দূরান্তের সঙ্গীর সাথে সময় কাটানো এবং তার পার্টনার ভিসার আবেদন সম্পূর্ণ করা। এখন এক মাস চলে গেছে, আমার মনে হয় আমার আরও কাঠামোর প্রয়োজন, কিন্তু স্ব-সময়সূচী"&amp;" নিয়ে উদ্বেগ হচ্ছে। আমার ব্যক্তিগত প্রকল্পগুলিতে কাজ না করার কারণে আমি অপরাধবোধ অনুভব করি। এখন আমার কাছে সময় আছে, আমার প্রেরণার অভাব রয়েছে। কর্মক্ষেত্রের বাইরে, এবং একটি বিদেশী দেশে আমি অনুভব করি যে আমি আমার পরিচয়ের বোধ হারিয়ে ফেলছি, এবং সামগ্রিকভাবে"&amp;" আমার উদ্বেগ এবং হতাশা বেড়েছে। আপনার কি নিজেকে সময়সূচী করাও চ্যালেঞ্জিং বলে মনে হয়? যদি তাই হয়, তাহলে আপনি কীভাবে এটি মোকাবেলা করবেন। আমি প্রায়শই মনে করি যে অন্য কিছু আছে - আমার ব্যক্তিগত প্রকল্পগুলির চেয়ে আমার করা উচিত যা আরও গুরুত্বপূর্ণ।")</f>
        <v>কাজের বাইরে আত্মসম্মান কমে যাচ্ছে? আমি এখন তিন মাসের ছুটিতে আছি, এক মাস। মূল উদ্দেশ্য হল আমার দূর-দূরান্তের সঙ্গীর সাথে সময় কাটানো এবং তার পার্টনার ভিসার আবেদন সম্পূর্ণ করা। এখন এক মাস চলে গেছে, আমার মনে হয় আমার আরও কাঠামোর প্রয়োজন, কিন্তু স্ব-সময়সূচী নিয়ে উদ্বেগ হচ্ছে। আমার ব্যক্তিগত প্রকল্পগুলিতে কাজ না করার কারণে আমি অপরাধবোধ অনুভব করি। এখন আমার কাছে সময় আছে, আমার প্রেরণার অভাব রয়েছে। কর্মক্ষেত্রের বাইরে, এবং একটি বিদেশী দেশে আমি অনুভব করি যে আমি আমার পরিচয়ের বোধ হারিয়ে ফেলছি, এবং সামগ্রিকভাবে আমার উদ্বেগ এবং হতাশা বেড়েছে। আপনার কি নিজেকে সময়সূচী করাও চ্যালেঞ্জিং বলে মনে হয়? যদি তাই হয়, তাহলে আপনি কীভাবে এটি মোকাবেলা করবেন। আমি প্রায়শই মনে করি যে অন্য কিছু আছে - আমার ব্যক্তিগত প্রকল্পগুলির চেয়ে আমার করা উচিত যা আরও গুরুত্বপূর্ণ।</v>
      </c>
    </row>
    <row r="2231" spans="1:3" ht="15" x14ac:dyDescent="0.25">
      <c r="A2231" s="3" t="s">
        <v>2224</v>
      </c>
      <c r="B2231" s="3" t="s">
        <v>1992</v>
      </c>
      <c r="C2231" s="4" t="str">
        <f ca="1">IFERROR(__xludf.DUMMYFUNCTION("GOOGLETRANSLATE(A2231, ""auto"", ""bn"")"),"আমি একটা বোকা। গত রাত প্রায় ২টার দিকে আমি ক্লান্ত ছিলাম এবং ভাবছিলাম নতুন বছর, নতুন আমাকে লোলা এবং নববর্ষের দিন আমার মানসিক স্বাস্থ্য সম্পর্কে একটি গ্রুপ চ্যাটে আমার কিছু হাই স্কুল বন্ধুদের কাছে একটি দীর্ঘ বার্তা পাঠিয়েছিলাম। এখন আমার চিন্তাভাবনা পাগল "&amp;"হয়ে যাচ্ছে এবং আমি এর জন্য অনুতপ্ত। আমি কেন এমন করলাম? আমি ভীত। সবাই এটা দেখে ভাববে যে আমি হয় পাগল অথবা এটি নববর্ষের সাথে সম্পর্কিত বা অন্য কিছু। এই কারণেই আমি যাদের জানি তাদের এই জিনিস সম্পর্কে বলি না। আমি আতঙ্কিত হয়ে পড়ি, এবং গত রাত ৪টা পর্যন্ত আমি "&amp;"এটি নিয়ে ভাবতে থাকি। এখন ১১:৩০ বাজে এবং চারজন লোক এটি দেখেছিল। আমি জানি না তারা কী ভাবছে। আমার এক বন্ধু শুধু বলেছিল যে আমার বন্ধু, উদ্বেগ। আমি জানি না সে মজা করছে নাকি সাহায্য করার চেষ্টা করছে নাকি কী। গুরুতর পরিস্থিতিতে সে সাধারণত শান্ত থাকে, কিন্তু আমি"&amp;" জানি না। আমি ভয়ানক এবং দুর্বল বোধ করি। আমি গ্রুপ চ্যাট ছেড়ে বিছানায় শুয়ে থাকতে চাই, কিন্তু এতে আরও ক্ষতি হতে পারে। তাছাড়া, আমি জানি না কী করব। তাছাড়া, আমি খুব বোকা বোধ করি। কেন আমি নিজের সাথে এমন করি?")</f>
        <v>আমি একটা বোকা। গত রাত প্রায় ২টার দিকে আমি ক্লান্ত ছিলাম এবং ভাবছিলাম নতুন বছর, নতুন আমাকে লোলা এবং নববর্ষের দিন আমার মানসিক স্বাস্থ্য সম্পর্কে একটি গ্রুপ চ্যাটে আমার কিছু হাই স্কুল বন্ধুদের কাছে একটি দীর্ঘ বার্তা পাঠিয়েছিলাম। এখন আমার চিন্তাভাবনা পাগল হয়ে যাচ্ছে এবং আমি এর জন্য অনুতপ্ত। আমি কেন এমন করলাম? আমি ভীত। সবাই এটা দেখে ভাববে যে আমি হয় পাগল অথবা এটি নববর্ষের সাথে সম্পর্কিত বা অন্য কিছু। এই কারণেই আমি যাদের জানি তাদের এই জিনিস সম্পর্কে বলি না। আমি আতঙ্কিত হয়ে পড়ি, এবং গত রাত ৪টা পর্যন্ত আমি এটি নিয়ে ভাবতে থাকি। এখন ১১:৩০ বাজে এবং চারজন লোক এটি দেখেছিল। আমি জানি না তারা কী ভাবছে। আমার এক বন্ধু শুধু বলেছিল যে আমার বন্ধু, উদ্বেগ। আমি জানি না সে মজা করছে নাকি সাহায্য করার চেষ্টা করছে নাকি কী। গুরুতর পরিস্থিতিতে সে সাধারণত শান্ত থাকে, কিন্তু আমি জানি না। আমি ভয়ানক এবং দুর্বল বোধ করি। আমি গ্রুপ চ্যাট ছেড়ে বিছানায় শুয়ে থাকতে চাই, কিন্তু এতে আরও ক্ষতি হতে পারে। তাছাড়া, আমি জানি না কী করব। তাছাড়া, আমি খুব বোকা বোধ করি। কেন আমি নিজের সাথে এমন করি?</v>
      </c>
    </row>
    <row r="2232" spans="1:3" ht="15" x14ac:dyDescent="0.25">
      <c r="A2232" s="3" t="s">
        <v>2225</v>
      </c>
      <c r="B2232" s="3" t="s">
        <v>1992</v>
      </c>
      <c r="C2232" s="4" t="str">
        <f ca="1">IFERROR(__xludf.DUMMYFUNCTION("GOOGLETRANSLATE(A2232, ""auto"", ""bn"")"),"উদ্বেগের চিকিৎসায় EMDR কি অন্য কেউ কি তাদের উদ্বেগের চিকিৎসায় EMDR ব্যবহার করেছেন? আমি এবং আমার থেরাপিস্ট EMDR ব্যবহার করার চেষ্টা করেছি, এবং এটি কোনও কাজ করেনি বলে মনে হচ্ছে, শুধু ভাবছি যে অন্য কেউ চেষ্টা করেছে কিনা, আমি আপনার ফলাফল শুনতে আগ্রহী এবং যদ"&amp;"ি আপনি এটি করার সময় বিশেষ কিছু করেন কারণ আমি চিন্তা করতে শুরু করেছি যে যদি এটি কাজ না করে তবে আমার উদ্বেগের চিকিৎসার জন্য আর কোনও বিকল্প থাকবে না। এছাড়াও, এটি রেডিটে আমার তৃতীয় পোস্টের মতো তাই ভালো থাকুন :P")</f>
        <v>উদ্বেগের চিকিৎসায় EMDR কি অন্য কেউ কি তাদের উদ্বেগের চিকিৎসায় EMDR ব্যবহার করেছেন? আমি এবং আমার থেরাপিস্ট EMDR ব্যবহার করার চেষ্টা করেছি, এবং এটি কোনও কাজ করেনি বলে মনে হচ্ছে, শুধু ভাবছি যে অন্য কেউ চেষ্টা করেছে কিনা, আমি আপনার ফলাফল শুনতে আগ্রহী এবং যদি আপনি এটি করার সময় বিশেষ কিছু করেন কারণ আমি চিন্তা করতে শুরু করেছি যে যদি এটি কাজ না করে তবে আমার উদ্বেগের চিকিৎসার জন্য আর কোনও বিকল্প থাকবে না। এছাড়াও, এটি রেডিটে আমার তৃতীয় পোস্টের মতো তাই ভালো থাকুন :P</v>
      </c>
    </row>
    <row r="2233" spans="1:3" ht="15" x14ac:dyDescent="0.25">
      <c r="A2233" s="3" t="s">
        <v>2226</v>
      </c>
      <c r="B2233" s="3" t="s">
        <v>1992</v>
      </c>
      <c r="C2233" s="4" t="str">
        <f ca="1">IFERROR(__xludf.DUMMYFUNCTION("GOOGLETRANSLATE(A2233, ""auto"", ""bn"")"),"ASMR প্রেমীদের জন্য একটি বার্তা (উদ্বেগ ব্যায়াম) হাই গ্রুপ! আমি ASMR প্রেমীদের উপর কিছু আলোকপাত করতে চেয়েছিলাম। যারা জানেন না তাদের জন্য ASMR হল একটি চিকিৎসা (ঝনঝন + শিথিলকরণ) অনুভূতি যা শান্ত শব্দের মাধ্যমে উদ্ভূত হয়। প্রত্যেকেরই আলাদা আলাদা ট্রিগার থ"&amp;"াকে যা তাদের আরাম এবং শান্ত করে তোলে। আশা করি এটি স্ব-প্রচার হিসাবে গণ্য হবে না, তবে যারা উৎস খুঁজছেন তাদের জন্য, আমি প্রতিদিন নতুন খাবারের একটি নতুন ভিডিও তৈরি করব, যারা ASMR উপভোগ করেন তাদের সাহায্য করার জন্য। যাই হোক, আমি প্রতিদিন এটির উপর ভিডিও তৈরি ক"&amp;"রব কারণ আমি এটি মূলত আমার কাজিনের জন্য করি যিনি তীব্র উদ্বেগে ভুগছেন এবং এটি তার স্নায়ুকে শিথিল করে বলে মনে হয়। তাই আশা করি আমি একই সাথে অন্যদের স্পর্শ করতে পারব। :) [https://youtu.be/lX9b1AlXQPw](https://youtu.be/lX9b1AlXQPw)")</f>
        <v>ASMR প্রেমীদের জন্য একটি বার্তা (উদ্বেগ ব্যায়াম) হাই গ্রুপ! আমি ASMR প্রেমীদের উপর কিছু আলোকপাত করতে চেয়েছিলাম। যারা জানেন না তাদের জন্য ASMR হল একটি চিকিৎসা (ঝনঝন + শিথিলকরণ) অনুভূতি যা শান্ত শব্দের মাধ্যমে উদ্ভূত হয়। প্রত্যেকেরই আলাদা আলাদা ট্রিগার থাকে যা তাদের আরাম এবং শান্ত করে তোলে। আশা করি এটি স্ব-প্রচার হিসাবে গণ্য হবে না, তবে যারা উৎস খুঁজছেন তাদের জন্য, আমি প্রতিদিন নতুন খাবারের একটি নতুন ভিডিও তৈরি করব, যারা ASMR উপভোগ করেন তাদের সাহায্য করার জন্য। যাই হোক, আমি প্রতিদিন এটির উপর ভিডিও তৈরি করব কারণ আমি এটি মূলত আমার কাজিনের জন্য করি যিনি তীব্র উদ্বেগে ভুগছেন এবং এটি তার স্নায়ুকে শিথিল করে বলে মনে হয়। তাই আশা করি আমি একই সাথে অন্যদের স্পর্শ করতে পারব। :) [https://youtu.be/lX9b1AlXQPw](https://youtu.be/lX9b1AlXQPw)</v>
      </c>
    </row>
    <row r="2234" spans="1:3" ht="15" x14ac:dyDescent="0.25">
      <c r="A2234" s="3" t="s">
        <v>2227</v>
      </c>
      <c r="B2234" s="3" t="s">
        <v>1992</v>
      </c>
      <c r="C2234" s="4" t="str">
        <f ca="1">IFERROR(__xludf.DUMMYFUNCTION("GOOGLETRANSLATE(A2234, ""auto"", ""bn"")"),"আমার গার্লফ্রেন্ড ঠিক নেই এই ভেবে আমি চিন্তিত হতে পারছি না। কারো কাছে কি কোন টিপস বা শান্তনামূলক কথা আছে যাতে আমি ঘুমাতে যেতে পারি এবং সকালে সে ঠিক আছে কিনা তা জানার জন্য অপেক্ষা করতে পারি? আমি খুব ভীত যে সে গাড়ি দুর্ঘটনায় পড়েছে অথবা তার সাথে খারাপ কিছ"&amp;"ু ঘটেছে। আমার মনে হয় সে আজ রাতে কনসার্টে যাওয়ার সময় তার ফোন বন্ধ হয়ে গেছে অথবা তার ফোন বন্ধ হয়ে গেছে, কিন্তু আমি এই ভেবে চিন্তিত হতে পারছি না যে আরও খারাপ কিছু ঘটেছে। এখন অনেক দেরি হয়ে গেছে, এবং আমার মনে হয় সে এখনই ফিরে আসবে, কিন্তু সে মাতাল ছিল এব"&amp;"ং আমাকে মেসেজ করার জন্য তার ফোন চার্জ করতে ভুলে যেতে পারত। আমার মনে হয় আমি খুব ভীত কারণ এই গ্রীষ্মে আমার একজন ভালো বন্ধু (এবং বন্ধুদের চেয়ে একটু বেশি) গাড়ি দুর্ঘটনায় তার বন্ধু হারিয়েছে। একই ঘটনা ঘটেছিল যেখানে আমি লক্ষ্য করেছি যে আমার iMessage তাকে টে"&amp;"ক্সট হিসাবে পাঠানো হয়েছে এবং আমি ভেবেছিলাম এটি কিছুটা খারাপ ছিল। পরের দিন সকালে আমি জানতে পারি যে সে আগের রাতে একটি দুর্ঘটনায় মারা গেছে। আমি ইতিমধ্যেই সমস্ত খবর এবং দুর্ঘটনার রিপোর্টগুলি দেখেছি এবং কোনও মারাত্মক দুর্ঘটনা খুঁজে পাইনি যা তার হতে পারে, কিন"&amp;"্তু আমি এখনও খুব ভয় পাচ্ছি। আমি কীভাবে শান্ত হব এবং বুঝতে পারব যে এই সে সম্ভবত ঠিক আছে এবং কেবল মাতাল বা ব্যস্ত?")</f>
        <v>আমার গার্লফ্রেন্ড ঠিক নেই এই ভেবে আমি চিন্তিত হতে পারছি না। কারো কাছে কি কোন টিপস বা শান্তনামূলক কথা আছে যাতে আমি ঘুমাতে যেতে পারি এবং সকালে সে ঠিক আছে কিনা তা জানার জন্য অপেক্ষা করতে পারি? আমি খুব ভীত যে সে গাড়ি দুর্ঘটনায় পড়েছে অথবা তার সাথে খারাপ কিছু ঘটেছে। আমার মনে হয় সে আজ রাতে কনসার্টে যাওয়ার সময় তার ফোন বন্ধ হয়ে গেছে অথবা তার ফোন বন্ধ হয়ে গেছে, কিন্তু আমি এই ভেবে চিন্তিত হতে পারছি না যে আরও খারাপ কিছু ঘটেছে। এখন অনেক দেরি হয়ে গেছে, এবং আমার মনে হয় সে এখনই ফিরে আসবে, কিন্তু সে মাতাল ছিল এবং আমাকে মেসেজ করার জন্য তার ফোন চার্জ করতে ভুলে যেতে পারত। আমার মনে হয় আমি খুব ভীত কারণ এই গ্রীষ্মে আমার একজন ভালো বন্ধু (এবং বন্ধুদের চেয়ে একটু বেশি) গাড়ি দুর্ঘটনায় তার বন্ধু হারিয়েছে। একই ঘটনা ঘটেছিল যেখানে আমি লক্ষ্য করেছি যে আমার iMessage তাকে টেক্সট হিসাবে পাঠানো হয়েছে এবং আমি ভেবেছিলাম এটি কিছুটা খারাপ ছিল। পরের দিন সকালে আমি জানতে পারি যে সে আগের রাতে একটি দুর্ঘটনায় মারা গেছে। আমি ইতিমধ্যেই সমস্ত খবর এবং দুর্ঘটনার রিপোর্টগুলি দেখেছি এবং কোনও মারাত্মক দুর্ঘটনা খুঁজে পাইনি যা তার হতে পারে, কিন্তু আমি এখনও খুব ভয় পাচ্ছি। আমি কীভাবে শান্ত হব এবং বুঝতে পারব যে এই সে সম্ভবত ঠিক আছে এবং কেবল মাতাল বা ব্যস্ত?</v>
      </c>
    </row>
    <row r="2235" spans="1:3" ht="15" x14ac:dyDescent="0.25">
      <c r="A2235" s="3" t="s">
        <v>2228</v>
      </c>
      <c r="B2235" s="3" t="s">
        <v>1992</v>
      </c>
      <c r="C2235" s="4" t="str">
        <f ca="1">IFERROR(__xludf.DUMMYFUNCTION("GOOGLETRANSLATE(A2235, ""auto"", ""bn"")"),"উদ্বেগ কি আপনাকে আরও বেশি রাগান্বিত করে তোলে, নাকি এটা কেবল ব্যক্তিত্বের ব্যাপার? আমি এটাকে নিয়ন্ত্রণ করার চেষ্টা করছি কিন্তু কল সেন্টারে কাজ করা সত্যিই এটিকে আরও বাড়িয়ে তোলে। এছাড়াও, অন্য কারোর কি ক্রমাগত চাপ না দিয়ে ঘুমিয়ে পড়ার উপায় আছে? আমি ক্ল"&amp;"োনাজেপাম খাচ্ছি, কিন্তু আমি আসক্ত না হওয়ার চেষ্টা করছি। তাছাড়া, আমি কেবল ৮ ঘন্টা ঘুম চাই। পড়ার জন্য ধন্যবাদ।")</f>
        <v>উদ্বেগ কি আপনাকে আরও বেশি রাগান্বিত করে তোলে, নাকি এটা কেবল ব্যক্তিত্বের ব্যাপার? আমি এটাকে নিয়ন্ত্রণ করার চেষ্টা করছি কিন্তু কল সেন্টারে কাজ করা সত্যিই এটিকে আরও বাড়িয়ে তোলে। এছাড়াও, অন্য কারোর কি ক্রমাগত চাপ না দিয়ে ঘুমিয়ে পড়ার উপায় আছে? আমি ক্লোনাজেপাম খাচ্ছি, কিন্তু আমি আসক্ত না হওয়ার চেষ্টা করছি। তাছাড়া, আমি কেবল ৮ ঘন্টা ঘুম চাই। পড়ার জন্য ধন্যবাদ।</v>
      </c>
    </row>
    <row r="2236" spans="1:3" ht="15" x14ac:dyDescent="0.25">
      <c r="A2236" s="3" t="s">
        <v>2229</v>
      </c>
      <c r="B2236" s="3" t="s">
        <v>1992</v>
      </c>
      <c r="C2236" s="4" t="str">
        <f ca="1">IFERROR(__xludf.DUMMYFUNCTION("GOOGLETRANSLATE(A2236, ""auto"", ""bn"")"),"আমি নববর্ষে উবার থেকে গাড়ি চালিয়ে বাড়ি ফিরেছি। আমার খুব ভালো লাগছে। এক বছরেরও বেশি সময় আগে আমি উবারে গাড়ি চালানো শুরু করেছিলাম কারণ আমাদের অতিরিক্ত টাকার খুব প্রয়োজন ছিল। আমাকে প্রায় সাথে সাথেই থামতে হয়েছিল কারণ আমার উদ্বেগ আমাকে সচেতনভাবে অন্যদের"&amp;" গাড়ি চালিয়ে নিয়ে যেতে দেয়নি। আমি ভেঙে পড়েছিলাম। তাছাড়া, আমি ব্যর্থ বোধ করছিলাম। তাছাড়া, আমি বাজেভাবে অনুভব করছিলাম, যখন সময়ের প্রয়োজন ছিল তখন আমি আমার পরিবারকে সাহায্য করতে পারিনি। তাছাড়া, আমি সম্প্রতি যেখানে ছেড়েছিলাম সেখান থেকে শুরু করেছি কা"&amp;"রণ তার কাজটি ভারী ছিল যে তারা ছুটির জন্য অনেক বেশি সময় ব্যয় করছে এবং এটি বেতনভুক্ত ছিল না। তাছাড়া, আমি এটি দিয়ে ভালোই করছি। তাছাড়া, আমি আমাদের ভেসে থাকতে সাহায্য করার জন্য যথেষ্ট পরিমাণে সাহায্য করেছি এবং আমাদের বাচ্চাদের জন্য ক্রিসমাস এখনও জাদুকরী ত"&amp;"া নিশ্চিত করতে সক্ষম হয়েছি। তাছাড়া, আমি জানতাম আজ রাত (অথবা গত রাতে) একটি বড় ব্যাপার হবে, ভালো টাকা। নববর্ষের আগে আমি সবসময় বিতর্ক করেছি যে আমি কি আমার উদ্বেগের সাথে নিজেকে সামলাতে চাই। আমি ঠিক করছি কিন্তু যদি এটি আমার উপর অতিরিক্ত হয়? আমি এটা পেরেছি"&amp;"। তাছাড়া, এক রাতে/সকালে আমি পুরো সপ্তাহ জুড়ে যতটা আয় করেছি তার চেয়ে বেশি আয় করেছি। তাছাড়া, আমি বন্ধুত্বপূর্ণ ছিলাম! তাছাড়া, আমি এমন জায়গায় গিয়েছিলাম যেখানে আগে কখনও গাড়ি চালাইনি। তাছাড়া, আমি জানি না। তাছাড়া, আমি নিজেকে এতটাই ভালো অনুভব করি। তাছাড়া, আমার ম"&amp;"নে আছে এক যাত্রার মাঝে আমার গলা আটকে যাওয়া অনুভব করছিল এবং ভাবছিলাম যে রাস্তাগুলো শুধু রোদ। শুধু রাস্তা এবং নিজেকে শান্ত করতে পেরেছিলাম। আমি কখনও নিজেকে শান্ত করতে পারিনি। আসলে রাতের শেষের দিকে আমি নতুন যাত্রার জন্য আগ্রহী ছিলাম, এবং আমি শান্ত ছিলাম। শান"&amp;"্ত হওয়া, এমন একটি শব্দ যা আমি কখনও ভাবিনি যে আমি নিজেকে বর্ণনা করার জন্য ব্যবহার করেছি। আমি জানি না এই উত্তেজনা কতক্ষণ স্থায়ী হবে কিন্তু। আমি খুশি যে আমি এটা আপনাদের সকলের সাথে ভাগ করে নিতে পারছি। শুভ নববর্ষ! এছাড়াও, যারা ভাবছেন তাদের জন্য। আমি ঔষধ গ্রহ"&amp;"ণ করছি এবং থেরাপিতে আছি এবং সবেমাত্র IOP থেকে বেরিয়ে এসেছি, আমি জানি এটি সবসময় সকলের সাহায্য করে না তবে আমি এতে অনেক কিছু করেছি। আমি সাহায্য পাচ্ছি।")</f>
        <v>আমি নববর্ষে উবার থেকে গাড়ি চালিয়ে বাড়ি ফিরেছি। আমার খুব ভালো লাগছে। এক বছরেরও বেশি সময় আগে আমি উবারে গাড়ি চালানো শুরু করেছিলাম কারণ আমাদের অতিরিক্ত টাকার খুব প্রয়োজন ছিল। আমাকে প্রায় সাথে সাথেই থামতে হয়েছিল কারণ আমার উদ্বেগ আমাকে সচেতনভাবে অন্যদের গাড়ি চালিয়ে নিয়ে যেতে দেয়নি। আমি ভেঙে পড়েছিলাম। তাছাড়া, আমি ব্যর্থ বোধ করছিলাম। তাছাড়া, আমি বাজেভাবে অনুভব করছিলাম, যখন সময়ের প্রয়োজন ছিল তখন আমি আমার পরিবারকে সাহায্য করতে পারিনি। তাছাড়া, আমি সম্প্রতি যেখানে ছেড়েছিলাম সেখান থেকে শুরু করেছি কারণ তার কাজটি ভারী ছিল যে তারা ছুটির জন্য অনেক বেশি সময় ব্যয় করছে এবং এটি বেতনভুক্ত ছিল না। তাছাড়া, আমি এটি দিয়ে ভালোই করছি। তাছাড়া, আমি আমাদের ভেসে থাকতে সাহায্য করার জন্য যথেষ্ট পরিমাণে সাহায্য করেছি এবং আমাদের বাচ্চাদের জন্য ক্রিসমাস এখনও জাদুকরী তা নিশ্চিত করতে সক্ষম হয়েছি। তাছাড়া, আমি জানতাম আজ রাত (অথবা গত রাতে) একটি বড় ব্যাপার হবে, ভালো টাকা। নববর্ষের আগে আমি সবসময় বিতর্ক করেছি যে আমি কি আমার উদ্বেগের সাথে নিজেকে সামলাতে চাই। আমি ঠিক করছি কিন্তু যদি এটি আমার উপর অতিরিক্ত হয়? আমি এটা পেরেছি। তাছাড়া, এক রাতে/সকালে আমি পুরো সপ্তাহ জুড়ে যতটা আয় করেছি তার চেয়ে বেশি আয় করেছি। তাছাড়া, আমি বন্ধুত্বপূর্ণ ছিলাম! তাছাড়া, আমি এমন জায়গায় গিয়েছিলাম যেখানে আগে কখনও গাড়ি চালাইনি। তাছাড়া, আমি জানি না। তাছাড়া, আমি নিজেকে এতটাই ভালো অনুভব করি। তাছাড়া, আমার মনে আছে এক যাত্রার মাঝে আমার গলা আটকে যাওয়া অনুভব করছিল এবং ভাবছিলাম যে রাস্তাগুলো শুধু রোদ। শুধু রাস্তা এবং নিজেকে শান্ত করতে পেরেছিলাম। আমি কখনও নিজেকে শান্ত করতে পারিনি। আসলে রাতের শেষের দিকে আমি নতুন যাত্রার জন্য আগ্রহী ছিলাম, এবং আমি শান্ত ছিলাম। শান্ত হওয়া, এমন একটি শব্দ যা আমি কখনও ভাবিনি যে আমি নিজেকে বর্ণনা করার জন্য ব্যবহার করেছি। আমি জানি না এই উত্তেজনা কতক্ষণ স্থায়ী হবে কিন্তু। আমি খুশি যে আমি এটা আপনাদের সকলের সাথে ভাগ করে নিতে পারছি। শুভ নববর্ষ! এছাড়াও, যারা ভাবছেন তাদের জন্য। আমি ঔষধ গ্রহণ করছি এবং থেরাপিতে আছি এবং সবেমাত্র IOP থেকে বেরিয়ে এসেছি, আমি জানি এটি সবসময় সকলের সাহায্য করে না তবে আমি এতে অনেক কিছু করেছি। আমি সাহায্য পাচ্ছি।</v>
      </c>
    </row>
    <row r="2237" spans="1:3" ht="15" x14ac:dyDescent="0.25">
      <c r="A2237" s="3" t="s">
        <v>2230</v>
      </c>
      <c r="B2237" s="3" t="s">
        <v>1992</v>
      </c>
      <c r="C2237" s="4" t="str">
        <f ca="1">IFERROR(__xludf.DUMMYFUNCTION("GOOGLETRANSLATE(A2237, ""auto"", ""bn"")"),"আমি আমার বাবাকে কীভাবে সাহায্য করতে পারি? আমার বাবা সম্প্রতি উদ্বেগ, চাপ এবং বিষণ্ণতায় ভুগছেন। তার বয়স ষাটের কোঠায় এবং এর আগে কখনও তার কোনও রোগ ধরা পড়েনি। তিনি বেশ কয়েকজন ডাক্তারের কাছে গেছেন এবং তাকে অ্যান্টিডিপ্রেসেন্টস দেওয়া হয়েছে, এছাড়াও তার থ"&amp;"েরাপি বুক করা হয়েছে কিন্তু এখনও শুরু হয়নি। অ্যান্টিডিপ্রেসেন্টস এখনও কাজ শুরু করেনি এবং আমার বাবা আরও খারাপ হচ্ছেন। তাকে চাকরি থেকে অব্যাহতি দেওয়া হয়েছে কিন্তু নিজেকে নিশ্চিত করেছেন যে তিনি দুটি ভিন্ন ডাক্তারের সাথে দেখা করার কারণে এটি কোনওভাবে প্রতার"&amp;"ণা (?) এবং তাকে বরখাস্ত করা হবে এবং কারাগারে যেতে হবে। তিনি আরও মনে করেন যে তিনি কোনওভাবে আমার ভাইকে এই মামলায় জড়িয়েছেন, এবং তাকেও গ্রেপ্তার করা হবে। তাছাড়া, তিনি আবার ডাক্তারের কাছে যেতে অস্বীকৃতি জানাচ্ছেন এবং যুক্তিসঙ্গতভাবে তাকে বোঝানো যাচ্ছে না। আ"&amp;"মরা কীভাবে তাকে সাহায্য করতে পারি? তাকে এভাবে দেখা খুবই ভয়াবহ। (আমরা যুক্তরাজ্যে আছি, শুধু আপনার তথ্যের জন্য)")</f>
        <v>আমি আমার বাবাকে কীভাবে সাহায্য করতে পারি? আমার বাবা সম্প্রতি উদ্বেগ, চাপ এবং বিষণ্ণতায় ভুগছেন। তার বয়স ষাটের কোঠায় এবং এর আগে কখনও তার কোনও রোগ ধরা পড়েনি। তিনি বেশ কয়েকজন ডাক্তারের কাছে গেছেন এবং তাকে অ্যান্টিডিপ্রেসেন্টস দেওয়া হয়েছে, এছাড়াও তার থেরাপি বুক করা হয়েছে কিন্তু এখনও শুরু হয়নি। অ্যান্টিডিপ্রেসেন্টস এখনও কাজ শুরু করেনি এবং আমার বাবা আরও খারাপ হচ্ছেন। তাকে চাকরি থেকে অব্যাহতি দেওয়া হয়েছে কিন্তু নিজেকে নিশ্চিত করেছেন যে তিনি দুটি ভিন্ন ডাক্তারের সাথে দেখা করার কারণে এটি কোনওভাবে প্রতারণা (?) এবং তাকে বরখাস্ত করা হবে এবং কারাগারে যেতে হবে। তিনি আরও মনে করেন যে তিনি কোনওভাবে আমার ভাইকে এই মামলায় জড়িয়েছেন, এবং তাকেও গ্রেপ্তার করা হবে। তাছাড়া, তিনি আবার ডাক্তারের কাছে যেতে অস্বীকৃতি জানাচ্ছেন এবং যুক্তিসঙ্গতভাবে তাকে বোঝানো যাচ্ছে না। আমরা কীভাবে তাকে সাহায্য করতে পারি? তাকে এভাবে দেখা খুবই ভয়াবহ। (আমরা যুক্তরাজ্যে আছি, শুধু আপনার তথ্যের জন্য)</v>
      </c>
    </row>
    <row r="2238" spans="1:3" ht="15" x14ac:dyDescent="0.25">
      <c r="A2238" s="3" t="s">
        <v>2231</v>
      </c>
      <c r="B2238" s="3" t="s">
        <v>1992</v>
      </c>
      <c r="C2238" s="4" t="str">
        <f ca="1">IFERROR(__xludf.DUMMYFUNCTION("GOOGLETRANSLATE(A2238, ""auto"", ""bn"")"),"হে-হে এক্সডি... আমার একটা চোখ খুলে দেওয়ার মতো অভিজ্ঞতা হলো। বন্ধুদের সাথে MDMA করলাম, MDMA একটি উদ্দীপক, পরিচিত পার্শ্বপ্রতিক্রিয়া হল উচ্চ রক্তচাপ, দ্রুত হৃদস্পন্দন এবং হাইপারথার্মিয়া, ভালো ওলে ক্লাসিক উদ্দীপক প্রভাব। তবুও MDMA উদ্বেগকে মেরে ফেলে (একবার"&amp;" সম্পূর্ণরূপে সক্রিয় হয়ে গেলে)। এখন এখানে একেবারেই মানসিক কঠিন অংশটি আসে: MDMA-তে থাকাকালীন, কিং পিক চলাকালীন, আমার হৃদস্পন্দন নিয়মিত উদ্বেগ-রাইডের তুলনায় কম ছিল। এটি কিং পয়েন্টে পৌঁছেছে যেখানে আমি নিজেকে জিজ্ঞাসা করি যে আসল ব্যাপারটা কী, যখন আমার মস"&amp;"্তিষ্ক আমার শরীরের সাথে ওষুধের চেয়েও বেশি খারাপ আচরণ করে।")</f>
        <v>হে-হে এক্সডি... আমার একটা চোখ খুলে দেওয়ার মতো অভিজ্ঞতা হলো। বন্ধুদের সাথে MDMA করলাম, MDMA একটি উদ্দীপক, পরিচিত পার্শ্বপ্রতিক্রিয়া হল উচ্চ রক্তচাপ, দ্রুত হৃদস্পন্দন এবং হাইপারথার্মিয়া, ভালো ওলে ক্লাসিক উদ্দীপক প্রভাব। তবুও MDMA উদ্বেগকে মেরে ফেলে (একবার সম্পূর্ণরূপে সক্রিয় হয়ে গেলে)। এখন এখানে একেবারেই মানসিক কঠিন অংশটি আসে: MDMA-তে থাকাকালীন, কিং পিক চলাকালীন, আমার হৃদস্পন্দন নিয়মিত উদ্বেগ-রাইডের তুলনায় কম ছিল। এটি কিং পয়েন্টে পৌঁছেছে যেখানে আমি নিজেকে জিজ্ঞাসা করি যে আসল ব্যাপারটা কী, যখন আমার মস্তিষ্ক আমার শরীরের সাথে ওষুধের চেয়েও বেশি খারাপ আচরণ করে।</v>
      </c>
    </row>
    <row r="2239" spans="1:3" ht="15" x14ac:dyDescent="0.25">
      <c r="A2239" s="3" t="s">
        <v>2232</v>
      </c>
      <c r="B2239" s="3" t="s">
        <v>1992</v>
      </c>
      <c r="C2239" s="4" t="str">
        <f ca="1">IFERROR(__xludf.DUMMYFUNCTION("GOOGLETRANSLATE(A2239, ""auto"", ""bn"")"),"আর কেউ কি সংবেদনশীল অতিরিক্ত চাপ অনুভব করে? আমার মনে হয় এটা আমার জন্য একেবারেই নতুন। উদ্বেগজনিত ব্যাধির সাথে লড়াই করার সময়, আমি এর সমস্ত রূপের অভিজ্ঞতা পেয়েছি; আমার মনে হয় এটিও তাদের মধ্যে একটি। আমি প্রায়শই সিনেমা দেখতে যাই; এখন ইয়ারফোন ছাড়া আমি স"&amp;"ামলাতে পারি না। কনসার্টের ক্ষেত্রেও একই কথা। যেখানেই অনেক লোক থাকে; খুব বেশি শব্দ আমাকে এখন বিপদে ফেলে; মনে হচ্ছে আমি আমার ত্বক থেকে বেরিয়ে আসছি।")</f>
        <v>আর কেউ কি সংবেদনশীল অতিরিক্ত চাপ অনুভব করে? আমার মনে হয় এটা আমার জন্য একেবারেই নতুন। উদ্বেগজনিত ব্যাধির সাথে লড়াই করার সময়, আমি এর সমস্ত রূপের অভিজ্ঞতা পেয়েছি; আমার মনে হয় এটিও তাদের মধ্যে একটি। আমি প্রায়শই সিনেমা দেখতে যাই; এখন ইয়ারফোন ছাড়া আমি সামলাতে পারি না। কনসার্টের ক্ষেত্রেও একই কথা। যেখানেই অনেক লোক থাকে; খুব বেশি শব্দ আমাকে এখন বিপদে ফেলে; মনে হচ্ছে আমি আমার ত্বক থেকে বেরিয়ে আসছি।</v>
      </c>
    </row>
    <row r="2240" spans="1:3" ht="15" x14ac:dyDescent="0.25">
      <c r="A2240" s="3" t="s">
        <v>2233</v>
      </c>
      <c r="B2240" s="3" t="s">
        <v>1992</v>
      </c>
      <c r="C2240" s="4" t="str">
        <f ca="1">IFERROR(__xludf.DUMMYFUNCTION("GOOGLETRANSLATE(A2240, ""auto"", ""bn"")"),"২০১৯ সালে, আমার সংকল্প হবে নতুন কিছু করার চেষ্টা করা যা আমি করতে চেয়েছিলাম কিন্তু চেষ্টা করার জন্য সবসময় খুব বেশি উদ্বিগ্ন ছিলাম। আমার প্রথম প্রচেষ্টা হবে একটি নতুন যোগব্যায়াম ক্লাসে অংশগ্রহণ করা। আমি আশা করি আমি নিজেকে এটি করার জন্য প্রস্তুত করতে পারব"&amp;"।")</f>
        <v>২০১৯ সালে, আমার সংকল্প হবে নতুন কিছু করার চেষ্টা করা যা আমি করতে চেয়েছিলাম কিন্তু চেষ্টা করার জন্য সবসময় খুব বেশি উদ্বিগ্ন ছিলাম। আমার প্রথম প্রচেষ্টা হবে একটি নতুন যোগব্যায়াম ক্লাসে অংশগ্রহণ করা। আমি আশা করি আমি নিজেকে এটি করার জন্য প্রস্তুত করতে পারব।</v>
      </c>
    </row>
    <row r="2241" spans="1:3" ht="15" x14ac:dyDescent="0.25">
      <c r="A2241" s="3" t="s">
        <v>2234</v>
      </c>
      <c r="B2241" s="3" t="s">
        <v>1992</v>
      </c>
      <c r="C2241" s="4" t="str">
        <f ca="1">IFERROR(__xludf.DUMMYFUNCTION("GOOGLETRANSLATE(A2241, ""auto"", ""bn"")"),"জনসমক্ষে খাওয়ার নতুন উদ্বেগ। আমার মনে হয় খাবার শেষ করলে সবাই ভাববে আমি পেটুক বা শূকরের মতো, তাই আমি বেশিরভাগ খাবারই ছেড়ে দেই। যাইহোক, যখন আমি ফুড কোর্টে থাকি তখন আমি সবসময় আমার খাবারের অর্ধেক এক জায়গায় খাই... তারপর ভান করি যে আমি অন্য অর্ধেকের জন্য "&amp;"খুব বেশি পেট ভরা, এবং তারপর আমি ফুড কোর্টের অন্য পাশে খাই। আহা... আমি আমার খাবার শ্বাসের সাথে নিতাম WTF এটা কি?????????")</f>
        <v>জনসমক্ষে খাওয়ার নতুন উদ্বেগ। আমার মনে হয় খাবার শেষ করলে সবাই ভাববে আমি পেটুক বা শূকরের মতো, তাই আমি বেশিরভাগ খাবারই ছেড়ে দেই। যাইহোক, যখন আমি ফুড কোর্টে থাকি তখন আমি সবসময় আমার খাবারের অর্ধেক এক জায়গায় খাই... তারপর ভান করি যে আমি অন্য অর্ধেকের জন্য খুব বেশি পেট ভরা, এবং তারপর আমি ফুড কোর্টের অন্য পাশে খাই। আহা... আমি আমার খাবার শ্বাসের সাথে নিতাম WTF এটা কি?????????</v>
      </c>
    </row>
    <row r="2242" spans="1:3" ht="15" x14ac:dyDescent="0.25">
      <c r="A2242" s="3" t="s">
        <v>2235</v>
      </c>
      <c r="B2242" s="3" t="s">
        <v>1992</v>
      </c>
      <c r="C2242" s="4" t="str">
        <f ca="1">IFERROR(__xludf.DUMMYFUNCTION("GOOGLETRANSLATE(A2242, ""auto"", ""bn"")"),"আজ রাতে আমার একটা সুযোগ ছিল এবং আমি তা নষ্ট করে দিয়েছিলাম। আমার পুরনো ভি কার্ড হারানোর সুযোগ ছিল। তাছাড়া, আমি এমন একটি মেয়ের সাথে বাড়ি গিয়েছিলাম যার সাথে আমি বছরের পর বছর ধরে প্রেম করছি এবং জানতে পারি যে সে বছরের পর বছর ধরে আমার প্রেমে পড়েছে। তাছাড়"&amp;"া, আমি নিজে থেকে ""কিছুই"" করতে পারিনি। তাছাড়া, আমি চেয়েছিলাম। তাছাড়া, আমি সত্যিই করেছি। তাছাড়া, আমি পারিনি। শেষ পর্যন্ত আমি তাকে বলেছিলাম যে এটি আমার প্রথমবারের মতো কিছু। সে হতাশ হয়ে পড়েছিল। আমি মরতে চাই। আমি কী করব?")</f>
        <v>আজ রাতে আমার একটা সুযোগ ছিল এবং আমি তা নষ্ট করে দিয়েছিলাম। আমার পুরনো ভি কার্ড হারানোর সুযোগ ছিল। তাছাড়া, আমি এমন একটি মেয়ের সাথে বাড়ি গিয়েছিলাম যার সাথে আমি বছরের পর বছর ধরে প্রেম করছি এবং জানতে পারি যে সে বছরের পর বছর ধরে আমার প্রেমে পড়েছে। তাছাড়া, আমি নিজে থেকে "কিছুই" করতে পারিনি। তাছাড়া, আমি চেয়েছিলাম। তাছাড়া, আমি সত্যিই করেছি। তাছাড়া, আমি পারিনি। শেষ পর্যন্ত আমি তাকে বলেছিলাম যে এটি আমার প্রথমবারের মতো কিছু। সে হতাশ হয়ে পড়েছিল। আমি মরতে চাই। আমি কী করব?</v>
      </c>
    </row>
    <row r="2243" spans="1:3" ht="15" x14ac:dyDescent="0.25">
      <c r="A2243" s="3" t="s">
        <v>2236</v>
      </c>
      <c r="B2243" s="3" t="s">
        <v>1992</v>
      </c>
      <c r="C2243" s="4" t="str">
        <f ca="1">IFERROR(__xludf.DUMMYFUNCTION("GOOGLETRANSLATE(A2243, ""auto"", ""bn"")"),"আমি সবসময় নার্ভাস থাকি। আমি বলতেও পারি না যে আমার আর উদ্বেগ আছে। এটা আমার স্থায়ী অবস্থা।")</f>
        <v>আমি সবসময় নার্ভাস থাকি। আমি বলতেও পারি না যে আমার আর উদ্বেগ আছে। এটা আমার স্থায়ী অবস্থা।</v>
      </c>
    </row>
    <row r="2244" spans="1:3" ht="15" x14ac:dyDescent="0.25">
      <c r="A2244" s="3" t="s">
        <v>2237</v>
      </c>
      <c r="B2244" s="3" t="s">
        <v>1992</v>
      </c>
      <c r="C2244" s="4" t="str">
        <f ca="1">IFERROR(__xludf.DUMMYFUNCTION("GOOGLETRANSLATE(A2244, ""auto"", ""bn"")"),"আমি ছোটবেলা থেকেই একই পোশাক পরে আসছি এবং আমার স্টাইল পরিবর্তন করতে খুব ভয় পাই, কারণ লোকেরা ভাববে আমি খুব বেশি চেষ্টা করছি বা অন্য কিছু। অন্য কারো কি একই অভিজ্ঞতা হয়েছে?")</f>
        <v>আমি ছোটবেলা থেকেই একই পোশাক পরে আসছি এবং আমার স্টাইল পরিবর্তন করতে খুব ভয় পাই, কারণ লোকেরা ভাববে আমি খুব বেশি চেষ্টা করছি বা অন্য কিছু। অন্য কারো কি একই অভিজ্ঞতা হয়েছে?</v>
      </c>
    </row>
    <row r="2245" spans="1:3" ht="15" x14ac:dyDescent="0.25">
      <c r="A2245" s="3" t="s">
        <v>2238</v>
      </c>
      <c r="B2245" s="3" t="s">
        <v>1992</v>
      </c>
      <c r="C2245" s="4" t="str">
        <f ca="1">IFERROR(__xludf.DUMMYFUNCTION("GOOGLETRANSLATE(A2245, ""auto"", ""bn"")"),"আমি কিভাবে বুঝবো যে কেউ আমাকে বন্ধু মনে করে? হ্যালো, আমি একজন উচ্চ বিদ্যালয়ের ছাত্র এবং আমার একটা সমস্যা আছে যেখানে আমি কাউকে বন্ধু ভাবতে ভয় পাই, যদি তারা আমাকে বন্ধু না মনে করে। এটি একাধিক বিভাগে পড়ে। ১) আমার মনে হয় তারা আমাকে বন্ধু মনে করে না এবং আম"&amp;"ি কেবল কথা বলার মতো একজন। ২) আমার মনে হয় তারা গোপনে আমাকে নিয়ে মজা করে/ঘৃণা করে ৩) তারা কেবল করুণা থেকে আমার সাথে কথা বলে এবং আসলে আমাকে পছন্দ করে না। উদাহরণস্বরূপ, আমার ঘনিষ্ঠ বন্ধু আছে এবং আমি মাঝে মাঝে ধারণা পাই যে তারা আসলে আমাকে পছন্দ করে না, এবং ত"&amp;"ারা কেবল আমার সাথে কথা বলে কারণ আমি তাদের সাথে কথা বলি। আমি কখনই জানি না যে আমি তাদের বিরক্ত করছি কিনা। এটি আমার জীবনের একটি বড় সমস্যা, কারণ এটি আমাকে আমার বন্ধুদের বাইরে যেতে এবং কিছু করতে বলতে বাধা দেয়। আমার জন্য আমার দুজন সেরা বন্ধুকে (কিন্তু আবার সে"&amp;"খানেই তারা যদি আমাকে সেরা বন্ধু মনে করে তবে আমি বুঝতে পারি) নববর্ষে আমার বাড়িতে আসতে বলা বেশ কঠিন ছিল। যাকে আমি সবচেয়ে ভালো বন্ধু মনে করি সে আসলে আমার ব্যাপারে চিন্তিত নয়, এই ধারণাটা ভাবতেই খুব ভয় লাগে। দয়া করে কোন পরামর্শ দিলে উপকার হবে ????")</f>
        <v>আমি কিভাবে বুঝবো যে কেউ আমাকে বন্ধু মনে করে? হ্যালো, আমি একজন উচ্চ বিদ্যালয়ের ছাত্র এবং আমার একটা সমস্যা আছে যেখানে আমি কাউকে বন্ধু ভাবতে ভয় পাই, যদি তারা আমাকে বন্ধু না মনে করে। এটি একাধিক বিভাগে পড়ে। ১) আমার মনে হয় তারা আমাকে বন্ধু মনে করে না এবং আমি কেবল কথা বলার মতো একজন। ২) আমার মনে হয় তারা গোপনে আমাকে নিয়ে মজা করে/ঘৃণা করে ৩) তারা কেবল করুণা থেকে আমার সাথে কথা বলে এবং আসলে আমাকে পছন্দ করে না। উদাহরণস্বরূপ, আমার ঘনিষ্ঠ বন্ধু আছে এবং আমি মাঝে মাঝে ধারণা পাই যে তারা আসলে আমাকে পছন্দ করে না, এবং তারা কেবল আমার সাথে কথা বলে কারণ আমি তাদের সাথে কথা বলি। আমি কখনই জানি না যে আমি তাদের বিরক্ত করছি কিনা। এটি আমার জীবনের একটি বড় সমস্যা, কারণ এটি আমাকে আমার বন্ধুদের বাইরে যেতে এবং কিছু করতে বলতে বাধা দেয়। আমার জন্য আমার দুজন সেরা বন্ধুকে (কিন্তু আবার সেখানেই তারা যদি আমাকে সেরা বন্ধু মনে করে তবে আমি বুঝতে পারি) নববর্ষে আমার বাড়িতে আসতে বলা বেশ কঠিন ছিল। যাকে আমি সবচেয়ে ভালো বন্ধু মনে করি সে আসলে আমার ব্যাপারে চিন্তিত নয়, এই ধারণাটা ভাবতেই খুব ভয় লাগে। দয়া করে কোন পরামর্শ দিলে উপকার হবে ????</v>
      </c>
    </row>
    <row r="2246" spans="1:3" ht="15" x14ac:dyDescent="0.25">
      <c r="A2246" s="3" t="s">
        <v>2239</v>
      </c>
      <c r="B2246" s="3" t="s">
        <v>1992</v>
      </c>
      <c r="C2246" s="4" t="str">
        <f ca="1">IFERROR(__xludf.DUMMYFUNCTION("GOOGLETRANSLATE(A2246, ""auto"", ""bn"")"),"উদ্বেগ এবং আমার হৃদস্পন্দনের প্রশ্ন এখানে সম্প্রতি আমার উদ্বেগ ভয়াবহ আকার ধারণ করেছে, এবং আমার হৃদস্পন্দনের হার ধারাবাহিকভাবে বেশি। এমনকি হাঁটার মতো সামান্য কিছু করার পরেও আমার হৃদস্পন্দন এখন বেশ দ্রুত বেড়ে যেতে পারে, এমনকি মনে হতে পারে যে এটি আমার বুকে"&amp;"র উপর প্রায় প্রসারিত হচ্ছে এবং যেমন আগে এটি কোনও সমস্যা ছিল না। আমার ভয়, অবশ্যই, আমার কি কোনও শারীরিক সমস্যা আছে যা আমার হৃদপিণ্ডকে প্রভাবিত করে, যা কেবল আমার উদ্বেগকে আরও বাড়িয়ে তোলে, বিশেষ করে যত বেশি আমি এটি সম্পর্কে চিন্তা করি। আমি কি একা? আমার বা"&amp;"বা-মা এবং স্বামী/স্ত্রী বিশ্বাস করেন যে এটি কেবল আমিই এটি সম্পর্কে খুব বেশি ভাবছি, তবে আমি কেবল কিছু দ্বিতীয় মতামত পেতে চেয়েছিলাম। ধন্যবাদ।")</f>
        <v>উদ্বেগ এবং আমার হৃদস্পন্দনের প্রশ্ন এখানে সম্প্রতি আমার উদ্বেগ ভয়াবহ আকার ধারণ করেছে, এবং আমার হৃদস্পন্দনের হার ধারাবাহিকভাবে বেশি। এমনকি হাঁটার মতো সামান্য কিছু করার পরেও আমার হৃদস্পন্দন এখন বেশ দ্রুত বেড়ে যেতে পারে, এমনকি মনে হতে পারে যে এটি আমার বুকের উপর প্রায় প্রসারিত হচ্ছে এবং যেমন আগে এটি কোনও সমস্যা ছিল না। আমার ভয়, অবশ্যই, আমার কি কোনও শারীরিক সমস্যা আছে যা আমার হৃদপিণ্ডকে প্রভাবিত করে, যা কেবল আমার উদ্বেগকে আরও বাড়িয়ে তোলে, বিশেষ করে যত বেশি আমি এটি সম্পর্কে চিন্তা করি। আমি কি একা? আমার বাবা-মা এবং স্বামী/স্ত্রী বিশ্বাস করেন যে এটি কেবল আমিই এটি সম্পর্কে খুব বেশি ভাবছি, তবে আমি কেবল কিছু দ্বিতীয় মতামত পেতে চেয়েছিলাম। ধন্যবাদ।</v>
      </c>
    </row>
    <row r="2247" spans="1:3" ht="15" x14ac:dyDescent="0.25">
      <c r="A2247" s="3" t="s">
        <v>2240</v>
      </c>
      <c r="B2247" s="3" t="s">
        <v>1992</v>
      </c>
      <c r="C2247" s="4" t="str">
        <f ca="1">IFERROR(__xludf.DUMMYFUNCTION("GOOGLETRANSLATE(A2247, ""auto"", ""bn"")"),"আমার প্যানিক অ্যাটাক এবং উদ্বেগের কারণে আজ আমার কাজ চলে গেছে। (ট্রিগার সতর্কতা) *ট্রিগার সতর্কতা* *প্যানিক অ্যাটাক অভিজ্ঞতা* তাহলে একটু পটভূমিতে, আমার বয়স ২৩ বছর। আমার দুটি ছোট বাচ্চা। প্রায় এক মাস আগে যখন আমি রান্নাঘরে এক্সপোর চাকরি পেয়েছিলাম, তখন পর্"&amp;"যন্ত আমি বছরের কিছু সময় বাড়িতে মা ছিলাম। রবিবার আমার ছুটি ছিল, তাই আমি প্রথমবারের মতো আমার বোনের সাথে বাইরে গিয়ে কিছু পানীয় খাওয়ার সিদ্ধান্ত নিয়েছিলাম। এতে খুব বেশি ডুবে না গিয়ে, আমি অত্যন্ত আত্ম-সমালোচক। যখন অ্যালকোহল জড়িত থাকে তখন আমি ১০ গুণ খার"&amp;"াপ হয়ে যাই। আমি প্রায় ১২-১৩ বছর বয়স থেকেই আমার উদ্বেগ ছিল, বছরের পর বছর ধরে আরও খারাপ হচ্ছে। আমার আগেও কিছু খারাপ প্যানিক অ্যাটাক হয়েছে, কিন্তু আজ ছিল আমার অভিজ্ঞতার মধ্যে সবচেয়ে খারাপ। তাই গত রাতে, কথোপকথন বেশ গভীরভাবে ছড়িয়ে পড়েছিল এবং আমি পরের দ"&amp;"িন সবকিছু নিয়ে আলোচনা করেছি। আমার অতীতের বিষয় এবং একজন নার্সিসিস্টিক প্রাক্তন থেকে, আসুন শুধু আমার মানসিক অবস্থা খারাপ বলে মনে করি। আমার ৪টায় কাজ ছিল এবং কাজে যাওয়ার ২০ মিনিট আগে পর্যন্ত ঠিক ছিলাম। আমি নতুন ছিলাম, আজ যা অনুভব করছিলাম তার উপরে আমার স্ব"&amp;"াভাবিক উদ্বেগও আছে। প্রায় ৩:৩০: সোফা থেকে উঠে জুতা পরার জন্য। হাত গুঞ্জন করছে, পা কাঁপছে, মাথা ঘোরাচ্ছে। আক্রমণের আতঙ্ক আসছে বলে মনে হচ্ছে। দরজা থেকে বেরিয়ে ছুটে যাচ্ছি। ৩:৪৫: কাজের কাছাকাছি। আতঙ্কিত। বাগদত্তাকে বারবার গাড়ি থামাতে হচ্ছে কারণ আমি শ্বাস "&amp;"নিতে পারছি না। গলা বন্ধ হয়ে আসছে। হৃদস্পন্দন। ভেবেছিলাম আমার হার্ট অ্যাটাক হচ্ছে। মন জানত এটা আতঙ্ক, শরীর রাজি ছিল না। ৩:৫৫: কাজের ড্রাইভওয়েতে টান দিচ্ছি। বাগদত্তা গাড়ি পার্ক করছিল। জীবনে প্রথমবারের মতো আমার পেট প্যানিক অ্যাটাকের কারণে শারীরিকভাবে অসুস"&amp;"্থ বোধ করছিল। বমি করার জন্য সবচেয়ে কাছের জিনিসের জন্য হাত বাড়িয়েছিলাম। বাগদত্তার জন্য বারবার ""আমি এটা করতে পারব না। আমি ভেতরে যেতে পারব না"" বলে পুনরাবৃত্তি করছিলাম। ৪:০০: আমার সবচেয়ে ভালো বন্ধুকে ফোন করুন। চেষ্টা করুন সে আমাকে শান্ত করতে পারে কিনা। "&amp;"এই মুহুর্তে কান্না। হৃদস্পন্দন। পেটে ব্যথা এবং অস্বস্তিকর। বিচ্ছিন্ন বোধ করতে শুরু করেছে। ৪:০৫: স্বামী আমাকে বলে ফোন বন্ধ করো, ভেতরে যাও এবং ব্যাখ্যা করো, অথবা ঘন্টার পর ঘন্টা আসো। ভয়ে নিথর বোধ করো। ম্যানেজাররা ভাববে যে আমি নতুন বছরের পার্টির জন্য ভান কর"&amp;"ছি। (আজ রাতে সব সময় মদ্যপান করিনি। প্রতিশ্রুতি দিয়েছি যে আজকের পর আর কখনও মদ্যপান করব না) ৪:১০: ভেতরে যাও। হোস্ট বলছে আমি সত্যিই ফ্যাকাশে দেখাচ্ছি। আমি কাঁপছি। হৃদয় এখনও দৌড়াচ্ছে। অজ্ঞান হওয়ার তাড়না দমন করতে লড়াই করছি। আমি এখন ম্যানেজারদের সাথে কথা"&amp;" বলতে উদ্বিগ্ন যদিও তারা সবাই ভালো এবং বোধগম্য। আমি রান্নাঘরে যাই এবং ম্যানেজার আমাকে দেখে তাৎক্ষণিকভাবে জিজ্ঞাসা করে যে আমি ঠিক আছি কিনা। তাছাড়া, আমি ব্যাখ্যা করি এবং বলা হয় যে আমাকে ডাক্তারের নোট নিতে হবে, নাহলে আমি পয়েন্ট পাব। সে এটা সম্পর্কে ভালো। "&amp;"আমার বাগদত্তা ফিরে এসে আমাকে কাজ থেকে তুলে নিয়ে গেল। সে খুব সমর্থন করেছিল, কিন্তু কোনও কারণে আমি গাড়ি চালানোর গতি সহ্য করতে পারিনি কারণ এটি আমাকে অসুস্থ এবং আতঙ্কিত করে তুলছিল। আমি আগে কখনও এমন অনুভব করিনি। বাড়িতে যখন আমি আমার বোনকে ফোন করি, সে কোনওভাব"&amp;"ে আমাকে প্যানিক অ্যাটাক থেকে পুরোপুরি শান্ত করে। আমরা বেবিসিটারকে রিলিভ করি এবং আমি উপরে গিয়ে বিছানায় শুয়ে এক ঘন্টা ঘুমিয়ে পড়ি। আমি এখনও প্যানিকের অবশিষ্টাংশ অনুভব করি তবে অনেক ভালো। আমার আগামীকাল কাজ আছে এবং অনেকেই যেতে চাই না। যদি কারও এত বড় প্যান"&amp;"িক অ্যাটাক হয়ে থাকে, তাহলে আমি আপনাকে ধন্যবাদ জানাই। আমার উদ্বেগ সবসময়ই আমার উপর একটি ভারী পাথর হয়ে দাঁড়িয়েছে যা প্রতিদিন আমাকে চাপিয়ে দেয়। কখনও আমাকে কাজ মিস করার জন্য যথেষ্ট ছিল না। আমার ২৩ বছরের মধ্যে, এটিই সবচেয়ে খারাপ ছিল।")</f>
        <v>আমার প্যানিক অ্যাটাক এবং উদ্বেগের কারণে আজ আমার কাজ চলে গেছে। (ট্রিগার সতর্কতা) *ট্রিগার সতর্কতা* *প্যানিক অ্যাটাক অভিজ্ঞতা* তাহলে একটু পটভূমিতে, আমার বয়স ২৩ বছর। আমার দুটি ছোট বাচ্চা। প্রায় এক মাস আগে যখন আমি রান্নাঘরে এক্সপোর চাকরি পেয়েছিলাম, তখন পর্যন্ত আমি বছরের কিছু সময় বাড়িতে মা ছিলাম। রবিবার আমার ছুটি ছিল, তাই আমি প্রথমবারের মতো আমার বোনের সাথে বাইরে গিয়ে কিছু পানীয় খাওয়ার সিদ্ধান্ত নিয়েছিলাম। এতে খুব বেশি ডুবে না গিয়ে, আমি অত্যন্ত আত্ম-সমালোচক। যখন অ্যালকোহল জড়িত থাকে তখন আমি ১০ গুণ খারাপ হয়ে যাই। আমি প্রায় ১২-১৩ বছর বয়স থেকেই আমার উদ্বেগ ছিল, বছরের পর বছর ধরে আরও খারাপ হচ্ছে। আমার আগেও কিছু খারাপ প্যানিক অ্যাটাক হয়েছে, কিন্তু আজ ছিল আমার অভিজ্ঞতার মধ্যে সবচেয়ে খারাপ। তাই গত রাতে, কথোপকথন বেশ গভীরভাবে ছড়িয়ে পড়েছিল এবং আমি পরের দিন সবকিছু নিয়ে আলোচনা করেছি। আমার অতীতের বিষয় এবং একজন নার্সিসিস্টিক প্রাক্তন থেকে, আসুন শুধু আমার মানসিক অবস্থা খারাপ বলে মনে করি। আমার ৪টায় কাজ ছিল এবং কাজে যাওয়ার ২০ মিনিট আগে পর্যন্ত ঠিক ছিলাম। আমি নতুন ছিলাম, আজ যা অনুভব করছিলাম তার উপরে আমার স্বাভাবিক উদ্বেগও আছে। প্রায় ৩:৩০: সোফা থেকে উঠে জুতা পরার জন্য। হাত গুঞ্জন করছে, পা কাঁপছে, মাথা ঘোরাচ্ছে। আক্রমণের আতঙ্ক আসছে বলে মনে হচ্ছে। দরজা থেকে বেরিয়ে ছুটে যাচ্ছি। ৩:৪৫: কাজের কাছাকাছি। আতঙ্কিত। বাগদত্তাকে বারবার গাড়ি থামাতে হচ্ছে কারণ আমি শ্বাস নিতে পারছি না। গলা বন্ধ হয়ে আসছে। হৃদস্পন্দন। ভেবেছিলাম আমার হার্ট অ্যাটাক হচ্ছে। মন জানত এটা আতঙ্ক, শরীর রাজি ছিল না। ৩:৫৫: কাজের ড্রাইভওয়েতে টান দিচ্ছি। বাগদত্তা গাড়ি পার্ক করছিল। জীবনে প্রথমবারের মতো আমার পেট প্যানিক অ্যাটাকের কারণে শারীরিকভাবে অসুস্থ বোধ করছিল। বমি করার জন্য সবচেয়ে কাছের জিনিসের জন্য হাত বাড়িয়েছিলাম। বাগদত্তার জন্য বারবার "আমি এটা করতে পারব না। আমি ভেতরে যেতে পারব না" বলে পুনরাবৃত্তি করছিলাম। ৪:০০: আমার সবচেয়ে ভালো বন্ধুকে ফোন করুন। চেষ্টা করুন সে আমাকে শান্ত করতে পারে কিনা। এই মুহুর্তে কান্না। হৃদস্পন্দন। পেটে ব্যথা এবং অস্বস্তিকর। বিচ্ছিন্ন বোধ করতে শুরু করেছে। ৪:০৫: স্বামী আমাকে বলে ফোন বন্ধ করো, ভেতরে যাও এবং ব্যাখ্যা করো, অথবা ঘন্টার পর ঘন্টা আসো। ভয়ে নিথর বোধ করো। ম্যানেজাররা ভাববে যে আমি নতুন বছরের পার্টির জন্য ভান করছি। (আজ রাতে সব সময় মদ্যপান করিনি। প্রতিশ্রুতি দিয়েছি যে আজকের পর আর কখনও মদ্যপান করব না) ৪:১০: ভেতরে যাও। হোস্ট বলছে আমি সত্যিই ফ্যাকাশে দেখাচ্ছি। আমি কাঁপছি। হৃদয় এখনও দৌড়াচ্ছে। অজ্ঞান হওয়ার তাড়না দমন করতে লড়াই করছি। আমি এখন ম্যানেজারদের সাথে কথা বলতে উদ্বিগ্ন যদিও তারা সবাই ভালো এবং বোধগম্য। আমি রান্নাঘরে যাই এবং ম্যানেজার আমাকে দেখে তাৎক্ষণিকভাবে জিজ্ঞাসা করে যে আমি ঠিক আছি কিনা। তাছাড়া, আমি ব্যাখ্যা করি এবং বলা হয় যে আমাকে ডাক্তারের নোট নিতে হবে, নাহলে আমি পয়েন্ট পাব। সে এটা সম্পর্কে ভালো। আমার বাগদত্তা ফিরে এসে আমাকে কাজ থেকে তুলে নিয়ে গেল। সে খুব সমর্থন করেছিল, কিন্তু কোনও কারণে আমি গাড়ি চালানোর গতি সহ্য করতে পারিনি কারণ এটি আমাকে অসুস্থ এবং আতঙ্কিত করে তুলছিল। আমি আগে কখনও এমন অনুভব করিনি। বাড়িতে যখন আমি আমার বোনকে ফোন করি, সে কোনওভাবে আমাকে প্যানিক অ্যাটাক থেকে পুরোপুরি শান্ত করে। আমরা বেবিসিটারকে রিলিভ করি এবং আমি উপরে গিয়ে বিছানায় শুয়ে এক ঘন্টা ঘুমিয়ে পড়ি। আমি এখনও প্যানিকের অবশিষ্টাংশ অনুভব করি তবে অনেক ভালো। আমার আগামীকাল কাজ আছে এবং অনেকেই যেতে চাই না। যদি কারও এত বড় প্যানিক অ্যাটাক হয়ে থাকে, তাহলে আমি আপনাকে ধন্যবাদ জানাই। আমার উদ্বেগ সবসময়ই আমার উপর একটি ভারী পাথর হয়ে দাঁড়িয়েছে যা প্রতিদিন আমাকে চাপিয়ে দেয়। কখনও আমাকে কাজ মিস করার জন্য যথেষ্ট ছিল না। আমার ২৩ বছরের মধ্যে, এটিই সবচেয়ে খারাপ ছিল।</v>
      </c>
    </row>
    <row r="2248" spans="1:3" ht="15" x14ac:dyDescent="0.25">
      <c r="A2248" s="3" t="s">
        <v>2241</v>
      </c>
      <c r="B2248" s="3" t="s">
        <v>1992</v>
      </c>
      <c r="C2248" s="4" t="str">
        <f ca="1">IFERROR(__xludf.DUMMYFUNCTION("GOOGLETRANSLATE(A2248, ""auto"", ""bn"")"),"উদ্বেগের নতুন মাত্রা তাই আমি এক দশক ধরে বিষণ্ণতার সাথে লড়াই করেছি এবং এটি বেশিরভাগ নিয়ন্ত্রণে ছিল, কিন্তু সম্প্রতি, আমি মনে করি আমি আনুষ্ঠানিকভাবে বলতে পারি যে আমার কিছু গুরুতর উদ্বেগ আছে। এটি নতুন - আমি অনেকবার বাহ্যিক স্তরের উদ্বেগের সাথে লড়াই করেছি,"&amp;" কিন্তু কখনও কখনও এটি নয়, যা আমি কেবল আমার হৃদয় দিয়ে ক্রমাগত উদ্বেগ ছড়িয়ে পড়ার মতো বর্ণনা করতে পারি। আমার পেট সবসময় ব্যথা করে এবং গিঁটে থাকে, আমার ক্ষুধা লাগে না, আমার ঘাড় সবসময় টানটান বোধ করে, কখনও কখনও আমার গলা পর্যন্ত সংকুচিত বোধ হয়, আমি ঘুম "&amp;"পেতে সংগ্রাম করি এবং মাত্র কয়েক ঘন্টা পরেও অস্থির বোধ করি। কখনও কখনও আমার অযৌক্তিক চিন্তাভাবনা আসে, যেমন অন্য রাতে যখন আমার পা ঘুমিয়ে পড়েছিল, এবং আমি সত্যিই বিশ্বাস করি যে এটি কখনই স্বাভাবিক অবস্থায় ফিরে আসবে না। আমার জন্য প্রধান কারণ অবশ্যই হল যে আমি"&amp;" শীঘ্রই স্নাতক স্কুলে যাওয়ার জন্য আমার চাকরি ছেড়ে যাচ্ছি এবং একটি নতুন ক্যারিয়ারের পথ শুরু করতে যাচ্ছি। আমি এই পেশাটি পরিচালনা করতে পারি, কিন্তু ভবিষ্যতের সম্পর্কে কাল্পনিক বাজে কথা নয় যা নিয়ে আমার মন চাপ দেওয়া বন্ধ করবে না। তাই আমার আর বেশি কিছু বল"&amp;"ার নেই, শুধু এইটুকুই যে এটা খুবই ভয়াবহ, আর আমি এখনই এই সাব-এ যোগদান করেছি এবং স্পষ্টতই সাহায্য নেওয়া প্রয়োজন কারণ আমি আসলেই জানতাম না যে উদ্বেগ এত গভীর এবং এত খারাপ হতে পারে। সব কিছু বাদ দাও।")</f>
        <v>উদ্বেগের নতুন মাত্রা তাই আমি এক দশক ধরে বিষণ্ণতার সাথে লড়াই করেছি এবং এটি বেশিরভাগ নিয়ন্ত্রণে ছিল, কিন্তু সম্প্রতি, আমি মনে করি আমি আনুষ্ঠানিকভাবে বলতে পারি যে আমার কিছু গুরুতর উদ্বেগ আছে। এটি নতুন - আমি অনেকবার বাহ্যিক স্তরের উদ্বেগের সাথে লড়াই করেছি, কিন্তু কখনও কখনও এটি নয়, যা আমি কেবল আমার হৃদয় দিয়ে ক্রমাগত উদ্বেগ ছড়িয়ে পড়ার মতো বর্ণনা করতে পারি। আমার পেট সবসময় ব্যথা করে এবং গিঁটে থাকে, আমার ক্ষুধা লাগে না, আমার ঘাড় সবসময় টানটান বোধ করে, কখনও কখনও আমার গলা পর্যন্ত সংকুচিত বোধ হয়, আমি ঘুম পেতে সংগ্রাম করি এবং মাত্র কয়েক ঘন্টা পরেও অস্থির বোধ করি। কখনও কখনও আমার অযৌক্তিক চিন্তাভাবনা আসে, যেমন অন্য রাতে যখন আমার পা ঘুমিয়ে পড়েছিল, এবং আমি সত্যিই বিশ্বাস করি যে এটি কখনই স্বাভাবিক অবস্থায় ফিরে আসবে না। আমার জন্য প্রধান কারণ অবশ্যই হল যে আমি শীঘ্রই স্নাতক স্কুলে যাওয়ার জন্য আমার চাকরি ছেড়ে যাচ্ছি এবং একটি নতুন ক্যারিয়ারের পথ শুরু করতে যাচ্ছি। আমি এই পেশাটি পরিচালনা করতে পারি, কিন্তু ভবিষ্যতের সম্পর্কে কাল্পনিক বাজে কথা নয় যা নিয়ে আমার মন চাপ দেওয়া বন্ধ করবে না। তাই আমার আর বেশি কিছু বলার নেই, শুধু এইটুকুই যে এটা খুবই ভয়াবহ, আর আমি এখনই এই সাব-এ যোগদান করেছি এবং স্পষ্টতই সাহায্য নেওয়া প্রয়োজন কারণ আমি আসলেই জানতাম না যে উদ্বেগ এত গভীর এবং এত খারাপ হতে পারে। সব কিছু বাদ দাও।</v>
      </c>
    </row>
    <row r="2249" spans="1:3" ht="15" x14ac:dyDescent="0.25">
      <c r="A2249" s="3" t="s">
        <v>2242</v>
      </c>
      <c r="B2249" s="3" t="s">
        <v>1992</v>
      </c>
      <c r="C2249" s="4" t="str">
        <f ca="1">IFERROR(__xludf.DUMMYFUNCTION("GOOGLETRANSLATE(A2249, ""auto"", ""bn"")"),"শুভ নববর্ষ। এই বছরটা হোক নিজেদেরকে আবার ভালোবাসার এক পরিষ্কার বছর। সকল ভয়কে জয় করার চেষ্টা করা। সেই ভয়গুলোকে শক্তিতে পরিণত করা। গত বছর আমরা যে শিক্ষা পেয়েছি তা থেকে শিক্ষা নেওয়া। বুঝতে হবে যে আমাদের সামনে ৩৬৫টি নতুন সুযোগ রয়েছে। যাদের আমরা ভালোবাসি "&amp;"তাদের কাছে পৌঁছানো, সাহায্য চাইতে ভয় না পাওয়া। বুঝতে হবে যে আমাদের জীবন বিশেষ। বুঝতে হবে যে আমরাই এই গ্রহে একমাত্র ""আমি""। আমাদের একটি জীবনের মধ্যেই এত শক্তি। আমি তোমাদের সকলকে ২০১৯ সালকে শুভকামনা জানাই, আসুন আমরা উদ্বেগ এবং নেতিবাচকতাকে বাদ দেই।")</f>
        <v>শুভ নববর্ষ। এই বছরটা হোক নিজেদেরকে আবার ভালোবাসার এক পরিষ্কার বছর। সকল ভয়কে জয় করার চেষ্টা করা। সেই ভয়গুলোকে শক্তিতে পরিণত করা। গত বছর আমরা যে শিক্ষা পেয়েছি তা থেকে শিক্ষা নেওয়া। বুঝতে হবে যে আমাদের সামনে ৩৬৫টি নতুন সুযোগ রয়েছে। যাদের আমরা ভালোবাসি তাদের কাছে পৌঁছানো, সাহায্য চাইতে ভয় না পাওয়া। বুঝতে হবে যে আমাদের জীবন বিশেষ। বুঝতে হবে যে আমরাই এই গ্রহে একমাত্র "আমি"। আমাদের একটি জীবনের মধ্যেই এত শক্তি। আমি তোমাদের সকলকে ২০১৯ সালকে শুভকামনা জানাই, আসুন আমরা উদ্বেগ এবং নেতিবাচকতাকে বাদ দেই।</v>
      </c>
    </row>
    <row r="2250" spans="1:3" ht="15" x14ac:dyDescent="0.25">
      <c r="A2250" s="3" t="s">
        <v>2243</v>
      </c>
      <c r="B2250" s="3" t="s">
        <v>1992</v>
      </c>
      <c r="C2250" s="4" t="str">
        <f ca="1">IFERROR(__xludf.DUMMYFUNCTION("GOOGLETRANSLATE(A2250, ""auto"", ""bn"")"),"শুভ নববর্ষ। তোমাদের জন্য আমি গর্বিত। আমি শুধু বলতে চাইছিলাম, তোমাদের সকলের জন্য আমি গর্বিত। তাছাড়া, তোমাদের সকলের জন্য আমি গর্বিত যে তোমরা দৃঢ় থাকো এবং যতই উদ্বেগ সামলাতে পারো না কেন, হাল ছেড়ে না দাও। তাছাড়া, তোমাদের জন্য আমি গর্বিত যে তোমরা আশা করো য"&amp;"ে একদিন পরিস্থিতির উন্নতি হবে। তাছাড়া, যারাই এটি পড়ছে, আমি তোমাদের জন্য গর্বিত, বিশ্বাস করো এবং জেনে রাখো যে একদিন পরিস্থিতির উন্নতি হবে এবং দুর্বল বোধ করলেও শক্তিশালী থাকো। যদি তুমি এখনই সংগ্রাম করছো, তাহলে ঠিক আছে। সবকিছু কেটে যাবে, এবং তুমি অবশেষে এই"&amp;" ঝামেলা থেকে বেরিয়ে আসবে এবং সুখ পাবে। সুখ তোমার প্রাপ্য। তুমি তোমার উদ্বেগ বা অন্যান্য মানসিক স্বাস্থ্য ব্যাধির চেয়ে অনেক বেশি। তুমি তোমার গভীর রাত ধরে ভাবছো যে তুমি কী ভুল করেছো বা তোমার কী করা উচিত ছিল তার চেয়ে অনেক বেশি। তাছাড়া, তুমি তোমার সম্পর্ক"&amp;"ে লোকে যা বলে বা অন্যরা তোমার সম্পর্কে কী ভাবছে তার চেয়ে অনেক বেশি। তাছাড়া, তুমি ভেতরে এবং বাইরে সুন্দর। তাছাড়া, তুমি সুখের যোগ্য। তাছাড়া, তুমি ভালোবাসার যোগ্য। তাছাড়া, তুমি জীবনের যোগ্য। তাছাড়া, তুমি যা-ই ভোগ করে থাকো বা করে থাকো না কেন, জীবনের সুন্"&amp;"দর সবকিছুই উপভোগ করার যোগ্য। আমি তোমাদের সবাইকে ভালোবাসি। আসুন এই বছর একসাথে সুখের জন্য লড়াই চালিয়ে যাই।")</f>
        <v>শুভ নববর্ষ। তোমাদের জন্য আমি গর্বিত। আমি শুধু বলতে চাইছিলাম, তোমাদের সকলের জন্য আমি গর্বিত। তাছাড়া, তোমাদের সকলের জন্য আমি গর্বিত যে তোমরা দৃঢ় থাকো এবং যতই উদ্বেগ সামলাতে পারো না কেন, হাল ছেড়ে না দাও। তাছাড়া, তোমাদের জন্য আমি গর্বিত যে তোমরা আশা করো যে একদিন পরিস্থিতির উন্নতি হবে। তাছাড়া, যারাই এটি পড়ছে, আমি তোমাদের জন্য গর্বিত, বিশ্বাস করো এবং জেনে রাখো যে একদিন পরিস্থিতির উন্নতি হবে এবং দুর্বল বোধ করলেও শক্তিশালী থাকো। যদি তুমি এখনই সংগ্রাম করছো, তাহলে ঠিক আছে। সবকিছু কেটে যাবে, এবং তুমি অবশেষে এই ঝামেলা থেকে বেরিয়ে আসবে এবং সুখ পাবে। সুখ তোমার প্রাপ্য। তুমি তোমার উদ্বেগ বা অন্যান্য মানসিক স্বাস্থ্য ব্যাধির চেয়ে অনেক বেশি। তুমি তোমার গভীর রাত ধরে ভাবছো যে তুমি কী ভুল করেছো বা তোমার কী করা উচিত ছিল তার চেয়ে অনেক বেশি। তাছাড়া, তুমি তোমার সম্পর্কে লোকে যা বলে বা অন্যরা তোমার সম্পর্কে কী ভাবছে তার চেয়ে অনেক বেশি। তাছাড়া, তুমি ভেতরে এবং বাইরে সুন্দর। তাছাড়া, তুমি সুখের যোগ্য। তাছাড়া, তুমি ভালোবাসার যোগ্য। তাছাড়া, তুমি জীবনের যোগ্য। তাছাড়া, তুমি যা-ই ভোগ করে থাকো বা করে থাকো না কেন, জীবনের সুন্দর সবকিছুই উপভোগ করার যোগ্য। আমি তোমাদের সবাইকে ভালোবাসি। আসুন এই বছর একসাথে সুখের জন্য লড়াই চালিয়ে যাই।</v>
      </c>
    </row>
    <row r="2251" spans="1:3" ht="15" x14ac:dyDescent="0.25">
      <c r="A2251" s="3" t="s">
        <v>2244</v>
      </c>
      <c r="B2251" s="3" t="s">
        <v>1992</v>
      </c>
      <c r="C2251" s="4" t="str">
        <f ca="1">IFERROR(__xludf.DUMMYFUNCTION("GOOGLETRANSLATE(A2251, ""auto"", ""bn"")"),"হ্যালো, আমার মনে আছে, যখন আমি ১২ বছর বয়সে ভাবতাম যে আমি অন্ধ হয়ে যাব, আর যখনই ১০ বছর বয়সে ভাবতাম আমার কিডনি ক্যান্সার হবে। এখন আমার বয়স ১৫ (প্রায় ১৬) এবং আমার ব্রেন টিউমার হয়েছে, এটা ভাবতেই পারছি না। ২০১৭ থেকে ২০১৮ সালের মধ্যে শুরু হয়েছিল। এক রাতে "&amp;"আমি কিছু বন্ধুদের সাথে খেলছিলাম এবং প্রায় ২০ মিনিট ধরে পুরোদমে গান বাজিয়েছিলাম, এটা বোকা বোকা ভাবনা, কিন্তু আমি জানি না কেন আমি এটা করেছি, কিন্তু এটা ঘটে গেল। পরের দিন ঘুম থেকে উঠে আমার কানের পিছনে একটা ফোঁটা দেখা গেল (প্রায় নিশ্চিত এটা একটা বর্ধিত লিম"&amp;"্ফ নোড, অথবা হয়তো হাড় যা সারাক্ষণ সেখানে ছিল। মাঝে মাঝে একটু ব্যথা হয়, যেমন একটা ছোট ধাক্কা বা নাড়ি। আমি খুব একটা চিন্তিত হব না কিন্তু যখনই আমি পিছনের অংশের ফোঁটা দেখি তখন সাধারণত বলে যে কয়েক মাসের মধ্যে এটা নিজে থেকেই চলে যাবে। আর এটা প্রায় ২ বছর হ"&amp;"য়ে গেছে? আমার সাধারণত শুধু বাম দিকে মাথাব্যথা হয়, কিন্তু ডান দিকেও কিছু থাকে। তাছাড়া, আমি সম্ভবত নিজেকে ভাবিয়ে তুলি যে আমার বাম দিকে আরও বেশি আছে, কিন্তু এটা ভাবা খুবই বিরক্তিকর যে আমার চতুর্থ পর্যায়ের মস্তিষ্কের ক্যান্সার বা অন্য কোনও রোগ ধরা পড়বে।")</f>
        <v>হ্যালো, আমার মনে আছে, যখন আমি ১২ বছর বয়সে ভাবতাম যে আমি অন্ধ হয়ে যাব, আর যখনই ১০ বছর বয়সে ভাবতাম আমার কিডনি ক্যান্সার হবে। এখন আমার বয়স ১৫ (প্রায় ১৬) এবং আমার ব্রেন টিউমার হয়েছে, এটা ভাবতেই পারছি না। ২০১৭ থেকে ২০১৮ সালের মধ্যে শুরু হয়েছিল। এক রাতে আমি কিছু বন্ধুদের সাথে খেলছিলাম এবং প্রায় ২০ মিনিট ধরে পুরোদমে গান বাজিয়েছিলাম, এটা বোকা বোকা ভাবনা, কিন্তু আমি জানি না কেন আমি এটা করেছি, কিন্তু এটা ঘটে গেল। পরের দিন ঘুম থেকে উঠে আমার কানের পিছনে একটা ফোঁটা দেখা গেল (প্রায় নিশ্চিত এটা একটা বর্ধিত লিম্ফ নোড, অথবা হয়তো হাড় যা সারাক্ষণ সেখানে ছিল। মাঝে মাঝে একটু ব্যথা হয়, যেমন একটা ছোট ধাক্কা বা নাড়ি। আমি খুব একটা চিন্তিত হব না কিন্তু যখনই আমি পিছনের অংশের ফোঁটা দেখি তখন সাধারণত বলে যে কয়েক মাসের মধ্যে এটা নিজে থেকেই চলে যাবে। আর এটা প্রায় ২ বছর হয়ে গেছে? আমার সাধারণত শুধু বাম দিকে মাথাব্যথা হয়, কিন্তু ডান দিকেও কিছু থাকে। তাছাড়া, আমি সম্ভবত নিজেকে ভাবিয়ে তুলি যে আমার বাম দিকে আরও বেশি আছে, কিন্তু এটা ভাবা খুবই বিরক্তিকর যে আমার চতুর্থ পর্যায়ের মস্তিষ্কের ক্যান্সার বা অন্য কোনও রোগ ধরা পড়বে।</v>
      </c>
    </row>
    <row r="2252" spans="1:3" ht="15" x14ac:dyDescent="0.25">
      <c r="A2252" s="3" t="s">
        <v>2245</v>
      </c>
      <c r="B2252" s="3" t="s">
        <v>1992</v>
      </c>
      <c r="C2252" s="4" t="str">
        <f ca="1">IFERROR(__xludf.DUMMYFUNCTION("GOOGLETRANSLATE(A2252, ""auto"", ""bn"")"),"কীভাবে চিন্তাভাবনা আমার ASMR অভিজ্ঞতা নষ্ট করা থেকে বিরত রাখব? ঘুমানোর আগে ট্যাপিং দেখার চেষ্টা করার সময়, চিন্তাভাবনাগুলি আমার মনে ঘুরপাক খায়। উদ্বেগ, ভয়, বিপর্যয়কর চিন্তাভাবনা, এমনকি অনুশোচনা ইত্যাদি। আমি কেবল শান্তিতে থাকতে চাই এবং ASMR দেখে ঘুমিয়ে"&amp;" পড়তে পারি। কোনও বিভ্রান্তি ছাড়াই। কোন পরামর্শ?")</f>
        <v>কীভাবে চিন্তাভাবনা আমার ASMR অভিজ্ঞতা নষ্ট করা থেকে বিরত রাখব? ঘুমানোর আগে ট্যাপিং দেখার চেষ্টা করার সময়, চিন্তাভাবনাগুলি আমার মনে ঘুরপাক খায়। উদ্বেগ, ভয়, বিপর্যয়কর চিন্তাভাবনা, এমনকি অনুশোচনা ইত্যাদি। আমি কেবল শান্তিতে থাকতে চাই এবং ASMR দেখে ঘুমিয়ে পড়তে পারি। কোনও বিভ্রান্তি ছাড়াই। কোন পরামর্শ?</v>
      </c>
    </row>
    <row r="2253" spans="1:3" ht="15" x14ac:dyDescent="0.25">
      <c r="A2253" s="3" t="s">
        <v>2246</v>
      </c>
      <c r="B2253" s="3" t="s">
        <v>1992</v>
      </c>
      <c r="C2253" s="4" t="str">
        <f ca="1">IFERROR(__xludf.DUMMYFUNCTION("GOOGLETRANSLATE(A2253, ""auto"", ""bn"")"),"প্রতিদিনের উদ্বেগের আক্রমণের সময়সূচী: অফিসে, শপিং মলে, বা বাড়িতে যেখানেই থাকি না কেন, দুপুর ১টা থেকে বিকেল ৫টার মধ্যে আমার প্রতিদিনের উদ্বেগের আক্রমণ হয়, বিশেষ করে বাড়িতে। এর থেকে মুক্তির কোন উপায় নেই, এমনকি যদি আমি ঘুমিয়ে থাকি, তবুও আমি চাপ অনুভব ক"&amp;"রতে পারি এবং দুঃস্বপ্ন দেখতে পাই, তারপর জেগে উঠলে হতাশাগ্রস্ত এবং জোরে শ্বাস নিতে থাকি। আমি এক বছর ধরে থেরাপি নিচ্ছি, এবং এটি আমার হতাশার সাথে অনেক সাহায্য করেছে কিন্তু এই সময়সূচী/দৈনিক বডি-ক্লক উদ্বেগের আক্রমণের জন্য আমি কোনও সমাধান বা অন্তত কোনও প্রতিক"&amp;"ার খুঁজে পাচ্ছি না। এটি কমাতে (কাটিয়ে উঠতে না) আমি যা করতে পারি তা হল খাওয়া যা আদর্শ নয় কারণ আমি ওজন কমানোর চেষ্টা করছি। আজ সকালে আমি কী অর্জন করব তার একটি তালিকা তৈরি করেছি (টয়লেট, আমার ল্যাপটপ ইত্যাদি) কিন্তু আমি এটি ফেলে দিয়েছি, খেয়েছি (যা আমার ড"&amp;"ায়েট নষ্ট করেছে), এবং এটি কেটে যাওয়ার জন্য অপেক্ষা করছি যার জন্য ঘন্টার পর ঘন্টা সময় লাগবে। একই রকম পরিস্থিতি বা পরামর্শ? পড়ার জন্য ধন্যবাদ।")</f>
        <v>প্রতিদিনের উদ্বেগের আক্রমণের সময়সূচী: অফিসে, শপিং মলে, বা বাড়িতে যেখানেই থাকি না কেন, দুপুর ১টা থেকে বিকেল ৫টার মধ্যে আমার প্রতিদিনের উদ্বেগের আক্রমণ হয়, বিশেষ করে বাড়িতে। এর থেকে মুক্তির কোন উপায় নেই, এমনকি যদি আমি ঘুমিয়ে থাকি, তবুও আমি চাপ অনুভব করতে পারি এবং দুঃস্বপ্ন দেখতে পাই, তারপর জেগে উঠলে হতাশাগ্রস্ত এবং জোরে শ্বাস নিতে থাকি। আমি এক বছর ধরে থেরাপি নিচ্ছি, এবং এটি আমার হতাশার সাথে অনেক সাহায্য করেছে কিন্তু এই সময়সূচী/দৈনিক বডি-ক্লক উদ্বেগের আক্রমণের জন্য আমি কোনও সমাধান বা অন্তত কোনও প্রতিকার খুঁজে পাচ্ছি না। এটি কমাতে (কাটিয়ে উঠতে না) আমি যা করতে পারি তা হল খাওয়া যা আদর্শ নয় কারণ আমি ওজন কমানোর চেষ্টা করছি। আজ সকালে আমি কী অর্জন করব তার একটি তালিকা তৈরি করেছি (টয়লেট, আমার ল্যাপটপ ইত্যাদি) কিন্তু আমি এটি ফেলে দিয়েছি, খেয়েছি (যা আমার ডায়েট নষ্ট করেছে), এবং এটি কেটে যাওয়ার জন্য অপেক্ষা করছি যার জন্য ঘন্টার পর ঘন্টা সময় লাগবে। একই রকম পরিস্থিতি বা পরামর্শ? পড়ার জন্য ধন্যবাদ।</v>
      </c>
    </row>
    <row r="2254" spans="1:3" ht="15" x14ac:dyDescent="0.25">
      <c r="A2254" s="3" t="s">
        <v>2247</v>
      </c>
      <c r="B2254" s="3" t="s">
        <v>1992</v>
      </c>
      <c r="C2254" s="4" t="str">
        <f ca="1">IFERROR(__xludf.DUMMYFUNCTION("GOOGLETRANSLATE(A2254, ""auto"", ""bn"")"),"আমার খুব একা লাগছে... নতুন বছরের রাত ১০টা বাজে। আমি আমার ঘরে একা বসে উইজ খলিফা বাজিয়ে বাডওয়াইজার পান করছি। আমার প্রাক্তনের সাথে যে গানটি শুনতাম, তা শুনে আমার খুব একাকী এবং দুঃখিত লাগছে। আজ রাতে একা থাকার জন্য আমি অধীর আগ্রহে অপেক্ষা করছিলাম।")</f>
        <v>আমার খুব একা লাগছে... নতুন বছরের রাত ১০টা বাজে। আমি আমার ঘরে একা বসে উইজ খলিফা বাজিয়ে বাডওয়াইজার পান করছি। আমার প্রাক্তনের সাথে যে গানটি শুনতাম, তা শুনে আমার খুব একাকী এবং দুঃখিত লাগছে। আজ রাতে একা থাকার জন্য আমি অধীর আগ্রহে অপেক্ষা করছিলাম।</v>
      </c>
    </row>
    <row r="2255" spans="1:3" ht="15" x14ac:dyDescent="0.25">
      <c r="A2255" s="3" t="s">
        <v>2248</v>
      </c>
      <c r="B2255" s="3" t="s">
        <v>1992</v>
      </c>
      <c r="C2255" s="4" t="str">
        <f ca="1">IFERROR(__xludf.DUMMYFUNCTION("GOOGLETRANSLATE(A2255, ""auto"", ""bn"")"),"সবাইকে নতুন বছরের শুভেচ্ছা। আমরা আরও একটি বছর পার করলাম! আমার মনে হয় অবশেষে আমার প্যানিক অ্যাটাক কিছুটা নিয়ন্ত্রণে এসেছে। প্রায় এক সপ্তাহ ধরে আমার কোনও প্যানিক অ্যাটাক হয়নি এবং এক মাসেরও বেশি সময় ধরে আমি ভয় পেয়ে না গিয়ে প্রথমবারের মতো বাড়িতে আরাম করতে প"&amp;"ারছি। আমার সমস্যা এখন বাড়ি থেকে বেরিয়ে যাওয়া। গাড়ি চালানো, বাইরে খেতে যাওয়া, আর সবচেয়ে গুরুত্বপূর্ণ কাজ। আজ আমি অর্ধেক দিন কাজে গিয়েছিলাম এবং পুরো সময়টাই আমার প্রচণ্ড উদ্বেগ ছিল। বুধবার ফিরে যেতে আমার ইতিমধ্যেই ভয় হচ্ছে। আমার প্রয়োজন এই পরামর্শ - আমার কি "&amp;"ক্রমাগত চেষ্টা করা উচিত, নাকি আরও বেশি সময় ছুটি নিয়ে কাজ করার জন্য প্রস্তুত হওয়া উচিত? আমি নিজেকে খুব বেশি চাপ দিয়ে আবারও ভেঙে পড়তে চাই না, তবে আমি যদি কাজ না করে ঘরে বসে থাকি তাহলে আমি খুব অপরাধবোধও অনুভব করি। কারো কি এই ধরণের কোনও পরামর্শ বা ব্যক্তিগত "&amp;"অভিজ্ঞতা আছে?")</f>
        <v>সবাইকে নতুন বছরের শুভেচ্ছা। আমরা আরও একটি বছর পার করলাম! আমার মনে হয় অবশেষে আমার প্যানিক অ্যাটাক কিছুটা নিয়ন্ত্রণে এসেছে। প্রায় এক সপ্তাহ ধরে আমার কোনও প্যানিক অ্যাটাক হয়নি এবং এক মাসেরও বেশি সময় ধরে আমি ভয় পেয়ে না গিয়ে প্রথমবারের মতো বাড়িতে আরাম করতে পারছি। আমার সমস্যা এখন বাড়ি থেকে বেরিয়ে যাওয়া। গাড়ি চালানো, বাইরে খেতে যাওয়া, আর সবচেয়ে গুরুত্বপূর্ণ কাজ। আজ আমি অর্ধেক দিন কাজে গিয়েছিলাম এবং পুরো সময়টাই আমার প্রচণ্ড উদ্বেগ ছিল। বুধবার ফিরে যেতে আমার ইতিমধ্যেই ভয় হচ্ছে। আমার প্রয়োজন এই পরামর্শ - আমার কি ক্রমাগত চেষ্টা করা উচিত, নাকি আরও বেশি সময় ছুটি নিয়ে কাজ করার জন্য প্রস্তুত হওয়া উচিত? আমি নিজেকে খুব বেশি চাপ দিয়ে আবারও ভেঙে পড়তে চাই না, তবে আমি যদি কাজ না করে ঘরে বসে থাকি তাহলে আমি খুব অপরাধবোধও অনুভব করি। কারো কি এই ধরণের কোনও পরামর্শ বা ব্যক্তিগত অভিজ্ঞতা আছে?</v>
      </c>
    </row>
    <row r="2256" spans="1:3" ht="15" x14ac:dyDescent="0.25">
      <c r="A2256" s="3" t="s">
        <v>2249</v>
      </c>
      <c r="B2256" s="3" t="s">
        <v>1992</v>
      </c>
      <c r="C2256" s="4" t="str">
        <f ca="1">IFERROR(__xludf.DUMMYFUNCTION("GOOGLETRANSLATE(A2256, ""auto"", ""bn"")"),"আমার বসের জন্য আমি কৃতজ্ঞ, আর যে মেয়েটি পালিয়ে গেছে তার জন্য আমি চিন্তিত। আমার পছন্দের মেয়েদের কাছ থেকে আসলেই আমার খুব উদ্বেগ হতে পারে। কিন্তু আমি যা পার করছি তা আমার আগের যেকোনো অভিজ্ঞতার চেয়েও খারাপ। এই বছরের শুরুতে আমার খুব পছন্দের একটা মেয়ে ছিল। "&amp;"সে আমার কাছে অনেক কিছু বোঝায়, এবং সে আমাকে গঠনে সাহায্য করেছিল। আমি আমার উদ্বেগের সাথে লড়াই করে তাকে জিজ্ঞাসা করেছিলাম। সে না বলেছিল এবং কখনও বলেনি কেন। আমি এটা মেনে নিতে কষ্ট পেয়েছিলাম কারণ আমি জানতাম না। আমি ঘুমাতে পারছিলাম না কারণ আমি ভাবতে পারছিলাম"&amp;" না যে সে কেন ডেটে যেতে চায় না। তাছাড়া, আমি কেবল মানসিক ক্লান্তির কারণে ঘুমাতাম। তাছাড়া, আমি অবশেষে নিজেকে বিষণ্ণতায় জ্বালিয়ে ফেলতাম। সেই মুহুর্তে এটি আর এই মেয়েটির কথা নয়, বরং বিষণ্ণতা আমার জীবনকে দখল করে নিয়েছিল। বিষণ্ণতা আমাকে বলছিল যে আমি মূল্"&amp;"যহীন, কেউ আমার সম্পর্কে চিন্তা করে না এবং আমি চিরকাল একা থাকব। আমি প্রায় আমার জীবন শেষ করে দিয়েছিলাম। আমার বসই একমাত্র ব্যক্তি যিনি আমার খোঁজখবর নিয়েছিলেন, যদিও আমি তাকে বলিনি যে আমি কী বিষণ্ণতার মধ্য দিয়ে যাচ্ছি। সে আমাকে কাজে ডাকতো কিন্তু কাজ করার জন"&amp;"্য নয়, শুধু কথা বলার জন্য। সে আমাকে বিষণ্ণতা থেকে বেরিয়ে আসতে সাহায্য করেছিল এবং আমাকে বলেছিল যে আমাকে তাকে দূরে ঠেলে দিতে হবে, এবং আমি তা করেছিলাম, এবং আমি দ্রুত সুস্থ হয়ে উঠেছিলাম। আমার বস আমাকে অন্য মেয়েদের সাথে দেখা করতে শেখাতেও সাহায্য করেছিল এবং"&amp;" আমি অনেক ডেটে যেতাম। আমার মনে হয় পরামর্শ এবং আমার বিষণ্ণতা দূর করতে সাহায্য করার জন্য আমি তার কাছে অনেক ঋণী। যখন আমি ভালো বোধ করি তখন আমি মেয়েটিকে আবার ফিরিয়ে আনি। প্রথমে আমি ভেবেছিলাম আমি তাকে কেবল একজন বন্ধু হিসেবে দেখতে পারি। আমি তাকে বলেছিলাম যে আ"&amp;"মার কেন জায়গা এবং সময় প্রয়োজন। সে বুঝতে পেরেছিল, সে অবিশ্বাস্যভাবে ভালো মানুষ। আমি জানতে পেরেছিলাম যে সে আমাকে আবার পছন্দ করে, কিন্তু সে সেই সময় প্রতিশ্রুতিতে ভয় পেয়েছিল। আমরা আবার কথা বলা এবং আড্ডা দেওয়া শুরু করি। দুই মাস কেটে যায়, এবং আমি তাকে আ"&amp;"বার পছন্দ করতে শুরু করি। আমি আবার একই পরিস্থিতিতে পড়তে ভয় পেয়েছিলাম তাই আমি তাকে বলেছিলাম যে আমি তার বন্ধু হতে পারব না। আমি তাকে বলেছিলাম যে আমি তার বন্ধু হতে পারব না কারণ আমি যদি তাকে অন্য কারো সাথে দেখি তবে এটি আমার মৃত্যু ঘটাবে এবং আমি জানতেও চাই না"&amp;" যে সে কারও সাথে কথা বলছে কিনা। তাছাড়া, আমি তাকে বলেছিলাম যে আমি কোনও সম্পর্কে থাকতে পারব না কারণ এটি অনেক দূরের ব্যাপার হত এবং আমার উদ্বেগের কারণে আমি শূন্যস্থান পূরণ করতে শুরু করব। সে বুঝতে পেরে কথোপকথনটি শেষ করে বলেছিল, ""তোমরা প্রত্যেকেই এমন লোকদের গল"&amp;"্প শুনতে পাও যারা একে অপরের জন্য উপযুক্ত কিন্তু সময় এবং পরিস্থিতির কারণে একসাথে থাকতে পারে না, আমার মনে হয় আমরাই""। পরের সপ্তাহটি অদ্ভুত ছিল কারণ আমি ""যে পালিয়ে গেছে"" -এর গল্পের উপর গল্প শুনতে থাকি। আমি কয়েক মাস ধরে ডেটিং করছি এবং তাদের কোনওটিই আমার"&amp;" পছন্দ হয়নি। আমার মনে হয় আমি এই বছর ২০+ ডেটে গিয়েছিলাম এবং প্রায় ৬টি সম্পর্ক করেছি। তাদের মধ্যে একটি আমার সাথে প্রতারণা করেছে এবং কেউই ক্লিক করেনি। আমি খুব ভয় পেয়েছিলাম যে এই মেয়েটিই পালিয়ে যাবে, এবং আমার অন্তত চেষ্টা করা উচিত। তাই আমি তার সাথে কথ"&amp;"া বলতে গিয়েছিলাম এবং আমি একটি ডেট চাই। সে আমাকে পছন্দ করত, সে বলত যে সে আমার সাথে সময় কাটাতে এবং আমার সাথে কথা বলতে পছন্দ করে, সে বলত যে আমার সাথে কথা বলা অন্য কারও থেকে আলাদা। সে ডেটে যেতে পারত না কারণ সে কলেজে দেখা এমন একজনের সাথে কথা বলছিল। তাছাড়া, "&amp;"সে আমাকে এটা বলেনি, কারণ আমি তাকে বলেছিলাম যে আমি জানতে চাই না যে তার কেউ আছে কিনা কারণ আমি কষ্ট পাবো। আমি কষ্ট পেয়েছি। তাই সে বলেছিল, ""তুমি এখানে এমন লোকদের গল্প বলো যারা একে অপরের জন্য উপযুক্ত, কিন্তু সময় এবং পরিস্থিতির কারণে একসাথে থাকতে পারে না""। "&amp;"সে বলল, সে প্রায় চায় যে আমি তার জন্য অপেক্ষা করি কারণ সে কিছু চেষ্টা করতে চায়, কিন্তু তারা প্রতিশ্রুতিবদ্ধ, এবং সে আমাকে সেই অবস্থানে রাখতে চায় না। এবং সত্যি বলতে, আমি নিজেকে সেই অবস্থানে রাখতাম। আমি সারাদিন কর্মক্ষেত্রে কাটিয়েছি এই ভেবে যে কী ঘটতে প"&amp;"ারত, আমি কী করতে পারতাম, যদি আমি একই কলেজে আরও কঠোর পরিশ্রম করতাম, সে আমার সাথে প্রতিশ্রুতিবদ্ধ হতে ভয় পেত, কিন্তু প্রতিশ্রুতির কারণে সে আমার সাথে ডেট করতে পারে না, এবং আরও অনেক কিছু। আমরা কর্মক্ষেত্রে ব্যস্ত ছিলাম এবং আমার পরিবারও আমাকে কিছু একটা নিয়ে "&amp;"হয়রানি করতে থাকে। অনেক দিন ধরে আমার বুক এতটা শক্ত হয়নি। আমি আমার থেরাপিস্টকে ফোন করতে বাইরে গেলাম, কিন্তু স্থানীয় ব্যবসায়ীরা রেগে গেল এবং আমাকে চিৎকার করে বললো যে আমি ধূমপান করছি, আর আমি তার দুপুরের খাবার নষ্ট করে দিলাম (আমি ধূমপান করি কিন্তু তার ব্যবস"&amp;"ার কাছে কখনও যাই না, যদিও চাকরি ছেড়ে দেওয়ার চেষ্টা করছি)। আমি চিৎকার করে উঠলাম, আর আমার আতঙ্ক শুরু হলো। আমার বস লোকটিকে আমার উপর চিৎকার করা থেকে বিরত করলেন, আমাকে বিরতি নিতে বললেন, এবং অবশেষে আমার সাথে কথা বলার জন্য আমাকে খুঁজে বের করলেন। তিনি আমাকে দুপ"&amp;"ুরের খাবারে নিয়ে গেলেন এবং আমি তাকে উদ্বেগ এবং বিষণ্ণতা ব্যাখ্যা করলাম। এবং তিনি আমার বন্ধুবান্ধব বা পরিবারের চেয়ে আমি কী বলছি তা বেশি বোঝেন। তিনি আমাকে বুঝতে দিলেন যে আমি এই বিষয়ে অনেক বেশি ভাবছি। এবং আমার মনে হয় হ্যাঁ, আমার আরোগ্যের জন্য সময় প্রয়ো"&amp;"জন, কিন্তু তিনি আমাকে আবার সঠিক পথে নিয়ে যাচ্ছেন। তিনি একজন অসাধারণ ব্যক্তি। তিনি আমাকে একজন মেকানিক হিসেবে নিয়োগ করেছিলেন যদিও আমি গাড়ি সম্পর্কে কিছুই জানতাম না এবং আমার কাছে কোনও সরঞ্জাম ছিল না, কিন্তু আমি তাকে বলেছিলাম যে আমার নমনীয় কাজের সময় সহ এ"&amp;"কটি চাকরির খুব প্রয়োজন। তদুপরি, তিনি আমাকে স্টে কলেজে থাকতে অনুপ্রাণিত করেন, এমনকি যখন আমি একাধিকবার চাকরি ছেড়ে দিতে চেয়েছিলাম। তদুপরি, আমার অসংখ্যবার খারাপ আচরণের পরেও তিনি আমাকে বরখাস্ত করেননি। আমি কৃতজ্ঞ যে তিনি আমার বস। TL;DR আমার বস অসাধারণ।")</f>
        <v>আমার বসের জন্য আমি কৃতজ্ঞ, আর যে মেয়েটি পালিয়ে গেছে তার জন্য আমি চিন্তিত। আমার পছন্দের মেয়েদের কাছ থেকে আসলেই আমার খুব উদ্বেগ হতে পারে। কিন্তু আমি যা পার করছি তা আমার আগের যেকোনো অভিজ্ঞতার চেয়েও খারাপ। এই বছরের শুরুতে আমার খুব পছন্দের একটা মেয়ে ছিল। সে আমার কাছে অনেক কিছু বোঝায়, এবং সে আমাকে গঠনে সাহায্য করেছিল। আমি আমার উদ্বেগের সাথে লড়াই করে তাকে জিজ্ঞাসা করেছিলাম। সে না বলেছিল এবং কখনও বলেনি কেন। আমি এটা মেনে নিতে কষ্ট পেয়েছিলাম কারণ আমি জানতাম না। আমি ঘুমাতে পারছিলাম না কারণ আমি ভাবতে পারছিলাম না যে সে কেন ডেটে যেতে চায় না। তাছাড়া, আমি কেবল মানসিক ক্লান্তির কারণে ঘুমাতাম। তাছাড়া, আমি অবশেষে নিজেকে বিষণ্ণতায় জ্বালিয়ে ফেলতাম। সেই মুহুর্তে এটি আর এই মেয়েটির কথা নয়, বরং বিষণ্ণতা আমার জীবনকে দখল করে নিয়েছিল। বিষণ্ণতা আমাকে বলছিল যে আমি মূল্যহীন, কেউ আমার সম্পর্কে চিন্তা করে না এবং আমি চিরকাল একা থাকব। আমি প্রায় আমার জীবন শেষ করে দিয়েছিলাম। আমার বসই একমাত্র ব্যক্তি যিনি আমার খোঁজখবর নিয়েছিলেন, যদিও আমি তাকে বলিনি যে আমি কী বিষণ্ণতার মধ্য দিয়ে যাচ্ছি। সে আমাকে কাজে ডাকতো কিন্তু কাজ করার জন্য নয়, শুধু কথা বলার জন্য। সে আমাকে বিষণ্ণতা থেকে বেরিয়ে আসতে সাহায্য করেছিল এবং আমাকে বলেছিল যে আমাকে তাকে দূরে ঠেলে দিতে হবে, এবং আমি তা করেছিলাম, এবং আমি দ্রুত সুস্থ হয়ে উঠেছিলাম। আমার বস আমাকে অন্য মেয়েদের সাথে দেখা করতে শেখাতেও সাহায্য করেছিল এবং আমি অনেক ডেটে যেতাম। আমার মনে হয় পরামর্শ এবং আমার বিষণ্ণতা দূর করতে সাহায্য করার জন্য আমি তার কাছে অনেক ঋণী। যখন আমি ভালো বোধ করি তখন আমি মেয়েটিকে আবার ফিরিয়ে আনি। প্রথমে আমি ভেবেছিলাম আমি তাকে কেবল একজন বন্ধু হিসেবে দেখতে পারি। আমি তাকে বলেছিলাম যে আমার কেন জায়গা এবং সময় প্রয়োজন। সে বুঝতে পেরেছিল, সে অবিশ্বাস্যভাবে ভালো মানুষ। আমি জানতে পেরেছিলাম যে সে আমাকে আবার পছন্দ করে, কিন্তু সে সেই সময় প্রতিশ্রুতিতে ভয় পেয়েছিল। আমরা আবার কথা বলা এবং আড্ডা দেওয়া শুরু করি। দুই মাস কেটে যায়, এবং আমি তাকে আবার পছন্দ করতে শুরু করি। আমি আবার একই পরিস্থিতিতে পড়তে ভয় পেয়েছিলাম তাই আমি তাকে বলেছিলাম যে আমি তার বন্ধু হতে পারব না। আমি তাকে বলেছিলাম যে আমি তার বন্ধু হতে পারব না কারণ আমি যদি তাকে অন্য কারো সাথে দেখি তবে এটি আমার মৃত্যু ঘটাবে এবং আমি জানতেও চাই না যে সে কারও সাথে কথা বলছে কিনা। তাছাড়া, আমি তাকে বলেছিলাম যে আমি কোনও সম্পর্কে থাকতে পারব না কারণ এটি অনেক দূরের ব্যাপার হত এবং আমার উদ্বেগের কারণে আমি শূন্যস্থান পূরণ করতে শুরু করব। সে বুঝতে পেরে কথোপকথনটি শেষ করে বলেছিল, "তোমরা প্রত্যেকেই এমন লোকদের গল্প শুনতে পাও যারা একে অপরের জন্য উপযুক্ত কিন্তু সময় এবং পরিস্থিতির কারণে একসাথে থাকতে পারে না, আমার মনে হয় আমরাই"। পরের সপ্তাহটি অদ্ভুত ছিল কারণ আমি "যে পালিয়ে গেছে" -এর গল্পের উপর গল্প শুনতে থাকি। আমি কয়েক মাস ধরে ডেটিং করছি এবং তাদের কোনওটিই আমার পছন্দ হয়নি। আমার মনে হয় আমি এই বছর ২০+ ডেটে গিয়েছিলাম এবং প্রায় ৬টি সম্পর্ক করেছি। তাদের মধ্যে একটি আমার সাথে প্রতারণা করেছে এবং কেউই ক্লিক করেনি। আমি খুব ভয় পেয়েছিলাম যে এই মেয়েটিই পালিয়ে যাবে, এবং আমার অন্তত চেষ্টা করা উচিত। তাই আমি তার সাথে কথা বলতে গিয়েছিলাম এবং আমি একটি ডেট চাই। সে আমাকে পছন্দ করত, সে বলত যে সে আমার সাথে সময় কাটাতে এবং আমার সাথে কথা বলতে পছন্দ করে, সে বলত যে আমার সাথে কথা বলা অন্য কারও থেকে আলাদা। সে ডেটে যেতে পারত না কারণ সে কলেজে দেখা এমন একজনের সাথে কথা বলছিল। তাছাড়া, সে আমাকে এটা বলেনি, কারণ আমি তাকে বলেছিলাম যে আমি জানতে চাই না যে তার কেউ আছে কিনা কারণ আমি কষ্ট পাবো। আমি কষ্ট পেয়েছি। তাই সে বলেছিল, "তুমি এখানে এমন লোকদের গল্প বলো যারা একে অপরের জন্য উপযুক্ত, কিন্তু সময় এবং পরিস্থিতির কারণে একসাথে থাকতে পারে না"। সে বলল, সে প্রায় চায় যে আমি তার জন্য অপেক্ষা করি কারণ সে কিছু চেষ্টা করতে চায়, কিন্তু তারা প্রতিশ্রুতিবদ্ধ, এবং সে আমাকে সেই অবস্থানে রাখতে চায় না। এবং সত্যি বলতে, আমি নিজেকে সেই অবস্থানে রাখতাম। আমি সারাদিন কর্মক্ষেত্রে কাটিয়েছি এই ভেবে যে কী ঘটতে পারত, আমি কী করতে পারতাম, যদি আমি একই কলেজে আরও কঠোর পরিশ্রম করতাম, সে আমার সাথে প্রতিশ্রুতিবদ্ধ হতে ভয় পেত, কিন্তু প্রতিশ্রুতির কারণে সে আমার সাথে ডেট করতে পারে না, এবং আরও অনেক কিছু। আমরা কর্মক্ষেত্রে ব্যস্ত ছিলাম এবং আমার পরিবারও আমাকে কিছু একটা নিয়ে হয়রানি করতে থাকে। অনেক দিন ধরে আমার বুক এতটা শক্ত হয়নি। আমি আমার থেরাপিস্টকে ফোন করতে বাইরে গেলাম, কিন্তু স্থানীয় ব্যবসায়ীরা রেগে গেল এবং আমাকে চিৎকার করে বললো যে আমি ধূমপান করছি, আর আমি তার দুপুরের খাবার নষ্ট করে দিলাম (আমি ধূমপান করি কিন্তু তার ব্যবসার কাছে কখনও যাই না, যদিও চাকরি ছেড়ে দেওয়ার চেষ্টা করছি)। আমি চিৎকার করে উঠলাম, আর আমার আতঙ্ক শুরু হলো। আমার বস লোকটিকে আমার উপর চিৎকার করা থেকে বিরত করলেন, আমাকে বিরতি নিতে বললেন, এবং অবশেষে আমার সাথে কথা বলার জন্য আমাকে খুঁজে বের করলেন। তিনি আমাকে দুপুরের খাবারে নিয়ে গেলেন এবং আমি তাকে উদ্বেগ এবং বিষণ্ণতা ব্যাখ্যা করলাম। এবং তিনি আমার বন্ধুবান্ধব বা পরিবারের চেয়ে আমি কী বলছি তা বেশি বোঝেন। তিনি আমাকে বুঝতে দিলেন যে আমি এই বিষয়ে অনেক বেশি ভাবছি। এবং আমার মনে হয় হ্যাঁ, আমার আরোগ্যের জন্য সময় প্রয়োজন, কিন্তু তিনি আমাকে আবার সঠিক পথে নিয়ে যাচ্ছেন। তিনি একজন অসাধারণ ব্যক্তি। তিনি আমাকে একজন মেকানিক হিসেবে নিয়োগ করেছিলেন যদিও আমি গাড়ি সম্পর্কে কিছুই জানতাম না এবং আমার কাছে কোনও সরঞ্জাম ছিল না, কিন্তু আমি তাকে বলেছিলাম যে আমার নমনীয় কাজের সময় সহ একটি চাকরির খুব প্রয়োজন। তদুপরি, তিনি আমাকে স্টে কলেজে থাকতে অনুপ্রাণিত করেন, এমনকি যখন আমি একাধিকবার চাকরি ছেড়ে দিতে চেয়েছিলাম। তদুপরি, আমার অসংখ্যবার খারাপ আচরণের পরেও তিনি আমাকে বরখাস্ত করেননি। আমি কৃতজ্ঞ যে তিনি আমার বস। TL;DR আমার বস অসাধারণ।</v>
      </c>
    </row>
    <row r="2257" spans="1:3" ht="15" x14ac:dyDescent="0.25">
      <c r="A2257" s="3" t="s">
        <v>2250</v>
      </c>
      <c r="B2257" s="3" t="s">
        <v>1992</v>
      </c>
      <c r="C2257" s="4" t="str">
        <f ca="1">IFERROR(__xludf.DUMMYFUNCTION("GOOGLETRANSLATE(A2257, ""auto"", ""bn"")"),"নতুন বছর নষ্ট। আজ নববর্ষে আমার বাড়িতে কিছু লোক এসেছিল। আমি সত্যিই তাদের অপছন্দ করি, তারা সত্যিই বিরক্তিকর, কিন্তু যাই হোক না কেন। আমার পরিবার তাদের নিমন্ত্রণ করেছিল। অতিথিদের দুটি বাচ্চা আছে, এবং তাদের মধ্যে একজন সত্যিই বোকা। সে আমার ছোট ভাইবোনের চোখে Ne"&amp;"rf বন্দুক দিয়ে গুলি করেছিল, এবং কোনও শাসন করেনি। এর কয়েক মিনিট পরে, পরিবারের একজন সদস্য বিরক্তিকর বাচ্চাটির সাথে খেলার জন্য কিছু খেলা ধার করতে বলেছিল, যা আমি প্রত্যাখ্যান করেছিলাম। তারা আমাকে বিরক্ত করতে থাকে, বলে, ""তুমি সবাইকে লজ্জা দিচ্ছিলে।"" তারা য"&amp;"াইহোক, এটি গ্রহণ করে, এবং আমি আমার ঘরে একা কাঁদতে শুরু করি। আমি প্রায় ৫ বছর ধরে উদ্বেগে ভুগছি। আমি জিনিসগুলির প্রতি অত্যন্ত সংবেদনশীল, এবং খুব সহজেই কাঁদব, কারণ আমার খুব দ্রুত মেজাজ। তাছাড়া, আমি জানি না কী করব। তাছাড়া, আমি সবসময় বিরক্ত থাকি। আমি কি এক"&amp;"টু অনুপ্রেরণা পেতে পারি? যদি আমি বিরক্ত করে থাকি তবে দুঃখিত। TL;DR: পরিবার আমার উপর রাগ করেছিল কারণ আমি বিরক্তিকর বাচ্চাকে কিছু ধার দিতে চাইনি। ৫ বছর ধরে উদ্বেগ ছিল।")</f>
        <v>নতুন বছর নষ্ট। আজ নববর্ষে আমার বাড়িতে কিছু লোক এসেছিল। আমি সত্যিই তাদের অপছন্দ করি, তারা সত্যিই বিরক্তিকর, কিন্তু যাই হোক না কেন। আমার পরিবার তাদের নিমন্ত্রণ করেছিল। অতিথিদের দুটি বাচ্চা আছে, এবং তাদের মধ্যে একজন সত্যিই বোকা। সে আমার ছোট ভাইবোনের চোখে Nerf বন্দুক দিয়ে গুলি করেছিল, এবং কোনও শাসন করেনি। এর কয়েক মিনিট পরে, পরিবারের একজন সদস্য বিরক্তিকর বাচ্চাটির সাথে খেলার জন্য কিছু খেলা ধার করতে বলেছিল, যা আমি প্রত্যাখ্যান করেছিলাম। তারা আমাকে বিরক্ত করতে থাকে, বলে, "তুমি সবাইকে লজ্জা দিচ্ছিলে।" তারা যাইহোক, এটি গ্রহণ করে, এবং আমি আমার ঘরে একা কাঁদতে শুরু করি। আমি প্রায় ৫ বছর ধরে উদ্বেগে ভুগছি। আমি জিনিসগুলির প্রতি অত্যন্ত সংবেদনশীল, এবং খুব সহজেই কাঁদব, কারণ আমার খুব দ্রুত মেজাজ। তাছাড়া, আমি জানি না কী করব। তাছাড়া, আমি সবসময় বিরক্ত থাকি। আমি কি একটু অনুপ্রেরণা পেতে পারি? যদি আমি বিরক্ত করে থাকি তবে দুঃখিত। TL;DR: পরিবার আমার উপর রাগ করেছিল কারণ আমি বিরক্তিকর বাচ্চাকে কিছু ধার দিতে চাইনি। ৫ বছর ধরে উদ্বেগ ছিল।</v>
      </c>
    </row>
    <row r="2258" spans="1:3" ht="15" x14ac:dyDescent="0.25">
      <c r="A2258" s="3" t="s">
        <v>2251</v>
      </c>
      <c r="B2258" s="3" t="s">
        <v>1992</v>
      </c>
      <c r="C2258" s="4" t="str">
        <f ca="1">IFERROR(__xludf.DUMMYFUNCTION("GOOGLETRANSLATE(A2258, ""auto"", ""bn"")"),"শুভ নববর্ষ! তোমাদের জন্য আমি অনেক কৃতজ্ঞ। ২০১৮ সালের দিকে ফিরে তাকালে, আমি বুঝতে পেরেছি যে গত বছরটি আমার সবচেয়ে খারাপ বছরগুলির মধ্যে একটি ছিল। ২০১৮ সালের খারাপ জিনিস: \- আমার উদ্বেগ আমার পুরো জীবনে আরও খারাপ হয়ে উঠেছে এবং সম্প্রতি পর্যন্ত আমি জানতাম না "&amp;"এটি কী ছিল। \- আমি বুঝতে পেরেছিলাম যে উচ্চ বিদ্যালয়ের স্নাতক শেষ হওয়ার পর আমার খুব বেশি দীর্ঘমেয়াদী বন্ধু তৈরি হয়নি \- উদ্বেগের কারণে আমার শরীরে শারীরিক সমস্যা ছিল এবং এটি পরিস্থিতি আরও খারাপ করে তুলেছিল \- আমার প্রথম রোগ নির্ণয় হয়েছিল যে আমার উদ্বে"&amp;"গ এবং সম্ভাব্য বিষণ্ণতা রয়েছে তবে, গত বছর ঘটে যাওয়া অনেক ঘটনার জন্য আমি অত্যন্ত কৃতজ্ঞ: \- আমি কলেজে আমার প্রথম সেমিস্টারে আমার পছন্দের গ্রেড নিয়ে পাস করেছি \- কলেজ অ্যাথলেটিক্সে অংশগ্রহণের কারণে আমার শারীরিক স্বাস্থ্য আগের চেয়ে ভালো হয়েছে \- আমি অনে"&amp;"ক নতুন বন্ধু তৈরি করেছি এবং আমার প্রথম বান্ধবী পেয়েছি :) \- সম্প্রতি, আমি প্রভুকে খুঁজে পেয়েছি এবং এই পৃথিবীতে আমি আর একা বোধ করি না \- আমি ধ্যান শুরু করেছি এবং এর কারণে আমার মন অনেক পরিষ্কার হয়েছে এই বছর আমি এই লক্ষ্যগুলি অর্জন করতে চাই: \- এই বছর প্র"&amp;"তিদিন ধ্যান করুন, যত দীর্ঘ হোক বা ছোট হোক \- আমার চারপাশের মানুষদের আরও বেশি ভালোবাসা দেখান। বিশেষ করে আমার পরিবার \- আশাবাদী মনোভাব ধারণ করে! মনে রাখবেন বন্ধুরা, জীবনের সবকিছুর মতোই, ভালো, খারাপ, বা কুৎসিত, সবকিছু আসবে এবং যাবে। উদ্বেগও এর ব্যতিক্রম নয়।"&amp;" যদিও মনে হতে পারে যে আপনি আটকা পড়েছেন এবং সুড়ঙ্গের শেষে কোনও আলো নেই, এটি কেবল একটি পর্যায় এবং এটি কেটে যাবে। এই সাব রেডিট, আমি নিজে এবং আপনার চারপাশের সবাই আপনাকে সমর্থন করছে, এবং আমরা আপনাকে প্রতিটি পদক্ষেপে সাহায্য করার জন্য এখানে আছি। আসুন ২০১৯ সা"&amp;"লের মানুষদের সাথে মজা করি!")</f>
        <v>শুভ নববর্ষ! তোমাদের জন্য আমি অনেক কৃতজ্ঞ। ২০১৮ সালের দিকে ফিরে তাকালে, আমি বুঝতে পেরেছি যে গত বছরটি আমার সবচেয়ে খারাপ বছরগুলির মধ্যে একটি ছিল। ২০১৮ সালের খারাপ জিনিস: \- আমার উদ্বেগ আমার পুরো জীবনে আরও খারাপ হয়ে উঠেছে এবং সম্প্রতি পর্যন্ত আমি জানতাম না এটি কী ছিল। \- আমি বুঝতে পেরেছিলাম যে উচ্চ বিদ্যালয়ের স্নাতক শেষ হওয়ার পর আমার খুব বেশি দীর্ঘমেয়াদী বন্ধু তৈরি হয়নি \- উদ্বেগের কারণে আমার শরীরে শারীরিক সমস্যা ছিল এবং এটি পরিস্থিতি আরও খারাপ করে তুলেছিল \- আমার প্রথম রোগ নির্ণয় হয়েছিল যে আমার উদ্বেগ এবং সম্ভাব্য বিষণ্ণতা রয়েছে তবে, গত বছর ঘটে যাওয়া অনেক ঘটনার জন্য আমি অত্যন্ত কৃতজ্ঞ: \- আমি কলেজে আমার প্রথম সেমিস্টারে আমার পছন্দের গ্রেড নিয়ে পাস করেছি \- কলেজ অ্যাথলেটিক্সে অংশগ্রহণের কারণে আমার শারীরিক স্বাস্থ্য আগের চেয়ে ভালো হয়েছে \- আমি অনেক নতুন বন্ধু তৈরি করেছি এবং আমার প্রথম বান্ধবী পেয়েছি :) \- সম্প্রতি, আমি প্রভুকে খুঁজে পেয়েছি এবং এই পৃথিবীতে আমি আর একা বোধ করি না \- আমি ধ্যান শুরু করেছি এবং এর কারণে আমার মন অনেক পরিষ্কার হয়েছে এই বছর আমি এই লক্ষ্যগুলি অর্জন করতে চাই: \- এই বছর প্রতিদিন ধ্যান করুন, যত দীর্ঘ হোক বা ছোট হোক \- আমার চারপাশের মানুষদের আরও বেশি ভালোবাসা দেখান। বিশেষ করে আমার পরিবার \- আশাবাদী মনোভাব ধারণ করে! মনে রাখবেন বন্ধুরা, জীবনের সবকিছুর মতোই, ভালো, খারাপ, বা কুৎসিত, সবকিছু আসবে এবং যাবে। উদ্বেগও এর ব্যতিক্রম নয়। যদিও মনে হতে পারে যে আপনি আটকা পড়েছেন এবং সুড়ঙ্গের শেষে কোনও আলো নেই, এটি কেবল একটি পর্যায় এবং এটি কেটে যাবে। এই সাব রেডিট, আমি নিজে এবং আপনার চারপাশের সবাই আপনাকে সমর্থন করছে, এবং আমরা আপনাকে প্রতিটি পদক্ষেপে সাহায্য করার জন্য এখানে আছি। আসুন ২০১৯ সালের মানুষদের সাথে মজা করি!</v>
      </c>
    </row>
    <row r="2259" spans="1:3" ht="15" x14ac:dyDescent="0.25">
      <c r="A2259" s="3" t="s">
        <v>2252</v>
      </c>
      <c r="B2259" s="3" t="s">
        <v>1992</v>
      </c>
      <c r="C2259" s="4" t="str">
        <f ca="1">IFERROR(__xludf.DUMMYFUNCTION("GOOGLETRANSLATE(A2259, ""auto"", ""bn"")"),"নববর্ষ উদযাপন আমার অন্যতম উদ্দীপক। এই পোস্টের শিরোনামে বলা হয়েছে, আজ আমি সেই উদ্দীপনা অনুভব করেছি যা পুরো নববর্ষ উদযাপন আমাকে উদ্দীপিত করে। মানুষ নয় (আমি অনেক আগেই বড় বড় সামাজিক সমাবেশের সাথে মোকাবিলা করতে শিখেছি। এমনকি আমি সেগুলি উপভোগ করি, যদি ঘরের "&amp;"সমস্ত লোক আমার ভেতরের বৃত্তের হয়)। আসলে, আতশবাজি বা আতশবাজি নয়, আমি আসলে এগুলি পছন্দ করি। এটা বিশ্বাস করা সাধারণ যে যা আমাকে উদ্দীপিত করে তা হল এটি কতটা অপ্রতিরোধ্য হতে পারে, বিশেষ করে যেহেতু আমার সামাজিক উদ্বেগ ধরা পড়েছে। কিন্তু না, এটি এর কিছুই নয়। "&amp;"দেখুন, আমার ব্যর্থতার ভয়ানক ভয় আছে। আমার সবসময় মনে হয় যে আমি যথেষ্ট করছি না। যেন আমি সময় নষ্ট করছি। কাজের সময় কখনই যথেষ্ট নয়। আমাকে ব্যস্ত রাখার জন্য শখ এবং কার্যকলাপ কখনই যথেষ্ট নয়। আমার সবসময় অনেক বেশি অবসর সময় থাকে, আমি যতই ক্লান্ত বোধ করি না"&amp;" কেন। মানুষ নতুন জিনিস, নতুন অভিজ্ঞতার আশায় এবং এই আশায় নতুন বছরের জন্য অপেক্ষা করে যে আগামী বছরটি আগের বছরের চেয়ে ভালো হবে। নতুন বছরকে নতুন করে শুরু করার, আরও ভালো করার, আবার চেষ্টা করার, ইত্যাদির জন্য একটি নতুন সুযোগ হিসেবে দেখা হয়। কিন্তু আমার কাছে"&amp;" এটি কেবল একটি বিশাল স্মরণ করিয়ে দেয় যে আমি যা করছি তা যথেষ্ট নয়, সময় এখনও কীভাবে চলে যাচ্ছে, থামছে না। আরেকটি বছর কেটে গেছে, এবং আমি যথেষ্ট করিনি। এবং বিভ্রান্ত হবেন না, আমার মাথার পিছনে, প্রতিদিন, সেই অনুভূতি, সেই চিন্তাভাবনাগুলি আমার সবসময় থাকে। ক"&amp;"িন্তু আজ, এটি উন্মাদভাবে তীব্র হয়ে উঠেছে, এটি প্রতিটি চিন্তা বা অনুভূতির মধ্য দিয়ে জ্বলছে এবং আমি এটি উপেক্ষা করতে পারছি না। এবং আমি জানি বছরের পরিবর্তন ক্যালেন্ডারের আরেকটি তারিখ, আমার যৌক্তিক চিন্তাভাবনা আমাকে এটি মনে করিয়ে দেয়। কিন্তু আমার উদ্বেগ ক"&amp;"েবল সেখানে দাঁড়িয়ে আছে, তার কব্জি ঘড়িতে বিরক্তিকরভাবে টোকা দিচ্ছে, আমাকে মনে করিয়ে দিচ্ছে: ""TikTok"" এবং এটি এত জোরে। সোশ্যাল মিডিয়া কেবল পরিস্থিতি আরও খারাপ করে তোলে। সমস্ত লোককে উদযাপন করতে এবং আসন্ন এবং এই জাতীয় জিনিসগুলির জন্য তারা কতটা উত্তেজি"&amp;"ত তা প্রকাশ করতে দেখে। প্রথম 4-5টি পোস্টের পরে আমি ইতিমধ্যেই আজকের জন্য সবকিছু থেকে লগ আউট করেছি lol. এবং এটিই শেষ। আমি জানি না, আমি শুধু আমার মনের কথা খুলে বলতে চেয়েছিলাম। যেকোনো মুহূর্তের জন্য নির্দ্বিধায় ভাবুন। আপনাদের মধ্যে যাদের এই চিন্তাভাবনা নেই "&amp;"এবং আমার মতো এই চিন্তাভাবনায় উদ্বিগ্ন নন, তাদের জন্য শুভ নববর্ষ, আশীর্বাদ এবং শুভকামনা।")</f>
        <v>নববর্ষ উদযাপন আমার অন্যতম উদ্দীপক। এই পোস্টের শিরোনামে বলা হয়েছে, আজ আমি সেই উদ্দীপনা অনুভব করেছি যা পুরো নববর্ষ উদযাপন আমাকে উদ্দীপিত করে। মানুষ নয় (আমি অনেক আগেই বড় বড় সামাজিক সমাবেশের সাথে মোকাবিলা করতে শিখেছি। এমনকি আমি সেগুলি উপভোগ করি, যদি ঘরের সমস্ত লোক আমার ভেতরের বৃত্তের হয়)। আসলে, আতশবাজি বা আতশবাজি নয়, আমি আসলে এগুলি পছন্দ করি। এটা বিশ্বাস করা সাধারণ যে যা আমাকে উদ্দীপিত করে তা হল এটি কতটা অপ্রতিরোধ্য হতে পারে, বিশেষ করে যেহেতু আমার সামাজিক উদ্বেগ ধরা পড়েছে। কিন্তু না, এটি এর কিছুই নয়। দেখুন, আমার ব্যর্থতার ভয়ানক ভয় আছে। আমার সবসময় মনে হয় যে আমি যথেষ্ট করছি না। যেন আমি সময় নষ্ট করছি। কাজের সময় কখনই যথেষ্ট নয়। আমাকে ব্যস্ত রাখার জন্য শখ এবং কার্যকলাপ কখনই যথেষ্ট নয়। আমার সবসময় অনেক বেশি অবসর সময় থাকে, আমি যতই ক্লান্ত বোধ করি না কেন। মানুষ নতুন জিনিস, নতুন অভিজ্ঞতার আশায় এবং এই আশায় নতুন বছরের জন্য অপেক্ষা করে যে আগামী বছরটি আগের বছরের চেয়ে ভালো হবে। নতুন বছরকে নতুন করে শুরু করার, আরও ভালো করার, আবার চেষ্টা করার, ইত্যাদির জন্য একটি নতুন সুযোগ হিসেবে দেখা হয়। কিন্তু আমার কাছে এটি কেবল একটি বিশাল স্মরণ করিয়ে দেয় যে আমি যা করছি তা যথেষ্ট নয়, সময় এখনও কীভাবে চলে যাচ্ছে, থামছে না। আরেকটি বছর কেটে গেছে, এবং আমি যথেষ্ট করিনি। এবং বিভ্রান্ত হবেন না, আমার মাথার পিছনে, প্রতিদিন, সেই অনুভূতি, সেই চিন্তাভাবনাগুলি আমার সবসময় থাকে। কিন্তু আজ, এটি উন্মাদভাবে তীব্র হয়ে উঠেছে, এটি প্রতিটি চিন্তা বা অনুভূতির মধ্য দিয়ে জ্বলছে এবং আমি এটি উপেক্ষা করতে পারছি না। এবং আমি জানি বছরের পরিবর্তন ক্যালেন্ডারের আরেকটি তারিখ, আমার যৌক্তিক চিন্তাভাবনা আমাকে এটি মনে করিয়ে দেয়। কিন্তু আমার উদ্বেগ কেবল সেখানে দাঁড়িয়ে আছে, তার কব্জি ঘড়িতে বিরক্তিকরভাবে টোকা দিচ্ছে, আমাকে মনে করিয়ে দিচ্ছে: "TikTok" এবং এটি এত জোরে। সোশ্যাল মিডিয়া কেবল পরিস্থিতি আরও খারাপ করে তোলে। সমস্ত লোককে উদযাপন করতে এবং আসন্ন এবং এই জাতীয় জিনিসগুলির জন্য তারা কতটা উত্তেজিত তা প্রকাশ করতে দেখে। প্রথম 4-5টি পোস্টের পরে আমি ইতিমধ্যেই আজকের জন্য সবকিছু থেকে লগ আউট করেছি lol. এবং এটিই শেষ। আমি জানি না, আমি শুধু আমার মনের কথা খুলে বলতে চেয়েছিলাম। যেকোনো মুহূর্তের জন্য নির্দ্বিধায় ভাবুন। আপনাদের মধ্যে যাদের এই চিন্তাভাবনা নেই এবং আমার মতো এই চিন্তাভাবনায় উদ্বিগ্ন নন, তাদের জন্য শুভ নববর্ষ, আশীর্বাদ এবং শুভকামনা।</v>
      </c>
    </row>
    <row r="2260" spans="1:3" ht="15" x14ac:dyDescent="0.25">
      <c r="A2260" s="3" t="s">
        <v>2253</v>
      </c>
      <c r="B2260" s="3" t="s">
        <v>1992</v>
      </c>
      <c r="C2260" s="4" t="str">
        <f ca="1">IFERROR(__xludf.DUMMYFUNCTION("GOOGLETRANSLATE(A2260, ""auto"", ""bn"")"),"আমি সবকিছু বুঝতে পারছি না। ২০১৮ সাল এবং বিষণ্ণতার সাথে আমার অগ্রগতি উদযাপন করে, আমি সিদ্ধান্ত নিলাম যে ২০১৯ সালটি উদ্বেগ মোকাবেলার জন্য নিবেদিত হবে। আমার কাছে, উদ্বেগ সবসময়ই হতাশার চেয়ে আরও সূক্ষ্ম এবং গোপন আবেগ, যার ফলে এটিকে ভেঙে ফেলা এবং এর মধ্য দিয়"&amp;"ে কাজ করা কঠিন হয়ে পড়ে। যখন আমি বিষণ্ণ থাকি, তখন এটি আমার কাছে খুব স্পষ্ট, কিন্তু যখন আমি উদ্বিগ্ন থাকি, তখন এটি নির্ধারণ করা কঠিন হতে পারে কারণ আমি কতক্ষণ এর সাথে বেঁচে আছি (এটি স্বাভাবিক বলে মনে হয়) এবং এটি কীভাবে লুকিয়ে থাকে, অন্যান্য আবেগের মাধ্যম"&amp;"ে নিজেকে প্রকাশ করে। এই বিষয়টি মাথায় রেখে, আমি কাজ শুরু করার এবং আমার উদ্বেগ কীভাবে সনাক্ত করতে পারি এবং এর কারণ কী তা বুঝতে পারি তা নিয়ে চিন্তাভাবনা শুরু করার সিদ্ধান্ত নিয়েছি। আমি শিখেছি যে যখন আমি উদ্বেগ, বিষণ্ণতা ইত্যাদি বিষয় নিয়ে কাজ করতে চাই, "&amp;"তখন আমাকে সরাসরি অনুসন্ধান করতে হবে। এটি আমাকে থেরাপিস্ট ব্রেন্ট ব্রাউনের ""দ্য পাওয়ার অফ ভালনারেবিলিটি"" শিরোনামের একটি TED আলোচনায় নিয়ে যায় এবং তিনি লজ্জা, ভয়, অপরাধবোধ, আত্মবিশ্বাসের অভাব এবং দুর্বলতা সম্পর্কে তার পেশাদার এবং ব্যক্তিগত ফলাফল নিয়ে"&amp;" আলোচনা করেন। সংক্ষেপে বলতে গেলে, কিছু আত্ম-সন্ধানের পর, আমি বুঝতে পেরেছি যে আমার আত্মবিশ্বাসের গভীর অভাব রয়েছে এবং এই উপলব্ধি আমাকে একেবারে নাড়া দিয়েছে। মনে হচ্ছে আমি এতক্ষণ ঝোপঝাড়ের মধ্যে লুকিয়ে থাকা উদ্বেগকে স্পষ্ট করে তুলেছি এবং এর মাধ্যমে আমি স্"&amp;"পষ্ট করে তুলেছি যে এটি আমার জীবনের বিভিন্ন দিককে কতটা প্রভাবিত করে। আমি এখন বুঝতে পেরেছি কেন আমি সম্পর্ক (বন্ধুত্বপূর্ণ এবং রোমান্টিক) এবং স্নেহকে ভয় পাই, তবুও একজন সঙ্গীর জন্য গভীরভাবে আকাঙ্ক্ষা করি এবং যখন আমি আমার দুই ঘনিষ্ঠ বন্ধুকে একসাথে ডেটিং করতে "&amp;"দেখি তখন ব্যথা অনুভব করি। আমি বুঝতে পারি যে আমি আমার নিজের আত্মমর্যাদাকে অন্যদের হাতে কতটা সমর্পণ করি এবং পরবর্তীকালে, কেন আমি নিজের সান্নিধ্যে সন্তুষ্ট থাকতে সংগ্রাম করি। তদুপরি, আমি বুঝতে পারি যে আমি আমার চারপাশের লোকদের কাছ থেকে কতটা নিশ্চিতকরণের উপর ন"&amp;"ির্ভর করে বেঁচে থাকি এবং আমার সমবয়সীদের কাছে আমি কতটা নিকৃষ্ট এবং অভাবী বোধ করি। এই বিশাল উপলব্ধি গত দুই দিন ধরে আমাকে সম্পূর্ণরূপে ধ্বংস করে দিয়েছে এবং আমি কেবল কিছু সমর্থন, পরামর্শ এবং সান্ত্বনামূলক শব্দ চাই, দয়া করে অন্তত বুধবার পর্যন্ত, আমার থেরাপি"&amp;" অ্যাপয়েন্টমেন্টের দিন পর্যন্ত আমাকে ধরে রাখুন। আমি একসাথে অনেক আবেগ অনুভব করছি - দুঃখ, লজ্জা, ভয়। একসময় যে শান্ত শব্দগুলো ছিল, সেগুলো এখন প্রচণ্ড শব্দে পরিণত হয়েছে, আর তা মোকাবেলা করা খুবই কঠিন। প্রতিটি ছোট ছোট চিন্তা নেতিবাচকতা এবং বিপর্যয়ের এক বিশাল "&amp;"ঘূর্ণিঝড়ে রূপান্তরিত হয়। আমাকে মাইনক্রাফ্ট খেলা বন্ধ করতে হয়েছে, এমন একটি খেলা যা আমি প্রশান্তিদায়ক এবং প্রশান্তিদায়ক বলে মনে করি, কারণ ঘর ভাঙার এবং নতুন করে শুরু করার \**চিন্তা\* আমার বুক কেঁপে ওঠে। এটা নরক।")</f>
        <v>আমি সবকিছু বুঝতে পারছি না। ২০১৮ সাল এবং বিষণ্ণতার সাথে আমার অগ্রগতি উদযাপন করে, আমি সিদ্ধান্ত নিলাম যে ২০১৯ সালটি উদ্বেগ মোকাবেলার জন্য নিবেদিত হবে। আমার কাছে, উদ্বেগ সবসময়ই হতাশার চেয়ে আরও সূক্ষ্ম এবং গোপন আবেগ, যার ফলে এটিকে ভেঙে ফেলা এবং এর মধ্য দিয়ে কাজ করা কঠিন হয়ে পড়ে। যখন আমি বিষণ্ণ থাকি, তখন এটি আমার কাছে খুব স্পষ্ট, কিন্তু যখন আমি উদ্বিগ্ন থাকি, তখন এটি নির্ধারণ করা কঠিন হতে পারে কারণ আমি কতক্ষণ এর সাথে বেঁচে আছি (এটি স্বাভাবিক বলে মনে হয়) এবং এটি কীভাবে লুকিয়ে থাকে, অন্যান্য আবেগের মাধ্যমে নিজেকে প্রকাশ করে। এই বিষয়টি মাথায় রেখে, আমি কাজ শুরু করার এবং আমার উদ্বেগ কীভাবে সনাক্ত করতে পারি এবং এর কারণ কী তা বুঝতে পারি তা নিয়ে চিন্তাভাবনা শুরু করার সিদ্ধান্ত নিয়েছি। আমি শিখেছি যে যখন আমি উদ্বেগ, বিষণ্ণতা ইত্যাদি বিষয় নিয়ে কাজ করতে চাই, তখন আমাকে সরাসরি অনুসন্ধান করতে হবে। এটি আমাকে থেরাপিস্ট ব্রেন্ট ব্রাউনের "দ্য পাওয়ার অফ ভালনারেবিলিটি" শিরোনামের একটি TED আলোচনায় নিয়ে যায় এবং তিনি লজ্জা, ভয়, অপরাধবোধ, আত্মবিশ্বাসের অভাব এবং দুর্বলতা সম্পর্কে তার পেশাদার এবং ব্যক্তিগত ফলাফল নিয়ে আলোচনা করেন। সংক্ষেপে বলতে গেলে, কিছু আত্ম-সন্ধানের পর, আমি বুঝতে পেরেছি যে আমার আত্মবিশ্বাসের গভীর অভাব রয়েছে এবং এই উপলব্ধি আমাকে একেবারে নাড়া দিয়েছে। মনে হচ্ছে আমি এতক্ষণ ঝোপঝাড়ের মধ্যে লুকিয়ে থাকা উদ্বেগকে স্পষ্ট করে তুলেছি এবং এর মাধ্যমে আমি স্পষ্ট করে তুলেছি যে এটি আমার জীবনের বিভিন্ন দিককে কতটা প্রভাবিত করে। আমি এখন বুঝতে পেরেছি কেন আমি সম্পর্ক (বন্ধুত্বপূর্ণ এবং রোমান্টিক) এবং স্নেহকে ভয় পাই, তবুও একজন সঙ্গীর জন্য গভীরভাবে আকাঙ্ক্ষা করি এবং যখন আমি আমার দুই ঘনিষ্ঠ বন্ধুকে একসাথে ডেটিং করতে দেখি তখন ব্যথা অনুভব করি। আমি বুঝতে পারি যে আমি আমার নিজের আত্মমর্যাদাকে অন্যদের হাতে কতটা সমর্পণ করি এবং পরবর্তীকালে, কেন আমি নিজের সান্নিধ্যে সন্তুষ্ট থাকতে সংগ্রাম করি। তদুপরি, আমি বুঝতে পারি যে আমি আমার চারপাশের লোকদের কাছ থেকে কতটা নিশ্চিতকরণের উপর নির্ভর করে বেঁচে থাকি এবং আমার সমবয়সীদের কাছে আমি কতটা নিকৃষ্ট এবং অভাবী বোধ করি। এই বিশাল উপলব্ধি গত দুই দিন ধরে আমাকে সম্পূর্ণরূপে ধ্বংস করে দিয়েছে এবং আমি কেবল কিছু সমর্থন, পরামর্শ এবং সান্ত্বনামূলক শব্দ চাই, দয়া করে অন্তত বুধবার পর্যন্ত, আমার থেরাপি অ্যাপয়েন্টমেন্টের দিন পর্যন্ত আমাকে ধরে রাখুন। আমি একসাথে অনেক আবেগ অনুভব করছি - দুঃখ, লজ্জা, ভয়। একসময় যে শান্ত শব্দগুলো ছিল, সেগুলো এখন প্রচণ্ড শব্দে পরিণত হয়েছে, আর তা মোকাবেলা করা খুবই কঠিন। প্রতিটি ছোট ছোট চিন্তা নেতিবাচকতা এবং বিপর্যয়ের এক বিশাল ঘূর্ণিঝড়ে রূপান্তরিত হয়। আমাকে মাইনক্রাফ্ট খেলা বন্ধ করতে হয়েছে, এমন একটি খেলা যা আমি প্রশান্তিদায়ক এবং প্রশান্তিদায়ক বলে মনে করি, কারণ ঘর ভাঙার এবং নতুন করে শুরু করার \**চিন্তা\* আমার বুক কেঁপে ওঠে। এটা নরক।</v>
      </c>
    </row>
    <row r="2261" spans="1:3" ht="15" x14ac:dyDescent="0.25">
      <c r="A2261" s="3" t="s">
        <v>2254</v>
      </c>
      <c r="B2261" s="3" t="s">
        <v>1992</v>
      </c>
      <c r="C2261" s="4" t="str">
        <f ca="1">IFERROR(__xludf.DUMMYFUNCTION("GOOGLETRANSLATE(A2261, ""auto"", ""bn"")"),"নিজেকে মোটা আর মোটা হতে দেওয়ার জন্য আমি নিজেকে ঘৃণা করি। যদি আমার আরও নিয়ন্ত্রণ থাকত। তাছাড়া, আমি নিজের উপর একেবারেই বিরক্ত। যদি আমি নিজের দিকে তাকাতাম, তাহলে বুঝতে পারতাম না যে আমার বয়ফ্রেন্ড কেমন। আমার এমন একটা ব্যক্তিত্ব আছে যা দেখে তুমি হাসবে, আর আ"&amp;"মি মূলত একজন ছেলে। কিন্তু আমি বোকা নই। আমি বোকা হতে চাই। আমি নিজের ছবি তুলতে চাই। তাছাড়া, আমি আমার ছবি পছন্দ করতে চাই। তাছাড়া, আমি মোটা হতে চাই না। তাছাড়া, আমি পেশীবহুল হতে চাই না। তাছাড়া, আমি আমার শরীরকে ঘৃণা করি। তাছাড়া, আমি ভালোটা দেখতে পাই না। তা"&amp;"ছাড়া, আমি ক্রমাগত অসুস্থ বোধ করি, এবং আমি সতেজ এবং পাতলা বোধ করতে চাই। হয়তো একদিন। আজ নয়। সম্ভবত কখনও না।")</f>
        <v>নিজেকে মোটা আর মোটা হতে দেওয়ার জন্য আমি নিজেকে ঘৃণা করি। যদি আমার আরও নিয়ন্ত্রণ থাকত। তাছাড়া, আমি নিজের উপর একেবারেই বিরক্ত। যদি আমি নিজের দিকে তাকাতাম, তাহলে বুঝতে পারতাম না যে আমার বয়ফ্রেন্ড কেমন। আমার এমন একটা ব্যক্তিত্ব আছে যা দেখে তুমি হাসবে, আর আমি মূলত একজন ছেলে। কিন্তু আমি বোকা নই। আমি বোকা হতে চাই। আমি নিজের ছবি তুলতে চাই। তাছাড়া, আমি আমার ছবি পছন্দ করতে চাই। তাছাড়া, আমি মোটা হতে চাই না। তাছাড়া, আমি পেশীবহুল হতে চাই না। তাছাড়া, আমি আমার শরীরকে ঘৃণা করি। তাছাড়া, আমি ভালোটা দেখতে পাই না। তাছাড়া, আমি ক্রমাগত অসুস্থ বোধ করি, এবং আমি সতেজ এবং পাতলা বোধ করতে চাই। হয়তো একদিন। আজ নয়। সম্ভবত কখনও না।</v>
      </c>
    </row>
    <row r="2262" spans="1:3" ht="15" x14ac:dyDescent="0.25">
      <c r="A2262" s="3" t="s">
        <v>2255</v>
      </c>
      <c r="B2262" s="3" t="s">
        <v>1992</v>
      </c>
      <c r="C2262" s="4" t="str">
        <f ca="1">IFERROR(__xludf.DUMMYFUNCTION("GOOGLETRANSLATE(A2262, ""auto"", ""bn"")"),"আপনি কীভাবে একজন বিশ্বস্ত থেরাপিস্ট/কাউন্সেলর খুঁজে পেলেন? অবশেষে আমি সাহায্য খোঁজার সিদ্ধান্ত নিয়েছি... কিন্তু আমি জানি না কিভাবে বিশ্বাসযোগ্য কাউকে খুঁজে পাবো। আপনি কীভাবে সাহায্য পেলেন? স্ট্যামফোর্ড, সিটি এলাকার জন্য কোন সুপারিশ আছে?")</f>
        <v>আপনি কীভাবে একজন বিশ্বস্ত থেরাপিস্ট/কাউন্সেলর খুঁজে পেলেন? অবশেষে আমি সাহায্য খোঁজার সিদ্ধান্ত নিয়েছি... কিন্তু আমি জানি না কিভাবে বিশ্বাসযোগ্য কাউকে খুঁজে পাবো। আপনি কীভাবে সাহায্য পেলেন? স্ট্যামফোর্ড, সিটি এলাকার জন্য কোন সুপারিশ আছে?</v>
      </c>
    </row>
    <row r="2263" spans="1:3" ht="15" x14ac:dyDescent="0.25">
      <c r="A2263" s="3" t="s">
        <v>2256</v>
      </c>
      <c r="B2263" s="3" t="s">
        <v>1992</v>
      </c>
      <c r="C2263" s="4" t="str">
        <f ca="1">IFERROR(__xludf.DUMMYFUNCTION("GOOGLETRANSLATE(A2263, ""auto"", ""bn"")"),"কেন আমি স্বাভাবিক বোধ করতে পারছি না? আমি ডালাসে একটা কনফারেন্সে যাওয়ার জন্য প্রস্তুতি নিচ্ছি, অনেকদিন ধরে দেখা না করা বন্ধুদের সাথে দেখা করার জন্য। আমি আর কয়েকদিনের জন্য যাচ্ছি না, কিন্তু আমার ভয় হচ্ছে যে আমার বন্ধুদের সাথে আড্ডা দেওয়ার সময় আমার আতঙ্কিত"&amp;" হয়ে পড়বে, বমি বমি ভাব হবে এবং মেজাজ খারাপ হয়ে যাবে। আগেও যখন আমি তাদের সাথে আড্ডা দিই, তখন এমনটা হয়েছে, কিন্তু কেন জানি না। হয়তো আমি আমার উদ্বেগকে তাদের সাথে জড়িয়ে ফেলি? আমি চাই না কারণ তারা আমার বন্ধু এবং আমি তাদের অনেক ভালোবাসি। আমি জানি না আমার উদ্বেগ"&amp;" নিয়ে আর কী করব। আমি এইরকম অনুভূতিতে ক্লান্ত।")</f>
        <v>কেন আমি স্বাভাবিক বোধ করতে পারছি না? আমি ডালাসে একটা কনফারেন্সে যাওয়ার জন্য প্রস্তুতি নিচ্ছি, অনেকদিন ধরে দেখা না করা বন্ধুদের সাথে দেখা করার জন্য। আমি আর কয়েকদিনের জন্য যাচ্ছি না, কিন্তু আমার ভয় হচ্ছে যে আমার বন্ধুদের সাথে আড্ডা দেওয়ার সময় আমার আতঙ্কিত হয়ে পড়বে, বমি বমি ভাব হবে এবং মেজাজ খারাপ হয়ে যাবে। আগেও যখন আমি তাদের সাথে আড্ডা দিই, তখন এমনটা হয়েছে, কিন্তু কেন জানি না। হয়তো আমি আমার উদ্বেগকে তাদের সাথে জড়িয়ে ফেলি? আমি চাই না কারণ তারা আমার বন্ধু এবং আমি তাদের অনেক ভালোবাসি। আমি জানি না আমার উদ্বেগ নিয়ে আর কী করব। আমি এইরকম অনুভূতিতে ক্লান্ত।</v>
      </c>
    </row>
    <row r="2264" spans="1:3" ht="15" x14ac:dyDescent="0.25">
      <c r="A2264" s="3" t="s">
        <v>2257</v>
      </c>
      <c r="B2264" s="3" t="s">
        <v>1992</v>
      </c>
      <c r="C2264" s="4" t="str">
        <f ca="1">IFERROR(__xludf.DUMMYFUNCTION("GOOGLETRANSLATE(A2264, ""auto"", ""bn"")"),"আমার চাকরিটা আমাকে ভীষণ দুশ্চিন্তার মধ্যে ফেলে দিচ্ছে। আমি সম্প্রতি একজন হিসাবরক্ষক হিসেবে কাজ শুরু করেছি, যা আমার কাছে মনে হয়েছিল ঠাণ্ডা হবে, কিন্তু এটা সবকিছুই। মনে হচ্ছে সবকিছুই একটা সংকটের মতো, এবং লোকেরা ক্রমাগত বেতন এবং আপডেট দাবি করছে। আমি যে কোম্"&amp;"পানিতে কাজ করি তা মার্কেটিংয়ে, এবং লোকেরা এতটাই চাপে থাকে যে আমি আমার ডেস্কে বসার মুহূর্ত থেকে শুরু করে চলে যাওয়ার জন্য ওঠা পর্যন্ত একটানা কাজ করছি। *সবকিছু* দেখে আমার মনে হয় আমি কাঁদব বা কাঁপব, আমার মনে হয় আমি সবসময় বিপদে আছি। আমি আমার ক্ষেত্রের চাক"&amp;"রিতে পরিবর্তনের জন্য একটি সার্টিফিকেট পাচ্ছি, কিন্তু এতে কয়েক মাস সময় লাগতে পারে। শহরের কেন্দ্রস্থলে যাওয়ার পথে আমি যেসব ছোট ছোট মা-বাবার দোকানের সামনে দিয়ে যাই, অথবা যারা ন্যূনতম মজুরিতে একটি ট্রেন্ডি থ্রিফ্ট স্টোরে কাজ করে, তাদের দেখে আমার ঈর্ষা হয়"&amp;"। তাছাড়া, আমি জানি যে এগুলো সব রোদ-রোদ নয়, বরং এমন একটি চাকরিতে যাওয়ার জন্য আমি যা দেব তা হল যে চাকরি ছেড়ে দেওয়ার আগে আমাকে ঘন্টা গণনা করতে হয়নি। আমার ক্ষেত্রে যখন আমাকে নিয়োগ দেওয়া হবে, তখন দুই সপ্তাহের নোটিশ দিতে আমার ভয় লাগে, তাতে কোনও লাভ নেই। "&amp;"আমি সাক্ষাৎকারে ব্যাখ্যা করার চেষ্টা করেছিলাম যে আমি আমার ক্ষেত্রে কাজ করার জন্য একটি উচ্চতর ডিগ্রি এবং একটি সার্টিফিকেটের জন্য কাজ করছি, কিন্তু আমার এখনকার বস মনে হয় তা এড়িয়ে গেছেন। অফিস থেকে চিৎকার করে বের করে দেওয়া বা সবাইকে হতাশ করার কথা বলা আমার খ"&amp;"ুব ভয় করে। /Rant")</f>
        <v>আমার চাকরিটা আমাকে ভীষণ দুশ্চিন্তার মধ্যে ফেলে দিচ্ছে। আমি সম্প্রতি একজন হিসাবরক্ষক হিসেবে কাজ শুরু করেছি, যা আমার কাছে মনে হয়েছিল ঠাণ্ডা হবে, কিন্তু এটা সবকিছুই। মনে হচ্ছে সবকিছুই একটা সংকটের মতো, এবং লোকেরা ক্রমাগত বেতন এবং আপডেট দাবি করছে। আমি যে কোম্পানিতে কাজ করি তা মার্কেটিংয়ে, এবং লোকেরা এতটাই চাপে থাকে যে আমি আমার ডেস্কে বসার মুহূর্ত থেকে শুরু করে চলে যাওয়ার জন্য ওঠা পর্যন্ত একটানা কাজ করছি। *সবকিছু* দেখে আমার মনে হয় আমি কাঁদব বা কাঁপব, আমার মনে হয় আমি সবসময় বিপদে আছি। আমি আমার ক্ষেত্রের চাকরিতে পরিবর্তনের জন্য একটি সার্টিফিকেট পাচ্ছি, কিন্তু এতে কয়েক মাস সময় লাগতে পারে। শহরের কেন্দ্রস্থলে যাওয়ার পথে আমি যেসব ছোট ছোট মা-বাবার দোকানের সামনে দিয়ে যাই, অথবা যারা ন্যূনতম মজুরিতে একটি ট্রেন্ডি থ্রিফ্ট স্টোরে কাজ করে, তাদের দেখে আমার ঈর্ষা হয়। তাছাড়া, আমি জানি যে এগুলো সব রোদ-রোদ নয়, বরং এমন একটি চাকরিতে যাওয়ার জন্য আমি যা দেব তা হল যে চাকরি ছেড়ে দেওয়ার আগে আমাকে ঘন্টা গণনা করতে হয়নি। আমার ক্ষেত্রে যখন আমাকে নিয়োগ দেওয়া হবে, তখন দুই সপ্তাহের নোটিশ দিতে আমার ভয় লাগে, তাতে কোনও লাভ নেই। আমি সাক্ষাৎকারে ব্যাখ্যা করার চেষ্টা করেছিলাম যে আমি আমার ক্ষেত্রে কাজ করার জন্য একটি উচ্চতর ডিগ্রি এবং একটি সার্টিফিকেটের জন্য কাজ করছি, কিন্তু আমার এখনকার বস মনে হয় তা এড়িয়ে গেছেন। অফিস থেকে চিৎকার করে বের করে দেওয়া বা সবাইকে হতাশ করার কথা বলা আমার খুব ভয় করে। /Rant</v>
      </c>
    </row>
    <row r="2265" spans="1:3" ht="15" x14ac:dyDescent="0.25">
      <c r="A2265" s="3" t="s">
        <v>2258</v>
      </c>
      <c r="B2265" s="3" t="s">
        <v>1992</v>
      </c>
      <c r="C2265" s="4" t="str">
        <f ca="1">IFERROR(__xludf.DUMMYFUNCTION("GOOGLETRANSLATE(A2265, ""auto"", ""bn"")"),"স্নোবোর্ডিং তো, আমি আগেও বেশ কয়েকবার স্নোবোর্ডিং করেছি, কিন্তু আমার এখনও শেখার প্রয়োজন। তাই যেহেতু আমার অভিজ্ঞতা আছে তাই আমি ইন্টারমিডিয়েট কোর্সে ভর্তি হয়েছি। এখন আমি নিজেকে অনেক বেশি কৃতিত্ব দিয়েছি। আমি কেবল শিক্ষানবিস কোর্সে থাকতে চাই, তাই আমাকে বো"&amp;"কা মনে হচ্ছে না। আমি বিবর্তনের জন্য প্রস্তুত নই।")</f>
        <v>স্নোবোর্ডিং তো, আমি আগেও বেশ কয়েকবার স্নোবোর্ডিং করেছি, কিন্তু আমার এখনও শেখার প্রয়োজন। তাই যেহেতু আমার অভিজ্ঞতা আছে তাই আমি ইন্টারমিডিয়েট কোর্সে ভর্তি হয়েছি। এখন আমি নিজেকে অনেক বেশি কৃতিত্ব দিয়েছি। আমি কেবল শিক্ষানবিস কোর্সে থাকতে চাই, তাই আমাকে বোকা মনে হচ্ছে না। আমি বিবর্তনের জন্য প্রস্তুত নই।</v>
      </c>
    </row>
    <row r="2266" spans="1:3" ht="15" x14ac:dyDescent="0.25">
      <c r="A2266" s="3" t="s">
        <v>2259</v>
      </c>
      <c r="B2266" s="3" t="s">
        <v>1992</v>
      </c>
      <c r="C2266" s="4" t="str">
        <f ca="1">IFERROR(__xludf.DUMMYFUNCTION("GOOGLETRANSLATE(A2266, ""auto"", ""bn"")"),"বাড়িতে অসুস্থ থাকার জন্য উদ্বিগ্ন, আজ দুপুরের খাবারের সময় আমি বাড়ি ফিরেছিলাম কারণ আমার বস শুনতে পেলেন কেউ একজন আমাকে জিজ্ঞাসা করছে আমি ঠিক আছি কিনা (আমি ঠিক আছি কিনা)। কর্মক্ষেত্রে একটা ভাইরাস ছড়িয়ে পড়েছে তাই অনেক লোক বাইরে গেছে। তিনি আমাকে ফেসবুকে "&amp;"মেসেজ করে জানান যে তিনি আমাদের মিটিং পুনঃনির্ধারণ করবেন এবং আগামীকাল বাড়িতে থাকবেন এবং ভালো বোধ করবেন। কেন আমার মনে হয় এখন কর্মক্ষেত্রে সবাই আমাকে ঘৃণা করে/আমি সমস্যায় আছি???? উদ্বেগ - এই কারণেই।")</f>
        <v>বাড়িতে অসুস্থ থাকার জন্য উদ্বিগ্ন, আজ দুপুরের খাবারের সময় আমি বাড়ি ফিরেছিলাম কারণ আমার বস শুনতে পেলেন কেউ একজন আমাকে জিজ্ঞাসা করছে আমি ঠিক আছি কিনা (আমি ঠিক আছি কিনা)। কর্মক্ষেত্রে একটা ভাইরাস ছড়িয়ে পড়েছে তাই অনেক লোক বাইরে গেছে। তিনি আমাকে ফেসবুকে মেসেজ করে জানান যে তিনি আমাদের মিটিং পুনঃনির্ধারণ করবেন এবং আগামীকাল বাড়িতে থাকবেন এবং ভালো বোধ করবেন। কেন আমার মনে হয় এখন কর্মক্ষেত্রে সবাই আমাকে ঘৃণা করে/আমি সমস্যায় আছি???? উদ্বেগ - এই কারণেই।</v>
      </c>
    </row>
    <row r="2267" spans="1:3" ht="15" x14ac:dyDescent="0.25">
      <c r="A2267" s="3" t="s">
        <v>2260</v>
      </c>
      <c r="B2267" s="3" t="s">
        <v>1992</v>
      </c>
      <c r="C2267" s="4" t="str">
        <f ca="1">IFERROR(__xludf.DUMMYFUNCTION("GOOGLETRANSLATE(A2267, ""auto"", ""bn"")"),"টেক্সটিং উদ্বেগ কোনও কারণে, যখন আমার বন্ধুরা সাড়া দিতে কিছুটা সময় নেয় তখন আমার উদ্বেগ হয়। আমি জানি তাদেরও জীবন আছে, কিন্তু মাঝে মাঝে আমাকে উপেক্ষা করা হচ্ছে এই ভেবে আমি নিজেকে আটকে রাখতে পারি না। এক বছর আগে, পরিস্থিতি এতটাই খারাপ হয়ে গিয়েছিল যে এটি "&amp;"আমার কিছু বন্ধুত্বকে ধ্বংস করে দিয়েছিল। তারপর থেকে, আমি এই অনুভূতিগুলি মোকাবেলা করার চেষ্টা করছি, কিন্তু আমি আসলে জানি না কীভাবে তা করব। আমি আবার কাউকে আঘাত করতে চাই না এবং এর কারণে একা থাকতে চাই না।")</f>
        <v>টেক্সটিং উদ্বেগ কোনও কারণে, যখন আমার বন্ধুরা সাড়া দিতে কিছুটা সময় নেয় তখন আমার উদ্বেগ হয়। আমি জানি তাদেরও জীবন আছে, কিন্তু মাঝে মাঝে আমাকে উপেক্ষা করা হচ্ছে এই ভেবে আমি নিজেকে আটকে রাখতে পারি না। এক বছর আগে, পরিস্থিতি এতটাই খারাপ হয়ে গিয়েছিল যে এটি আমার কিছু বন্ধুত্বকে ধ্বংস করে দিয়েছিল। তারপর থেকে, আমি এই অনুভূতিগুলি মোকাবেলা করার চেষ্টা করছি, কিন্তু আমি আসলে জানি না কীভাবে তা করব। আমি আবার কাউকে আঘাত করতে চাই না এবং এর কারণে একা থাকতে চাই না।</v>
      </c>
    </row>
    <row r="2268" spans="1:3" ht="15" x14ac:dyDescent="0.25">
      <c r="A2268" s="3" t="s">
        <v>2261</v>
      </c>
      <c r="B2268" s="3" t="s">
        <v>1992</v>
      </c>
      <c r="C2268" s="4" t="str">
        <f ca="1">IFERROR(__xludf.DUMMYFUNCTION("GOOGLETRANSLATE(A2268, ""auto"", ""bn"")"),"দীর্ঘমেয়াদী উদ্বেগ এবং কাজে ফিরে যাওয়ার প্রয়োজন আমি ৫ বছর ধরে বেকার, সম্প্রতি আমার প্রাক্তন প্রেমিকের কাছ থেকে আলাদা হয়েছি, যিনি আমাদের আয়ের উৎস ছিলেন। আমি বর্তমানে ১৯ মাস বয়সী এক ছেলের মা হিসেবে বাড়িতে থাকি। সরকারি সহায়তা এবং শিশু ভরণপোষণের মাধ্য"&amp;"মে আমি খুব একটা বেঁচে থাকতে পারছি না। আমি কেবল আরও স্বাধীনতা বোধ করার জন্য কাজ করতে চাই না, আরও অর্থ উপার্জনের জন্য আমাকে কাজ শুরু করতে হবে। আমার চূড়ান্ত প্রশ্ন হল, অন্য সকল উদ্বেগ-গ্রস্ত ব্যক্তিদের কোন চাকরিতে নেওয়া হয়েছে যারা ভালোভাবে কাজ করেছে এবং ম"&amp;"াঝে মাঝে প্যানিক অ্যাটাক এবং মানসিক স্বাস্থ্য দিবসের প্রতি যত্নশীল? উপ-প্রশ্ন, কর্মক্ষেত্রে আপনি কীভাবে আপনার উদ্বেগকে স্বাচ্ছন্দ্য বজায় রাখবেন? সাক্ষাৎকারে আমার উদ্বেগ সম্পর্কে খোলাখুলি বলা কি বুদ্ধিমানের কাজ হবে নাকি নিজের পায়ে গুলি করা? আমার উদ্বেগ খ"&amp;"ুবই বিক্ষিপ্ত এবং হতাশাজনক। এর জন্য বছরের পর বছর ধরে ওষুধ খেয়েছি, কাউন্সেলিং এবং থেরাপি করেছি, কিন্তু আমি কখনই এটি পুরোপুরি নিয়ন্ত্রণে রাখতে পারিনি।")</f>
        <v>দীর্ঘমেয়াদী উদ্বেগ এবং কাজে ফিরে যাওয়ার প্রয়োজন আমি ৫ বছর ধরে বেকার, সম্প্রতি আমার প্রাক্তন প্রেমিকের কাছ থেকে আলাদা হয়েছি, যিনি আমাদের আয়ের উৎস ছিলেন। আমি বর্তমানে ১৯ মাস বয়সী এক ছেলের মা হিসেবে বাড়িতে থাকি। সরকারি সহায়তা এবং শিশু ভরণপোষণের মাধ্যমে আমি খুব একটা বেঁচে থাকতে পারছি না। আমি কেবল আরও স্বাধীনতা বোধ করার জন্য কাজ করতে চাই না, আরও অর্থ উপার্জনের জন্য আমাকে কাজ শুরু করতে হবে। আমার চূড়ান্ত প্রশ্ন হল, অন্য সকল উদ্বেগ-গ্রস্ত ব্যক্তিদের কোন চাকরিতে নেওয়া হয়েছে যারা ভালোভাবে কাজ করেছে এবং মাঝে মাঝে প্যানিক অ্যাটাক এবং মানসিক স্বাস্থ্য দিবসের প্রতি যত্নশীল? উপ-প্রশ্ন, কর্মক্ষেত্রে আপনি কীভাবে আপনার উদ্বেগকে স্বাচ্ছন্দ্য বজায় রাখবেন? সাক্ষাৎকারে আমার উদ্বেগ সম্পর্কে খোলাখুলি বলা কি বুদ্ধিমানের কাজ হবে নাকি নিজের পায়ে গুলি করা? আমার উদ্বেগ খুবই বিক্ষিপ্ত এবং হতাশাজনক। এর জন্য বছরের পর বছর ধরে ওষুধ খেয়েছি, কাউন্সেলিং এবং থেরাপি করেছি, কিন্তু আমি কখনই এটি পুরোপুরি নিয়ন্ত্রণে রাখতে পারিনি।</v>
      </c>
    </row>
    <row r="2269" spans="1:3" ht="15" x14ac:dyDescent="0.25">
      <c r="A2269" s="3" t="s">
        <v>2262</v>
      </c>
      <c r="B2269" s="3" t="s">
        <v>1992</v>
      </c>
      <c r="C2269" s="4" t="str">
        <f ca="1">IFERROR(__xludf.DUMMYFUNCTION("GOOGLETRANSLATE(A2269, ""auto"", ""bn"")"),"১২ ঘন্টারও কম সময়ের মধ্যে প্রথম থেরাপি অ্যাপয়েন্টমেন্ট আমি খুব নার্ভাস এবং উদ্বিগ্ন। আমার প্রথম অ্যাপয়েন্টমেন্টে কীভাবে যাব তা নিশ্চিত নই তবে আশা করি এটি ভালোভাবেই যাবে এবং অতিরিক্ত চাপের কারণ হবে না।")</f>
        <v>১২ ঘন্টারও কম সময়ের মধ্যে প্রথম থেরাপি অ্যাপয়েন্টমেন্ট আমি খুব নার্ভাস এবং উদ্বিগ্ন। আমার প্রথম অ্যাপয়েন্টমেন্টে কীভাবে যাব তা নিশ্চিত নই তবে আশা করি এটি ভালোভাবেই যাবে এবং অতিরিক্ত চাপের কারণ হবে না।</v>
      </c>
    </row>
    <row r="2270" spans="1:3" ht="15" x14ac:dyDescent="0.25">
      <c r="A2270" s="3" t="s">
        <v>2263</v>
      </c>
      <c r="B2270" s="3" t="s">
        <v>1992</v>
      </c>
      <c r="C2270" s="4" t="str">
        <f ca="1">IFERROR(__xludf.DUMMYFUNCTION("GOOGLETRANSLATE(A2270, ""auto"", ""bn"")"),"আমার (f19) বয়ফ্রেন্ড (m21) দুশ্চিন্তা কেমন তা বুঝতে পারে না, এবং এটা আমার সত্যিই খারাপ লাগে: আমি কয়েকদিন আগে একটি কম্বলের কভার অর্ডার করেছিলাম এবং আজ এটি এসেছে। আসলে, এটি আমার পছন্দের কম্বলের সাথে মানানসই ছিল না, এবং অনলাইনে আমি কোনও প্রতিস্থাপন খুঁজে প"&amp;"াচ্ছিলাম না। আমার উদ্বেগের কারণে এটি আমাকে সাধারণ মানুষের চেয়ে বেশি চাপে ফেলেছিল। আমি কাঁদতে শুরু করেছিলাম। আমার বয়ফ্রেন্ডদের প্রতিক্রিয়া ছিল আমাকে টেক্সট করে বলা, তুমি আমার সাথে মজা করছো, তাই না? Â আমি তার পরিবারের সামনে কাঁদতে না গিয়ে কাঁদতে বাথরুম"&amp;"ে যাওয়ার জবাবে। তারপর সে জিজ্ঞাসা করতে থাকে কেন আমি কাঁদছি এবং যখন আমি তাকে বলি যে আমি চাপে আছি বলে কাঁদছি এবং সাদা  সে বলে যে এর কোনও কারণ নেই। প্রায় প্রতিবারই যখন আমি চাপে থাকি বা দুঃখ পাই তখনই তার এই প্রতিক্রিয়া হয়। সে প্রশ্ন করে কেন এটা হচ্ছে এবং"&amp;" যখন বলা হয় তখন সে আমার অনুভূতি অস্বীকার করে। এটি সত্যিই আমাকে কষ্ট দেয় কারণ এটি আমাকে মনে করে যে আমার অনুভূতিগুলি বৈধ নয় এবং আমার উদ্বেগ আরও খারাপ করে তোলে। অন্য কারোর স্বামী/স্ত্রী কি তাদের উদ্বেগের সাথে এইভাবে আচরণ করে? যদি তাই হয় তবে আপনি তাদের কী"&amp;"ভাবে বোঝালেন? ধন্যবাদ।")</f>
        <v>আমার (f19) বয়ফ্রেন্ড (m21) দুশ্চিন্তা কেমন তা বুঝতে পারে না, এবং এটা আমার সত্যিই খারাপ লাগে: আমি কয়েকদিন আগে একটি কম্বলের কভার অর্ডার করেছিলাম এবং আজ এটি এসেছে। আসলে, এটি আমার পছন্দের কম্বলের সাথে মানানসই ছিল না, এবং অনলাইনে আমি কোনও প্রতিস্থাপন খুঁজে পাচ্ছিলাম না। আমার উদ্বেগের কারণে এটি আমাকে সাধারণ মানুষের চেয়ে বেশি চাপে ফেলেছিল। আমি কাঁদতে শুরু করেছিলাম। আমার বয়ফ্রেন্ডদের প্রতিক্রিয়া ছিল আমাকে টেক্সট করে বলা, তুমি আমার সাথে মজা করছো, তাই না? Â আমি তার পরিবারের সামনে কাঁদতে না গিয়ে কাঁদতে বাথরুমে যাওয়ার জবাবে। তারপর সে জিজ্ঞাসা করতে থাকে কেন আমি কাঁদছি এবং যখন আমি তাকে বলি যে আমি চাপে আছি বলে কাঁদছি এবং সাদা  সে বলে যে এর কোনও কারণ নেই। প্রায় প্রতিবারই যখন আমি চাপে থাকি বা দুঃখ পাই তখনই তার এই প্রতিক্রিয়া হয়। সে প্রশ্ন করে কেন এটা হচ্ছে এবং যখন বলা হয় তখন সে আমার অনুভূতি অস্বীকার করে। এটি সত্যিই আমাকে কষ্ট দেয় কারণ এটি আমাকে মনে করে যে আমার অনুভূতিগুলি বৈধ নয় এবং আমার উদ্বেগ আরও খারাপ করে তোলে। অন্য কারোর স্বামী/স্ত্রী কি তাদের উদ্বেগের সাথে এইভাবে আচরণ করে? যদি তাই হয় তবে আপনি তাদের কীভাবে বোঝালেন? ধন্যবাদ।</v>
      </c>
    </row>
    <row r="2271" spans="1:3" ht="15" x14ac:dyDescent="0.25">
      <c r="A2271" s="3" t="s">
        <v>2264</v>
      </c>
      <c r="B2271" s="3" t="s">
        <v>1992</v>
      </c>
      <c r="C2271" s="4" t="str">
        <f ca="1">IFERROR(__xludf.DUMMYFUNCTION("GOOGLETRANSLATE(A2271, ""auto"", ""bn"")"),"সংবেদনশীল অতিরিক্ত চাপ নাকি উদ্বেগ? মাঝে মাঝে পড়ুন। আমার চোখে বা মাথায় এই অদ্ভুত অনুভূতি (আমি বলতে পারছি না এটি কোনটি) এবং পেটের উপরের অংশে নার্ভাস অনুভূতি হবে। আমি নিশ্চিত নই যে এই অদ্ভুত অনুভূতিটি অন্যটির কারণ নাকি এটি একই সাথে। মনে হচ্ছে আপনি নিয়ন্ত"&amp;"্রণ হারিয়ে ফেলবেন। সাধারণত রাতে এটি ঘটে এবং এটি এলোমেলো। আমি টিভি দেখার সময় বা ভিডিও গেম খেলার সময় এটি সবচেয়ে বেশি লক্ষ্য করি। আপনি কি জানেন এটি কী হতে পারে? আমি অনলাইনে অনুসন্ধান করেছি এবং উদ্বেগ, সংবেদনশীল অতিরিক্ত চাপ, অথবা আলোর সংবেদনশীলতা খুঁজে প"&amp;"েয়েছি। অন্য কেউ কি এটি অনুভব করে? গত মাসে আমার সাবক্লিনিক্যাল হাইপারথাইরয়েডিজম এবং GAD রোগ ধরা পড়েছে। প্রাথমিক তথ্য: ২১ বছর বয়সী, ১৫০ পাউন্ড, উচ্চতা ৫'১০।")</f>
        <v>সংবেদনশীল অতিরিক্ত চাপ নাকি উদ্বেগ? মাঝে মাঝে পড়ুন। আমার চোখে বা মাথায় এই অদ্ভুত অনুভূতি (আমি বলতে পারছি না এটি কোনটি) এবং পেটের উপরের অংশে নার্ভাস অনুভূতি হবে। আমি নিশ্চিত নই যে এই অদ্ভুত অনুভূতিটি অন্যটির কারণ নাকি এটি একই সাথে। মনে হচ্ছে আপনি নিয়ন্ত্রণ হারিয়ে ফেলবেন। সাধারণত রাতে এটি ঘটে এবং এটি এলোমেলো। আমি টিভি দেখার সময় বা ভিডিও গেম খেলার সময় এটি সবচেয়ে বেশি লক্ষ্য করি। আপনি কি জানেন এটি কী হতে পারে? আমি অনলাইনে অনুসন্ধান করেছি এবং উদ্বেগ, সংবেদনশীল অতিরিক্ত চাপ, অথবা আলোর সংবেদনশীলতা খুঁজে পেয়েছি। অন্য কেউ কি এটি অনুভব করে? গত মাসে আমার সাবক্লিনিক্যাল হাইপারথাইরয়েডিজম এবং GAD রোগ ধরা পড়েছে। প্রাথমিক তথ্য: ২১ বছর বয়সী, ১৫০ পাউন্ড, উচ্চতা ৫'১০।</v>
      </c>
    </row>
    <row r="2272" spans="1:3" ht="15" x14ac:dyDescent="0.25">
      <c r="A2272" s="3" t="s">
        <v>2265</v>
      </c>
      <c r="B2272" s="3" t="s">
        <v>1992</v>
      </c>
      <c r="C2272" s="4" t="str">
        <f ca="1">IFERROR(__xludf.DUMMYFUNCTION("GOOGLETRANSLATE(A2272, ""auto"", ""bn"")"),"তুমি কীভাবে গাড়ি চালানোর দুশ্চিন্তা কাটিয়ে উঠলে? আমি গাড়ি চালাতে ভয় পাই। আমি নিজেকে খারাপ চালক মনে করি বলে নয়? আমি প্রতিরক্ষামূলক ড্রাইভিং কোর্স করেছি, আমি রেডিও বন্ধ রাখি, এবং আমি সবসময় সবকিছু দ্বিগুণ এবং তিনগুণ পরীক্ষা করি। আমি রাস্তায় থাকা অন্য "&amp;"লোকেদের ভয় পাই। তাছাড়া, আমি দেখেছি তারা কী করতে পারে এবং তারা কতটা মানুষকে ক্ষতি করতে পারে। তাছাড়া, আমি ভয় পাই যে কেউ এক সেকেন্ডের জন্য দূরে তাকিয়ে আমার উপর চাপা পড়বে। তাছাড়া, আমি ভয় পাই যে কেউ আহত হবে বা মারা যাবে, এবং কেবল ধাক্কা খাওয়ার বা কোনও ধরণের "&amp;"দুর্ঘটনার চিন্তাই হতাশাজনক এবং ভয়াবহ। আমি যখন ব্যাখ্যা করি তখন কেউ বুঝতে পারে না, তারা আমাকে এমনভাবে উপেক্ষা করে যেন আমি আমার সমস্ত উদ্বেগ তৈরি করছি। কিন্তু আমার গাড়ি চালানো দরকার। কোন টিপস/কৌশল? জ্ঞানের কথা?")</f>
        <v>তুমি কীভাবে গাড়ি চালানোর দুশ্চিন্তা কাটিয়ে উঠলে? আমি গাড়ি চালাতে ভয় পাই। আমি নিজেকে খারাপ চালক মনে করি বলে নয়? আমি প্রতিরক্ষামূলক ড্রাইভিং কোর্স করেছি, আমি রেডিও বন্ধ রাখি, এবং আমি সবসময় সবকিছু দ্বিগুণ এবং তিনগুণ পরীক্ষা করি। আমি রাস্তায় থাকা অন্য লোকেদের ভয় পাই। তাছাড়া, আমি দেখেছি তারা কী করতে পারে এবং তারা কতটা মানুষকে ক্ষতি করতে পারে। তাছাড়া, আমি ভয় পাই যে কেউ এক সেকেন্ডের জন্য দূরে তাকিয়ে আমার উপর চাপা পড়বে। তাছাড়া, আমি ভয় পাই যে কেউ আহত হবে বা মারা যাবে, এবং কেবল ধাক্কা খাওয়ার বা কোনও ধরণের দুর্ঘটনার চিন্তাই হতাশাজনক এবং ভয়াবহ। আমি যখন ব্যাখ্যা করি তখন কেউ বুঝতে পারে না, তারা আমাকে এমনভাবে উপেক্ষা করে যেন আমি আমার সমস্ত উদ্বেগ তৈরি করছি। কিন্তু আমার গাড়ি চালানো দরকার। কোন টিপস/কৌশল? জ্ঞানের কথা?</v>
      </c>
    </row>
    <row r="2273" spans="1:3" ht="15" x14ac:dyDescent="0.25">
      <c r="A2273" s="3" t="s">
        <v>2266</v>
      </c>
      <c r="B2273" s="3" t="s">
        <v>1992</v>
      </c>
      <c r="C2273" s="4" t="str">
        <f ca="1">IFERROR(__xludf.DUMMYFUNCTION("GOOGLETRANSLATE(A2273, ""auto"", ""bn"")"),"কেউ কি জেনেরা স্ট্রেস রিলিফ পিল ব্যবহার করে দেখেছেন? আমি এগুলো অনলাইনে দেখেছি, এবং তাদের নিজস্ব ওয়েবসাইট এবং অ্যামাজনে এগুলোর ইতিবাচক পর্যালোচনা রয়েছে, কিন্তু এটা সত্য বলে মনে হচ্ছে না। কেউ কি এগুলো ব্যবহার করে দেখেছেন?")</f>
        <v>কেউ কি জেনেরা স্ট্রেস রিলিফ পিল ব্যবহার করে দেখেছেন? আমি এগুলো অনলাইনে দেখেছি, এবং তাদের নিজস্ব ওয়েবসাইট এবং অ্যামাজনে এগুলোর ইতিবাচক পর্যালোচনা রয়েছে, কিন্তু এটা সত্য বলে মনে হচ্ছে না। কেউ কি এগুলো ব্যবহার করে দেখেছেন?</v>
      </c>
    </row>
    <row r="2274" spans="1:3" ht="15" x14ac:dyDescent="0.25">
      <c r="A2274" s="3" t="s">
        <v>2267</v>
      </c>
      <c r="B2274" s="3" t="s">
        <v>1992</v>
      </c>
      <c r="C2274" s="4" t="str">
        <f ca="1">IFERROR(__xludf.DUMMYFUNCTION("GOOGLETRANSLATE(A2274, ""auto"", ""bn"")"),"আইন প্রয়োগকারী সংস্থার প্রতি অযৌক্তিক ভয় আছে। পরিস্থিতি এতটাই খারাপ হয়ে গেছে যে আমি দেশ ছেড়ে চলে যাওয়ার কথা ভেবেছি। আমার সবসময় মনে হয় মানুষ আমাকে অনুসরণ করছে, শুধু LE নয়।")</f>
        <v>আইন প্রয়োগকারী সংস্থার প্রতি অযৌক্তিক ভয় আছে। পরিস্থিতি এতটাই খারাপ হয়ে গেছে যে আমি দেশ ছেড়ে চলে যাওয়ার কথা ভেবেছি। আমার সবসময় মনে হয় মানুষ আমাকে অনুসরণ করছে, শুধু LE নয়।</v>
      </c>
    </row>
    <row r="2275" spans="1:3" ht="15" x14ac:dyDescent="0.25">
      <c r="A2275" s="3" t="s">
        <v>2268</v>
      </c>
      <c r="B2275" s="3" t="s">
        <v>1992</v>
      </c>
      <c r="C2275" s="4" t="str">
        <f ca="1">IFERROR(__xludf.DUMMYFUNCTION("GOOGLETRANSLATE(A2275, ""auto"", ""bn"")"),"আমার উদ্বেগ আমাকে ঘুমাতে দেয় না আমার হৃদস্পন্দন দ্রুত হয়ে যায়, আমার মনে হয় আমার বমি বমি ভাব হবে, আমি ঘুমাতে পারছি না, এবং আমি সবকিছু নিয়ে খুব ভয় পাই। এটা বোধহয় আমার চিন্তাভাবনা নিয়ে একা থাকতে হচ্ছে, কিন্তু আমি যতটা চাই শান্ত হতে পারছি না। এটা ভয়া"&amp;"বহ। তাছাড়া, ভোর ৪টা, এবং আমাকে ৯টায় উঠতে হবে। উদ্বেগ আমার ঘুম থেকে বঞ্চিত করে এবং আমার জীবন গ্রাস করছে।")</f>
        <v>আমার উদ্বেগ আমাকে ঘুমাতে দেয় না আমার হৃদস্পন্দন দ্রুত হয়ে যায়, আমার মনে হয় আমার বমি বমি ভাব হবে, আমি ঘুমাতে পারছি না, এবং আমি সবকিছু নিয়ে খুব ভয় পাই। এটা বোধহয় আমার চিন্তাভাবনা নিয়ে একা থাকতে হচ্ছে, কিন্তু আমি যতটা চাই শান্ত হতে পারছি না। এটা ভয়াবহ। তাছাড়া, ভোর ৪টা, এবং আমাকে ৯টায় উঠতে হবে। উদ্বেগ আমার ঘুম থেকে বঞ্চিত করে এবং আমার জীবন গ্রাস করছে।</v>
      </c>
    </row>
    <row r="2276" spans="1:3" ht="15" x14ac:dyDescent="0.25">
      <c r="A2276" s="3" t="s">
        <v>2269</v>
      </c>
      <c r="B2276" s="3" t="s">
        <v>1992</v>
      </c>
      <c r="C2276" s="4" t="str">
        <f ca="1">IFERROR(__xludf.DUMMYFUNCTION("GOOGLETRANSLATE(A2276, ""auto"", ""bn"")"),"নতুন অস্তিত্বগত উদ্বেগ গত প্রায় একদিন ধরে আমার মধ্যে এই অদ্ভুত অপরাধবোধ এবং উদ্বিগ্নতা কাজ করছে যে পৃথিবীতে কতটা খারাপ আছে তা নিয়ে। যেন আমি সবকিছুই জানতে পারছি। এটা ব্যাখ্যা করা কঠিন, কিন্তু যখন আমি পুরো পৃথিবীটা নিয়ে ভাবি তখন আমার পেটটা একটা ইটের মতো "&amp;"লাগে। মনে হচ্ছে প্রাপ্তবয়স্কদের জিনিসগুলোও আমাকে ভয় দেখায়। যেমন আমি আমার প্রেমিকের সাথে যৌন সম্পর্কের কথা ভাবছিলাম এবং আমারও একই রকম অনুভূতি হচ্ছিল। এটা কি বিশুদ্ধ এবং ভালো না বলে? আমি আসলে গণিত এবং বিজ্ঞানেও আগ্রহী। আমি কোয়ান্টাম বিষয় নিয়ে অনেক ভিড"&amp;"িও দেখছি এবং কেবল এই সবকিছুর অনিশ্চয়তা, আমার মনে হচ্ছে মানুষ কিছুই জানে না। তাছাড়া, আমি কেবল অভিভূত হয়ে পড়েছি এই অনুভূতিতে যে পৃথিবী একটি কুৎসিত, ভয়ানক, জায়গা এবং এর থেকে বেরিয়ে আসার কোনও উপায় নেই। তাছাড়া, আমি আগে কখনও এটি অনুভব করিনি (যদিও আমি প"&amp;"্রচুর উদ্বেগ অনুভব করেছি)। তাছাড়া, আমি কিছু স্বাস্থ্য উদ্বেগের মধ্য দিয়েও যাচ্ছি যাদুকরী নরক। কেউ আমাকে এতে সাহায্য করছে বলে মনে হচ্ছে না। এর সাথে সাথে এটি আমাকে ছিন্নভিন্ন করে দিচ্ছে। আমি থেরাপিতে যেতে চাই, কিন্তু আমাকে আমার মায়ের কাছে যেতে হবে, আর আম"&amp;"ার বয়স মাত্র ১৬... দয়া করে আমাকে সাহায্য করুন।")</f>
        <v>নতুন অস্তিত্বগত উদ্বেগ গত প্রায় একদিন ধরে আমার মধ্যে এই অদ্ভুত অপরাধবোধ এবং উদ্বিগ্নতা কাজ করছে যে পৃথিবীতে কতটা খারাপ আছে তা নিয়ে। যেন আমি সবকিছুই জানতে পারছি। এটা ব্যাখ্যা করা কঠিন, কিন্তু যখন আমি পুরো পৃথিবীটা নিয়ে ভাবি তখন আমার পেটটা একটা ইটের মতো লাগে। মনে হচ্ছে প্রাপ্তবয়স্কদের জিনিসগুলোও আমাকে ভয় দেখায়। যেমন আমি আমার প্রেমিকের সাথে যৌন সম্পর্কের কথা ভাবছিলাম এবং আমারও একই রকম অনুভূতি হচ্ছিল। এটা কি বিশুদ্ধ এবং ভালো না বলে? আমি আসলে গণিত এবং বিজ্ঞানেও আগ্রহী। আমি কোয়ান্টাম বিষয় নিয়ে অনেক ভিডিও দেখছি এবং কেবল এই সবকিছুর অনিশ্চয়তা, আমার মনে হচ্ছে মানুষ কিছুই জানে না। তাছাড়া, আমি কেবল অভিভূত হয়ে পড়েছি এই অনুভূতিতে যে পৃথিবী একটি কুৎসিত, ভয়ানক, জায়গা এবং এর থেকে বেরিয়ে আসার কোনও উপায় নেই। তাছাড়া, আমি আগে কখনও এটি অনুভব করিনি (যদিও আমি প্রচুর উদ্বেগ অনুভব করেছি)। তাছাড়া, আমি কিছু স্বাস্থ্য উদ্বেগের মধ্য দিয়েও যাচ্ছি যাদুকরী নরক। কেউ আমাকে এতে সাহায্য করছে বলে মনে হচ্ছে না। এর সাথে সাথে এটি আমাকে ছিন্নভিন্ন করে দিচ্ছে। আমি থেরাপিতে যেতে চাই, কিন্তু আমাকে আমার মায়ের কাছে যেতে হবে, আর আমার বয়স মাত্র ১৬... দয়া করে আমাকে সাহায্য করুন।</v>
      </c>
    </row>
    <row r="2277" spans="1:3" ht="15" x14ac:dyDescent="0.25">
      <c r="A2277" s="3" t="s">
        <v>2270</v>
      </c>
      <c r="B2277" s="3" t="s">
        <v>1992</v>
      </c>
      <c r="C2277" s="4" t="str">
        <f ca="1">IFERROR(__xludf.DUMMYFUNCTION("GOOGLETRANSLATE(A2277, ""auto"", ""bn"")"),"আমি আমার নিজের শরীরে আটকা পড়া নিয়ে উদ্বিগ্ন। এই জিনিসের মধ্যে আটকা পড়া আমার পছন্দ নয়, আর আমার মাঝে মাঝেই এমন কিছু মুহূর্ত আসে যখন আমি ভয় পাই কারণ আমি বুঝতে পারি যে আমি এই একক দেহের মধ্যে সীমাবদ্ধ, আর এটা আমাকে পালাতে বাধ্য করে, কিন্তু এর কোনও মানে হয় না ক"&amp;"ারণ তুমি তোমার নিজের শরীর থেকে পালাতে পারো না। আশা করি তুমি এই পাল্টা বাক্যটি উপভোগ করেছো, আমি আশা করি না এই পোস্টটি অর্থপূর্ণ হবে। আমার কেবল এটি বের করে আনা দরকার ছিল।")</f>
        <v>আমি আমার নিজের শরীরে আটকা পড়া নিয়ে উদ্বিগ্ন। এই জিনিসের মধ্যে আটকা পড়া আমার পছন্দ নয়, আর আমার মাঝে মাঝেই এমন কিছু মুহূর্ত আসে যখন আমি ভয় পাই কারণ আমি বুঝতে পারি যে আমি এই একক দেহের মধ্যে সীমাবদ্ধ, আর এটা আমাকে পালাতে বাধ্য করে, কিন্তু এর কোনও মানে হয় না কারণ তুমি তোমার নিজের শরীর থেকে পালাতে পারো না। আশা করি তুমি এই পাল্টা বাক্যটি উপভোগ করেছো, আমি আশা করি না এই পোস্টটি অর্থপূর্ণ হবে। আমার কেবল এটি বের করে আনা দরকার ছিল।</v>
      </c>
    </row>
    <row r="2278" spans="1:3" ht="15" x14ac:dyDescent="0.25">
      <c r="A2278" s="3" t="s">
        <v>2271</v>
      </c>
      <c r="B2278" s="3" t="s">
        <v>1992</v>
      </c>
      <c r="C2278" s="4" t="str">
        <f ca="1">IFERROR(__xludf.DUMMYFUNCTION("GOOGLETRANSLATE(A2278, ""auto"", ""bn"")"),"প্রথম টেক্সট মেসেজ পাঠানো আমার এক পুরনো বন্ধুকে যার প্রতি আমার এখনও ভালোবাসা আছে... ওহ! আমার সমর্থন দরকার। অবশেষে আজ রাতেই আমি এটা করতে যাচ্ছি। সে একটা মজার স্ন্যাপচ্যাট গল্প পোস্ট করেছে, এবং আমি উত্তর দেব এবং তাকে জিজ্ঞাসা করব যে তার ছুটির দিনগুলি কেমন ছ"&amp;"িল এবং দেখব যে এটি কোনও ধরণের কথোপকথনের সূত্রপাত করে কিনা। পটভূমি হল আমরা এক বছর আগে অনলাইনে দেখা করেছিলাম, বন্ধু হয়েছিলাম, কিন্তু আমার মধ্যে অনুভূতি তৈরি হয়েছিল। আমি তাদের গোপন রেখেছিলাম। এর পরের জিনিসটি আমি জানি সে আমাকে বলছে যে সে সারা দেশে ঘুরে বেড়"&amp;"াচ্ছে এবং তার কয়েক সপ্তাহ পর থেকে আমি তার সাথে কথা বলিনি। **যা আট মাস আগের মতো ছিল।** আমি কয়েক মাস ধরে তাকে টেক্সট করার জন্য চাপে ছিলাম, এবং আমি আজ রাতে নিজেকে বলেছিলাম ""যদি আমার কাছে তাকে মেসেজ করার জন্য কোনও চিহ্ন থাকে, আমি করব,"" এবং আমার মনে হয় সে"&amp;" যে গল্পটি পোস্ট করেছে তা ঠিক তাই কারণ আমি সবসময় নিজেকে বলেছিলাম যে গল্পের মাধ্যমে কারও সাথে যোগাযোগ করা সহজ কারণ এটি সম্পর্কে কথা বলা/বরফ ভাঙার কিছু। আমি কাঁপছি, আমি আশা করি আমি আসলে এটি করতে পারব!!")</f>
        <v>প্রথম টেক্সট মেসেজ পাঠানো আমার এক পুরনো বন্ধুকে যার প্রতি আমার এখনও ভালোবাসা আছে... ওহ! আমার সমর্থন দরকার। অবশেষে আজ রাতেই আমি এটা করতে যাচ্ছি। সে একটা মজার স্ন্যাপচ্যাট গল্প পোস্ট করেছে, এবং আমি উত্তর দেব এবং তাকে জিজ্ঞাসা করব যে তার ছুটির দিনগুলি কেমন ছিল এবং দেখব যে এটি কোনও ধরণের কথোপকথনের সূত্রপাত করে কিনা। পটভূমি হল আমরা এক বছর আগে অনলাইনে দেখা করেছিলাম, বন্ধু হয়েছিলাম, কিন্তু আমার মধ্যে অনুভূতি তৈরি হয়েছিল। আমি তাদের গোপন রেখেছিলাম। এর পরের জিনিসটি আমি জানি সে আমাকে বলছে যে সে সারা দেশে ঘুরে বেড়াচ্ছে এবং তার কয়েক সপ্তাহ পর থেকে আমি তার সাথে কথা বলিনি। **যা আট মাস আগের মতো ছিল।** আমি কয়েক মাস ধরে তাকে টেক্সট করার জন্য চাপে ছিলাম, এবং আমি আজ রাতে নিজেকে বলেছিলাম "যদি আমার কাছে তাকে মেসেজ করার জন্য কোনও চিহ্ন থাকে, আমি করব," এবং আমার মনে হয় সে যে গল্পটি পোস্ট করেছে তা ঠিক তাই কারণ আমি সবসময় নিজেকে বলেছিলাম যে গল্পের মাধ্যমে কারও সাথে যোগাযোগ করা সহজ কারণ এটি সম্পর্কে কথা বলা/বরফ ভাঙার কিছু। আমি কাঁপছি, আমি আশা করি আমি আসলে এটি করতে পারব!!</v>
      </c>
    </row>
    <row r="2279" spans="1:3" ht="15" x14ac:dyDescent="0.25">
      <c r="A2279" s="3" t="s">
        <v>2272</v>
      </c>
      <c r="B2279" s="3" t="s">
        <v>1992</v>
      </c>
      <c r="C2279" s="4" t="str">
        <f ca="1">IFERROR(__xludf.DUMMYFUNCTION("GOOGLETRANSLATE(A2279, ""auto"", ""bn"")"),"তাই এই পুরো উদ্বেগের ব্যাপারটা আমার কাছে নতুন। হে সকল, আমি এখানে এসেছি সাম্প্রতিক সময়ে আমার যে উদ্বেগ হচ্ছে তা মোকাবেলা করার জন্য কিছু পরামর্শ পেতে। একটু পটভূমি: গত বছর পর্যন্ত আমি কখনও সত্যিকারের উদ্বেগ/আতঙ্কের আক্রমণের সম্মুখীন হইনি। ফেব্রুয়ারিতে, আমি"&amp;" একটি গুরুতর গাড়ি দুর্ঘটনায় পড়েছিলাম এবং আমার পা, হাত এবং অরবিটাল হাড় ভেঙে যাওয়ার কারণে, আমার মস্তিষ্কের ফোলাভাব এবং ফ্রন্টাল লোবে আঘাত লেগেছে। (গাড়ি চালানোর সময় ফোন বন্ধ রাখুন এবং না, এটা আমার দোষ ছিল না) আমি অনেক বিশেষজ্ঞের সাথে দেখা করেছি, এবং ত"&amp;"ারা সকলেই উদ্বেগকে আঘাতের সাথে যুক্ত করেছেন। আমি কোনও ট্রিগার খুঁজে পাইনি যা আমি নির্দিষ্ট করতে পেরেছি, এবং এটি যখন খুশি তখনই আসে এবং যায় বলে মনে হয়। আমি শ্বাস-প্রশ্বাসের ব্যায়াম, ঘুম, ব্যায়াম, দৌড়ানো, আমার যা মনে হয় তার সবকিছু চেষ্টা করেছি, বেজোস ছ"&amp;"াড়া যা আমি গ্রহণ করতে অস্বীকার করি। আপনার ব্যক্তিগতভাবে সফল হওয়া পর্বগুলি কাটিয়ে উঠতে আমাকে সাহায্য করার জন্য কোন টিপস বা কৌশল? সবাইকে ধন্যবাদ।")</f>
        <v>তাই এই পুরো উদ্বেগের ব্যাপারটা আমার কাছে নতুন। হে সকল, আমি এখানে এসেছি সাম্প্রতিক সময়ে আমার যে উদ্বেগ হচ্ছে তা মোকাবেলা করার জন্য কিছু পরামর্শ পেতে। একটু পটভূমি: গত বছর পর্যন্ত আমি কখনও সত্যিকারের উদ্বেগ/আতঙ্কের আক্রমণের সম্মুখীন হইনি। ফেব্রুয়ারিতে, আমি একটি গুরুতর গাড়ি দুর্ঘটনায় পড়েছিলাম এবং আমার পা, হাত এবং অরবিটাল হাড় ভেঙে যাওয়ার কারণে, আমার মস্তিষ্কের ফোলাভাব এবং ফ্রন্টাল লোবে আঘাত লেগেছে। (গাড়ি চালানোর সময় ফোন বন্ধ রাখুন এবং না, এটা আমার দোষ ছিল না) আমি অনেক বিশেষজ্ঞের সাথে দেখা করেছি, এবং তারা সকলেই উদ্বেগকে আঘাতের সাথে যুক্ত করেছেন। আমি কোনও ট্রিগার খুঁজে পাইনি যা আমি নির্দিষ্ট করতে পেরেছি, এবং এটি যখন খুশি তখনই আসে এবং যায় বলে মনে হয়। আমি শ্বাস-প্রশ্বাসের ব্যায়াম, ঘুম, ব্যায়াম, দৌড়ানো, আমার যা মনে হয় তার সবকিছু চেষ্টা করেছি, বেজোস ছাড়া যা আমি গ্রহণ করতে অস্বীকার করি। আপনার ব্যক্তিগতভাবে সফল হওয়া পর্বগুলি কাটিয়ে উঠতে আমাকে সাহায্য করার জন্য কোন টিপস বা কৌশল? সবাইকে ধন্যবাদ।</v>
      </c>
    </row>
    <row r="2280" spans="1:3" ht="15" x14ac:dyDescent="0.25">
      <c r="A2280" s="3" t="s">
        <v>2273</v>
      </c>
      <c r="B2280" s="3" t="s">
        <v>1992</v>
      </c>
      <c r="C2280" s="4" t="str">
        <f ca="1">IFERROR(__xludf.DUMMYFUNCTION("GOOGLETRANSLATE(A2280, ""auto"", ""bn"")"),"কেউ কি উদ্বেগ/বিষণ্ণতার ওষুধ ব্যবহার বন্ধ করতে পেরেছেন? হাই বন্ধুরা! আমি ভাবছিলাম কেউ কি উদ্বেগ এবং বিষণ্ণতার জন্য ওষুধ ব্যবহার বন্ধ করে তাদের ""স্বাভাবিক"" স্বভাবে ফিরে আসতে পেরেছে নাকি কেবল ভালো স্বভাবের দিকে ফিরে যেতে পেরেছে? আমার দুটি ঘটনা ঘটেছে যেখান"&amp;"ে আমি আমার দ্বিতীয় ডোজ গ্রহণ করিনি, যার ফলে আমার ওষুধ একেবারেই গ্রহণ করতে হয়নি। প্রাথমিকভাবে কারণ ডোজ অর্ধেক কমিয়ে দিলে যদি আমি ঠিক বোধ করতাম, তাহলে আমি ভেবেছিলাম হয়তো এটি না নিয়েই আমি ঠিক হয়ে যাব। মোটেও তা নয়। কর্মক্ষেত্রে আমার প্যানিক অ্যাটাক হয়"&amp;"েছিল এবং আমার আবেগ সর্বত্র ছড়িয়ে পড়েছিল। দ্বিতীয়বার আমার যা হয়েছিল তা আসলে আমার ইচ্ছাকৃত ছিল না। আমি চাকরি থেকে অন্য চাকরিতে স্থানান্তরিত হচ্ছিলাম এবং আমার নতুন বীমা শুরু হওয়ার 3 সপ্তাহ আগে শেষ হয়ে গেল। আমারও একই লক্ষণ ছিল, এবং আমার রিফিল শেষ হয়ে গ"&amp;"িয়েছিল এবং ফার্মাসিস্ট আমাকে সাহায্য করতে অস্বীকার করেছিলেন (এর জন্য কী প্রোটোকল তা নিশ্চিত নই, তবে আমি তার সামনে চোখ সরিয়ে ফেলতে যাচ্ছিলাম, আমি জোলফ্ট এবং বু স্পার নিই, যেমন আমি এক মুঠো জ্যানাক্স চাইছিলাম না।) এটি আমার রোগ নির্ণয়ের এক বছর পরে আসছে, এব"&amp;"ং আমি এমন অনেককে চিনি যারা 10 গুণ বেশি সময় ধরে ওষুধ খাচ্ছেন। কেউ কি উদ্বেগ বা বিষণ্ণতার জন্য ওষুধ ব্যবহার সফলভাবে বন্ধ করেছেন?")</f>
        <v>কেউ কি উদ্বেগ/বিষণ্ণতার ওষুধ ব্যবহার বন্ধ করতে পেরেছেন? হাই বন্ধুরা! আমি ভাবছিলাম কেউ কি উদ্বেগ এবং বিষণ্ণতার জন্য ওষুধ ব্যবহার বন্ধ করে তাদের "স্বাভাবিক" স্বভাবে ফিরে আসতে পেরেছে নাকি কেবল ভালো স্বভাবের দিকে ফিরে যেতে পেরেছে? আমার দুটি ঘটনা ঘটেছে যেখানে আমি আমার দ্বিতীয় ডোজ গ্রহণ করিনি, যার ফলে আমার ওষুধ একেবারেই গ্রহণ করতে হয়নি। প্রাথমিকভাবে কারণ ডোজ অর্ধেক কমিয়ে দিলে যদি আমি ঠিক বোধ করতাম, তাহলে আমি ভেবেছিলাম হয়তো এটি না নিয়েই আমি ঠিক হয়ে যাব। মোটেও তা নয়। কর্মক্ষেত্রে আমার প্যানিক অ্যাটাক হয়েছিল এবং আমার আবেগ সর্বত্র ছড়িয়ে পড়েছিল। দ্বিতীয়বার আমার যা হয়েছিল তা আসলে আমার ইচ্ছাকৃত ছিল না। আমি চাকরি থেকে অন্য চাকরিতে স্থানান্তরিত হচ্ছিলাম এবং আমার নতুন বীমা শুরু হওয়ার 3 সপ্তাহ আগে শেষ হয়ে গেল। আমারও একই লক্ষণ ছিল, এবং আমার রিফিল শেষ হয়ে গিয়েছিল এবং ফার্মাসিস্ট আমাকে সাহায্য করতে অস্বীকার করেছিলেন (এর জন্য কী প্রোটোকল তা নিশ্চিত নই, তবে আমি তার সামনে চোখ সরিয়ে ফেলতে যাচ্ছিলাম, আমি জোলফ্ট এবং বু স্পার নিই, যেমন আমি এক মুঠো জ্যানাক্স চাইছিলাম না।) এটি আমার রোগ নির্ণয়ের এক বছর পরে আসছে, এবং আমি এমন অনেককে চিনি যারা 10 গুণ বেশি সময় ধরে ওষুধ খাচ্ছেন। কেউ কি উদ্বেগ বা বিষণ্ণতার জন্য ওষুধ ব্যবহার সফলভাবে বন্ধ করেছেন?</v>
      </c>
    </row>
    <row r="2281" spans="1:3" ht="15" x14ac:dyDescent="0.25">
      <c r="A2281" s="3" t="s">
        <v>2274</v>
      </c>
      <c r="B2281" s="3" t="s">
        <v>1992</v>
      </c>
      <c r="C2281" s="4" t="str">
        <f ca="1">IFERROR(__xludf.DUMMYFUNCTION("GOOGLETRANSLATE(A2281, ""auto"", ""bn"")"),"আমার প্রথম সাক্ষাৎ কয়েক মাস আগে আমার প্রথম উদ্বেগের আক্রমণ হয়েছিল, এবং এটি ভীতিকর ছিল। আমি এখনও নিশ্চিত নই যে উদ্বেগের আক্রমণ এবং প্যানিক আক্রমণের মধ্যে পার্থক্য কী, তবে যাই হোক না কেন আমার মনে হচ্ছে আমি ধ্বংসের মতো অনুভব করছি। গত রাতে নববর্ষের দিন বাড়"&amp;"িতে বিছানায় শুয়ে থাকার সময় আমার আরও একটি হয়েছিল। আমি এক সপ্তাহ ধরে অসুস্থ এবং সাধারণভাবে %100 অনুভব করছি না, তবে অনুভূতিটি এখনও পুরোপুরি চলে যায়নি। আমি যখন এখানে কর্মক্ষেত্রে বসে থাকি তখন আমি এটি অনুভব করি, এবং এটি আমাকে সত্যিই চিন্তিত করে তোলে। এই ন"&amp;"তুন অনুভূতি সম্পর্কে আমার কি কিছু জানা উচিত?")</f>
        <v>আমার প্রথম সাক্ষাৎ কয়েক মাস আগে আমার প্রথম উদ্বেগের আক্রমণ হয়েছিল, এবং এটি ভীতিকর ছিল। আমি এখনও নিশ্চিত নই যে উদ্বেগের আক্রমণ এবং প্যানিক আক্রমণের মধ্যে পার্থক্য কী, তবে যাই হোক না কেন আমার মনে হচ্ছে আমি ধ্বংসের মতো অনুভব করছি। গত রাতে নববর্ষের দিন বাড়িতে বিছানায় শুয়ে থাকার সময় আমার আরও একটি হয়েছিল। আমি এক সপ্তাহ ধরে অসুস্থ এবং সাধারণভাবে %100 অনুভব করছি না, তবে অনুভূতিটি এখনও পুরোপুরি চলে যায়নি। আমি যখন এখানে কর্মক্ষেত্রে বসে থাকি তখন আমি এটি অনুভব করি, এবং এটি আমাকে সত্যিই চিন্তিত করে তোলে। এই নতুন অনুভূতি সম্পর্কে আমার কি কিছু জানা উচিত?</v>
      </c>
    </row>
    <row r="2282" spans="1:3" ht="15" x14ac:dyDescent="0.25">
      <c r="A2282" s="3" t="s">
        <v>2275</v>
      </c>
      <c r="B2282" s="3" t="s">
        <v>1992</v>
      </c>
      <c r="C2282" s="4" t="str">
        <f ca="1">IFERROR(__xludf.DUMMYFUNCTION("GOOGLETRANSLATE(A2282, ""auto"", ""bn"")"),"আমার কি উদ্বেগ আছে? (সম্ভাব্য ট্রিগার, খুব বেশি বর্ণনামূলক কিছু নয়) আমি সত্যিই খুব চাপে আছি এই ভেবে যে আমার উদ্বেগ আছে কিনা, নাকি আমি সহজেই চাপে পড়ে যাই, এবং আমি সত্যিই ধরে নিতে চাই না যে আমার উদ্বেগ আছে এবং অন্যরা যা করছে তা গ্রহণ করছি। তোমাদের মধ্যে ক"&amp;"েউ যদি তোমাদের মতামত এবং আমার অভিজ্ঞতাগুলি তোমাদের অভিজ্ঞতার সাথে সম্পর্কিত হয় তা শেয়ার করতে পারো তাহলে এটা সাহায্য করবে। আমি তরুণ, মধ্য-কিশোর, এবং কয়েক বছর আগে আমি পরোক্ষভাবে একটি আঘাতমূলক ঘটনার মধ্য দিয়ে গিয়েছিলাম। আমার মা একটি বড় সন্ত্রাসী হামলায"&amp;"় আহত হয়েছিলেন এবং প্রায় 10 মাস ধরে অস্থির ছিলাম। প্রথম দিনটি কঠিন ছিল কারণ আমি 5 ঘন্টা ধরে এই ধারণা নিয়ে কাটিয়েছি যে কিছু ভুল হয়েছে (আমি আমার মা যেখানে ছিলেন ঠিক সেখানেই গুলি চালানোর কথা শুনেছি, শিক্ষক ফোন করেন, তার চোয়াল ভেঙে যায় এবং 3 মিনিট ধরে "&amp;"আমার দিকে তাকিয়ে থাকে), কিন্তু নিশ্চিত নই, যতক্ষণ না আমার বড় ভাই আমাকে তুলে নিয়ে খবরটি জানায়। যাই হোক, আমার অবশ্যই PTSD আছে, কারণ যেকোনো ধরণের অপ্রত্যাশিত অনুশীলনের সময় আমি অনিয়ন্ত্রিতভাবে কাঁদতে শুরু করি এবং লকডাউনের সময় তথ্য পেতে আক্ষরিক অর্থেই য"&amp;"েকোনো কিছু করতে পারি। আমার পরিবার সম্প্রতি একটি নতুন শহরে চলে এসেছে, এবং আমি আমার পুরনো স্কুলের থেকে সম্পূর্ণ আলাদা একটি নতুন স্কুলে ভর্তি হয়েছি। এটি খুবই চ্যালেঞ্জিং এবং এর জন্য প্রচুর পরিশ্রম এবং নিষ্ঠার প্রয়োজন। আমি খুব দ্রুত কয়েকজন ঘনিষ্ঠ বন্ধু তৈর"&amp;"ি করেছিলাম এবং এতে অভ্যস্ত হয়ে গিয়েছিলাম, কিন্তু স্কুলটি আমার জ্ঞানের চেয়ে অনেক এগিয়ে, বিশেষ করে বিজ্ঞানের ক্ষেত্রে। একবার রসায়নে, আমি সত্যিই নার্ভাস হয়ে গিয়েছিলাম এবং চুপ করে বসেছিলাম: নীচের দিকে তাকিয়ে, কাঁদতে না পারার জন্য যথাসাধ্য চেষ্টা করে, "&amp;"এবং 30 মিনিটের জন্য আলাদা হয়ে যাই, যতক্ষণ না আমি ক্লাস থেকে বেরিয়ে আমার বিশ্ব ইতিহাসের ক্লাসে যেতে পারি, যা আমি ভালোবাসি। এটা কি উদ্বেগ নাকি কেবল অভিভূত বোধ? কেউ কি একই রকম কিছু অনুভব করেছেন?")</f>
        <v>আমার কি উদ্বেগ আছে? (সম্ভাব্য ট্রিগার, খুব বেশি বর্ণনামূলক কিছু নয়) আমি সত্যিই খুব চাপে আছি এই ভেবে যে আমার উদ্বেগ আছে কিনা, নাকি আমি সহজেই চাপে পড়ে যাই, এবং আমি সত্যিই ধরে নিতে চাই না যে আমার উদ্বেগ আছে এবং অন্যরা যা করছে তা গ্রহণ করছি। তোমাদের মধ্যে কেউ যদি তোমাদের মতামত এবং আমার অভিজ্ঞতাগুলি তোমাদের অভিজ্ঞতার সাথে সম্পর্কিত হয় তা শেয়ার করতে পারো তাহলে এটা সাহায্য করবে। আমি তরুণ, মধ্য-কিশোর, এবং কয়েক বছর আগে আমি পরোক্ষভাবে একটি আঘাতমূলক ঘটনার মধ্য দিয়ে গিয়েছিলাম। আমার মা একটি বড় সন্ত্রাসী হামলায় আহত হয়েছিলেন এবং প্রায় 10 মাস ধরে অস্থির ছিলাম। প্রথম দিনটি কঠিন ছিল কারণ আমি 5 ঘন্টা ধরে এই ধারণা নিয়ে কাটিয়েছি যে কিছু ভুল হয়েছে (আমি আমার মা যেখানে ছিলেন ঠিক সেখানেই গুলি চালানোর কথা শুনেছি, শিক্ষক ফোন করেন, তার চোয়াল ভেঙে যায় এবং 3 মিনিট ধরে আমার দিকে তাকিয়ে থাকে), কিন্তু নিশ্চিত নই, যতক্ষণ না আমার বড় ভাই আমাকে তুলে নিয়ে খবরটি জানায়। যাই হোক, আমার অবশ্যই PTSD আছে, কারণ যেকোনো ধরণের অপ্রত্যাশিত অনুশীলনের সময় আমি অনিয়ন্ত্রিতভাবে কাঁদতে শুরু করি এবং লকডাউনের সময় তথ্য পেতে আক্ষরিক অর্থেই যেকোনো কিছু করতে পারি। আমার পরিবার সম্প্রতি একটি নতুন শহরে চলে এসেছে, এবং আমি আমার পুরনো স্কুলের থেকে সম্পূর্ণ আলাদা একটি নতুন স্কুলে ভর্তি হয়েছি। এটি খুবই চ্যালেঞ্জিং এবং এর জন্য প্রচুর পরিশ্রম এবং নিষ্ঠার প্রয়োজন। আমি খুব দ্রুত কয়েকজন ঘনিষ্ঠ বন্ধু তৈরি করেছিলাম এবং এতে অভ্যস্ত হয়ে গিয়েছিলাম, কিন্তু স্কুলটি আমার জ্ঞানের চেয়ে অনেক এগিয়ে, বিশেষ করে বিজ্ঞানের ক্ষেত্রে। একবার রসায়নে, আমি সত্যিই নার্ভাস হয়ে গিয়েছিলাম এবং চুপ করে বসেছিলাম: নীচের দিকে তাকিয়ে, কাঁদতে না পারার জন্য যথাসাধ্য চেষ্টা করে, এবং 30 মিনিটের জন্য আলাদা হয়ে যাই, যতক্ষণ না আমি ক্লাস থেকে বেরিয়ে আমার বিশ্ব ইতিহাসের ক্লাসে যেতে পারি, যা আমি ভালোবাসি। এটা কি উদ্বেগ নাকি কেবল অভিভূত বোধ? কেউ কি একই রকম কিছু অনুভব করেছেন?</v>
      </c>
    </row>
    <row r="2283" spans="1:3" ht="15" x14ac:dyDescent="0.25">
      <c r="A2283" s="3" t="s">
        <v>2276</v>
      </c>
      <c r="B2283" s="3" t="s">
        <v>1992</v>
      </c>
      <c r="C2283" s="4" t="str">
        <f ca="1">IFERROR(__xludf.DUMMYFUNCTION("GOOGLETRANSLATE(A2283, ""auto"", ""bn"")"),"সবাই কি আমাকে ঘৃণা করে? সম্ভবত না। আমার জীবনের বর্তমানে গুরুত্বপূর্ণ মানুষগুলো আমাকে পছন্দ, গ্রহণ, যত্ন এবং এমনকি ভালোবাসা অনুভব করার জন্য অনেক কারণ দিচ্ছে, কিন্তু আমি এটা মেনে নিতে পারছি না। দেখো, যে আমার যত্ন নেয় সে আমাকে হাজারো ইঙ্গিত দিতে পারে যে আমি"&amp;" তাদের কাছে গুরুত্বপূর্ণ, কিন্তু আমি অবচেতনভাবে তাদের জন্য একটি অজুহাত খুঁজে বের করব এবং নিজেকে বোঝাব যে এটি মিথ্যা। এটিই আমার মনে সবচেয়ে উপযুক্ত বাস্তব উদাহরণ: ছুটির আগে, আমি এবং আমার খুব পছন্দের একজন আমাদের পুরো শেষ দিনটি একসাথে কাটিয়েছি, কেবল একে অপর"&amp;"ের উপস্থিতি উপভোগ করেছি বিদায় জানানোর উপায় হিসেবে। দিনের শেষে আমরা একে অপরকে শুভ ছুটির শুভেচ্ছা জানিয়ে বিদায় নিলাম। এটা সত্যিই এর চেয়ে আসল এবং সুন্দর আর কিছু হতে পারত না। কিন্তু যদি না আমি জোর করে সবকিছু লিখে রাখি, তাহলে আমার মস্তিষ্ক দিনের সমস্ত ভাল"&amp;"ো জিনিস মেনে নেবে না। অনুমান করো গত দুই সপ্তাহ ধরে আমি কী নিয়ে আচ্ছন্ন ছিলাম: আমরা যখন বিদায় নিই তখন তারা আমাকে আলিঙ্গন করেনি। এটাই। এখন আমি নিজেকে নিশ্চিত করেছি যে সব শেষ, এবং আমরা আর কখনও একে অপরের সাথে কথা বলব না। কেন আমাকে সবসময় এমন ভাবতে হয়? এটা "&amp;"আমাকে মাঝে মাঝে এত মূল্যহীন এবং অবাঞ্ছিত বোধ করায়...")</f>
        <v>সবাই কি আমাকে ঘৃণা করে? সম্ভবত না। আমার জীবনের বর্তমানে গুরুত্বপূর্ণ মানুষগুলো আমাকে পছন্দ, গ্রহণ, যত্ন এবং এমনকি ভালোবাসা অনুভব করার জন্য অনেক কারণ দিচ্ছে, কিন্তু আমি এটা মেনে নিতে পারছি না। দেখো, যে আমার যত্ন নেয় সে আমাকে হাজারো ইঙ্গিত দিতে পারে যে আমি তাদের কাছে গুরুত্বপূর্ণ, কিন্তু আমি অবচেতনভাবে তাদের জন্য একটি অজুহাত খুঁজে বের করব এবং নিজেকে বোঝাব যে এটি মিথ্যা। এটিই আমার মনে সবচেয়ে উপযুক্ত বাস্তব উদাহরণ: ছুটির আগে, আমি এবং আমার খুব পছন্দের একজন আমাদের পুরো শেষ দিনটি একসাথে কাটিয়েছি, কেবল একে অপরের উপস্থিতি উপভোগ করেছি বিদায় জানানোর উপায় হিসেবে। দিনের শেষে আমরা একে অপরকে শুভ ছুটির শুভেচ্ছা জানিয়ে বিদায় নিলাম। এটা সত্যিই এর চেয়ে আসল এবং সুন্দর আর কিছু হতে পারত না। কিন্তু যদি না আমি জোর করে সবকিছু লিখে রাখি, তাহলে আমার মস্তিষ্ক দিনের সমস্ত ভালো জিনিস মেনে নেবে না। অনুমান করো গত দুই সপ্তাহ ধরে আমি কী নিয়ে আচ্ছন্ন ছিলাম: আমরা যখন বিদায় নিই তখন তারা আমাকে আলিঙ্গন করেনি। এটাই। এখন আমি নিজেকে নিশ্চিত করেছি যে সব শেষ, এবং আমরা আর কখনও একে অপরের সাথে কথা বলব না। কেন আমাকে সবসময় এমন ভাবতে হয়? এটা আমাকে মাঝে মাঝে এত মূল্যহীন এবং অবাঞ্ছিত বোধ করায়...</v>
      </c>
    </row>
    <row r="2284" spans="1:3" ht="15" x14ac:dyDescent="0.25">
      <c r="A2284" s="3" t="s">
        <v>2277</v>
      </c>
      <c r="B2284" s="3" t="s">
        <v>1992</v>
      </c>
      <c r="C2284" s="4" t="str">
        <f ca="1">IFERROR(__xludf.DUMMYFUNCTION("GOOGLETRANSLATE(A2284, ""auto"", ""bn"")"),"আগামীকাল থেকে নতুন চাকরি শুরু করছি এবং আমি কি এটা নিয়ে তীব্র উদ্বেগে ভুগছি এবং কান্না থামাতে পারছি না? আমাকে ভুল বুঝবেন না, নতুন সুযোগ এবং কয়েক মাস আগে চাকরি ছাঁটাই হওয়ার পর চাকরি পাওয়ার ব্যাপারে আমি খুবই উত্তেজিত। কিন্তু ভুল করা, সহকর্মীরা আমাকে পছন্দ"&amp;" না করা, এমনকি মৌলিক ধারণাগুলিও না বোঝা, ধীরগতির (আমি OCD এবং ADHD, যার ফলে সময়মতো কাজ করা আমার পক্ষে খুব কঠিন হয়ে পড়ে) এবং আমার কাজে ভয়ানক/অযোগ্যতা নিয়ে আমি একেবারেই ভীত। গত এক ঘন্টা ধরে আমি চোখের জল ফেলতে দিয়েছি এই আশায় যে এটি সাহায্য করবে, কিন্ত"&amp;"ু আমার ভয় এবং উদ্বেগ আরও খারাপ হচ্ছে। আমার মনে হচ্ছে এটি মোকাবেলা করার জন্য আমার আরও শক্তিশালী হওয়া উচিত। সম্প্রতি অন্য কেউ কি একই রকম কিছুর সাথে লড়াই করছে? শুধু একটি সম্পূর্ণ নতুন চাকরিতে ব্যর্থতার সামগ্রিক ভয়? আপনি কীভাবে এটি পরিচালনা করবেন?")</f>
        <v>আগামীকাল থেকে নতুন চাকরি শুরু করছি এবং আমি কি এটা নিয়ে তীব্র উদ্বেগে ভুগছি এবং কান্না থামাতে পারছি না? আমাকে ভুল বুঝবেন না, নতুন সুযোগ এবং কয়েক মাস আগে চাকরি ছাঁটাই হওয়ার পর চাকরি পাওয়ার ব্যাপারে আমি খুবই উত্তেজিত। কিন্তু ভুল করা, সহকর্মীরা আমাকে পছন্দ না করা, এমনকি মৌলিক ধারণাগুলিও না বোঝা, ধীরগতির (আমি OCD এবং ADHD, যার ফলে সময়মতো কাজ করা আমার পক্ষে খুব কঠিন হয়ে পড়ে) এবং আমার কাজে ভয়ানক/অযোগ্যতা নিয়ে আমি একেবারেই ভীত। গত এক ঘন্টা ধরে আমি চোখের জল ফেলতে দিয়েছি এই আশায় যে এটি সাহায্য করবে, কিন্তু আমার ভয় এবং উদ্বেগ আরও খারাপ হচ্ছে। আমার মনে হচ্ছে এটি মোকাবেলা করার জন্য আমার আরও শক্তিশালী হওয়া উচিত। সম্প্রতি অন্য কেউ কি একই রকম কিছুর সাথে লড়াই করছে? শুধু একটি সম্পূর্ণ নতুন চাকরিতে ব্যর্থতার সামগ্রিক ভয়? আপনি কীভাবে এটি পরিচালনা করবেন?</v>
      </c>
    </row>
    <row r="2285" spans="1:3" ht="15" x14ac:dyDescent="0.25">
      <c r="A2285" s="3" t="s">
        <v>2278</v>
      </c>
      <c r="B2285" s="3" t="s">
        <v>1992</v>
      </c>
      <c r="C2285" s="4" t="str">
        <f ca="1">IFERROR(__xludf.DUMMYFUNCTION("GOOGLETRANSLATE(A2285, ""auto"", ""bn"")"),"উদ্বেগের আক্রমণ??? প্রাথমিক বিদ্যালয় থেকে এই রোগের সাথে লড়াই করার পর অবশেষে আগস্ট মাসে আমার উদ্বেগ ধরা পড়ে। আমি যখন দ্বিতীয় শ্রেণীতে পড়ি তখন আমরা একটা পার্টি করছিলাম এবং আমি এতটাই নার্ভাস ছিলাম যে আমার বমি বমি ভাব হচ্ছিল। এমন কিছু দিন ছিল যখন আমাকে প"&amp;"্রাথমিক বিদ্যালয় মিস করতে হত কারণ আমি খুব বেশি হাইপারভেন্টিলেট করতাম। আমি জানি না উদ্বেগের আক্রমণ কেমন লাগে। সাধারণত ক্লাসে কোনও প্রশ্নের উত্তর দেওয়ার আগে আমার খুব ঘাম হয়, আমার মুখ লাল হয়ে যায়, আমার বুক থেকে হৃদস্পন্দন শুরু হয় এবং আমার একটু মাথা ঘোর"&amp;"া হয়। এটা কি উদ্বেগের আক্রমণ??? আমার সত্যিই জানা দরকার যাতে আমি আমার মনোরোগ বিশেষজ্ঞের কাছ থেকে সঠিক সাহায্য পেতে পারি... যারা সাহায্য করতে পারেন তাদের ধন্যবাদ!!")</f>
        <v>উদ্বেগের আক্রমণ??? প্রাথমিক বিদ্যালয় থেকে এই রোগের সাথে লড়াই করার পর অবশেষে আগস্ট মাসে আমার উদ্বেগ ধরা পড়ে। আমি যখন দ্বিতীয় শ্রেণীতে পড়ি তখন আমরা একটা পার্টি করছিলাম এবং আমি এতটাই নার্ভাস ছিলাম যে আমার বমি বমি ভাব হচ্ছিল। এমন কিছু দিন ছিল যখন আমাকে প্রাথমিক বিদ্যালয় মিস করতে হত কারণ আমি খুব বেশি হাইপারভেন্টিলেট করতাম। আমি জানি না উদ্বেগের আক্রমণ কেমন লাগে। সাধারণত ক্লাসে কোনও প্রশ্নের উত্তর দেওয়ার আগে আমার খুব ঘাম হয়, আমার মুখ লাল হয়ে যায়, আমার বুক থেকে হৃদস্পন্দন শুরু হয় এবং আমার একটু মাথা ঘোরা হয়। এটা কি উদ্বেগের আক্রমণ??? আমার সত্যিই জানা দরকার যাতে আমি আমার মনোরোগ বিশেষজ্ঞের কাছ থেকে সঠিক সাহায্য পেতে পারি... যারা সাহায্য করতে পারেন তাদের ধন্যবাদ!!</v>
      </c>
    </row>
    <row r="2286" spans="1:3" ht="15" x14ac:dyDescent="0.25">
      <c r="A2286" s="3" t="s">
        <v>2279</v>
      </c>
      <c r="B2286" s="3" t="s">
        <v>1992</v>
      </c>
      <c r="C2286" s="4" t="str">
        <f ca="1">IFERROR(__xludf.DUMMYFUNCTION("GOOGLETRANSLATE(A2286, ""auto"", ""bn"")"),"বিটা-ব্লকার (প্রোপ্রানোলল) ব্যবহারের অভিজ্ঞতা আছে? হাই! আমার সামাজিক উদ্বেগ আছে এবং আমার শারীরিক লক্ষণগুলির জন্য প্রোপ্রানোলল ব্যবহার করতে আগ্রহী ছিলাম। আমি কেবল ভাবছিলাম যে ওষুধটি নিয়ে মানুষের অভিজ্ঞতা কেমন ছিল। এটি কি সহায়ক? এর কি কোনও খারাপ পার্শ্বপ্"&amp;"রতিক্রিয়া আছে?")</f>
        <v>বিটা-ব্লকার (প্রোপ্রানোলল) ব্যবহারের অভিজ্ঞতা আছে? হাই! আমার সামাজিক উদ্বেগ আছে এবং আমার শারীরিক লক্ষণগুলির জন্য প্রোপ্রানোলল ব্যবহার করতে আগ্রহী ছিলাম। আমি কেবল ভাবছিলাম যে ওষুধটি নিয়ে মানুষের অভিজ্ঞতা কেমন ছিল। এটি কি সহায়ক? এর কি কোনও খারাপ পার্শ্বপ্রতিক্রিয়া আছে?</v>
      </c>
    </row>
    <row r="2287" spans="1:3" ht="15" x14ac:dyDescent="0.25">
      <c r="A2287" s="3" t="s">
        <v>2280</v>
      </c>
      <c r="B2287" s="3" t="s">
        <v>1992</v>
      </c>
      <c r="C2287" s="4" t="str">
        <f ca="1">IFERROR(__xludf.DUMMYFUNCTION("GOOGLETRANSLATE(A2287, ""auto"", ""bn"")"),"আমার কি দুশ্চিন্তা আছে?? IDK ঠিক আছে, তাই আমার বয়স ১৪। আর আমার মনে হয় আমার সামাজিক উদ্বেগ আছে???? IDK কারণ আমি জানি আমার বন্ধুদের ADHD, উদ্বেগ এবং বিষণ্ণতা আছে, তাই আমি নিজের রোগ নির্ণয় করতে পছন্দ করি না কারণ এটা অসম্মানজনক বলে মনে হয়। আমি আমার BFF, যার"&amp;" ADHD আছে এবং তার সাথে আমার এক ধরণের দুশ্চিন্তা সম্পর্কে কথা বলেছিলাম। ওহ, খুব তাড়াতাড়ি: ছবি তোলা আমার খুব খারাপ লাগে, আমার ইতিমধ্যেই তীব্র আত্মবিশ্বাসের সমস্যা আছে, এবং যখন আমার মা বলেন ""চলো তোমার একটা ছবি তুলি"" তখন আমার সবসময় কাঁদতে ইচ্ছে করে কারণ "&amp;"আমি এটা পছন্দ করি না, এবং ঠিক ৩০ মিনিট আগে, আমার মা তার কাজিনের সাথে দেখা করেন (আমরা NC তে পরিবারের জন্য ভ্রমণ করছি এবং টেক্সাসে ফেরার পথে আমরা তার কাজিনের জন্য থামার সিদ্ধান্ত নিয়েছিলাম) এবং সে ওয়েটারকে এটা করতে বাধ্য করে, এবং আমি প্রায় কেঁদে ফেলি কার"&amp;"ণ আমি পারি না। আর আমার জন্মদিনে আমার মা ছবি তুলতে চেয়েছিলেন কিন্তু আমি সম্পূর্ণরূপে প্রত্যাখ্যান করেছিলাম এবং এখন এটা ভাবতেও আমি দুঃখিত এবং বিচলিত কারণ তার কাছে এই বছরের জন্মদিনের ছবি নেই (গত বছর টেকনিক্যালি আইজি) এবং আমার খুব খারাপ লাগছে :(((এবং তারপর য"&amp;"খন আমরা এনসি যাচ্ছিলাম, আমরা আলাবামায় থামলাম এবং আমার বার্গারটি একটি মুচমুচে পাথর ছিল এবং আমি সত্যিই এটি পছন্দ করি না এবং আমার সৎ বাবা ওয়েটারকে বললেন ""ওকে একটি নতুন বার্গার দিন"" এবং আমি কেবল মারা গেলাম কারণ আমি চুপচাপ ""না ঠিক আছে"" বলেছিলাম কিন্তু সে"&amp;" শোনেনি এবং আমি আতঙ্কিত হতে শুরু করেছিলাম এবং আমার মাকে বলেছিলাম ""আমি ক্ষুধার্ত নই তাই আমি ঠিক আছি"" এবং সে অবশেষে মেয়েটিকে বললো কিছু মনে করো না কিন্তু আমি কাঁদতে চেয়েছিলাম এবং তার পরেই খারাপ মেজাজে চলে গেলাম এবং যখন আমরা হোটেলে পৌঁছালাম এবং আমার বাবা-"&amp;"মা ঘুমিয়ে পড়েছিলেন তখন আমি কেঁদে ফেললাম কারণ igfnjdenneeknwbsjdjs IDK odkfidkdkfkdkd আমার সৎ বাবার ব্যাকস্টোরি RQ: সে একটি 18 চাকার দুর্ঘটনায় পড়েছিল, এবং এটি তার মাথা নষ্ট করে দিয়েছিল এবং তার পরে সে খুব খারাপ এবং খিটখিটে হয়ে উঠেছিল। তাই ???????? আর "&amp;"আমি সবসময় ওর সাথে অস্বস্তি বোধ করি কারণ ও একটু বোকা আর আইডিকে আর আমার মা খুব অসংবেদনশীল। আমি ""মা, তুমি কি আমাকে থেরাপি বা অন্য কিছু করিয়ে দিতে পারো"" এই ধরণের প্রশ্ন করেছিলাম, আর ও বলল ""না, তোমার নিজের থেরাপিস্টের খরচ দিতে হবে""। তাই আমি আর কখনও আইডিক"&amp;"ে আর জিজ্ঞাসা করিনি যে কী করতে হবে কারণ আমার নিজের ক্ষতি করার মতো একটা খারাপ কাজ হয়েছিল এবং আমি তাড়াতাড়ি থামিয়ে দিয়েছিলাম কিন্তু কয়েক সপ্তাহ আগে আবারও থামিয়ে দিয়েছিলাম কারণ আইডিকে কিন্তু শুরুতে যখন শিক্ষকরা জানতে পেরেছিলেন, আর তিনিও তা নিয়ে রসিকত"&amp;"া করতেন, আর এটা আমার অনুভূতিতে ভীষণ আঘাত করেছিল। আমি একবার তাকে বলেছিলাম ""আমার মনে হয় আমার উদ্বেগ আছে"" এবং সে শুধু ""কিশোর বয়সের ব্যাপার না"" বলেছিল কিন্তু অবশেষে আমি সামাজিক উদ্বেগের দিকে নজর দিয়েছিলাম এবং আমার আক্ষরিক অর্থেই সমস্ত লক্ষণ আছে, আইডিকে"&amp;" ছাড়া কারণ কোনও থেরাপিস্ট বা রোগ নির্ণয় করা ব্যক্তি আমাকে বলার মতো কিছু নেই?’m?jssjjsndiwksk IDK IDK IDK IDK IDK IDK IDK IDK IDK IDK IDK IDK IDK IDK ঈশ্বর, আর চতুর্থ এবং পঞ্চম শ্রেণীতে যখন আমি ধমক খেয়েছিলাম তখন অ্যান্থনি নামের একটি ছেলে আমাকে ধমক দিয়ে"&amp;"ছিল এবং এই সপ্তাহান্তে আমরা আমার দাদীর কাছে ছিলাম। বাড়ি আর পুরনো ছবিগুলো দেখতাম, আর এটা আমাকে খুব খারাপ লাগত কারণ আমি এমন পোশাক পরতে পারতাম যা আগে পরার কথা ভাবতাম না কিন্তু এখন আমি নিজেকে সম্পূর্ণ ঘৃণা করি এবং আমার কণ্ঠস্বর খারাপ। আমি এটাকে দুঃখজনক কিছু "&amp;"বলতে চাইনি ঠিক আছে, শুরুতে আমার BFF যার ADHD আছে, সে আমাকে বলেছিল এটা কিছুটা স্পষ্ট ছিল যে আমার উদ্বেগ আছে এবং আমি দেখতে দেখতে ছিলাম???? এটা কি??? idkidkdkdidkek এটা কি সামাজিক উদ্বেগ????? :(ওহ, আর আমি আমার তর্জনী এবং মধ্যমা আঙুল দিয়েও এই কাজ করি এবং আলা"&amp;"বামার মতো ঘটনা ঘটলে আমার বুড়ো আঙুলের চ্যাপ্টা অংশ আঁচড়াই এবং যখন আমি রাগ করি বা নার্ভাস হই তখন আমার হাত নাড়াই পাখির মতো নয় বরং যখন তুমি এভাবে হাত থেকে জল ঝেড়ে ফেলো তখন আমার হাত নাড়াই।")</f>
        <v>আমার কি দুশ্চিন্তা আছে?? IDK ঠিক আছে, তাই আমার বয়স ১৪। আর আমার মনে হয় আমার সামাজিক উদ্বেগ আছে???? IDK কারণ আমি জানি আমার বন্ধুদের ADHD, উদ্বেগ এবং বিষণ্ণতা আছে, তাই আমি নিজের রোগ নির্ণয় করতে পছন্দ করি না কারণ এটা অসম্মানজনক বলে মনে হয়। আমি আমার BFF, যার ADHD আছে এবং তার সাথে আমার এক ধরণের দুশ্চিন্তা সম্পর্কে কথা বলেছিলাম। ওহ, খুব তাড়াতাড়ি: ছবি তোলা আমার খুব খারাপ লাগে, আমার ইতিমধ্যেই তীব্র আত্মবিশ্বাসের সমস্যা আছে, এবং যখন আমার মা বলেন "চলো তোমার একটা ছবি তুলি" তখন আমার সবসময় কাঁদতে ইচ্ছে করে কারণ আমি এটা পছন্দ করি না, এবং ঠিক ৩০ মিনিট আগে, আমার মা তার কাজিনের সাথে দেখা করেন (আমরা NC তে পরিবারের জন্য ভ্রমণ করছি এবং টেক্সাসে ফেরার পথে আমরা তার কাজিনের জন্য থামার সিদ্ধান্ত নিয়েছিলাম) এবং সে ওয়েটারকে এটা করতে বাধ্য করে, এবং আমি প্রায় কেঁদে ফেলি কারণ আমি পারি না। আর আমার জন্মদিনে আমার মা ছবি তুলতে চেয়েছিলেন কিন্তু আমি সম্পূর্ণরূপে প্রত্যাখ্যান করেছিলাম এবং এখন এটা ভাবতেও আমি দুঃখিত এবং বিচলিত কারণ তার কাছে এই বছরের জন্মদিনের ছবি নেই (গত বছর টেকনিক্যালি আইজি) এবং আমার খুব খারাপ লাগছে :(((এবং তারপর যখন আমরা এনসি যাচ্ছিলাম, আমরা আলাবামায় থামলাম এবং আমার বার্গারটি একটি মুচমুচে পাথর ছিল এবং আমি সত্যিই এটি পছন্দ করি না এবং আমার সৎ বাবা ওয়েটারকে বললেন "ওকে একটি নতুন বার্গার দিন" এবং আমি কেবল মারা গেলাম কারণ আমি চুপচাপ "না ঠিক আছে" বলেছিলাম কিন্তু সে শোনেনি এবং আমি আতঙ্কিত হতে শুরু করেছিলাম এবং আমার মাকে বলেছিলাম "আমি ক্ষুধার্ত নই তাই আমি ঠিক আছি" এবং সে অবশেষে মেয়েটিকে বললো কিছু মনে করো না কিন্তু আমি কাঁদতে চেয়েছিলাম এবং তার পরেই খারাপ মেজাজে চলে গেলাম এবং যখন আমরা হোটেলে পৌঁছালাম এবং আমার বাবা-মা ঘুমিয়ে পড়েছিলেন তখন আমি কেঁদে ফেললাম কারণ igfnjdenneeknwbsjdjs IDK odkfidkdkfkdkd আমার সৎ বাবার ব্যাকস্টোরি RQ: সে একটি 18 চাকার দুর্ঘটনায় পড়েছিল, এবং এটি তার মাথা নষ্ট করে দিয়েছিল এবং তার পরে সে খুব খারাপ এবং খিটখিটে হয়ে উঠেছিল। তাই ???????? আর আমি সবসময় ওর সাথে অস্বস্তি বোধ করি কারণ ও একটু বোকা আর আইডিকে আর আমার মা খুব অসংবেদনশীল। আমি "মা, তুমি কি আমাকে থেরাপি বা অন্য কিছু করিয়ে দিতে পারো" এই ধরণের প্রশ্ন করেছিলাম, আর ও বলল "না, তোমার নিজের থেরাপিস্টের খরচ দিতে হবে"। তাই আমি আর কখনও আইডিকে আর জিজ্ঞাসা করিনি যে কী করতে হবে কারণ আমার নিজের ক্ষতি করার মতো একটা খারাপ কাজ হয়েছিল এবং আমি তাড়াতাড়ি থামিয়ে দিয়েছিলাম কিন্তু কয়েক সপ্তাহ আগে আবারও থামিয়ে দিয়েছিলাম কারণ আইডিকে কিন্তু শুরুতে যখন শিক্ষকরা জানতে পেরেছিলেন, আর তিনিও তা নিয়ে রসিকতা করতেন, আর এটা আমার অনুভূতিতে ভীষণ আঘাত করেছিল। আমি একবার তাকে বলেছিলাম "আমার মনে হয় আমার উদ্বেগ আছে" এবং সে শুধু "কিশোর বয়সের ব্যাপার না" বলেছিল কিন্তু অবশেষে আমি সামাজিক উদ্বেগের দিকে নজর দিয়েছিলাম এবং আমার আক্ষরিক অর্থেই সমস্ত লক্ষণ আছে, আইডিকে ছাড়া কারণ কোনও থেরাপিস্ট বা রোগ নির্ণয় করা ব্যক্তি আমাকে বলার মতো কিছু নেই?’m?jssjjsndiwksk IDK IDK IDK IDK IDK IDK IDK IDK IDK IDK IDK IDK IDK IDK ঈশ্বর, আর চতুর্থ এবং পঞ্চম শ্রেণীতে যখন আমি ধমক খেয়েছিলাম তখন অ্যান্থনি নামের একটি ছেলে আমাকে ধমক দিয়েছিল এবং এই সপ্তাহান্তে আমরা আমার দাদীর কাছে ছিলাম। বাড়ি আর পুরনো ছবিগুলো দেখতাম, আর এটা আমাকে খুব খারাপ লাগত কারণ আমি এমন পোশাক পরতে পারতাম যা আগে পরার কথা ভাবতাম না কিন্তু এখন আমি নিজেকে সম্পূর্ণ ঘৃণা করি এবং আমার কণ্ঠস্বর খারাপ। আমি এটাকে দুঃখজনক কিছু বলতে চাইনি ঠিক আছে, শুরুতে আমার BFF যার ADHD আছে, সে আমাকে বলেছিল এটা কিছুটা স্পষ্ট ছিল যে আমার উদ্বেগ আছে এবং আমি দেখতে দেখতে ছিলাম???? এটা কি??? idkidkdkdidkek এটা কি সামাজিক উদ্বেগ????? :(ওহ, আর আমি আমার তর্জনী এবং মধ্যমা আঙুল দিয়েও এই কাজ করি এবং আলাবামার মতো ঘটনা ঘটলে আমার বুড়ো আঙুলের চ্যাপ্টা অংশ আঁচড়াই এবং যখন আমি রাগ করি বা নার্ভাস হই তখন আমার হাত নাড়াই পাখির মতো নয় বরং যখন তুমি এভাবে হাত থেকে জল ঝেড়ে ফেলো তখন আমার হাত নাড়াই।</v>
      </c>
    </row>
    <row r="2288" spans="1:3" ht="15" x14ac:dyDescent="0.25">
      <c r="A2288" s="3" t="s">
        <v>2281</v>
      </c>
      <c r="B2288" s="3" t="s">
        <v>1992</v>
      </c>
      <c r="C2288" s="4" t="str">
        <f ca="1">IFERROR(__xludf.DUMMYFUNCTION("GOOGLETRANSLATE(A2288, ""auto"", ""bn"")"),"আমি কীভাবে [১৮ ফারেনহাইট] তার সাথে আড্ডা দেওয়ার জন্য এত নার্ভাস হওয়া বন্ধ করব? [১৮ মিটার] একজন লোক যাকে আমি খুব সুন্দর বলে মনে করতাম সে আমার সাথে স্ন্যাপ চ্যাট করতে শুরু করে, একটা জিনিস অন্যরকমের দিকে নিয়ে যায়, এবং সে শনিবার আড্ডা দিতে চায়। আমার সামা"&amp;"জিক উদ্বেগ খারাপ, এবং আমার মনে হয় সে আমার লিগের বাইরে চলে গেছে। আমরা মাত্র কয়েকবার ব্যক্তিগতভাবে সংক্ষিপ্তভাবে কথা বলেছি, কখনও পুরো কথোপকথন পছন্দ করিনি। আমি কীভাবে নার্ভাস হওয়া বন্ধ করব?? আমি ভয় পাচ্ছি যে সে ভাববে আমি অদ্ভুত এবং বিশ্রী। আমি চাই না আমা"&amp;"র উদ্বেগ আমাকে সম্ভাব্য সংযোগ থেকে বিরত রাখুক। উফ, আমি ভয় পাচ্ছি। রেডডিট, আমি কী করতে পারি??")</f>
        <v>আমি কীভাবে [১৮ ফারেনহাইট] তার সাথে আড্ডা দেওয়ার জন্য এত নার্ভাস হওয়া বন্ধ করব? [১৮ মিটার] একজন লোক যাকে আমি খুব সুন্দর বলে মনে করতাম সে আমার সাথে স্ন্যাপ চ্যাট করতে শুরু করে, একটা জিনিস অন্যরকমের দিকে নিয়ে যায়, এবং সে শনিবার আড্ডা দিতে চায়। আমার সামাজিক উদ্বেগ খারাপ, এবং আমার মনে হয় সে আমার লিগের বাইরে চলে গেছে। আমরা মাত্র কয়েকবার ব্যক্তিগতভাবে সংক্ষিপ্তভাবে কথা বলেছি, কখনও পুরো কথোপকথন পছন্দ করিনি। আমি কীভাবে নার্ভাস হওয়া বন্ধ করব?? আমি ভয় পাচ্ছি যে সে ভাববে আমি অদ্ভুত এবং বিশ্রী। আমি চাই না আমার উদ্বেগ আমাকে সম্ভাব্য সংযোগ থেকে বিরত রাখুক। উফ, আমি ভয় পাচ্ছি। রেডডিট, আমি কী করতে পারি??</v>
      </c>
    </row>
    <row r="2289" spans="1:3" ht="15" x14ac:dyDescent="0.25">
      <c r="A2289" s="3" t="s">
        <v>2282</v>
      </c>
      <c r="B2289" s="3" t="s">
        <v>1992</v>
      </c>
      <c r="C2289" s="4" t="str">
        <f ca="1">IFERROR(__xludf.DUMMYFUNCTION("GOOGLETRANSLATE(A2289, ""auto"", ""bn"")"),"প্রতি বছর আমার উদ্বেগ আরও খারাপ হওয়ার পর, অবশেষে আমি একজন মনোরোগ বিশেষজ্ঞের সাথে যোগাযোগ করি। ছোটবেলা থেকেই আমার উদ্বেগ ছিল, এবং গত পাঁচ বা তারও বেশি বছর ধরে, এটি আরও খারাপ হয়েছে। আমার শেষ পঙ্গুত্বের পর্বের পরে, আমি সিদ্ধান্ত নিয়েছিলাম যে যথেষ্ট হয়েছে"&amp;"। আমি আশা করি সবকিছু ঠিকঠাক হবে, আমার মনে হয় এটি কেবল আরও ভাল হতে পারে, তাই না?")</f>
        <v>প্রতি বছর আমার উদ্বেগ আরও খারাপ হওয়ার পর, অবশেষে আমি একজন মনোরোগ বিশেষজ্ঞের সাথে যোগাযোগ করি। ছোটবেলা থেকেই আমার উদ্বেগ ছিল, এবং গত পাঁচ বা তারও বেশি বছর ধরে, এটি আরও খারাপ হয়েছে। আমার শেষ পঙ্গুত্বের পর্বের পরে, আমি সিদ্ধান্ত নিয়েছিলাম যে যথেষ্ট হয়েছে। আমি আশা করি সবকিছু ঠিকঠাক হবে, আমার মনে হয় এটি কেবল আরও ভাল হতে পারে, তাই না?</v>
      </c>
    </row>
    <row r="2290" spans="1:3" ht="15" x14ac:dyDescent="0.25">
      <c r="A2290" s="3" t="s">
        <v>2283</v>
      </c>
      <c r="B2290" s="3" t="s">
        <v>1992</v>
      </c>
      <c r="C2290" s="4" t="str">
        <f ca="1">IFERROR(__xludf.DUMMYFUNCTION("GOOGLETRANSLATE(A2290, ""auto"", ""bn"")"),"সম্পর্কের ব্যাপারে উদ্বেগ? হ্যালো! আমার প্রেমিক প্রতি সপ্তাহে কাজের জন্য ভ্রমণ করে। আমি লক্ষ্য করেছি যে যখন সে শহরের বাইরে থাকে তখন আমার উদ্বেগ আরও খারাপ হয়, কিন্তু যখন সে আমার মতো একই শহরে থাকে তখন আরও ভালভাবে নিয়ন্ত্রণ করা যায়। এর জন্য কারো কাছে কি ক"&amp;"োন টিপস বা কৌশল আছে?")</f>
        <v>সম্পর্কের ব্যাপারে উদ্বেগ? হ্যালো! আমার প্রেমিক প্রতি সপ্তাহে কাজের জন্য ভ্রমণ করে। আমি লক্ষ্য করেছি যে যখন সে শহরের বাইরে থাকে তখন আমার উদ্বেগ আরও খারাপ হয়, কিন্তু যখন সে আমার মতো একই শহরে থাকে তখন আরও ভালভাবে নিয়ন্ত্রণ করা যায়। এর জন্য কারো কাছে কি কোন টিপস বা কৌশল আছে?</v>
      </c>
    </row>
    <row r="2291" spans="1:3" ht="15" x14ac:dyDescent="0.25">
      <c r="A2291" s="3" t="s">
        <v>2284</v>
      </c>
      <c r="B2291" s="3" t="s">
        <v>1992</v>
      </c>
      <c r="C2291" s="4" t="str">
        <f ca="1">IFERROR(__xludf.DUMMYFUNCTION("GOOGLETRANSLATE(A2291, ""auto"", ""bn"")"),"অন্য কেউ এমন মানুষদের আশেপাশেও উদ্বেগ/নার্ভাসনেস অনুভব করে যাদের তারা সারা জীবন চেনে। এই দিকটি আমাকে সবচেয়ে বেশি বিরক্ত করে। হয়তো আমার এটি সামাজিক উদ্বেগ সাব-এ পোস্ট করা উচিত, কিন্তু আমার মনে হয় এখানে অনেক লোকেরও SAD আছে, তাই কী হয়। আমি যাদের সারা জীবন চ"&amp;"িনি, তাদের বন্ধু হোক বা এমনকি পরিবার হোক, তাতে কিছু যায় আসে না। আমি এখনও বিপদে আছি এবং অস্বস্তিতে আছি এবং আমি এটা বুঝতে পারছি না।")</f>
        <v>অন্য কেউ এমন মানুষদের আশেপাশেও উদ্বেগ/নার্ভাসনেস অনুভব করে যাদের তারা সারা জীবন চেনে। এই দিকটি আমাকে সবচেয়ে বেশি বিরক্ত করে। হয়তো আমার এটি সামাজিক উদ্বেগ সাব-এ পোস্ট করা উচিত, কিন্তু আমার মনে হয় এখানে অনেক লোকেরও SAD আছে, তাই কী হয়। আমি যাদের সারা জীবন চিনি, তাদের বন্ধু হোক বা এমনকি পরিবার হোক, তাতে কিছু যায় আসে না। আমি এখনও বিপদে আছি এবং অস্বস্তিতে আছি এবং আমি এটা বুঝতে পারছি না।</v>
      </c>
    </row>
    <row r="2292" spans="1:3" ht="15" x14ac:dyDescent="0.25">
      <c r="A2292" s="3" t="s">
        <v>2285</v>
      </c>
      <c r="B2292" s="3" t="s">
        <v>1992</v>
      </c>
      <c r="C2292" s="4" t="str">
        <f ca="1">IFERROR(__xludf.DUMMYFUNCTION("GOOGLETRANSLATE(A2292, ""auto"", ""bn"")"),"ক্ষণিকের জন্য ব্যক্তিগত বিকৃতি? যখন আমি ছোট ছিলাম (এখন আমি মধ্যবয়সী), আমার মনে আছে ব্যক্তিগত বিকৃতির পর্বগুলি কয়েক সেকেন্ড স্থায়ী হত এবং তারপরে তা চলে যায়। এটি সাধারণত হঠাৎ উদ্বেগের মুহূর্ত দেখা দেওয়ার পরে প্রকাশ পায়। এখানকার তরুণ রেডিটরদের মধ্যে কা"&amp;"রও কি একই অভিজ্ঞতা হয়েছে?")</f>
        <v>ক্ষণিকের জন্য ব্যক্তিগত বিকৃতি? যখন আমি ছোট ছিলাম (এখন আমি মধ্যবয়সী), আমার মনে আছে ব্যক্তিগত বিকৃতির পর্বগুলি কয়েক সেকেন্ড স্থায়ী হত এবং তারপরে তা চলে যায়। এটি সাধারণত হঠাৎ উদ্বেগের মুহূর্ত দেখা দেওয়ার পরে প্রকাশ পায়। এখানকার তরুণ রেডিটরদের মধ্যে কারও কি একই অভিজ্ঞতা হয়েছে?</v>
      </c>
    </row>
    <row r="2293" spans="1:3" ht="15" x14ac:dyDescent="0.25">
      <c r="A2293" s="3" t="s">
        <v>2286</v>
      </c>
      <c r="B2293" s="3" t="s">
        <v>1992</v>
      </c>
      <c r="C2293" s="4" t="str">
        <f ca="1">IFERROR(__xludf.DUMMYFUNCTION("GOOGLETRANSLATE(A2293, ""auto"", ""bn"")"),"এখানে চিকিৎসা কি আসলেই কারো উপকার করেছে? এটা আমার জন্য কাজ করবে না, এটা আমার জন্য নার্ভাস। শুধু জানতে চাইছি যে ওষুধ আসলেই কারো উদ্বেগ/অতিরিক্ত চিন্তা/অনুপ্রবেশকারী চিন্তাভাবনা দূর করতে সাহায্য করেছে কিনা? জানুয়ারির মাঝামাঝি সময়ে আমি একটি প্রেসক্রিপশন পা"&amp;"চ্ছি, এবং আমি খুব চিন্তিত যে এটি আমাকে সাহায্য করবে না। আমাকে আগেও সিটালোপ্রাম লিখে দেওয়া হয়েছিল এবং সেটা খুবই খারাপ ছিল, তাই আমি মনে করি আমি কেবল চিন্তিত যে কিছুই কাজ করবে না।")</f>
        <v>এখানে চিকিৎসা কি আসলেই কারো উপকার করেছে? এটা আমার জন্য কাজ করবে না, এটা আমার জন্য নার্ভাস। শুধু জানতে চাইছি যে ওষুধ আসলেই কারো উদ্বেগ/অতিরিক্ত চিন্তা/অনুপ্রবেশকারী চিন্তাভাবনা দূর করতে সাহায্য করেছে কিনা? জানুয়ারির মাঝামাঝি সময়ে আমি একটি প্রেসক্রিপশন পাচ্ছি, এবং আমি খুব চিন্তিত যে এটি আমাকে সাহায্য করবে না। আমাকে আগেও সিটালোপ্রাম লিখে দেওয়া হয়েছিল এবং সেটা খুবই খারাপ ছিল, তাই আমি মনে করি আমি কেবল চিন্তিত যে কিছুই কাজ করবে না।</v>
      </c>
    </row>
    <row r="2294" spans="1:3" ht="15" x14ac:dyDescent="0.25">
      <c r="A2294" s="3" t="s">
        <v>2287</v>
      </c>
      <c r="B2294" s="3" t="s">
        <v>1992</v>
      </c>
      <c r="C2294" s="4" t="str">
        <f ca="1">IFERROR(__xludf.DUMMYFUNCTION("GOOGLETRANSLATE(A2294, ""auto"", ""bn"")"),"ডেবুক এবং উদ্বেগের আক্রমণ? আজ সকালে আমি টাইলেনলের অতিরিক্ত শক্তি এবং একটি সুপারিশকৃত ডেবুক ডোজ নিয়েছি কারণ আমার ঠান্ডা লাগার কারণে এটিএম, এবং আমার কিছুটা উদ্বেগ এবং এই ধরণের আক্রমণ হচ্ছে। কিছুদিন আগে মিউসিনেক্সেও আমার একই অবস্থা হয়েছিল, অন্য কেউ কি ঠান্"&amp;"ডা ওষুধ খেলে আরও খারাপ উদ্বেগ অনুভব করে?")</f>
        <v>ডেবুক এবং উদ্বেগের আক্রমণ? আজ সকালে আমি টাইলেনলের অতিরিক্ত শক্তি এবং একটি সুপারিশকৃত ডেবুক ডোজ নিয়েছি কারণ আমার ঠান্ডা লাগার কারণে এটিএম, এবং আমার কিছুটা উদ্বেগ এবং এই ধরণের আক্রমণ হচ্ছে। কিছুদিন আগে মিউসিনেক্সেও আমার একই অবস্থা হয়েছিল, অন্য কেউ কি ঠান্ডা ওষুধ খেলে আরও খারাপ উদ্বেগ অনুভব করে?</v>
      </c>
    </row>
    <row r="2295" spans="1:3" ht="15" x14ac:dyDescent="0.25">
      <c r="A2295" s="3" t="s">
        <v>2288</v>
      </c>
      <c r="B2295" s="3" t="s">
        <v>1992</v>
      </c>
      <c r="C2295" s="4" t="str">
        <f ca="1">IFERROR(__xludf.DUMMYFUNCTION("GOOGLETRANSLATE(A2295, ""auto"", ""bn"")"),"যত তাড়াতাড়ি সম্ভব সাহায্যের প্রয়োজন, কলেজে যেতে ভয় পাচ্ছি এবং পরামর্শের প্রয়োজন। আমার অবস্থা এই। আমি সম্প্রতি ২০১৮ সালের মে মাসে হাই স্কুল থেকে স্নাতক শেষ করেছি এবং BYU-Idaho তে কলেজে যাওয়ার পরিকল্পনা করছিলাম, যা বাড়ি থেকে প্রায় ৫ ঘন্টা (২৫৬ মাইল) দূরে"&amp;" অবস্থিত। আমি আমার কাজিনদের সাথে থাকার পরিকল্পনা করছিলাম যা আমার জন্য অনেক সহজ করে তুলবে বলে আমার মনে হয়েছিল। যাইহোক, আমি বাবা-মায়ের বিচ্ছেদের উদ্বেগের সাথে লড়াই করছি এবং আমার বাবা-মায়ের কাছে চাপ দিতে শুরু করি যে আমি কী করতে চাই তা জানি না। তাই তারা আমা"&amp;"কে বলল যে আমি হয় বিশ্ববিদ্যালয়ে যেতে পারি এবং দেখতে পারি যে আমার পছন্দ হয় কিনা অথবা বাড়িতে থাকতে পারি এবং কিছুটা কমিউনিটি কলেজে যেতে পারি এবং চাপ এবং উদ্বেগ বোধ না করে কলেজের অভিজ্ঞতায় আরাম করতে পারি, আমাকে যত তাড়াতাড়ি সম্ভব সিদ্ধান্ত নিতে হবে আমি কী "&amp;"করতে চাই, তাই দয়া করে আমাকে সাহায্য করুন! আমি খুব ভয় পাচ্ছি।")</f>
        <v>যত তাড়াতাড়ি সম্ভব সাহায্যের প্রয়োজন, কলেজে যেতে ভয় পাচ্ছি এবং পরামর্শের প্রয়োজন। আমার অবস্থা এই। আমি সম্প্রতি ২০১৮ সালের মে মাসে হাই স্কুল থেকে স্নাতক শেষ করেছি এবং BYU-Idaho তে কলেজে যাওয়ার পরিকল্পনা করছিলাম, যা বাড়ি থেকে প্রায় ৫ ঘন্টা (২৫৬ মাইল) দূরে অবস্থিত। আমি আমার কাজিনদের সাথে থাকার পরিকল্পনা করছিলাম যা আমার জন্য অনেক সহজ করে তুলবে বলে আমার মনে হয়েছিল। যাইহোক, আমি বাবা-মায়ের বিচ্ছেদের উদ্বেগের সাথে লড়াই করছি এবং আমার বাবা-মায়ের কাছে চাপ দিতে শুরু করি যে আমি কী করতে চাই তা জানি না। তাই তারা আমাকে বলল যে আমি হয় বিশ্ববিদ্যালয়ে যেতে পারি এবং দেখতে পারি যে আমার পছন্দ হয় কিনা অথবা বাড়িতে থাকতে পারি এবং কিছুটা কমিউনিটি কলেজে যেতে পারি এবং চাপ এবং উদ্বেগ বোধ না করে কলেজের অভিজ্ঞতায় আরাম করতে পারি, আমাকে যত তাড়াতাড়ি সম্ভব সিদ্ধান্ত নিতে হবে আমি কী করতে চাই, তাই দয়া করে আমাকে সাহায্য করুন! আমি খুব ভয় পাচ্ছি।</v>
      </c>
    </row>
    <row r="2296" spans="1:3" ht="15" x14ac:dyDescent="0.25">
      <c r="A2296" s="3" t="s">
        <v>2289</v>
      </c>
      <c r="B2296" s="3" t="s">
        <v>1992</v>
      </c>
      <c r="C2296" s="4" t="str">
        <f ca="1">IFERROR(__xludf.DUMMYFUNCTION("GOOGLETRANSLATE(A2296, ""auto"", ""bn"")"),"যারা এখন দুশ্চিন্তার সম্মুখীন, তাদের কীসের জন্য সাহায্যের প্রয়োজন? নাকি পরামর্শের প্রয়োজন?")</f>
        <v>যারা এখন দুশ্চিন্তার সম্মুখীন, তাদের কীসের জন্য সাহায্যের প্রয়োজন? নাকি পরামর্শের প্রয়োজন?</v>
      </c>
    </row>
    <row r="2297" spans="1:3" ht="15" x14ac:dyDescent="0.25">
      <c r="A2297" s="3" t="s">
        <v>2290</v>
      </c>
      <c r="B2297" s="3" t="s">
        <v>1992</v>
      </c>
      <c r="C2297" s="4" t="str">
        <f ca="1">IFERROR(__xludf.DUMMYFUNCTION("GOOGLETRANSLATE(A2297, ""auto"", ""bn"")"),"উদ্বেগ এবং সাইবারস্টকিং! দয়া করে সাহায্য করুন! অজানা লোকেরা আমার ঠিকানা খুঁজে পেয়েছে। অন্যদের জন্য এটি পাঠান, এবং তারা প্রায় 12 ঘন্টা ধরে আমার ফ্ল্যাটে কড়া নাড়ছে, অনেক লোক। তারা বলে যে আমি বিনামূল্যে টিভি বা ফ্রিজ দিই, এটি অক্টোবর ছিল। আমি স্ক্রিনশট,"&amp;" অডিও ইত্যাদি করেছি। পুলিশকে দিয়েছি... কোন উত্তর নেই। এখন তারা আবার শুরু করেছে! দয়া করে পরামর্শ দিন কিভাবে এটি বন্ধ করতে হয় এবং শান্ত থাকতে হয়! দয়া করে! আমি প্রথম তলায় একা থাকি। বাবা-মা ছাড়া। আমি একজন মেয়ে। তারা খেলা করে এবং আমার প্রতিক্রিয়া চায়"&amp;", কিন্তু আমি এটি উপেক্ষা করার চেষ্টা করি। এবং আমার অনেক বছর ধরে একটি উদ্বেগজনিত ব্যাধি রয়েছে। এই পরিস্থিতিতে হাসি আমার পক্ষে সহজ নয়!")</f>
        <v>উদ্বেগ এবং সাইবারস্টকিং! দয়া করে সাহায্য করুন! অজানা লোকেরা আমার ঠিকানা খুঁজে পেয়েছে। অন্যদের জন্য এটি পাঠান, এবং তারা প্রায় 12 ঘন্টা ধরে আমার ফ্ল্যাটে কড়া নাড়ছে, অনেক লোক। তারা বলে যে আমি বিনামূল্যে টিভি বা ফ্রিজ দিই, এটি অক্টোবর ছিল। আমি স্ক্রিনশট, অডিও ইত্যাদি করেছি। পুলিশকে দিয়েছি... কোন উত্তর নেই। এখন তারা আবার শুরু করেছে! দয়া করে পরামর্শ দিন কিভাবে এটি বন্ধ করতে হয় এবং শান্ত থাকতে হয়! দয়া করে! আমি প্রথম তলায় একা থাকি। বাবা-মা ছাড়া। আমি একজন মেয়ে। তারা খেলা করে এবং আমার প্রতিক্রিয়া চায়, কিন্তু আমি এটি উপেক্ষা করার চেষ্টা করি। এবং আমার অনেক বছর ধরে একটি উদ্বেগজনিত ব্যাধি রয়েছে। এই পরিস্থিতিতে হাসি আমার পক্ষে সহজ নয়!</v>
      </c>
    </row>
    <row r="2298" spans="1:3" ht="15" x14ac:dyDescent="0.25">
      <c r="A2298" s="3" t="s">
        <v>2291</v>
      </c>
      <c r="B2298" s="3" t="s">
        <v>1992</v>
      </c>
      <c r="C2298" s="4" t="str">
        <f ca="1">IFERROR(__xludf.DUMMYFUNCTION("GOOGLETRANSLATE(A2298, ""auto"", ""bn"")"),"নতুন চাকরিতে উদ্বেগ। তাই কয়েক মাস আগে আমি বিশাল বেতন বৃদ্ধি এবং উন্নতির জন্য প্রচুর সুযোগ সহ একটি দুর্দান্ত নতুন চাকরি পেয়েছি। আমি এখানকার আবহাওয়া এবং আমার সাথে কাজ করা মানুষদের ভালোবাসি, তারা সবাই অত্যন্ত সহায়ক এবং ইতিবাচক। যদিও এটি একটি কল সেন্টারে,"&amp;" এবং আমি কখনও এই ধরণের চাকরি করিনি। আমি যখন কল করি তখন আমি কেবল উদ্বেগ অনুভব করতে পারি না। সত্যি বলতে, এটি আমাকে পুরো সিদ্ধান্তটি পুনর্বিবেচনা করতে বাধ্য করছে, যদিও এটি আমার জীবনে সবচেয়ে সেরা ক্যারিয়ারের সুযোগ, এবং আমি মানুষকে ভালোবাসি। তোমাদের মধ্যে কে"&amp;"উ কি আগে এই পদে ছিলেন? তুমি কী করেছিলে, এবং কীভাবে মোকাবেলা করেছিলে? আমার বর্তমানে কোনও ওষুধ নেই, এবং আমার মনে হয় হাল ছেড়ে দেওয়ার আগে আমার এটি চেষ্টা করা উচিত... বর্তমানে আমি সাপ্তাহিক থেরাপিতেও আছি।")</f>
        <v>নতুন চাকরিতে উদ্বেগ। তাই কয়েক মাস আগে আমি বিশাল বেতন বৃদ্ধি এবং উন্নতির জন্য প্রচুর সুযোগ সহ একটি দুর্দান্ত নতুন চাকরি পেয়েছি। আমি এখানকার আবহাওয়া এবং আমার সাথে কাজ করা মানুষদের ভালোবাসি, তারা সবাই অত্যন্ত সহায়ক এবং ইতিবাচক। যদিও এটি একটি কল সেন্টারে, এবং আমি কখনও এই ধরণের চাকরি করিনি। আমি যখন কল করি তখন আমি কেবল উদ্বেগ অনুভব করতে পারি না। সত্যি বলতে, এটি আমাকে পুরো সিদ্ধান্তটি পুনর্বিবেচনা করতে বাধ্য করছে, যদিও এটি আমার জীবনে সবচেয়ে সেরা ক্যারিয়ারের সুযোগ, এবং আমি মানুষকে ভালোবাসি। তোমাদের মধ্যে কেউ কি আগে এই পদে ছিলেন? তুমি কী করেছিলে, এবং কীভাবে মোকাবেলা করেছিলে? আমার বর্তমানে কোনও ওষুধ নেই, এবং আমার মনে হয় হাল ছেড়ে দেওয়ার আগে আমার এটি চেষ্টা করা উচিত... বর্তমানে আমি সাপ্তাহিক থেরাপিতেও আছি।</v>
      </c>
    </row>
    <row r="2299" spans="1:3" ht="15" x14ac:dyDescent="0.25">
      <c r="A2299" s="3" t="s">
        <v>2292</v>
      </c>
      <c r="B2299" s="3" t="s">
        <v>1992</v>
      </c>
      <c r="C2299" s="4" t="str">
        <f ca="1">IFERROR(__xludf.DUMMYFUNCTION("GOOGLETRANSLATE(A2299, ""auto"", ""bn"")"),"কারো কি শ্বাসকষ্ট আছে? শ্বাসকষ্ট, কিন্তু হৃদরোগ বিশেষজ্ঞ কিছু খুঁজে পান না?")</f>
        <v>কারো কি শ্বাসকষ্ট আছে? শ্বাসকষ্ট, কিন্তু হৃদরোগ বিশেষজ্ঞ কিছু খুঁজে পান না?</v>
      </c>
    </row>
    <row r="2300" spans="1:3" ht="15" x14ac:dyDescent="0.25">
      <c r="A2300" s="3" t="s">
        <v>2293</v>
      </c>
      <c r="B2300" s="3" t="s">
        <v>1992</v>
      </c>
      <c r="C2300" s="4" t="str">
        <f ca="1">IFERROR(__xludf.DUMMYFUNCTION("GOOGLETRANSLATE(A2300, ""auto"", ""bn"")"),"বজায় রাখার চেষ্টা করছি। কোন পরামর্শ? আমি গত বছর ধরে বন্ধুদের সাথে এই বছরের শেষের দিকে ভ্রমণের পরিকল্পনা করে টাকা জমাচ্ছি। খুব বেশি কিছু না, তবে যদি আমার বাইরে যাওয়ার টাকা থাকে বা যা কিছু আমি রেখে দিতাম, তাহলে আমি তা লুকিয়ে রাখতাম। গতবার আমি গুনছিলাম, য"&amp;"োগ হয়েছে কয়েকশ। বড়দিন থেকে আমি একটু বেশি পেয়েছি কিন্তু আমার জীবনের জন্য আমি আমার সঞ্চয় খুঁজে পাচ্ছি না। আমি ভেবেছিলাম আমি এটি লুকিয়ে রেখেছি, কিন্তু হয়তো আমি এটি সরিয়ে ফেলেছি? আমার স্বামী টাকার ব্যাপারে খুবই ভয়াবহ, তাই এটিই ছিল আমার সঞ্চয়ের একটি উ"&amp;"পায়। হয়তো সে লুকিয়ে রেখেছিল এবং এটি খুঁজে পেয়েছি? আমি তাকে জিজ্ঞাসা করতে ভয় পাচ্ছি কারণ আমি জানি সে ভয় পাবে। হয়তো আমি ভুলে গেছি যে আমি এটি কোথায় সরিয়েছি? এটি আমাকে পাগল করে তুলছে। টাকা আমাদের জন্য স্পর্শকাতর এবং আমি যদি এটি হারিয়ে ফেলি তবে আমার "&amp;"খারাপ লাগবে। এটি ঘুম না হওয়া এবং কর্মক্ষেত্রে একটি কঠিন দিনের উপরে, এটি আমাকে উদ্বেগের আক্রমণ করছে। আমি আমার স্বামীকে না জানানোর জন্য অনেক চেষ্টা করছি। আমি খুব অপরাধবোধ করছি। সে দ্বিতীয়বার চিন্তা না করেই পাগলের মতো খরচ করে এবং আমি যদি অর্থের উদ্বেগের কথ"&amp;"া বলি তবে সে ভয় পায়। আমি টাকা জমাই, পরিশ্রম করি, কিন্তু খরচও কম করি। আমি আমার জামাকাপড় এবং জুতা ছিদ্র না হওয়া পর্যন্ত জীর্ণ করি, তারপর নিজেই সেগুলো মেরামত করার চেষ্টা করি। তাছাড়া, আমি ছাঁটাই করি; নিজের চুল নিজেই রঙ করি এবং টাকা বাঁচাতে নিজের নখ নিজেই"&amp;" করি। তাছাড়া, আমি ৯৯% সময় অফিসে দুপুরের খাবার নিয়ে আসি এবং নিজের কফি নিজেই বানাই। কিন্তু তবুও আমি টাকা নিয়ে এত চিন্তিত। আমি জানি না কেন আমার এত অপরাধবোধ হয়। আমি শুধু আশা করি আমি টাকা খুঁজে পাব এবং সে তা নেয়নি। আমি কি হাস্যকর এবং অতিরিক্ত প্রতিক্রিয়"&amp;"া দেখাচ্ছি? নাকি আমার উদ্বিগ্ন হওয়ার কোনও যুক্তিসঙ্গত কারণ আছে?")</f>
        <v>বজায় রাখার চেষ্টা করছি। কোন পরামর্শ? আমি গত বছর ধরে বন্ধুদের সাথে এই বছরের শেষের দিকে ভ্রমণের পরিকল্পনা করে টাকা জমাচ্ছি। খুব বেশি কিছু না, তবে যদি আমার বাইরে যাওয়ার টাকা থাকে বা যা কিছু আমি রেখে দিতাম, তাহলে আমি তা লুকিয়ে রাখতাম। গতবার আমি গুনছিলাম, যোগ হয়েছে কয়েকশ। বড়দিন থেকে আমি একটু বেশি পেয়েছি কিন্তু আমার জীবনের জন্য আমি আমার সঞ্চয় খুঁজে পাচ্ছি না। আমি ভেবেছিলাম আমি এটি লুকিয়ে রেখেছি, কিন্তু হয়তো আমি এটি সরিয়ে ফেলেছি? আমার স্বামী টাকার ব্যাপারে খুবই ভয়াবহ, তাই এটিই ছিল আমার সঞ্চয়ের একটি উপায়। হয়তো সে লুকিয়ে রেখেছিল এবং এটি খুঁজে পেয়েছি? আমি তাকে জিজ্ঞাসা করতে ভয় পাচ্ছি কারণ আমি জানি সে ভয় পাবে। হয়তো আমি ভুলে গেছি যে আমি এটি কোথায় সরিয়েছি? এটি আমাকে পাগল করে তুলছে। টাকা আমাদের জন্য স্পর্শকাতর এবং আমি যদি এটি হারিয়ে ফেলি তবে আমার খারাপ লাগবে। এটি ঘুম না হওয়া এবং কর্মক্ষেত্রে একটি কঠিন দিনের উপরে, এটি আমাকে উদ্বেগের আক্রমণ করছে। আমি আমার স্বামীকে না জানানোর জন্য অনেক চেষ্টা করছি। আমি খুব অপরাধবোধ করছি। সে দ্বিতীয়বার চিন্তা না করেই পাগলের মতো খরচ করে এবং আমি যদি অর্থের উদ্বেগের কথা বলি তবে সে ভয় পায়। আমি টাকা জমাই, পরিশ্রম করি, কিন্তু খরচও কম করি। আমি আমার জামাকাপড় এবং জুতা ছিদ্র না হওয়া পর্যন্ত জীর্ণ করি, তারপর নিজেই সেগুলো মেরামত করার চেষ্টা করি। তাছাড়া, আমি ছাঁটাই করি; নিজের চুল নিজেই রঙ করি এবং টাকা বাঁচাতে নিজের নখ নিজেই করি। তাছাড়া, আমি ৯৯% সময় অফিসে দুপুরের খাবার নিয়ে আসি এবং নিজের কফি নিজেই বানাই। কিন্তু তবুও আমি টাকা নিয়ে এত চিন্তিত। আমি জানি না কেন আমার এত অপরাধবোধ হয়। আমি শুধু আশা করি আমি টাকা খুঁজে পাব এবং সে তা নেয়নি। আমি কি হাস্যকর এবং অতিরিক্ত প্রতিক্রিয়া দেখাচ্ছি? নাকি আমার উদ্বিগ্ন হওয়ার কোনও যুক্তিসঙ্গত কারণ আছে?</v>
      </c>
    </row>
    <row r="2301" spans="1:3" ht="15" x14ac:dyDescent="0.25">
      <c r="A2301" s="3" t="s">
        <v>2294</v>
      </c>
      <c r="B2301" s="3" t="s">
        <v>1992</v>
      </c>
      <c r="C2301" s="4" t="str">
        <f ca="1">IFERROR(__xludf.DUMMYFUNCTION("GOOGLETRANSLATE(A2301, ""auto"", ""bn"")"),"অপরিচিত মনে হচ্ছে সবাইকে হ্যালো। F/27। সম্প্রতি আমি বুঝতে পেরেছি কেন আমি বেশিরভাগ সময়ই খারাপ বোধ করি। আমার খারাপ লাগে কারণ আমি বিশ্বাস করি যে আমার মধ্যে কিছু একটা সহজাত ভুল আছে (আমি স্বাভাবিক নই)। আমি অন্য সবার মতো নই এবং আমার ব্যক্তিত্ব এবং আমার সাথে সম"&amp;"্পর্কযুক্ত পদ্ধতিতে কিছু একটা ভুল আছে। এবং আমি প্রতিদিন লড়াই করি কারণ আমি আরও ভালো বোধ করতে চাই, তাই আমি আমার চিন্তাভাবনাগুলিকে নতুন করে সাজানোর চেষ্টা করি, কিন্তু তারপর, আমার একটি অংশ মনে করে: কেন অপরিবর্তনীয় পরিবর্তন করব? আমি ক্রমাগত অনুভব করি যে আমি "&amp;"নকল এবং অপ্রমাণিত। আমি ক্রমাগত পুনরাবৃত্তি করি যে আমি একজন পাগল এবং খারাপ ব্যক্তি। এটা ক্লান্তিকর। আমি যা বলি তা ফিল্টার করি না কারণ আমি অন্যদের কাছ থেকে আশ্বাস চাই ... কিন্তু এটি কখনও কাজ করে না। এবং ফিল্টার ছাড়া কিছু বলা আমাকে উদ্বিগ্ন করে তোলে। অন্য ক"&amp;"েউ কি এইরকম অনুভব করে? ধন্যবাদ!")</f>
        <v>অপরিচিত মনে হচ্ছে সবাইকে হ্যালো। F/27। সম্প্রতি আমি বুঝতে পেরেছি কেন আমি বেশিরভাগ সময়ই খারাপ বোধ করি। আমার খারাপ লাগে কারণ আমি বিশ্বাস করি যে আমার মধ্যে কিছু একটা সহজাত ভুল আছে (আমি স্বাভাবিক নই)। আমি অন্য সবার মতো নই এবং আমার ব্যক্তিত্ব এবং আমার সাথে সম্পর্কযুক্ত পদ্ধতিতে কিছু একটা ভুল আছে। এবং আমি প্রতিদিন লড়াই করি কারণ আমি আরও ভালো বোধ করতে চাই, তাই আমি আমার চিন্তাভাবনাগুলিকে নতুন করে সাজানোর চেষ্টা করি, কিন্তু তারপর, আমার একটি অংশ মনে করে: কেন অপরিবর্তনীয় পরিবর্তন করব? আমি ক্রমাগত অনুভব করি যে আমি নকল এবং অপ্রমাণিত। আমি ক্রমাগত পুনরাবৃত্তি করি যে আমি একজন পাগল এবং খারাপ ব্যক্তি। এটা ক্লান্তিকর। আমি যা বলি তা ফিল্টার করি না কারণ আমি অন্যদের কাছ থেকে আশ্বাস চাই ... কিন্তু এটি কখনও কাজ করে না। এবং ফিল্টার ছাড়া কিছু বলা আমাকে উদ্বিগ্ন করে তোলে। অন্য কেউ কি এইরকম অনুভব করে? ধন্যবাদ!</v>
      </c>
    </row>
    <row r="2302" spans="1:3" ht="15" x14ac:dyDescent="0.25">
      <c r="A2302" s="5" t="s">
        <v>2295</v>
      </c>
      <c r="B2302" s="3" t="s">
        <v>1992</v>
      </c>
      <c r="C2302" s="4" t="str">
        <f ca="1">IFERROR(__xludf.DUMMYFUNCTION("GOOGLETRANSLATE(A2302, ""auto"", ""bn"")"),"বিছানা থেকে উঠো' স্ন্যাপচ্যাট বাডস (বিষণ্ণতা/উদ্বেগের জন্য) আমরা যখন 0 তে ছবি তুলতাম তখনই ছবি তুলতাম। ঘুমাতে লগ অফ ১. ঘুম থেকে ওঠা ২. গোসল ৩. ব্রাশ ৪. পরিষ্কার ৫. বাইরেও যেতাম যখন আমরা ৬. কিছুই করি না যাতে আমাদের খারাপ দিনগুলিতে কমপক্ষে ৩ বার ছবি তুলতে পা"&amp;"রি। আমি ভেবেছিলাম ধীরে ধীরে হতাশা থেকে বেরিয়ে আসার জন্য এটি কার্যকর হবে। আমি নিজেকে দেখাবো না এবং আমার তোমাকে দেখার প্রয়োজন নেই। আমি দেখতে পছন্দ করি না RN যদিও আমি বেশিরভাগের জন্য উন্মুক্ত, কেবল সামঞ্জস্যপূর্ণ বন্ধু খুঁজে বের করার জন্য আমার সম্পর্কে কিছ"&amp;"ু জিনিস যোগ করছি: আমার রক্ষণশীল মূল্যবোধ আছে কিন্তু আমি রক্ষণশীল নই, বাস্তববাদীর মতো। সরল। বুদ্ধিমত্তা পছন্দ করে। একগুঁয়ে। অলস। কঠোর পরিশ্রমী যখন আমি কোনওভাবে কোনও লক্ষ্যে প্রতিশ্রুতিবদ্ধ হতে পারি। তীব্র হতাশাগ্রস্ত কিন্তু স্থিতিশীল। **যদি আপনি বন্ধু হতে"&amp;" চান, তাহলে আমার মতো করে নিজের সম্পর্কে আমাকে বার্তা দিন ^ এবং আপনি যদি এই পোস্টে যেমন লিখেছিলেন তেমন করে ছবি তুলতে চান তবে আমাকে বলুন। এটুকুই।** ১৮-৩০ বছর বয়সীরা PST-এর আশেপাশের মানুষ কিন্তু সর্বত্র উন্মুক্ত")</f>
        <v>বিছানা থেকে উঠো' স্ন্যাপচ্যাট বাডস (বিষণ্ণতা/উদ্বেগের জন্য) আমরা যখন 0 তে ছবি তুলতাম তখনই ছবি তুলতাম। ঘুমাতে লগ অফ ১. ঘুম থেকে ওঠা ২. গোসল ৩. ব্রাশ ৪. পরিষ্কার ৫. বাইরেও যেতাম যখন আমরা ৬. কিছুই করি না যাতে আমাদের খারাপ দিনগুলিতে কমপক্ষে ৩ বার ছবি তুলতে পারি। আমি ভেবেছিলাম ধীরে ধীরে হতাশা থেকে বেরিয়ে আসার জন্য এটি কার্যকর হবে। আমি নিজেকে দেখাবো না এবং আমার তোমাকে দেখার প্রয়োজন নেই। আমি দেখতে পছন্দ করি না RN যদিও আমি বেশিরভাগের জন্য উন্মুক্ত, কেবল সামঞ্জস্যপূর্ণ বন্ধু খুঁজে বের করার জন্য আমার সম্পর্কে কিছু জিনিস যোগ করছি: আমার রক্ষণশীল মূল্যবোধ আছে কিন্তু আমি রক্ষণশীল নই, বাস্তববাদীর মতো। সরল। বুদ্ধিমত্তা পছন্দ করে। একগুঁয়ে। অলস। কঠোর পরিশ্রমী যখন আমি কোনওভাবে কোনও লক্ষ্যে প্রতিশ্রুতিবদ্ধ হতে পারি। তীব্র হতাশাগ্রস্ত কিন্তু স্থিতিশীল। **যদি আপনি বন্ধু হতে চান, তাহলে আমার মতো করে নিজের সম্পর্কে আমাকে বার্তা দিন ^ এবং আপনি যদি এই পোস্টে যেমন লিখেছিলেন তেমন করে ছবি তুলতে চান তবে আমাকে বলুন। এটুকুই।** ১৮-৩০ বছর বয়সীরা PST-এর আশেপাশের মানুষ কিন্তু সর্বত্র উন্মুক্ত</v>
      </c>
    </row>
    <row r="2303" spans="1:3" ht="15" x14ac:dyDescent="0.25">
      <c r="A2303" s="3" t="s">
        <v>2296</v>
      </c>
      <c r="B2303" s="3" t="s">
        <v>1992</v>
      </c>
      <c r="C2303" s="4" t="str">
        <f ca="1">IFERROR(__xludf.DUMMYFUNCTION("GOOGLETRANSLATE(A2303, ""auto"", ""bn"")"),"আমার মনে হচ্ছে আমি অবশেষে উদ্বেগ এবং বিষণ্ণতার বিরুদ্ধে যুদ্ধে জয়ী হচ্ছি। তাই, ৩১শে ডিসেম্বর থেকে আমি এই লোশন-জাতীয় জিনিসটি ব্যবহার শুরু করেছি যা আপনার উদ্বেগকে শান্ত করতে এবং আপনাকে আরও ইতিবাচক বোধ করতে সাহায্য করবে বলে মনে করা হচ্ছে। আমি জানি না এটি আ"&amp;"সলে কাজ করেছে কিনা, নাকি আমার মস্তিষ্ক কেবল নিজেকে প্রতারণা করে ভাবিয়েছে যে এটি কাজ করছে, তবে আমি তখন থেকে প্রতিদিন এটি ব্যবহার করে আসছি এবং আমি বলতে বাধ্য হচ্ছি যে এটি আসলেই শেষ ধাক্কা যা আমাকে আমার হতাশার সাথে লড়াইয়ে ঠেলে দিয়েছে, এবং আমি মনে করি আমি"&amp;" জিতছি। আমি প্রতিদিন এটি ব্যবহার করেছি, আমি অত্যন্ত ইতিবাচক ছিলাম, এবং গত মাসে আমি নিজেকে কেটে ফেলছিলাম এবং আত্মহত্যা করতে চাইছিলাম তা বিবেচনা করে এটি আমার কাছে সম্পূর্ণ হতবাক করে দেয়। আমি নিশ্চিত যে এই আত্মবিশ্বাস এবং ইতিবাচকতা চিরকাল স্থায়ী হবে না, তব"&amp;"ে আমি যদি আবার হতাশায় পড়ে যাই তবেও আমি জানি এই সাফল্য আমাকে দেখাবে যে আমি কতটা সহজেই এটি থেকে বেরিয়ে আসতে পারি এবং আমার পায়ে ফিরে আসতে পারি। আমার মনে হয় আমি এই পোস্টটি করেছি শুধুমাত্র অন্যান্য হতাশাগ্রস্ত মানুষকে দেখানোর জন্য যে এটি অসম্ভব নয়, এবং আ"&amp;"পনি অবশেষে আরও ভাল বোধ করবেন।")</f>
        <v>আমার মনে হচ্ছে আমি অবশেষে উদ্বেগ এবং বিষণ্ণতার বিরুদ্ধে যুদ্ধে জয়ী হচ্ছি। তাই, ৩১শে ডিসেম্বর থেকে আমি এই লোশন-জাতীয় জিনিসটি ব্যবহার শুরু করেছি যা আপনার উদ্বেগকে শান্ত করতে এবং আপনাকে আরও ইতিবাচক বোধ করতে সাহায্য করবে বলে মনে করা হচ্ছে। আমি জানি না এটি আসলে কাজ করেছে কিনা, নাকি আমার মস্তিষ্ক কেবল নিজেকে প্রতারণা করে ভাবিয়েছে যে এটি কাজ করছে, তবে আমি তখন থেকে প্রতিদিন এটি ব্যবহার করে আসছি এবং আমি বলতে বাধ্য হচ্ছি যে এটি আসলেই শেষ ধাক্কা যা আমাকে আমার হতাশার সাথে লড়াইয়ে ঠেলে দিয়েছে, এবং আমি মনে করি আমি জিতছি। আমি প্রতিদিন এটি ব্যবহার করেছি, আমি অত্যন্ত ইতিবাচক ছিলাম, এবং গত মাসে আমি নিজেকে কেটে ফেলছিলাম এবং আত্মহত্যা করতে চাইছিলাম তা বিবেচনা করে এটি আমার কাছে সম্পূর্ণ হতবাক করে দেয়। আমি নিশ্চিত যে এই আত্মবিশ্বাস এবং ইতিবাচকতা চিরকাল স্থায়ী হবে না, তবে আমি যদি আবার হতাশায় পড়ে যাই তবেও আমি জানি এই সাফল্য আমাকে দেখাবে যে আমি কতটা সহজেই এটি থেকে বেরিয়ে আসতে পারি এবং আমার পায়ে ফিরে আসতে পারি। আমার মনে হয় আমি এই পোস্টটি করেছি শুধুমাত্র অন্যান্য হতাশাগ্রস্ত মানুষকে দেখানোর জন্য যে এটি অসম্ভব নয়, এবং আপনি অবশেষে আরও ভাল বোধ করবেন।</v>
      </c>
    </row>
    <row r="2304" spans="1:3" ht="15" x14ac:dyDescent="0.25">
      <c r="A2304" s="3" t="s">
        <v>2297</v>
      </c>
      <c r="B2304" s="3" t="s">
        <v>1992</v>
      </c>
      <c r="C2304" s="4" t="str">
        <f ca="1">IFERROR(__xludf.DUMMYFUNCTION("GOOGLETRANSLATE(A2304, ""auto"", ""bn"")"),"ফাতিমা? ফাতিমার সাথে কারো অভিজ্ঞতা আছে? আমি ইফেক্টর ব্যবহার করছি কিন্তু ক্লান্তি এবং ওজন বৃদ্ধি খুব বেশি। ভাবছি ফাতিমা ব্যবহারকারীদের শক্তি বৃদ্ধি পেয়েছে কিনা এবং ওজনের উপর এর প্রভাব কী?")</f>
        <v>ফাতিমা? ফাতিমার সাথে কারো অভিজ্ঞতা আছে? আমি ইফেক্টর ব্যবহার করছি কিন্তু ক্লান্তি এবং ওজন বৃদ্ধি খুব বেশি। ভাবছি ফাতিমা ব্যবহারকারীদের শক্তি বৃদ্ধি পেয়েছে কিনা এবং ওজনের উপর এর প্রভাব কী?</v>
      </c>
    </row>
    <row r="2305" spans="1:3" ht="15" x14ac:dyDescent="0.25">
      <c r="A2305" s="3" t="s">
        <v>2298</v>
      </c>
      <c r="B2305" s="3" t="s">
        <v>1992</v>
      </c>
      <c r="C2305" s="4" t="str">
        <f ca="1">IFERROR(__xludf.DUMMYFUNCTION("GOOGLETRANSLATE(A2305, ""auto"", ""bn"")"),"অন্য কেউ যখন তাদের সোশ্যাল মিডিয়া অ্যাকাউন্ট মুছে ফেলে, তখন কি ভালো বোধ করে? আমার মনে আছে কিছুদিন আগে আমার ফেসবুক অ্যাকাউন্ট মুছে ফেলা হয়েছিল এবং সেটা করার পর অনেক ভালো বোধ করছি। আর আমি খুব শীঘ্রই অন্যান্য সোশ্যাল মিডিয়া দিয়ে আবারও এটা করার কথা ভাবছি।"&amp;" সত্যি বলতে, সোশ্যাল মিডিয়া একেবারেই আবর্জনা। আমি দেখছি এই সব মানুষ তাদের জীবনযাপন করছে, দুর্দান্ত অভিজ্ঞতা অর্জন করছে এবং অনেক মনোযোগ পাচ্ছে, কিন্তু ইতিমধ্যে আমি আমার ঘরে পচে যাচ্ছি, কেউ আমার খোঁজখবর নেবে, অথবা আমার বর্তমান জীবন থেকে দূরে সরে যাওয়ার সু"&amp;"যোগ পাবে... যতই দুঃখজনক মনে হোক না কেন, তারা আমাকে আমার বর্তমান পরিস্থিতিকে আগের চেয়ে অনেক বেশি ঘৃণা করতে বাধ্য করে, এবং আমার মনে হয় না আমার সেই ১০০% প্রয়োজন। তোমাদের কী হবে?")</f>
        <v>অন্য কেউ যখন তাদের সোশ্যাল মিডিয়া অ্যাকাউন্ট মুছে ফেলে, তখন কি ভালো বোধ করে? আমার মনে আছে কিছুদিন আগে আমার ফেসবুক অ্যাকাউন্ট মুছে ফেলা হয়েছিল এবং সেটা করার পর অনেক ভালো বোধ করছি। আর আমি খুব শীঘ্রই অন্যান্য সোশ্যাল মিডিয়া দিয়ে আবারও এটা করার কথা ভাবছি। সত্যি বলতে, সোশ্যাল মিডিয়া একেবারেই আবর্জনা। আমি দেখছি এই সব মানুষ তাদের জীবনযাপন করছে, দুর্দান্ত অভিজ্ঞতা অর্জন করছে এবং অনেক মনোযোগ পাচ্ছে, কিন্তু ইতিমধ্যে আমি আমার ঘরে পচে যাচ্ছি, কেউ আমার খোঁজখবর নেবে, অথবা আমার বর্তমান জীবন থেকে দূরে সরে যাওয়ার সুযোগ পাবে... যতই দুঃখজনক মনে হোক না কেন, তারা আমাকে আমার বর্তমান পরিস্থিতিকে আগের চেয়ে অনেক বেশি ঘৃণা করতে বাধ্য করে, এবং আমার মনে হয় না আমার সেই ১০০% প্রয়োজন। তোমাদের কী হবে?</v>
      </c>
    </row>
    <row r="2306" spans="1:3" ht="15" x14ac:dyDescent="0.25">
      <c r="A2306" s="3" t="s">
        <v>2299</v>
      </c>
      <c r="B2306" s="3" t="s">
        <v>1992</v>
      </c>
      <c r="C2306" s="4" t="str">
        <f ca="1">IFERROR(__xludf.DUMMYFUNCTION("GOOGLETRANSLATE(A2306, ""auto"", ""bn"")"),"সংক্ষেপে বলতে গেলে, আমার বাইপোলার II রোগ ধরা পড়েছে, যার সাথে আমার উদ্বেগজনিত ব্যাধি রয়েছে। অক্টোবরের এক সপ্তাহান্তে আমি ওষুধ খেতে পারিনি, এবং তারপর থেকে আমি খুব অসুস্থ। আমি এতটাই উদ্বিগ্ন যে, যখনই কোনও সামাজিক যোগাযোগের প্রয়োজন হয়, তখনই ঘাম ঝরতে শুরু "&amp;"করে, যদি না আমি অন্য ব্যক্তির খুব কাছাকাছি থাকি, এমনকি তখনও শ্বাস নিতে কষ্ট হয় এবং আমার হৃদয় ব্যথা করে। তাছাড়া, সেই সপ্তাহান্ত থেকে আমি আবার ওষুধ খেতে শুরু করেছি, কিন্তু আমার মনে হয় না যে এগুলো আর কাজ করছে; আমি যদি এগুলো না খাই তাহলে কেমন লাগবে তা ভেব"&amp;"েও ভীত। তাছাড়া, আমার বীমার মেয়াদ শেষ হয়ে গেছে এবং এই মাসটিই আমার শেষ মাস। আমি আর কী করব তা জানি না।")</f>
        <v>সংক্ষেপে বলতে গেলে, আমার বাইপোলার II রোগ ধরা পড়েছে, যার সাথে আমার উদ্বেগজনিত ব্যাধি রয়েছে। অক্টোবরের এক সপ্তাহান্তে আমি ওষুধ খেতে পারিনি, এবং তারপর থেকে আমি খুব অসুস্থ। আমি এতটাই উদ্বিগ্ন যে, যখনই কোনও সামাজিক যোগাযোগের প্রয়োজন হয়, তখনই ঘাম ঝরতে শুরু করে, যদি না আমি অন্য ব্যক্তির খুব কাছাকাছি থাকি, এমনকি তখনও শ্বাস নিতে কষ্ট হয় এবং আমার হৃদয় ব্যথা করে। তাছাড়া, সেই সপ্তাহান্ত থেকে আমি আবার ওষুধ খেতে শুরু করেছি, কিন্তু আমার মনে হয় না যে এগুলো আর কাজ করছে; আমি যদি এগুলো না খাই তাহলে কেমন লাগবে তা ভেবেও ভীত। তাছাড়া, আমার বীমার মেয়াদ শেষ হয়ে গেছে এবং এই মাসটিই আমার শেষ মাস। আমি আর কী করব তা জানি না।</v>
      </c>
    </row>
    <row r="2307" spans="1:3" ht="15" x14ac:dyDescent="0.25">
      <c r="A2307" s="3" t="s">
        <v>2300</v>
      </c>
      <c r="B2307" s="3" t="s">
        <v>1992</v>
      </c>
      <c r="C2307" s="4" t="str">
        <f ca="1">IFERROR(__xludf.DUMMYFUNCTION("GOOGLETRANSLATE(A2307, ""auto"", ""bn"")"),"ভ্রমণ আমি যখনই নিউ ইয়র্ক সিটিতে যাই, আমার একটা প্যানিক অ্যাটাক হয়। শেষবার যখন আমি সেখানে গিয়েছিলাম প্রায় ৫ বছর আগে। যে রাতে আমি পৌঁছাই, উত্তেজনা এবং ক্লাস্ট্রোফোবিয়া খুব বেশি হয়ে যায় এবং আমি আতঙ্কিত হয়ে পড়ি। আমি আমার বাড়ি ফেরার পরিকল্পনা করি তার"&amp;"পর সাধারণত বাকি ভ্রমণের জন্য তাড়াহুড়ো করে বেরিয়ে পড়ি এবং নিজেকে উপভোগ করি। আমি আগামীকাল নিউ ইয়র্ক সিটিতে যাচ্ছি এবং আমি কি ভয় পাচ্ছি? তাছাড়া, আমি পরিকল্পিত কার্যকলাপগুলি নিয়ে উত্তেজিত, কিন্তু উদ্বেগের উদ্বেগকে আমি ঘৃণা করি। তা ছাড়া, আমার ঠান্ডা ল"&amp;"েগে যাচ্ছে। আর কারো কি এইরকম হয়? আমি কয়েক সপ্তাহ আগে লন্ডন গিয়েছিলাম এবং এটি খুব ভালো লেগেছিল। বিমানে ওঠার আগে কেবল আতঙ্কিত ছিলাম। তোমাকে কী সাহায্য করে?")</f>
        <v>ভ্রমণ আমি যখনই নিউ ইয়র্ক সিটিতে যাই, আমার একটা প্যানিক অ্যাটাক হয়। শেষবার যখন আমি সেখানে গিয়েছিলাম প্রায় ৫ বছর আগে। যে রাতে আমি পৌঁছাই, উত্তেজনা এবং ক্লাস্ট্রোফোবিয়া খুব বেশি হয়ে যায় এবং আমি আতঙ্কিত হয়ে পড়ি। আমি আমার বাড়ি ফেরার পরিকল্পনা করি তারপর সাধারণত বাকি ভ্রমণের জন্য তাড়াহুড়ো করে বেরিয়ে পড়ি এবং নিজেকে উপভোগ করি। আমি আগামীকাল নিউ ইয়র্ক সিটিতে যাচ্ছি এবং আমি কি ভয় পাচ্ছি? তাছাড়া, আমি পরিকল্পিত কার্যকলাপগুলি নিয়ে উত্তেজিত, কিন্তু উদ্বেগের উদ্বেগকে আমি ঘৃণা করি। তা ছাড়া, আমার ঠান্ডা লেগে যাচ্ছে। আর কারো কি এইরকম হয়? আমি কয়েক সপ্তাহ আগে লন্ডন গিয়েছিলাম এবং এটি খুব ভালো লেগেছিল। বিমানে ওঠার আগে কেবল আতঙ্কিত ছিলাম। তোমাকে কী সাহায্য করে?</v>
      </c>
    </row>
    <row r="2308" spans="1:3" ht="15" x14ac:dyDescent="0.25">
      <c r="A2308" s="3" t="s">
        <v>2301</v>
      </c>
      <c r="B2308" s="3" t="s">
        <v>1992</v>
      </c>
      <c r="C2308" s="4" t="str">
        <f ca="1">IFERROR(__xludf.DUMMYFUNCTION("GOOGLETRANSLATE(A2308, ""auto"", ""bn"")"),"সত্যিই নিজের মতো লাগছে না হাই! এখানে কখনও পোস্ট করিনি কিন্তু ATM-এ বেশ খারাপ লাগছে তাই চেষ্টা করে দেখার যোগ্য। আমি সত্যিই নিশ্চিত নই যে এটি উদ্বেগের কারণ কিনা, তবে আমি আমার মতো বোধ করি না। আমি সবকিছুর জন্য এত কঠোর পরিশ্রম করতাম এবং জিনিসগুলির প্রতি সত্যিক"&amp;"ারের আবেগ অনুভব করতাম, কিন্তু প্রায় 6 মাস আগে আমি থেমে গেলাম। আমার গ্রেডগুলি হঠাৎ করেই কমে গেছে এবং আমার সমস্ত আবেগ নিস্তেজ হয়ে যাচ্ছে। মনে হচ্ছে আমি এই নতুন আমি আমার জীবন নিয়ন্ত্রণ করতে দেখছি এবং আমার কোনও মতামত নেই, যদিও আমি কেবল কিছুটা নিয়ন্ত্রণ রা"&amp;"খতে চাই। আমি স্কুলের পাশাপাশি সম্প্রতি একটি নতুন চাকরি শুরু করেছি, এবং মনে হচ্ছে সবকিছু এত দ্রুত এবং নতুন আমি অটোপাইলটে চলছে যখন পুরানো আমি (অথবা ঠিক যেমনটি আমি অনুভব করি) পিছনে পড়ে আছে। অন্য কারো কি এই সমস্যা আছে বা আমি আগের মতো ফিরে যেতে জানি? ধন্যবাদ "&amp;":)")</f>
        <v>সত্যিই নিজের মতো লাগছে না হাই! এখানে কখনও পোস্ট করিনি কিন্তু ATM-এ বেশ খারাপ লাগছে তাই চেষ্টা করে দেখার যোগ্য। আমি সত্যিই নিশ্চিত নই যে এটি উদ্বেগের কারণ কিনা, তবে আমি আমার মতো বোধ করি না। আমি সবকিছুর জন্য এত কঠোর পরিশ্রম করতাম এবং জিনিসগুলির প্রতি সত্যিকারের আবেগ অনুভব করতাম, কিন্তু প্রায় 6 মাস আগে আমি থেমে গেলাম। আমার গ্রেডগুলি হঠাৎ করেই কমে গেছে এবং আমার সমস্ত আবেগ নিস্তেজ হয়ে যাচ্ছে। মনে হচ্ছে আমি এই নতুন আমি আমার জীবন নিয়ন্ত্রণ করতে দেখছি এবং আমার কোনও মতামত নেই, যদিও আমি কেবল কিছুটা নিয়ন্ত্রণ রাখতে চাই। আমি স্কুলের পাশাপাশি সম্প্রতি একটি নতুন চাকরি শুরু করেছি, এবং মনে হচ্ছে সবকিছু এত দ্রুত এবং নতুন আমি অটোপাইলটে চলছে যখন পুরানো আমি (অথবা ঠিক যেমনটি আমি অনুভব করি) পিছনে পড়ে আছে। অন্য কারো কি এই সমস্যা আছে বা আমি আগের মতো ফিরে যেতে জানি? ধন্যবাদ :)</v>
      </c>
    </row>
    <row r="2309" spans="1:3" ht="15" x14ac:dyDescent="0.25">
      <c r="A2309" s="3" t="s">
        <v>2302</v>
      </c>
      <c r="B2309" s="3" t="s">
        <v>1992</v>
      </c>
      <c r="C2309" s="4" t="str">
        <f ca="1">IFERROR(__xludf.DUMMYFUNCTION("GOOGLETRANSLATE(A2309, ""auto"", ""bn"")"),"চাকরির জন্য আবেদন করার ভয়। এটা সম্ভবত দেখা যাবে না কারণ এখন রাত, কিন্তু আমি ৬ মাস আগে স্নাতক শেষ করেছি, এবং আমি চাকরি পাইনি, তবুও আমি মাঝে মাঝে কয়েকটি চাকরির জন্য আবেদন করেছি এবং সেগুলি পাইনি, তবে আমার যত চাকরির জন্য আবেদন করা উচিত ছিল তার কাছাকাছিও কোথ"&amp;"াও নেই। আসলে, আমি কয়েক মাস ধরে আবেদন করিনি, যখন আমি আবেদন করেছি, তখন ইন্টারভিউয়ের আগেই প্রত্যাখ্যাত হয়েছি এবং সত্যি বলতে, আমি স্বস্তি পেয়েছি। আমার মাথায় অনেক চিন্তা ঘুরপাক খায়, প্রধানত আমি এই চাকরিতে পৌঁছানোর জন্য যথেষ্ট জ্ঞানী নই কারণ স্নাতক পদের জন"&amp;"্য অনেকগুলি প্রয়োজনীয়তার তালিকা থাকে। আমি এটা বলছি কারণ আমি প্রথম ডিগ্রি অর্জন করেছি (যদি আপনি যুক্তরাজ্য থেকে না হন তবে মূলত A)। আমি বিশ্ববিদ্যালয়ে সত্যিই ভালো করেছি কিন্তু তখন এবং এখন আমার মনে হচ্ছে আমি জ্যাককে চিনি। আমার জ্ঞানের অভাবের অর্থ হল আমি য"&amp;"দি রুমে যাই তবে সাক্ষাৎকার গ্রহণকারী আমাকে এমন একটি প্রশ্ন জিজ্ঞাসা করে যার উত্তর আমি দিতে পারি না, অথবা তারা আমাকে জিজ্ঞাসা করে যে স্নাতক হওয়ার পর থেকে আমি কী করেছি এবং আমার কোনও উত্তর নেই কারণ আমার কাছে কোনও ভাল উত্তর নেই এবং আমি বোকা দেখাই, অথবা আমি চ"&amp;"াকরি পাই এবং যথেষ্ট ভাল কর্মচারী না হওয়ার কারণে বরখাস্ত হই। আমার মাথা কেবল চাকরি নিয়ে নয়, জীবনের প্রতিটি দিক নিয়ে নেতিবাচক চিন্তায় ভরে যায়। আমি অনেক মানুষকে সংগ্রাম করতে দেখি কিন্তু সাফল্যের উপর ভিত্তি করে গড়ে তুলতে পারি, আমার ক্ষেত্রে তা ঘটে না। আ"&amp;"মি একটি চাকরির জন্য ইন্টারভিউ দিয়েছি (খুচরা বিক্রিতে) এবং আমাকে অফার করা হয়েছিল এবং ইন্টারভিউটি ভালোই হয়েছিল, এবং ঘন্টার পর ঘন্টার কারণে আমি তা গ্রহণ করতে পারিনি কিন্তু তারপর থেকে আমি খুচরা বিক্রির চাকরির জন্যও আবেদন করতে ভয় পাচ্ছি। আমি বিশ্ববিদ্যালয়"&amp;"ে ভালো নম্বর পাই, তবুও আমি এখনও অযোগ্য বোধ করি। তাছাড়া, আমার অনেক বন্ধু আছে, তবুও আমার মনে হয় আমি বোঝা, তাই আমি আড্ডা দিতে বলি না। তাছাড়া, আমার সত্যিই একটি চাকরির প্রয়োজন, আমি এখনই বলছি যে আমি একটির জন্য আবেদন করব। ঘুম থেকে উঠলে কেবল একটির জন্য। হয়তো জ"&amp;"নসাধারণের লজ্জার ভয় আমাকে এটি করতে রাজি করবে। আমি ভাবছি অন্য কেউ কি এই কাজটি কাটিয়ে উঠেছে এবং আমার জন্য কোন টিপস আছে? TL;DR: চাকরির জন্য আবেদন করতে খুব ভয় পাচ্ছি কারণ বিশ্ববিদ্যালয়ে ভালো করার পরেও আমি অযোগ্য বোধ করি, বড় হওয়ার এবং এটি কাটিয়ে ওঠার জন"&amp;"্য পরামর্শের প্রয়োজন।")</f>
        <v>চাকরির জন্য আবেদন করার ভয়। এটা সম্ভবত দেখা যাবে না কারণ এখন রাত, কিন্তু আমি ৬ মাস আগে স্নাতক শেষ করেছি, এবং আমি চাকরি পাইনি, তবুও আমি মাঝে মাঝে কয়েকটি চাকরির জন্য আবেদন করেছি এবং সেগুলি পাইনি, তবে আমার যত চাকরির জন্য আবেদন করা উচিত ছিল তার কাছাকাছিও কোথাও নেই। আসলে, আমি কয়েক মাস ধরে আবেদন করিনি, যখন আমি আবেদন করেছি, তখন ইন্টারভিউয়ের আগেই প্রত্যাখ্যাত হয়েছি এবং সত্যি বলতে, আমি স্বস্তি পেয়েছি। আমার মাথায় অনেক চিন্তা ঘুরপাক খায়, প্রধানত আমি এই চাকরিতে পৌঁছানোর জন্য যথেষ্ট জ্ঞানী নই কারণ স্নাতক পদের জন্য অনেকগুলি প্রয়োজনীয়তার তালিকা থাকে। আমি এটা বলছি কারণ আমি প্রথম ডিগ্রি অর্জন করেছি (যদি আপনি যুক্তরাজ্য থেকে না হন তবে মূলত A)। আমি বিশ্ববিদ্যালয়ে সত্যিই ভালো করেছি কিন্তু তখন এবং এখন আমার মনে হচ্ছে আমি জ্যাককে চিনি। আমার জ্ঞানের অভাবের অর্থ হল আমি যদি রুমে যাই তবে সাক্ষাৎকার গ্রহণকারী আমাকে এমন একটি প্রশ্ন জিজ্ঞাসা করে যার উত্তর আমি দিতে পারি না, অথবা তারা আমাকে জিজ্ঞাসা করে যে স্নাতক হওয়ার পর থেকে আমি কী করেছি এবং আমার কোনও উত্তর নেই কারণ আমার কাছে কোনও ভাল উত্তর নেই এবং আমি বোকা দেখাই, অথবা আমি চাকরি পাই এবং যথেষ্ট ভাল কর্মচারী না হওয়ার কারণে বরখাস্ত হই। আমার মাথা কেবল চাকরি নিয়ে নয়, জীবনের প্রতিটি দিক নিয়ে নেতিবাচক চিন্তায় ভরে যায়। আমি অনেক মানুষকে সংগ্রাম করতে দেখি কিন্তু সাফল্যের উপর ভিত্তি করে গড়ে তুলতে পারি, আমার ক্ষেত্রে তা ঘটে না। আমি একটি চাকরির জন্য ইন্টারভিউ দিয়েছি (খুচরা বিক্রিতে) এবং আমাকে অফার করা হয়েছিল এবং ইন্টারভিউটি ভালোই হয়েছিল, এবং ঘন্টার পর ঘন্টার কারণে আমি তা গ্রহণ করতে পারিনি কিন্তু তারপর থেকে আমি খুচরা বিক্রির চাকরির জন্যও আবেদন করতে ভয় পাচ্ছি। আমি বিশ্ববিদ্যালয়ে ভালো নম্বর পাই, তবুও আমি এখনও অযোগ্য বোধ করি। তাছাড়া, আমার অনেক বন্ধু আছে, তবুও আমার মনে হয় আমি বোঝা, তাই আমি আড্ডা দিতে বলি না। তাছাড়া, আমার সত্যিই একটি চাকরির প্রয়োজন, আমি এখনই বলছি যে আমি একটির জন্য আবেদন করব। ঘুম থেকে উঠলে কেবল একটির জন্য। হয়তো জনসাধারণের লজ্জার ভয় আমাকে এটি করতে রাজি করবে। আমি ভাবছি অন্য কেউ কি এই কাজটি কাটিয়ে উঠেছে এবং আমার জন্য কোন টিপস আছে? TL;DR: চাকরির জন্য আবেদন করতে খুব ভয় পাচ্ছি কারণ বিশ্ববিদ্যালয়ে ভালো করার পরেও আমি অযোগ্য বোধ করি, বড় হওয়ার এবং এটি কাটিয়ে ওঠার জন্য পরামর্শের প্রয়োজন।</v>
      </c>
    </row>
    <row r="2310" spans="1:3" ht="15" x14ac:dyDescent="0.25">
      <c r="A2310" s="3" t="s">
        <v>2303</v>
      </c>
      <c r="B2310" s="3" t="s">
        <v>1992</v>
      </c>
      <c r="C2310" s="4" t="str">
        <f ca="1">IFERROR(__xludf.DUMMYFUNCTION("GOOGLETRANSLATE(A2310, ""auto"", ""bn"")"),"জানালার ঘরে যাওয়ার পর আমার খুব খারাপ এবং একাকী লাগছে। এই নতুন চাকরিতে যোগদানের মাত্র দুই সপ্তাহ হয়েছে। আমি আমার ডেস্কের আশেপাশের কয়েকজনের সাথে কথা বলেছি এবং এই চাকরিতে সবেমাত্র স্বাচ্ছন্দ্য বোধ করতে শুরু করেছি। আমার বস আমাকে জিজ্ঞাসা করেছিলেন যে আমি জা"&amp;"নালার ঘরে যেতে চাই কিনা এবং আমি চিন্তা না করেই বলেছিলাম ঠিক আছে! আমার টাকা পয়সা ভালো লাগে না। আগে আমি মানুষের মাঝখানে থাকতাম, কিন্তু এখন আমি কেবল জানালার সামনে থাকি। অফিসের বাকিদের থেকে আমার বিচ্ছিন্নতা বোধ হয়। আমার মনে হচ্ছে আমি এখানে শুকিয়ে যাব, যেন "&amp;"আমি এখন আর কখনও বন্ধুত্ব করতে পারব না। তাছাড়া, আমি এখন এমন বৃদ্ধদের কাছাকাছি আছি যারা কখনও কারও সাথে কথা বলে না।")</f>
        <v>জানালার ঘরে যাওয়ার পর আমার খুব খারাপ এবং একাকী লাগছে। এই নতুন চাকরিতে যোগদানের মাত্র দুই সপ্তাহ হয়েছে। আমি আমার ডেস্কের আশেপাশের কয়েকজনের সাথে কথা বলেছি এবং এই চাকরিতে সবেমাত্র স্বাচ্ছন্দ্য বোধ করতে শুরু করেছি। আমার বস আমাকে জিজ্ঞাসা করেছিলেন যে আমি জানালার ঘরে যেতে চাই কিনা এবং আমি চিন্তা না করেই বলেছিলাম ঠিক আছে! আমার টাকা পয়সা ভালো লাগে না। আগে আমি মানুষের মাঝখানে থাকতাম, কিন্তু এখন আমি কেবল জানালার সামনে থাকি। অফিসের বাকিদের থেকে আমার বিচ্ছিন্নতা বোধ হয়। আমার মনে হচ্ছে আমি এখানে শুকিয়ে যাব, যেন আমি এখন আর কখনও বন্ধুত্ব করতে পারব না। তাছাড়া, আমি এখন এমন বৃদ্ধদের কাছাকাছি আছি যারা কখনও কারও সাথে কথা বলে না।</v>
      </c>
    </row>
    <row r="2311" spans="1:3" ht="15" x14ac:dyDescent="0.25">
      <c r="A2311" s="3" t="s">
        <v>2304</v>
      </c>
      <c r="B2311" s="3" t="s">
        <v>1992</v>
      </c>
      <c r="C2311" s="4" t="str">
        <f ca="1">IFERROR(__xludf.DUMMYFUNCTION("GOOGLETRANSLATE(A2311, ""auto"", ""bn"")"),"আমার পড়াশোনার সাথে উদ্বেগের সম্পর্ক ছিন্ন হয়ে যাচ্ছে, আমি মনোযোগ দিতে পারছি না, আর আমার গ্রেডও অনেক কমে গেছে। আমি ক্রমশ সমস্যায় পড়ছি, আর এর কারণ আমার উদ্বেগ।")</f>
        <v>আমার পড়াশোনার সাথে উদ্বেগের সম্পর্ক ছিন্ন হয়ে যাচ্ছে, আমি মনোযোগ দিতে পারছি না, আর আমার গ্রেডও অনেক কমে গেছে। আমি ক্রমশ সমস্যায় পড়ছি, আর এর কারণ আমার উদ্বেগ।</v>
      </c>
    </row>
    <row r="2312" spans="1:3" ht="15" x14ac:dyDescent="0.25">
      <c r="A2312" s="3" t="s">
        <v>2305</v>
      </c>
      <c r="B2312" s="3" t="s">
        <v>1992</v>
      </c>
      <c r="C2312" s="4" t="str">
        <f ca="1">IFERROR(__xludf.DUMMYFUNCTION("GOOGLETRANSLATE(A2312, ""auto"", ""bn"")"),"আঙুল দিয়ে শরীরের কোনও অংশ স্পর্শ করার সময় হঠাৎ কষ্ট এবং উদ্বেগ (একটি অন্যটি সহ) আমি জানি না এটি এখানে প্রযোজ্য কিনা, তবে এই ধরণের সাবরেডিটে আসাটা উপযুক্ত বলে মনে হয়েছিল। আমি নিয়মিত এবং সম্পূর্ণ ক্ষতিকারক পরিস্থিতি এবং জিনিসগুলি সম্পর্কে ভীত বা নার্ভাস ব"&amp;"োধ করছি। আমি এখন কোনও উদাহরণ মনে করতে পারছি না, তবে সত্যিই সাধারণ দৈনন্দিন ঘটনা যেমন কেউ অন্যকে একটি সংবাদপত্র দিচ্ছে (শুধু একটি উদাহরণ), আমার এমন অনুভূতি হতে পারে। তাছাড়া, কিছু সময় আগে আমি আবার ভয় পেতে শুরু করেছিলাম (আমি সর্বদা কিছুটা উদ্বিগ্ন বা চাপে "&amp;"থাকি, তবে এটি বেশ কয়েকবার সর্বোচ্চ পর্যায়ে পৌঁছেছে), এবং তারপরে কোনও কারণে আমার আঙুলগুলি একে অপরের সাথে স্পর্শ করার কারণে (যতটা সম্ভব হাত ছড়িয়ে দিয়ে টাইপ করা) বা আমার শরীরের অন্যান্য অংশে আমি নার্ভাস/ভয় বোধ করতে শুরু করি, এবং যখন এটি করে তখন এটি একটি"&amp;" বড় অস্বস্তি তৈরি করে। এটি সম্ভবত পাগলাটে বা ভুয়া শোনাচ্ছে, তবে আমি আসলে এটি অনুভব করি। আমারও মনে হচ্ছে আমি কোনওভাবে এই প্রতিক্রিয়াটি (?) করতে চাইছি, এবং আমি এটি থেকে বেরিয়ে আসতে পারি, কিন্তু পরিবর্তে তাদের স্পর্শ আমাকে কষ্ট দিচ্ছে এবং আমাকে কাঁদাচ্ছে"&amp;"। আমি বেশ কিছু চাপের সময় পার করেছি, বিশেষ করে অক্টোবর মাস থেকে, এবং আমার মনে হয় এটি এর সাথে সম্পর্কিত। কিন্তু আমি কেবল জানতে চেয়েছিলাম যে এখানে কারো সাথে এরকম কিছু ঘটেছে কিনা (যদি এটি সত্যিই সাধারণ ঘটনা হয় তবে আমি দুঃখিত, আমার মনে হয়েছিল আমি এখানে সা"&amp;"হায্য চাইতে পারি এবং অন্যান্য পোস্টগুলি পড়েনি - যদি এটি তাই হয় তবে আমার পোস্টটি সরিয়ে ফেলতে দ্বিধা করবেন না), এবং এটি কী হতে পারে যাতে আমি এটি বুঝতে পারি। সম্ভাব্য অসুবিধার জন্য দুঃখিত। এবং আমার দুর্বল ইংরেজির জন্য (আমার মাতৃভাষা নয়)। ধন্যবাদ।")</f>
        <v>আঙুল দিয়ে শরীরের কোনও অংশ স্পর্শ করার সময় হঠাৎ কষ্ট এবং উদ্বেগ (একটি অন্যটি সহ) আমি জানি না এটি এখানে প্রযোজ্য কিনা, তবে এই ধরণের সাবরেডিটে আসাটা উপযুক্ত বলে মনে হয়েছিল। আমি নিয়মিত এবং সম্পূর্ণ ক্ষতিকারক পরিস্থিতি এবং জিনিসগুলি সম্পর্কে ভীত বা নার্ভাস বোধ করছি। আমি এখন কোনও উদাহরণ মনে করতে পারছি না, তবে সত্যিই সাধারণ দৈনন্দিন ঘটনা যেমন কেউ অন্যকে একটি সংবাদপত্র দিচ্ছে (শুধু একটি উদাহরণ), আমার এমন অনুভূতি হতে পারে। তাছাড়া, কিছু সময় আগে আমি আবার ভয় পেতে শুরু করেছিলাম (আমি সর্বদা কিছুটা উদ্বিগ্ন বা চাপে থাকি, তবে এটি বেশ কয়েকবার সর্বোচ্চ পর্যায়ে পৌঁছেছে), এবং তারপরে কোনও কারণে আমার আঙুলগুলি একে অপরের সাথে স্পর্শ করার কারণে (যতটা সম্ভব হাত ছড়িয়ে দিয়ে টাইপ করা) বা আমার শরীরের অন্যান্য অংশে আমি নার্ভাস/ভয় বোধ করতে শুরু করি, এবং যখন এটি করে তখন এটি একটি বড় অস্বস্তি তৈরি করে। এটি সম্ভবত পাগলাটে বা ভুয়া শোনাচ্ছে, তবে আমি আসলে এটি অনুভব করি। আমারও মনে হচ্ছে আমি কোনওভাবে এই প্রতিক্রিয়াটি (?) করতে চাইছি, এবং আমি এটি থেকে বেরিয়ে আসতে পারি, কিন্তু পরিবর্তে তাদের স্পর্শ আমাকে কষ্ট দিচ্ছে এবং আমাকে কাঁদাচ্ছে। আমি বেশ কিছু চাপের সময় পার করেছি, বিশেষ করে অক্টোবর মাস থেকে, এবং আমার মনে হয় এটি এর সাথে সম্পর্কিত। কিন্তু আমি কেবল জানতে চেয়েছিলাম যে এখানে কারো সাথে এরকম কিছু ঘটেছে কিনা (যদি এটি সত্যিই সাধারণ ঘটনা হয় তবে আমি দুঃখিত, আমার মনে হয়েছিল আমি এখানে সাহায্য চাইতে পারি এবং অন্যান্য পোস্টগুলি পড়েনি - যদি এটি তাই হয় তবে আমার পোস্টটি সরিয়ে ফেলতে দ্বিধা করবেন না), এবং এটি কী হতে পারে যাতে আমি এটি বুঝতে পারি। সম্ভাব্য অসুবিধার জন্য দুঃখিত। এবং আমার দুর্বল ইংরেজির জন্য (আমার মাতৃভাষা নয়)। ধন্যবাদ।</v>
      </c>
    </row>
    <row r="2313" spans="1:3" ht="15" x14ac:dyDescent="0.25">
      <c r="A2313" s="3" t="s">
        <v>2306</v>
      </c>
      <c r="B2313" s="3" t="s">
        <v>1992</v>
      </c>
      <c r="C2313" s="4" t="str">
        <f ca="1">IFERROR(__xludf.DUMMYFUNCTION("GOOGLETRANSLATE(A2313, ""auto"", ""bn"")"),"তোমার উদ্বেগ প্রশমিত করার জন্য তুমি কোন কোন গান শোনো? সঙ্গীত আমার কাছে অত্যন্ত থেরাপিউটিক, কারণ আমি আমার জীবনে যা কিছু করেছি তা সবই সঙ্গীতকে কেন্দ্র করে। স্বাভাবিকভাবেই, আমি অনেক সময় সঙ্গীতের প্রতি মনোযোগী হই এবং এটি সত্যিই অনেক সাহায্য করে। আমি যখন উদ্ব"&amp;"িগ্ন থাকি তখন জোরে এবং বিরক্তিকর সঙ্গীত শুনতে পছন্দ করি না, তবে আমি অত্যন্ত বিরক্তিকর সঙ্গীত শুনতেও পছন্দ করি না (যেমন ধ্যান সঙ্গীত, যদি না ঘুমানোর চেষ্টা করি)। তোমার কি এমন কোন গান বা শিল্পী আছে যা তুমি সুপারিশ করতে পারো?")</f>
        <v>তোমার উদ্বেগ প্রশমিত করার জন্য তুমি কোন কোন গান শোনো? সঙ্গীত আমার কাছে অত্যন্ত থেরাপিউটিক, কারণ আমি আমার জীবনে যা কিছু করেছি তা সবই সঙ্গীতকে কেন্দ্র করে। স্বাভাবিকভাবেই, আমি অনেক সময় সঙ্গীতের প্রতি মনোযোগী হই এবং এটি সত্যিই অনেক সাহায্য করে। আমি যখন উদ্বিগ্ন থাকি তখন জোরে এবং বিরক্তিকর সঙ্গীত শুনতে পছন্দ করি না, তবে আমি অত্যন্ত বিরক্তিকর সঙ্গীত শুনতেও পছন্দ করি না (যেমন ধ্যান সঙ্গীত, যদি না ঘুমানোর চেষ্টা করি)। তোমার কি এমন কোন গান বা শিল্পী আছে যা তুমি সুপারিশ করতে পারো?</v>
      </c>
    </row>
    <row r="2314" spans="1:3" ht="15" x14ac:dyDescent="0.25">
      <c r="A2314" s="3" t="s">
        <v>2307</v>
      </c>
      <c r="B2314" s="3" t="s">
        <v>1992</v>
      </c>
      <c r="C2314" s="4" t="str">
        <f ca="1">IFERROR(__xludf.DUMMYFUNCTION("GOOGLETRANSLATE(A2314, ""auto"", ""bn"")"),"সবকিছু এতটাই উদ্বিগ্ন যে, শুধু জিনিসপত্রের দিকে তাকিয়ে থাকাটা ভীষণ খারাপ লাগছে :( আমার মনে হচ্ছে যেন কিছুই কখনো ঠিক হবে না, আমি কখনোই খুশি হব না। আমার খুব খারাপ লাগছে :(")</f>
        <v>সবকিছু এতটাই উদ্বিগ্ন যে, শুধু জিনিসপত্রের দিকে তাকিয়ে থাকাটা ভীষণ খারাপ লাগছে :( আমার মনে হচ্ছে যেন কিছুই কখনো ঠিক হবে না, আমি কখনোই খুশি হব না। আমার খুব খারাপ লাগছে :(</v>
      </c>
    </row>
    <row r="2315" spans="1:3" ht="15" x14ac:dyDescent="0.25">
      <c r="A2315" s="3" t="s">
        <v>2308</v>
      </c>
      <c r="B2315" s="3" t="s">
        <v>1992</v>
      </c>
      <c r="C2315" s="4" t="str">
        <f ca="1">IFERROR(__xludf.DUMMYFUNCTION("GOOGLETRANSLATE(A2315, ""auto"", ""bn"")"),"আমার উদ্বেগ আছে এবং দুর্ঘটনার কারণে আমি কাউকে আতঙ্কিত করেছিলাম। আজ আমি কর্মক্ষেত্রে নতুন লোকটিকে (সে কয়েক মাস ধরে এখানে আছে) এমন কিছুর জন্য চিৎকার করেছিলাম যা তার এতক্ষণে জানা উচিত ছিল, এবং তার আতঙ্কিত আক্রমণ শুরু হয়েছিল। আমি তাকে বলেছিলাম যে আমি দুঃখিত"&amp;", এবং আমারও উদ্বেগ আছে, এবং আমি ঘৃণা করি যে আমি তাকে এমন অনুভূতি দিয়েছি, এবং এটি তাকে কিছুটা ভালো বোধ করিয়েছে বলে মনে হচ্ছে, তবে আমার এখনও খারাপ লাগছে। তাছাড়া, আমি জেনেও ঘৃণা করি যে আমি কাউকে এমন অনুভূতি দিয়েছি যা আমি ঘৃণা করি। আর কেউ কি কখনও এই অভিজ্"&amp;"ঞতার সম্মুখীন হয়েছেন? :(আমি একজন বিশাল ভণ্ডের মতো অনুভব করি।")</f>
        <v>আমার উদ্বেগ আছে এবং দুর্ঘটনার কারণে আমি কাউকে আতঙ্কিত করেছিলাম। আজ আমি কর্মক্ষেত্রে নতুন লোকটিকে (সে কয়েক মাস ধরে এখানে আছে) এমন কিছুর জন্য চিৎকার করেছিলাম যা তার এতক্ষণে জানা উচিত ছিল, এবং তার আতঙ্কিত আক্রমণ শুরু হয়েছিল। আমি তাকে বলেছিলাম যে আমি দুঃখিত, এবং আমারও উদ্বেগ আছে, এবং আমি ঘৃণা করি যে আমি তাকে এমন অনুভূতি দিয়েছি, এবং এটি তাকে কিছুটা ভালো বোধ করিয়েছে বলে মনে হচ্ছে, তবে আমার এখনও খারাপ লাগছে। তাছাড়া, আমি জেনেও ঘৃণা করি যে আমি কাউকে এমন অনুভূতি দিয়েছি যা আমি ঘৃণা করি। আর কেউ কি কখনও এই অভিজ্ঞতার সম্মুখীন হয়েছেন? :(আমি একজন বিশাল ভণ্ডের মতো অনুভব করি।</v>
      </c>
    </row>
    <row r="2316" spans="1:3" ht="15" x14ac:dyDescent="0.25">
      <c r="A2316" s="3" t="s">
        <v>2309</v>
      </c>
      <c r="B2316" s="3" t="s">
        <v>1992</v>
      </c>
      <c r="C2316" s="4" t="str">
        <f ca="1">IFERROR(__xludf.DUMMYFUNCTION("GOOGLETRANSLATE(A2316, ""auto"", ""bn"")"),"উদ্বেগের কারণে খাবারের অব্যবস্থাপনা? অন্য কেউ কি উদ্বিগ্ন থাকাকালীন খেতে না পারার সমস্যায় ভুগছেন? গত দেড় সপ্তাহ ধরে আমার প্রেমিকের সাথে একটা চাপের মধ্যে আছি। আমি রাতে কয়েক ঘন্টার বেশি ঘুমাতে পারিনি, আমার ক্ষুধা নেই, সারাদিন আমার বুকে টান থাকে এবং আমার "&amp;"বমি বমি ভাব হয়। এই সময়ে আমার ওজন দশ পাউন্ড কমেছে কারণ আমি প্রতিদিন মাত্র দু-একবার খাবার কমাতে পারি। আমার ক্ষুধা বাড়ানোর জন্য এবং কিছুটা উদ্বেগ কমানোর জন্য যদি কোনও পরামর্শ দেওয়া হয়, যদিও আমার প্রেমিকের সাথে পরিস্থিতি ঠিক হতে আরও কিছু সময় লাগে?")</f>
        <v>উদ্বেগের কারণে খাবারের অব্যবস্থাপনা? অন্য কেউ কি উদ্বিগ্ন থাকাকালীন খেতে না পারার সমস্যায় ভুগছেন? গত দেড় সপ্তাহ ধরে আমার প্রেমিকের সাথে একটা চাপের মধ্যে আছি। আমি রাতে কয়েক ঘন্টার বেশি ঘুমাতে পারিনি, আমার ক্ষুধা নেই, সারাদিন আমার বুকে টান থাকে এবং আমার বমি বমি ভাব হয়। এই সময়ে আমার ওজন দশ পাউন্ড কমেছে কারণ আমি প্রতিদিন মাত্র দু-একবার খাবার কমাতে পারি। আমার ক্ষুধা বাড়ানোর জন্য এবং কিছুটা উদ্বেগ কমানোর জন্য যদি কোনও পরামর্শ দেওয়া হয়, যদিও আমার প্রেমিকের সাথে পরিস্থিতি ঠিক হতে আরও কিছু সময় লাগে?</v>
      </c>
    </row>
    <row r="2317" spans="1:3" ht="15" x14ac:dyDescent="0.25">
      <c r="A2317" s="3" t="s">
        <v>2310</v>
      </c>
      <c r="B2317" s="3" t="s">
        <v>1992</v>
      </c>
      <c r="C2317" s="4" t="str">
        <f ca="1">IFERROR(__xludf.DUMMYFUNCTION("GOOGLETRANSLATE(A2317, ""auto"", ""bn"")"),"হৃদস্পন্দন বেড়ে যায়, আশ্বস্ত করার প্রয়োজন হয়। মাঝে মাঝে এক সেকেন্ডের জন্যও আমার হৃদস্পন্দন খুব জোরে বা দ্রুত স্পন্দিত হয় এবং তারপর স্বাভাবিক অবস্থায় ফিরে আসে। আমি জানি আমি ঠিক আছি। আমার বুকের এক্স-রে করা হয়েছে, এবং কয়েক সপ্তাহ আগে আমার পিঠের অস্ত্রোপচার"&amp;" হয়েছিল, এবং তাদের আমার হৃদস্পন্দন পর্যবেক্ষণ করতে হয়েছিল। ডাক্তাররা এতক্ষণে কিছু একটা খুঁজে পেয়েছেন, কিন্তু তারা পাননি, তাই আমি নিরাপদ। তবে অবশ্যই, আমি এখনও ভয় পাচ্ছি হা হা। আমি ভয় পাচ্ছি যে আমি মারা যাব। যাইহোক, আমার বয়স ১৮ বছর এবং আমি একজন মহিলা। আমার "&amp;"ওজন বেশি নয়, আসলে আমার ওজন কম। আমি বেশিরভাগ ক্ষেত্রেই সুস্থ। তাছাড়া, আমি এই বিষয়ে উদ্বিগ্ন বোধ করা থামাতে পারছি না। তাছাড়া, আমি আজ আমার ডাক্তারের সাথে কথা বলেছি, এবং আমি ফিরে আসার জন্য অপেক্ষা করছি যাতে আমি একটি অ্যাপয়েন্টমেন্ট নির্ধারণ করতে পারি যাতে "&amp;"আমাকে আশ্বস্ত করতে সাহায্য করার জন্য একটি হোল্ডার মনিটর পেতে পারি। তাছাড়া, আমি জানি হৃদস্পন্দন সম্ভবত উদ্বেগ/চাপের কারণে হয়, আমি কফিও পান করি তাই এটি সম্ভবত আরেকটি কারণ। সত্যি বলতে, এটা পোস্ট করাটা বোধহয় বোকামি, কিন্তু আমার আসলেই আশ্বস্ত করার প্রয়োজন lo"&amp;"l। আর কেউ কি এই সমস্যায় পড়ে? আর যদি থাকে, তাহলে তুমি কীভাবে এটার সাথে মানিয়ে নেবে? Tl;dr: আমার হৃদস্পন্দন এলোমেলোভাবে এক সেকেন্ডের জন্য খুব জোরে বা দ্রুত স্পন্দিত হয়, তারপর আবার স্বাভাবিক হয়ে যায়, সম্ভবত উদ্বেগ এবং ক্যাফিনের মিশ্রণ। আমার শুধু অপরিচিতদের "&amp;"কাছ থেকে জানাতে হবে যে আমি ঠিক আছি।")</f>
        <v>হৃদস্পন্দন বেড়ে যায়, আশ্বস্ত করার প্রয়োজন হয়। মাঝে মাঝে এক সেকেন্ডের জন্যও আমার হৃদস্পন্দন খুব জোরে বা দ্রুত স্পন্দিত হয় এবং তারপর স্বাভাবিক অবস্থায় ফিরে আসে। আমি জানি আমি ঠিক আছি। আমার বুকের এক্স-রে করা হয়েছে, এবং কয়েক সপ্তাহ আগে আমার পিঠের অস্ত্রোপচার হয়েছিল, এবং তাদের আমার হৃদস্পন্দন পর্যবেক্ষণ করতে হয়েছিল। ডাক্তাররা এতক্ষণে কিছু একটা খুঁজে পেয়েছেন, কিন্তু তারা পাননি, তাই আমি নিরাপদ। তবে অবশ্যই, আমি এখনও ভয় পাচ্ছি হা হা। আমি ভয় পাচ্ছি যে আমি মারা যাব। যাইহোক, আমার বয়স ১৮ বছর এবং আমি একজন মহিলা। আমার ওজন বেশি নয়, আসলে আমার ওজন কম। আমি বেশিরভাগ ক্ষেত্রেই সুস্থ। তাছাড়া, আমি এই বিষয়ে উদ্বিগ্ন বোধ করা থামাতে পারছি না। তাছাড়া, আমি আজ আমার ডাক্তারের সাথে কথা বলেছি, এবং আমি ফিরে আসার জন্য অপেক্ষা করছি যাতে আমি একটি অ্যাপয়েন্টমেন্ট নির্ধারণ করতে পারি যাতে আমাকে আশ্বস্ত করতে সাহায্য করার জন্য একটি হোল্ডার মনিটর পেতে পারি। তাছাড়া, আমি জানি হৃদস্পন্দন সম্ভবত উদ্বেগ/চাপের কারণে হয়, আমি কফিও পান করি তাই এটি সম্ভবত আরেকটি কারণ। সত্যি বলতে, এটা পোস্ট করাটা বোধহয় বোকামি, কিন্তু আমার আসলেই আশ্বস্ত করার প্রয়োজন lol। আর কেউ কি এই সমস্যায় পড়ে? আর যদি থাকে, তাহলে তুমি কীভাবে এটার সাথে মানিয়ে নেবে? Tl;dr: আমার হৃদস্পন্দন এলোমেলোভাবে এক সেকেন্ডের জন্য খুব জোরে বা দ্রুত স্পন্দিত হয়, তারপর আবার স্বাভাবিক হয়ে যায়, সম্ভবত উদ্বেগ এবং ক্যাফিনের মিশ্রণ। আমার শুধু অপরিচিতদের কাছ থেকে জানাতে হবে যে আমি ঠিক আছি।</v>
      </c>
    </row>
    <row r="2318" spans="1:3" ht="15" x14ac:dyDescent="0.25">
      <c r="A2318" s="3" t="s">
        <v>2311</v>
      </c>
      <c r="B2318" s="3" t="s">
        <v>1992</v>
      </c>
      <c r="C2318" s="4" t="str">
        <f ca="1">IFERROR(__xludf.DUMMYFUNCTION("GOOGLETRANSLATE(A2318, ""auto"", ""bn"")"),"বন্ধুবান্ধব এবং পরিবারের সাথে ভ্রমণ প্রত্যাখ্যান করছি, কারণ আমি ভয় পাচ্ছি যে আমি এটি উপভোগ করব না। যখন আমার বন্ধুবান্ধব এবং পরিবার কোনও কেবিনে বা অন্য কোনও দেশে ভ্রমণের পরিকল্পনা করে তখন আমি সবসময় এতটাই উদাসীন, আগ্রহী হয়ে পড়ি। ভালো সময় না কাটানোর জন্"&amp;"য আমি খুব ভয় পাই। তাছাড়া, আমি আমার বন্ধুদের বাড়িতে গেম খেলতে যেতে পারি, কিন্তু সেখানে আমার ইচ্ছা করলে বাড়ি যাওয়ার বিকল্প আছে। ভ্রমণে, আমাকে শেষ পর্যন্ত সেখানে থাকতে হবে, এমনকি আমি এটি উপভোগ করছি বা না করছি। তারা বলে যে এটি কিছুটা একত্রিত হওয়ার জন্য, "&amp;"কিন্তু এটি যথেষ্ট নয়। আমি সামাজিকীকরণে ভাল নই। আমি জানি না এই পরিস্থিতিতে কী করব।")</f>
        <v>বন্ধুবান্ধব এবং পরিবারের সাথে ভ্রমণ প্রত্যাখ্যান করছি, কারণ আমি ভয় পাচ্ছি যে আমি এটি উপভোগ করব না। যখন আমার বন্ধুবান্ধব এবং পরিবার কোনও কেবিনে বা অন্য কোনও দেশে ভ্রমণের পরিকল্পনা করে তখন আমি সবসময় এতটাই উদাসীন, আগ্রহী হয়ে পড়ি। ভালো সময় না কাটানোর জন্য আমি খুব ভয় পাই। তাছাড়া, আমি আমার বন্ধুদের বাড়িতে গেম খেলতে যেতে পারি, কিন্তু সেখানে আমার ইচ্ছা করলে বাড়ি যাওয়ার বিকল্প আছে। ভ্রমণে, আমাকে শেষ পর্যন্ত সেখানে থাকতে হবে, এমনকি আমি এটি উপভোগ করছি বা না করছি। তারা বলে যে এটি কিছুটা একত্রিত হওয়ার জন্য, কিন্তু এটি যথেষ্ট নয়। আমি সামাজিকীকরণে ভাল নই। আমি জানি না এই পরিস্থিতিতে কী করব।</v>
      </c>
    </row>
    <row r="2319" spans="1:3" ht="15" x14ac:dyDescent="0.25">
      <c r="A2319" s="3" t="s">
        <v>2312</v>
      </c>
      <c r="B2319" s="3" t="s">
        <v>1992</v>
      </c>
      <c r="C2319" s="4" t="str">
        <f ca="1">IFERROR(__xludf.DUMMYFUNCTION("GOOGLETRANSLATE(A2319, ""auto"", ""bn"")"),"সম্প্রতি অসুস্থ হওয়ার ভয়? তাহলে, গত এপ্রিলে (২০১৮) আমি নোরোভাইরাসে আক্রান্ত হয়েছিলাম। আমি নিশ্চিত আপনাদের অনেকেই জানেন যে এটি ভয়াবহ এবং হিংস্র। তারপর থেকে, আমার আবারও এই ভয় আছে...যখনই আমার পেটে ব্যথা হয় (যা প্রায়শই যথেষ্ট, উদ্বেগের জন্য) আমি আতঙ্কিত হতে"&amp;" শুরু করি, নিশ্চিত আমি আবারও আক্রান্ত হয়েছি। যখনই আমি কাউকে পেটের পোকা ঘুরতে ঘুরতে কথা বলতে শুনি, তখনই আমার পুরো শরীর ডুবে যায় এবং ঠান্ডা ঘাম অনুভব করি। যখন আমি এটি পাই, তখন রাত ১১ টার কিছু পরেই ঘটে। যখন আমার বিশেষ উদ্বেগজনক রাত থাকে, তখন আমি নিজেকে জাগিয়"&amp;"ে রাখি এবং ১১ টার পর পর্যন্ত অপেক্ষা করি যখন আমি নিজেকে বোঝাতে পারি যে গুরুত্বপূর্ণ সময় কেটে গেছে (যদিও আমি নিশ্চিত যে এর সাথে এর কোনও সম্পর্ক ছিল না)! এর আগে আমার শৈশব থেকে (আমার বয়স ৩০) পেটের পোকা ছিল না। আমার মনে হচ্ছে এটি আরও খারাপ হচ্ছে এবং আমার ঘু"&amp;"ম এবং জীবনের মানকে প্রভাবিত করতে শুরু করেছে! অন্য কেউ??")</f>
        <v>সম্প্রতি অসুস্থ হওয়ার ভয়? তাহলে, গত এপ্রিলে (২০১৮) আমি নোরোভাইরাসে আক্রান্ত হয়েছিলাম। আমি নিশ্চিত আপনাদের অনেকেই জানেন যে এটি ভয়াবহ এবং হিংস্র। তারপর থেকে, আমার আবারও এই ভয় আছে...যখনই আমার পেটে ব্যথা হয় (যা প্রায়শই যথেষ্ট, উদ্বেগের জন্য) আমি আতঙ্কিত হতে শুরু করি, নিশ্চিত আমি আবারও আক্রান্ত হয়েছি। যখনই আমি কাউকে পেটের পোকা ঘুরতে ঘুরতে কথা বলতে শুনি, তখনই আমার পুরো শরীর ডুবে যায় এবং ঠান্ডা ঘাম অনুভব করি। যখন আমি এটি পাই, তখন রাত ১১ টার কিছু পরেই ঘটে। যখন আমার বিশেষ উদ্বেগজনক রাত থাকে, তখন আমি নিজেকে জাগিয়ে রাখি এবং ১১ টার পর পর্যন্ত অপেক্ষা করি যখন আমি নিজেকে বোঝাতে পারি যে গুরুত্বপূর্ণ সময় কেটে গেছে (যদিও আমি নিশ্চিত যে এর সাথে এর কোনও সম্পর্ক ছিল না)! এর আগে আমার শৈশব থেকে (আমার বয়স ৩০) পেটের পোকা ছিল না। আমার মনে হচ্ছে এটি আরও খারাপ হচ্ছে এবং আমার ঘুম এবং জীবনের মানকে প্রভাবিত করতে শুরু করেছে! অন্য কেউ??</v>
      </c>
    </row>
    <row r="2320" spans="1:3" ht="15" x14ac:dyDescent="0.25">
      <c r="A2320" s="3" t="s">
        <v>2313</v>
      </c>
      <c r="B2320" s="3" t="s">
        <v>1992</v>
      </c>
      <c r="C2320" s="4" t="str">
        <f ca="1">IFERROR(__xludf.DUMMYFUNCTION("GOOGLETRANSLATE(A2320, ""auto"", ""bn"")"),"উদ্বেগের কারণে কারো কি ঠান্ডা লাগে? মাঝে মাঝে আমার খুব ঠান্ডা লাগে এবং একটু অসুস্থ বোধ হয়। ঠান্ডার কারণে আমার মাথার ভেতর একটা অস্বস্তিকর অনুভূতি হচ্ছে। আমার মনে হয় এটা আসলে আমার ভেতরে একটা অস্বস্তিকর অনুভূতি।")</f>
        <v>উদ্বেগের কারণে কারো কি ঠান্ডা লাগে? মাঝে মাঝে আমার খুব ঠান্ডা লাগে এবং একটু অসুস্থ বোধ হয়। ঠান্ডার কারণে আমার মাথার ভেতর একটা অস্বস্তিকর অনুভূতি হচ্ছে। আমার মনে হয় এটা আসলে আমার ভেতরে একটা অস্বস্তিকর অনুভূতি।</v>
      </c>
    </row>
    <row r="2321" spans="1:3" ht="15" x14ac:dyDescent="0.25">
      <c r="A2321" s="3" t="s">
        <v>2314</v>
      </c>
      <c r="B2321" s="3" t="s">
        <v>1992</v>
      </c>
      <c r="C2321" s="4" t="str">
        <f ca="1">IFERROR(__xludf.DUMMYFUNCTION("GOOGLETRANSLATE(A2321, ""auto"", ""bn"")"),"সবকিছুই খারাপ হয়ে যাচ্ছে, আর আমি জানি না কী করব তাই আমি শুরু থেকেই এমন একটা দিন কাটাচ্ছি যেখানে আমি সাধারণত ছেলেদের মতো ঢিলেঢালা বা ঢিলেঢালা পোশাক পরি, আমি কখনোই টাইট পোশাক পরি না কারণ এগুলো আমাকে দুশ্চিন্তা দেয়। আমি জানি না কেন, কিন্তু যতবারই আমি এগুলো"&amp;" পরি, আমি কাঁদতে শুরু করি অথবা এমন কিছু যা আমাকে বোকা দেখায়, কিন্তু আমি কিছুতেই থামাতে পারছি না। এছাড়াও, আমি অনেক মিথ্যা বলি এবং আমি তা থামাতে পারছি না। হয় আমি এত মিথ্যা বলি যে এটি আমার জীবনকে ভেঙে দেয় এবং সম্পর্কগুলিকে ক্ষতিগ্রস্ত করে। আমি সবসময় আমা"&amp;"র ঘরে এলোমেলোভাবে ভেঙে পড়ি যখন আমার মা ঝগড়া করে এবং মদ্যপান করে। এখন এটা আমার জন্য নতুন জিন্স পরার মতো নয়, যদিও আমি খুব কমই পরি, কিন্তু আমি সেগুলো পরার সিদ্ধান্ত নিলাম যা খুবই খারাপ ধারণা ছিল। আমার পা রোগা, এবং এত রোগা হওয়ার জন্য আমাকে সবসময় ধমক দেওয"&amp;"়া হয়, এবং এটি সত্যিই আমার আত্মবিশ্বাসকে এমন পর্যায়ে ছিঁড়ে ফেলেছে যে আমি কয়েক মাস ধরে কিছু টাইট পোশাক পরিনি। তাই আমি ভেবেছিলাম যে আমি আসলে এক সেকেন্ডের জন্য ভালো দেখাচ্ছি তারপর আমি আমার পাতলা টুথপিক পা দেখেছি যা আমাকে সত্যিই দুঃখ দিয়েছে। রোগা হওয়ার অ"&amp;"ভিযোগ করার জন্য যদি আমি বোকামি করি, তাহলে আমি দুঃখিত, কিন্তু আমার স্কুলে সবাইকে মোটা বা সাধারণ মোটা দেখাতে হয়। রোগা কাউকে খুব কমই দেখা যায়, এটা অতিরঞ্জিত নয়। স্কুলে যাওয়ার সাথে সাথেই আমার নিজের উপর খারাপ লাগছিল এবং রাগ হচ্ছিল যে এগুলো পরার জন্য। আমার খারা"&amp;"প লাগছিল। স্কুলে ভর্তি হওয়ার পর আমার কান্না চেপে ধরেছিলাম এবং যদিও আমি কথা বলতে পারছিলাম না, আমার সব বন্ধুরা লক্ষ্য করেছিল এবং এটা খুবই অস্বস্তিকর ছিল। কেউ আমার সাথে কথা বলেনি কারণ তারা জানত যে কিছু একটা সমস্যা আছে। যখন আমি প্রথম পিরিয়ডে যাই, তখন বসে পড়"&amp;"ি, এবং পরিস্থিতি আরও খারাপ ছিল, কিন্তু আমি এখনও আমার কান্না চেপে রাখি। আমি জানতাম যে আমি দিনটি পার করতে পারব না, তাই আমি আমার মাকে অনুরোধ করেছিলাম যেন আমাকে ছোট বাচ্চার মতো তুলে নেন কারণ আমি খুব অসুস্থ বোধ করছিলাম। আর সে আমাকে নার্সের কাছে যেতে চাইছিল, তা"&amp;"ই শিক্ষকরা জানতেন না যে আমি টেক্সট করছি, কিন্তু আমি বারবার বলছিলাম যে শিক্ষকরা আমাকে অনুমতি দেবেন না কারণ আমার কাছে আমার এজেন্ডা বই ছিল না (ক্লাস ছাড়ার আগে শিক্ষকদের স্বাক্ষর করতে হবে) এবং যখন আমি তাকে দেখলাম তখন সে বিরক্ত হয়ে পড়েছিল কারণ সে শিক্ষকের উ"&amp;"পর চিন্তিত এবং খুব রেগে ছিল যা আমার সাথে সাথেই দোষী মনে হয়েছিল। আমাকে এখন অসুস্থতার অভিনয় করতে হবে যাতে আমার মা রাগ না করে, কিন্তু গাইডেন্স কাউন্সেলর আসলে শিক্ষকের সাথে কথা বলেছিলেন এবং আমার মাকে বলেছিলেন যে আমি মিথ্যা বলছি যা সত্যিই লজ্জাজনক এবং আমাকে "&amp;"আবার সেই শিক্ষককে দেখতে হবে। যখন আমি তাকে দেখব তখন আমি ক্ষমা চাইব এবং যতটা সম্ভব চেষ্টা করার চেষ্টা করব। আমি উঠতে লজ্জা পেয়েছিলাম, আমি কান্নায় ভেঙে পড়তাম। প্লিজ, সবকিছুই এলোমেলো। আমার সবসময় খারাপ লাগে, সবকিছুই ঘৃণা করি। আমি একজন সাধারণ মানুষের মতো পোশা"&amp;"কও পরতে পারি না, কান্না না করে (আমি একজন মেয়ে, যদি তুমি না জানতে)। আর এখন সবকিছু আরও খারাপের দিকে মোড় নিচ্ছে কারণ আমি একটা গুরুতর মিথ্যায় আটকে গিয়েছিলাম যার ফলে একজন শিক্ষককে চাকরিচ্যুত করা যেত, আর আমি আমার মায়ের কাছে মিথ্যা বলছি। দয়া করে পরামর্শ দিন?")</f>
        <v>সবকিছুই খারাপ হয়ে যাচ্ছে, আর আমি জানি না কী করব তাই আমি শুরু থেকেই এমন একটা দিন কাটাচ্ছি যেখানে আমি সাধারণত ছেলেদের মতো ঢিলেঢালা বা ঢিলেঢালা পোশাক পরি, আমি কখনোই টাইট পোশাক পরি না কারণ এগুলো আমাকে দুশ্চিন্তা দেয়। আমি জানি না কেন, কিন্তু যতবারই আমি এগুলো পরি, আমি কাঁদতে শুরু করি অথবা এমন কিছু যা আমাকে বোকা দেখায়, কিন্তু আমি কিছুতেই থামাতে পারছি না। এছাড়াও, আমি অনেক মিথ্যা বলি এবং আমি তা থামাতে পারছি না। হয় আমি এত মিথ্যা বলি যে এটি আমার জীবনকে ভেঙে দেয় এবং সম্পর্কগুলিকে ক্ষতিগ্রস্ত করে। আমি সবসময় আমার ঘরে এলোমেলোভাবে ভেঙে পড়ি যখন আমার মা ঝগড়া করে এবং মদ্যপান করে। এখন এটা আমার জন্য নতুন জিন্স পরার মতো নয়, যদিও আমি খুব কমই পরি, কিন্তু আমি সেগুলো পরার সিদ্ধান্ত নিলাম যা খুবই খারাপ ধারণা ছিল। আমার পা রোগা, এবং এত রোগা হওয়ার জন্য আমাকে সবসময় ধমক দেওয়া হয়, এবং এটি সত্যিই আমার আত্মবিশ্বাসকে এমন পর্যায়ে ছিঁড়ে ফেলেছে যে আমি কয়েক মাস ধরে কিছু টাইট পোশাক পরিনি। তাই আমি ভেবেছিলাম যে আমি আসলে এক সেকেন্ডের জন্য ভালো দেখাচ্ছি তারপর আমি আমার পাতলা টুথপিক পা দেখেছি যা আমাকে সত্যিই দুঃখ দিয়েছে। রোগা হওয়ার অভিযোগ করার জন্য যদি আমি বোকামি করি, তাহলে আমি দুঃখিত, কিন্তু আমার স্কুলে সবাইকে মোটা বা সাধারণ মোটা দেখাতে হয়। রোগা কাউকে খুব কমই দেখা যায়, এটা অতিরঞ্জিত নয়। স্কুলে যাওয়ার সাথে সাথেই আমার নিজের উপর খারাপ লাগছিল এবং রাগ হচ্ছিল যে এগুলো পরার জন্য। আমার খারাপ লাগছিল। স্কুলে ভর্তি হওয়ার পর আমার কান্না চেপে ধরেছিলাম এবং যদিও আমি কথা বলতে পারছিলাম না, আমার সব বন্ধুরা লক্ষ্য করেছিল এবং এটা খুবই অস্বস্তিকর ছিল। কেউ আমার সাথে কথা বলেনি কারণ তারা জানত যে কিছু একটা সমস্যা আছে। যখন আমি প্রথম পিরিয়ডে যাই, তখন বসে পড়ি, এবং পরিস্থিতি আরও খারাপ ছিল, কিন্তু আমি এখনও আমার কান্না চেপে রাখি। আমি জানতাম যে আমি দিনটি পার করতে পারব না, তাই আমি আমার মাকে অনুরোধ করেছিলাম যেন আমাকে ছোট বাচ্চার মতো তুলে নেন কারণ আমি খুব অসুস্থ বোধ করছিলাম। আর সে আমাকে নার্সের কাছে যেতে চাইছিল, তাই শিক্ষকরা জানতেন না যে আমি টেক্সট করছি, কিন্তু আমি বারবার বলছিলাম যে শিক্ষকরা আমাকে অনুমতি দেবেন না কারণ আমার কাছে আমার এজেন্ডা বই ছিল না (ক্লাস ছাড়ার আগে শিক্ষকদের স্বাক্ষর করতে হবে) এবং যখন আমি তাকে দেখলাম তখন সে বিরক্ত হয়ে পড়েছিল কারণ সে শিক্ষকের উপর চিন্তিত এবং খুব রেগে ছিল যা আমার সাথে সাথেই দোষী মনে হয়েছিল। আমাকে এখন অসুস্থতার অভিনয় করতে হবে যাতে আমার মা রাগ না করে, কিন্তু গাইডেন্স কাউন্সেলর আসলে শিক্ষকের সাথে কথা বলেছিলেন এবং আমার মাকে বলেছিলেন যে আমি মিথ্যা বলছি যা সত্যিই লজ্জাজনক এবং আমাকে আবার সেই শিক্ষককে দেখতে হবে। যখন আমি তাকে দেখব তখন আমি ক্ষমা চাইব এবং যতটা সম্ভব চেষ্টা করার চেষ্টা করব। আমি উঠতে লজ্জা পেয়েছিলাম, আমি কান্নায় ভেঙে পড়তাম। প্লিজ, সবকিছুই এলোমেলো। আমার সবসময় খারাপ লাগে, সবকিছুই ঘৃণা করি। আমি একজন সাধারণ মানুষের মতো পোশাকও পরতে পারি না, কান্না না করে (আমি একজন মেয়ে, যদি তুমি না জানতে)। আর এখন সবকিছু আরও খারাপের দিকে মোড় নিচ্ছে কারণ আমি একটা গুরুতর মিথ্যায় আটকে গিয়েছিলাম যার ফলে একজন শিক্ষককে চাকরিচ্যুত করা যেত, আর আমি আমার মায়ের কাছে মিথ্যা বলছি। দয়া করে পরামর্শ দিন?</v>
      </c>
    </row>
    <row r="2322" spans="1:3" ht="15" x14ac:dyDescent="0.25">
      <c r="A2322" s="3" t="s">
        <v>2315</v>
      </c>
      <c r="B2322" s="3" t="s">
        <v>1992</v>
      </c>
      <c r="C2322" s="4" t="str">
        <f ca="1">IFERROR(__xludf.DUMMYFUNCTION("GOOGLETRANSLATE(A2322, ""auto"", ""bn"")"),"স্কুলে ফিরে যেতে আমার খারাপ লাগছে, শুক্রবার কলেজে ফিরে যাই আর সোমবার স্কুল শুরু হয়। আমার শেষ কোয়ার্টারটা খুব খারাপ কেটেছে, তাই আমি ভয়ে ভয়ে আছি। আমি একজন ভালো ছাত্র, কিন্তু বিশ্ববিদ্যালয়ে পড়ার পর থেকে ভালো নম্বর পেতে আমার অনেক কষ্ট হচ্ছে এবং এই কোয়ার্টার"&amp;"টা আমার জন্য সবচেয়ে কঠিন সময় হতে চলেছে। তাছাড়া, আমি ক্লাস বাদ দিতে বা কাজের চাপ কমাতে চাই না কারণ যদি আমি স্নাতক ডিগ্রি অর্জন করি তাহলে আমি আর ভালো ফলাফল পাবো না। তাছাড়া, আমার যে পরিমাণ কাজ করতে হবে তা ভেবে আমার খুব ভয় লাগছে, আমার মনে হচ্ছে আমার বমি বম"&amp;"ি ভাব হবে। তাছাড়া, গত কয়েক সপ্তাহ ধরে আমি একেবারেই আরাম করতে পারছি না; আমি ঘুমাতে পারছি না, এবং আমার পেট পাথরের মতো লাগছে। এবং আমি জানি এই বিষয়ে উদ্বিগ্ন থাকা কোনও কাজে আসে না, আমি কম উৎপাদনশীল হয়ে পড়ি কারণ আমি এত উদ্বিগ্ন যে আমি সরাসরি চিন্তা করতে পা"&amp;"রি না। কিন্তু আমার শিক্ষকরা কোর্সের সময়সূচী, হোমওয়ার্ক এবং পরীক্ষা সম্পর্কে ইমেল করতে শুরু করেছিলেন এবং আমি সম্পূর্ণ ভেঙে পড়েছিলাম। আমি ভেঙে পড়েছিলাম। আমার একটা অংশ এই মুহূর্তে সফল জীবনের যেকোনো সুযোগ ছেড়ে দিতে চাই। এই অপ্রতিরোধ্য উদ্বেগকে কীভাবে শান"&amp;"্ত করা যায়, সে সম্পর্কে কারো কি কোন পরামর্শ আছে?")</f>
        <v>স্কুলে ফিরে যেতে আমার খারাপ লাগছে, শুক্রবার কলেজে ফিরে যাই আর সোমবার স্কুল শুরু হয়। আমার শেষ কোয়ার্টারটা খুব খারাপ কেটেছে, তাই আমি ভয়ে ভয়ে আছি। আমি একজন ভালো ছাত্র, কিন্তু বিশ্ববিদ্যালয়ে পড়ার পর থেকে ভালো নম্বর পেতে আমার অনেক কষ্ট হচ্ছে এবং এই কোয়ার্টারটা আমার জন্য সবচেয়ে কঠিন সময় হতে চলেছে। তাছাড়া, আমি ক্লাস বাদ দিতে বা কাজের চাপ কমাতে চাই না কারণ যদি আমি স্নাতক ডিগ্রি অর্জন করি তাহলে আমি আর ভালো ফলাফল পাবো না। তাছাড়া, আমার যে পরিমাণ কাজ করতে হবে তা ভেবে আমার খুব ভয় লাগছে, আমার মনে হচ্ছে আমার বমি বমি ভাব হবে। তাছাড়া, গত কয়েক সপ্তাহ ধরে আমি একেবারেই আরাম করতে পারছি না; আমি ঘুমাতে পারছি না, এবং আমার পেট পাথরের মতো লাগছে। এবং আমি জানি এই বিষয়ে উদ্বিগ্ন থাকা কোনও কাজে আসে না, আমি কম উৎপাদনশীল হয়ে পড়ি কারণ আমি এত উদ্বিগ্ন যে আমি সরাসরি চিন্তা করতে পারি না। কিন্তু আমার শিক্ষকরা কোর্সের সময়সূচী, হোমওয়ার্ক এবং পরীক্ষা সম্পর্কে ইমেল করতে শুরু করেছিলেন এবং আমি সম্পূর্ণ ভেঙে পড়েছিলাম। আমি ভেঙে পড়েছিলাম। আমার একটা অংশ এই মুহূর্তে সফল জীবনের যেকোনো সুযোগ ছেড়ে দিতে চাই। এই অপ্রতিরোধ্য উদ্বেগকে কীভাবে শান্ত করা যায়, সে সম্পর্কে কারো কি কোন পরামর্শ আছে?</v>
      </c>
    </row>
    <row r="2323" spans="1:3" ht="15" x14ac:dyDescent="0.25">
      <c r="A2323" s="3" t="s">
        <v>2316</v>
      </c>
      <c r="B2323" s="3" t="s">
        <v>1992</v>
      </c>
      <c r="C2323" s="4" t="str">
        <f ca="1">IFERROR(__xludf.DUMMYFUNCTION("GOOGLETRANSLATE(A2323, ""auto"", ""bn"")"),"আমার CPTSD ধরা পড়েছে এবং তীব্র উদ্বেগ আছে, এখন আমি গর্ভবতী। আমি ৬ সপ্তাহ ধরে গর্ভবতী এবং দুই সপ্তাহ আগে যখন থেকে আমি জানতে পেরেছি যে আমি ওষুধ খাচ্ছি না। আমার উদ্বেগ আমাকে একেবারেই ভেঙে ফেলছে। প্রতিদিন। একক। আমার মনে হচ্ছে আমি শ্বাস নিতে পারছি না। যেকোনো "&amp;"কিছু আমার উদ্বেগের অনুভূতিকে উস্কে দিতে পারে এবং তারপর আমি ঘন্টার পর ঘন্টা ঘুরে বেড়াই। দয়া করে, কেউ না কেউ তীব্র উদ্বেগের সাথে গর্ভাবস্থা থেকে বেঁচে গেছে। যেকোনো পরামর্শের জন্য আমি কৃতজ্ঞ। এখন পর্যন্ত আমি চেষ্টা করেছি, প্রতিদিন হাঁটা, স্বাস্থ্যকর খাবার খ"&amp;"াওয়া, প্রচুর পানি পান করা এবং প্রসবপূর্ব যোগব্যায়াম।")</f>
        <v>আমার CPTSD ধরা পড়েছে এবং তীব্র উদ্বেগ আছে, এখন আমি গর্ভবতী। আমি ৬ সপ্তাহ ধরে গর্ভবতী এবং দুই সপ্তাহ আগে যখন থেকে আমি জানতে পেরেছি যে আমি ওষুধ খাচ্ছি না। আমার উদ্বেগ আমাকে একেবারেই ভেঙে ফেলছে। প্রতিদিন। একক। আমার মনে হচ্ছে আমি শ্বাস নিতে পারছি না। যেকোনো কিছু আমার উদ্বেগের অনুভূতিকে উস্কে দিতে পারে এবং তারপর আমি ঘন্টার পর ঘন্টা ঘুরে বেড়াই। দয়া করে, কেউ না কেউ তীব্র উদ্বেগের সাথে গর্ভাবস্থা থেকে বেঁচে গেছে। যেকোনো পরামর্শের জন্য আমি কৃতজ্ঞ। এখন পর্যন্ত আমি চেষ্টা করেছি, প্রতিদিন হাঁটা, স্বাস্থ্যকর খাবার খাওয়া, প্রচুর পানি পান করা এবং প্রসবপূর্ব যোগব্যায়াম।</v>
      </c>
    </row>
    <row r="2324" spans="1:3" ht="15" x14ac:dyDescent="0.25">
      <c r="A2324" s="3" t="s">
        <v>2317</v>
      </c>
      <c r="B2324" s="3" t="s">
        <v>1992</v>
      </c>
      <c r="C2324" s="4" t="str">
        <f ca="1">IFERROR(__xludf.DUMMYFUNCTION("GOOGLETRANSLATE(A2324, ""auto"", ""bn"")"),"কেউ কি একজন থেরাপিস্টের সাথে সম্পর্ক ছিন্ন করেছে? (পরামর্শ) মূলত আমি এই থেরাপিস্টের জন্য অনেক বেশি টাকা দিচ্ছি কারণ তার একটি গ্রুপ এবং ব্যক্তিগত উভয়ই ছিল, এবং আমি অন্যদের সাথে যোগাযোগ করতে চেয়েছিলাম, কিন্তু আমি এখন তার সম্পূর্ণ গ্রুপ প্রোগ্রামটি সম্পন্ন"&amp;" করেছি এবং নেটওয়ার্কের মধ্যে কিছু খুঁজে বের করতে হবে। তবে আমি দ্বন্দ্বে ভীত, তাই আমি তাকে ইমেল করেছিলাম। এটা ঠিক যে গতকাল নববর্ষ ছিল, কিন্তু আমি ধরে নিচ্ছি সে আজ ফিরে এসেছে। কোন সাড়া নেই। অতীতে আমার মনে হয়েছে যে এই থেরাপিস্ট আমাকে প্রয়োজনের চেয়ে বেশি"&amp;" অর্থ প্রদানের জন্য কৌশলে ব্যবহার করার চেষ্টা করেছে। আমি আমার অ্যাপয়েন্টমেন্টটি আগামীকালের জন্য রেখে দিয়েছি কারণ আমি ভেবেছিলাম কেবল চলে যাওয়ার চেয়ে ব্যক্তিগতভাবে কিছু বলা ভাল, কিন্তু সে ইমেলের উত্তর দেয়নি এবং আমার অন্তরের অনুভূতি হল সে আমাকে থামতে না"&amp;" দেওয়ার জন্য কৌশলে ব্যবহার / বোঝানোর চেষ্টা করবে, এবং সত্যি বলতে আমি বেশ সংবেদনশীল। এই মুহূর্তে আমি কেবল উদ্বিগ্ন এবং ভয়াবহ বোধ করছি, এবং আমি অ্যাপয়েন্টমেন্টটি সম্পূর্ণরূপে এড়িয়ে যেতে চাই এবং তাকে বলতে চাই যে আমি অসুস্থ (এবং হ্যাঁ, যদি সে বিরক্ত হয় "&amp;"তবে সময়মতো বাতিল না করার জন্য সে আমার কাছ থেকে পুরো মূল্য নিতে পারে, তবে এটি প্রায় মূল্যবান বলে মনে হচ্ছে) কোন পরামর্শ বা অনুরূপ অভিজ্ঞতা?")</f>
        <v>কেউ কি একজন থেরাপিস্টের সাথে সম্পর্ক ছিন্ন করেছে? (পরামর্শ) মূলত আমি এই থেরাপিস্টের জন্য অনেক বেশি টাকা দিচ্ছি কারণ তার একটি গ্রুপ এবং ব্যক্তিগত উভয়ই ছিল, এবং আমি অন্যদের সাথে যোগাযোগ করতে চেয়েছিলাম, কিন্তু আমি এখন তার সম্পূর্ণ গ্রুপ প্রোগ্রামটি সম্পন্ন করেছি এবং নেটওয়ার্কের মধ্যে কিছু খুঁজে বের করতে হবে। তবে আমি দ্বন্দ্বে ভীত, তাই আমি তাকে ইমেল করেছিলাম। এটা ঠিক যে গতকাল নববর্ষ ছিল, কিন্তু আমি ধরে নিচ্ছি সে আজ ফিরে এসেছে। কোন সাড়া নেই। অতীতে আমার মনে হয়েছে যে এই থেরাপিস্ট আমাকে প্রয়োজনের চেয়ে বেশি অর্থ প্রদানের জন্য কৌশলে ব্যবহার করার চেষ্টা করেছে। আমি আমার অ্যাপয়েন্টমেন্টটি আগামীকালের জন্য রেখে দিয়েছি কারণ আমি ভেবেছিলাম কেবল চলে যাওয়ার চেয়ে ব্যক্তিগতভাবে কিছু বলা ভাল, কিন্তু সে ইমেলের উত্তর দেয়নি এবং আমার অন্তরের অনুভূতি হল সে আমাকে থামতে না দেওয়ার জন্য কৌশলে ব্যবহার / বোঝানোর চেষ্টা করবে, এবং সত্যি বলতে আমি বেশ সংবেদনশীল। এই মুহূর্তে আমি কেবল উদ্বিগ্ন এবং ভয়াবহ বোধ করছি, এবং আমি অ্যাপয়েন্টমেন্টটি সম্পূর্ণরূপে এড়িয়ে যেতে চাই এবং তাকে বলতে চাই যে আমি অসুস্থ (এবং হ্যাঁ, যদি সে বিরক্ত হয় তবে সময়মতো বাতিল না করার জন্য সে আমার কাছ থেকে পুরো মূল্য নিতে পারে, তবে এটি প্রায় মূল্যবান বলে মনে হচ্ছে) কোন পরামর্শ বা অনুরূপ অভিজ্ঞতা?</v>
      </c>
    </row>
    <row r="2325" spans="1:3" ht="15" x14ac:dyDescent="0.25">
      <c r="A2325" s="3" t="s">
        <v>2318</v>
      </c>
      <c r="B2325" s="3" t="s">
        <v>1992</v>
      </c>
      <c r="C2325" s="4" t="str">
        <f ca="1">IFERROR(__xludf.DUMMYFUNCTION("GOOGLETRANSLATE(A2325, ""auto"", ""bn"")"),"বছরের পর বছর ধরে স্থগিত রাখার পর, অবশেষে আমি একজন কাউন্সেলরের সাথে অ্যাপয়েন্টমেন্ট করলাম। আমার বলার মতো কেউ নেই, এবং এটি আমার জন্য একটি বড় সাফল্য। আমার প্রায় কাঁদতে ইচ্ছে করছে। তাছাড়া, আমি কেন আগে এটি করিনি তার কোনও যুক্তিসঙ্গত কারণ আমার জানা নেই, তবে"&amp;" অবশেষে আমি পেরেছি বলে আমি সত্যিই খুশি।")</f>
        <v>বছরের পর বছর ধরে স্থগিত রাখার পর, অবশেষে আমি একজন কাউন্সেলরের সাথে অ্যাপয়েন্টমেন্ট করলাম। আমার বলার মতো কেউ নেই, এবং এটি আমার জন্য একটি বড় সাফল্য। আমার প্রায় কাঁদতে ইচ্ছে করছে। তাছাড়া, আমি কেন আগে এটি করিনি তার কোনও যুক্তিসঙ্গত কারণ আমার জানা নেই, তবে অবশেষে আমি পেরেছি বলে আমি সত্যিই খুশি।</v>
      </c>
    </row>
    <row r="2326" spans="1:3" ht="15" x14ac:dyDescent="0.25">
      <c r="A2326" s="3" t="s">
        <v>2319</v>
      </c>
      <c r="B2326" s="3" t="s">
        <v>1992</v>
      </c>
      <c r="C2326" s="4" t="str">
        <f ca="1">IFERROR(__xludf.DUMMYFUNCTION("GOOGLETRANSLATE(A2326, ""auto"", ""bn"")"),"তুমি কীভাবে বন্ধ করো? দৌড়ঝাঁপের চিন্তাভাবনা নিয়ন্ত্রণ করা এত কঠিন, তোমরা কীভাবে বন্ধ করো? অথবা এমনকি বন্ধ করার কাছাকাছিও চলে যাও? আমি শিথিল করার কৌশল চেষ্টা করেছি, কিন্তু সেগুলো কাজ করছে বলে মনে হচ্ছে না।")</f>
        <v>তুমি কীভাবে বন্ধ করো? দৌড়ঝাঁপের চিন্তাভাবনা নিয়ন্ত্রণ করা এত কঠিন, তোমরা কীভাবে বন্ধ করো? অথবা এমনকি বন্ধ করার কাছাকাছিও চলে যাও? আমি শিথিল করার কৌশল চেষ্টা করেছি, কিন্তু সেগুলো কাজ করছে বলে মনে হচ্ছে না।</v>
      </c>
    </row>
    <row r="2327" spans="1:3" ht="15" x14ac:dyDescent="0.25">
      <c r="A2327" s="3" t="s">
        <v>2320</v>
      </c>
      <c r="B2327" s="3" t="s">
        <v>1992</v>
      </c>
      <c r="C2327" s="4" t="str">
        <f ca="1">IFERROR(__xludf.DUMMYFUNCTION("GOOGLETRANSLATE(A2327, ""auto"", ""bn"")"),"আমি নিজেকে সুস্থ করে তুলেছি এবং আমি চাই তোমার জন্যও আমি একই কাজ করতে পারতাম। ১০ বছরের প্রতিদিনের কষ্ট এক মুহূর্তের মধ্যে ঠিক হয়ে গেল। আমি সমস্যা ছিলাম না, আমার চারপাশের পৃথিবী ছিল, এবং আমি এটি নিয়ন্ত্রণ করতে পারি না, কেবল নিজেকে। আমার ভবিষ্যদ্বাণীগুলি এ"&amp;"কটি মিথ্যা দৃষ্টিভঙ্গির উপর ভিত্তি করে এবং আমার উদ্বেগগুলি নিয়ন্ত্রণের একটি মায়ার উপর ভিত্তি করে। আমি এখন নিজের মধ্যে নয়, নিজের মধ্যে বেঁচে আছি। আমি তোমাদের সবাইকে ভালোবাসি, এবং আমি খুবই দুঃখিত যে আমাদের এই পরিস্থিতির মধ্য দিয়ে যেতে হচ্ছে। তোমরা বিশ্র"&amp;"ামের যোগ্য, তবে হাল ছাড়ো না।")</f>
        <v>আমি নিজেকে সুস্থ করে তুলেছি এবং আমি চাই তোমার জন্যও আমি একই কাজ করতে পারতাম। ১০ বছরের প্রতিদিনের কষ্ট এক মুহূর্তের মধ্যে ঠিক হয়ে গেল। আমি সমস্যা ছিলাম না, আমার চারপাশের পৃথিবী ছিল, এবং আমি এটি নিয়ন্ত্রণ করতে পারি না, কেবল নিজেকে। আমার ভবিষ্যদ্বাণীগুলি একটি মিথ্যা দৃষ্টিভঙ্গির উপর ভিত্তি করে এবং আমার উদ্বেগগুলি নিয়ন্ত্রণের একটি মায়ার উপর ভিত্তি করে। আমি এখন নিজের মধ্যে নয়, নিজের মধ্যে বেঁচে আছি। আমি তোমাদের সবাইকে ভালোবাসি, এবং আমি খুবই দুঃখিত যে আমাদের এই পরিস্থিতির মধ্য দিয়ে যেতে হচ্ছে। তোমরা বিশ্রামের যোগ্য, তবে হাল ছাড়ো না।</v>
      </c>
    </row>
    <row r="2328" spans="1:3" ht="15" x14ac:dyDescent="0.25">
      <c r="A2328" s="3" t="s">
        <v>2321</v>
      </c>
      <c r="B2328" s="3" t="s">
        <v>1992</v>
      </c>
      <c r="C2328" s="4" t="str">
        <f ca="1">IFERROR(__xludf.DUMMYFUNCTION("GOOGLETRANSLATE(A2328, ""auto"", ""bn"")"),"আমার এখন খুব ভয় লাগছে! মাত্র ৩ ঘন্টা ঘুম থেকে উঠেছি, আমার আরও দীর্ঘ ঘুমের ইচ্ছা ছিল। আমি আমার পিঠের নিচের অংশে বরফের গরম লাগালাম এবং ঘুম থেকে উঠে মনে হচ্ছিল যেন পিঠে আগুন লেগেছে। আমি ঠিক আছি, কিন্তু আমি ভয় পাচ্ছি এবং মানসিক স্বাস্থ্যের জন্য ভয় পাচ্ছি ব"&amp;"লে এখন আমার ব্যক্তিত্বের অবক্ষয়/অবাস্তবতা খুব বেশি। তাছাড়া, আমি ৩ ঘন্টা আগে ৫০ মিলিগ্রাম ভিস্টারিল খেয়েছি। আমি কি আবার ৫০ মিলিগ্রাম নিতে পারি?")</f>
        <v>আমার এখন খুব ভয় লাগছে! মাত্র ৩ ঘন্টা ঘুম থেকে উঠেছি, আমার আরও দীর্ঘ ঘুমের ইচ্ছা ছিল। আমি আমার পিঠের নিচের অংশে বরফের গরম লাগালাম এবং ঘুম থেকে উঠে মনে হচ্ছিল যেন পিঠে আগুন লেগেছে। আমি ঠিক আছি, কিন্তু আমি ভয় পাচ্ছি এবং মানসিক স্বাস্থ্যের জন্য ভয় পাচ্ছি বলে এখন আমার ব্যক্তিত্বের অবক্ষয়/অবাস্তবতা খুব বেশি। তাছাড়া, আমি ৩ ঘন্টা আগে ৫০ মিলিগ্রাম ভিস্টারিল খেয়েছি। আমি কি আবার ৫০ মিলিগ্রাম নিতে পারি?</v>
      </c>
    </row>
    <row r="2329" spans="1:3" ht="15" x14ac:dyDescent="0.25">
      <c r="A2329" s="3" t="s">
        <v>2322</v>
      </c>
      <c r="B2329" s="3" t="s">
        <v>1992</v>
      </c>
      <c r="C2329" s="4" t="str">
        <f ca="1">IFERROR(__xludf.DUMMYFUNCTION("GOOGLETRANSLATE(A2329, ""auto"", ""bn"")"),"আগামীকাল স্কুল শুরু হচ্ছে। পরামর্শের প্রয়োজন। হে ইন্টারনেটের মানুষ, আমার ভয় পাওয়ার আগে এখনই যোগাযোগ করার সময়। তাই আমি আগামীকাল বিশ্ববিদ্যালয় (কানাডিয়ান বিশ্ববিদ্যালয়) শুরু করব এবং আমি কখনও এত ভয় পাইনি। আজ আমার একটা ছোট্ট পরীক্ষা ছিল কারণ আমি আমার বই এ"&amp;"বং আইডি আনতে গিয়েছিলাম। লাইনে থাকা সবাই আমাকে দেখছে এই হাস্যকর ধারণা থেকে আমি মুক্তি পেতে পারিনি (কারণ আমি কেবল ঘুরে বেড়াচ্ছিলাম) এবং অবশেষে আমি একটি প্রশ্ন জিজ্ঞাসা করতে গেলাম। দেখা গেল আমার বই প্রস্তুত ছিল না, এবং সে এত জোরে বলেছিল যে আমি জানতাম লোকেরা"&amp;" শুনতে পেয়েছে, এবং আমি তা সহ্য করতে পারিনি। আমি গাড়িতে ফিরে গিয়ে কিছু পাঠাতে গিয়েছিলাম, টাকা দিতে ভুলে গিয়েছিলাম এবং আরও লজ্জা পেয়েছিলাম। আমি এখন কিছুটা ঘোরাফেরা করছি। আমি সত্যিই কিছু পরামর্শের প্রয়োজন হতে পারে কিভাবে আবার স্কুল শুরু করা যায়। হাই "&amp;"স্কুল থেকে 3 বছর হয়ে গেছে। আমার মনে হচ্ছে যেন আমাকে সবসময় দেখা হচ্ছে বা বিচার করা হচ্ছে। আগাম ধন্যবাদ এবং দুঃখিত যদি এটি একটু এলোমেলো বা খারাপভাবে লেখা হয়, তাহলে আমাকে পাথর মেরে ফেলা হবে, কিন্তু এটি কানাডা তাই এটি বৈধ, তাই না।")</f>
        <v>আগামীকাল স্কুল শুরু হচ্ছে। পরামর্শের প্রয়োজন। হে ইন্টারনেটের মানুষ, আমার ভয় পাওয়ার আগে এখনই যোগাযোগ করার সময়। তাই আমি আগামীকাল বিশ্ববিদ্যালয় (কানাডিয়ান বিশ্ববিদ্যালয়) শুরু করব এবং আমি কখনও এত ভয় পাইনি। আজ আমার একটা ছোট্ট পরীক্ষা ছিল কারণ আমি আমার বই এবং আইডি আনতে গিয়েছিলাম। লাইনে থাকা সবাই আমাকে দেখছে এই হাস্যকর ধারণা থেকে আমি মুক্তি পেতে পারিনি (কারণ আমি কেবল ঘুরে বেড়াচ্ছিলাম) এবং অবশেষে আমি একটি প্রশ্ন জিজ্ঞাসা করতে গেলাম। দেখা গেল আমার বই প্রস্তুত ছিল না, এবং সে এত জোরে বলেছিল যে আমি জানতাম লোকেরা শুনতে পেয়েছে, এবং আমি তা সহ্য করতে পারিনি। আমি গাড়িতে ফিরে গিয়ে কিছু পাঠাতে গিয়েছিলাম, টাকা দিতে ভুলে গিয়েছিলাম এবং আরও লজ্জা পেয়েছিলাম। আমি এখন কিছুটা ঘোরাফেরা করছি। আমি সত্যিই কিছু পরামর্শের প্রয়োজন হতে পারে কিভাবে আবার স্কুল শুরু করা যায়। হাই স্কুল থেকে 3 বছর হয়ে গেছে। আমার মনে হচ্ছে যেন আমাকে সবসময় দেখা হচ্ছে বা বিচার করা হচ্ছে। আগাম ধন্যবাদ এবং দুঃখিত যদি এটি একটু এলোমেলো বা খারাপভাবে লেখা হয়, তাহলে আমাকে পাথর মেরে ফেলা হবে, কিন্তু এটি কানাডা তাই এটি বৈধ, তাই না।</v>
      </c>
    </row>
    <row r="2330" spans="1:3" ht="15" x14ac:dyDescent="0.25">
      <c r="A2330" s="3" t="s">
        <v>2323</v>
      </c>
      <c r="B2330" s="3" t="s">
        <v>1992</v>
      </c>
      <c r="C2330" s="4" t="str">
        <f ca="1">IFERROR(__xludf.DUMMYFUNCTION("GOOGLETRANSLATE(A2330, ""auto"", ""bn"")"),"যখন কারো সাথে কথা বলা প্রয়োজন, তখন আমি কিভাবে কারো সাথে কথা বলব? আমি বুঝতে পারছি না। আমার এখনই সাহায্যের প্রয়োজন। না, এটা কোনও সংকট নয়, কিন্তু আমার সাহায্যের প্রয়োজন। আমার ইতিমধ্যেই একজন মনোবিজ্ঞানী এবং একজন মনোরোগ বিশেষজ্ঞ আছেন। সপ্তাহে একবার কথা বলা যথে"&amp;"ষ্ট নয়। আমি জানি না এর অর্থ কী। এত সময় কিছু করার জন্য যথেষ্ট নয়, এমনকি এক বছরেরও বেশি সময় ধরেও না। আমি সবসময় সাহায্যের জন্য ভিক্ষা করি এবং আমি জানি না কিভাবে তা পাবো। আমি সঠিকভাবে চিন্তা করতে সক্ষম হতে চাই।")</f>
        <v>যখন কারো সাথে কথা বলা প্রয়োজন, তখন আমি কিভাবে কারো সাথে কথা বলব? আমি বুঝতে পারছি না। আমার এখনই সাহায্যের প্রয়োজন। না, এটা কোনও সংকট নয়, কিন্তু আমার সাহায্যের প্রয়োজন। আমার ইতিমধ্যেই একজন মনোবিজ্ঞানী এবং একজন মনোরোগ বিশেষজ্ঞ আছেন। সপ্তাহে একবার কথা বলা যথেষ্ট নয়। আমি জানি না এর অর্থ কী। এত সময় কিছু করার জন্য যথেষ্ট নয়, এমনকি এক বছরেরও বেশি সময় ধরেও না। আমি সবসময় সাহায্যের জন্য ভিক্ষা করি এবং আমি জানি না কিভাবে তা পাবো। আমি সঠিকভাবে চিন্তা করতে সক্ষম হতে চাই।</v>
      </c>
    </row>
    <row r="2331" spans="1:3" ht="15" x14ac:dyDescent="0.25">
      <c r="A2331" s="3" t="s">
        <v>2324</v>
      </c>
      <c r="B2331" s="3" t="s">
        <v>1992</v>
      </c>
      <c r="C2331" s="4" t="str">
        <f ca="1">IFERROR(__xludf.DUMMYFUNCTION("GOOGLETRANSLATE(A2331, ""auto"", ""bn"")"),"আমি একটি স্বল্পদৈর্ঘ্য চলচ্চিত্র বানাতে চাই কিন্তু এটি তুলে ধরা আমার বোকামি। আমি আসলে জানি না আমার বিশেষ সমস্যাটি এই Subreddit-এ থাকা উচিত কিনা, তবে এখানেই শেষ। শিরোনামে যেমন বলা আছে, আমি একটি ছোট ভৌতিক চলচ্চিত্র বানাতে চাই। আমি চাই যে আমার সাথে যারা কাজ "&amp;"করছেন তারা সবাই আমার বন্ধু হোক। আমার সকল বিভাগে অসংখ্য শৈল্পিক এবং প্রতিভাবান বন্ধু আছে যারা সাহায্য করতে পারে, এবং যদি আমি জিজ্ঞাসা করি তাহলে তারা সাহায্য করবে। কিন্তু যখনই আমি জিজ্ঞাসা করার উপযুক্ত সুযোগ অনুভব করি, আমি হাল ছেড়ে দেই। সিনেমা বানাতে চাওয়"&amp;"ার ব্যাপারে আমার বোকামি লাগে, বিশেষ করে যখন আমার কোনও অভিজ্ঞতা বা এমনকি এমন কোনও যোগ্যতা নেই যা চলচ্চিত্র শিল্পের সাথে দূরবর্তীভাবে সম্পর্কিত। এটি হবে আমার এই ধরণের প্রথম প্রকল্প, এবং সম্ভবত দীর্ঘ সময়ের মধ্যে আমি সবচেয়ে বড় কাজ করব। কিন্তু, আবার, ধারণাট"&amp;"ি সামনে আনা একটি উদ্বেগের দ্বারা থামানো হয়েছে যার আসলে তাদের হওয়ার কোনও কারণ নেই, তবুও এটি যাইহোক। আমি নিশ্চিত নই যে আমি এটি পোস্ট করে কী পেতে চাই, আমি মনে করি আমি কেবল আমার চলচ্চিত্র নির্মাণের স্বপ্নের কথা বলতে চেয়েছিলাম কিন্তু Reddit-এর নাম প্রকাশ না"&amp;" করে যাতে আমার বন্ধুদের/পরিবারকে বলার বিষয়ে আমার উদ্বেগ শীঘ্রই চলে যায়। উদ্বেগ আমাকে অনেক দিন ধরেই প্রভাবিত করে আসছে। আমার সবচেয়ে বড় কারণ হল গণপরিবহন এবং জনাকীর্ণ স্থানে থাকা কিন্তু সেখানে কে আছে তা না জানা, এবং যেহেতু আমার কোনও ট্রিগারই আমার বর্তমান "&amp;"সমস্যার সাথে সম্পর্কিত নয়, তাই আমি বিভ্রান্ত হয়ে পড়ি। যদি এমন কোনও পদ্ধতি বা এমন কিছু থাকে যা আমাকে এটি কাটিয়ে উঠতে সাহায্য করতে পারে তবে আমি খুব কৃতজ্ঞ থাকব।")</f>
        <v>আমি একটি স্বল্পদৈর্ঘ্য চলচ্চিত্র বানাতে চাই কিন্তু এটি তুলে ধরা আমার বোকামি। আমি আসলে জানি না আমার বিশেষ সমস্যাটি এই Subreddit-এ থাকা উচিত কিনা, তবে এখানেই শেষ। শিরোনামে যেমন বলা আছে, আমি একটি ছোট ভৌতিক চলচ্চিত্র বানাতে চাই। আমি চাই যে আমার সাথে যারা কাজ করছেন তারা সবাই আমার বন্ধু হোক। আমার সকল বিভাগে অসংখ্য শৈল্পিক এবং প্রতিভাবান বন্ধু আছে যারা সাহায্য করতে পারে, এবং যদি আমি জিজ্ঞাসা করি তাহলে তারা সাহায্য করবে। কিন্তু যখনই আমি জিজ্ঞাসা করার উপযুক্ত সুযোগ অনুভব করি, আমি হাল ছেড়ে দেই। সিনেমা বানাতে চাওয়ার ব্যাপারে আমার বোকামি লাগে, বিশেষ করে যখন আমার কোনও অভিজ্ঞতা বা এমনকি এমন কোনও যোগ্যতা নেই যা চলচ্চিত্র শিল্পের সাথে দূরবর্তীভাবে সম্পর্কিত। এটি হবে আমার এই ধরণের প্রথম প্রকল্প, এবং সম্ভবত দীর্ঘ সময়ের মধ্যে আমি সবচেয়ে বড় কাজ করব। কিন্তু, আবার, ধারণাটি সামনে আনা একটি উদ্বেগের দ্বারা থামানো হয়েছে যার আসলে তাদের হওয়ার কোনও কারণ নেই, তবুও এটি যাইহোক। আমি নিশ্চিত নই যে আমি এটি পোস্ট করে কী পেতে চাই, আমি মনে করি আমি কেবল আমার চলচ্চিত্র নির্মাণের স্বপ্নের কথা বলতে চেয়েছিলাম কিন্তু Reddit-এর নাম প্রকাশ না করে যাতে আমার বন্ধুদের/পরিবারকে বলার বিষয়ে আমার উদ্বেগ শীঘ্রই চলে যায়। উদ্বেগ আমাকে অনেক দিন ধরেই প্রভাবিত করে আসছে। আমার সবচেয়ে বড় কারণ হল গণপরিবহন এবং জনাকীর্ণ স্থানে থাকা কিন্তু সেখানে কে আছে তা না জানা, এবং যেহেতু আমার কোনও ট্রিগারই আমার বর্তমান সমস্যার সাথে সম্পর্কিত নয়, তাই আমি বিভ্রান্ত হয়ে পড়ি। যদি এমন কোনও পদ্ধতি বা এমন কিছু থাকে যা আমাকে এটি কাটিয়ে উঠতে সাহায্য করতে পারে তবে আমি খুব কৃতজ্ঞ থাকব।</v>
      </c>
    </row>
    <row r="2332" spans="1:3" ht="15" x14ac:dyDescent="0.25">
      <c r="A2332" s="3" t="s">
        <v>2325</v>
      </c>
      <c r="B2332" s="3" t="s">
        <v>1992</v>
      </c>
      <c r="C2332" s="4" t="str">
        <f ca="1">IFERROR(__xludf.DUMMYFUNCTION("GOOGLETRANSLATE(A2332, ""auto"", ""bn"")"),"উদ্বেগ নিয়ন্ত্রণে ব্যায়াম ব্যবহার করে এমন মানুষের সাফল্যের গল্প শুনতে আমার খুব ভালো লাগবে। আমি সত্যিই আমার উদ্বেগ, ঘুমের সমস্যা এবং মনোযোগ নিয়ন্ত্রণে ব্যায়াম শুরু করার জন্য আরও অনুপ্রাণিত হতে চাই (উদ্বেগের সাথে সম্পর্কিত নয়। ADHDও)। মানুষের গল্প শুনে"&amp;" আমি সবসময় অনুপ্রাণিত হই :) দয়া করে শেয়ার করুন!")</f>
        <v>উদ্বেগ নিয়ন্ত্রণে ব্যায়াম ব্যবহার করে এমন মানুষের সাফল্যের গল্প শুনতে আমার খুব ভালো লাগবে। আমি সত্যিই আমার উদ্বেগ, ঘুমের সমস্যা এবং মনোযোগ নিয়ন্ত্রণে ব্যায়াম শুরু করার জন্য আরও অনুপ্রাণিত হতে চাই (উদ্বেগের সাথে সম্পর্কিত নয়। ADHDও)। মানুষের গল্প শুনে আমি সবসময় অনুপ্রাণিত হই :) দয়া করে শেয়ার করুন!</v>
      </c>
    </row>
    <row r="2333" spans="1:3" ht="15" x14ac:dyDescent="0.25">
      <c r="A2333" s="3" t="s">
        <v>2326</v>
      </c>
      <c r="B2333" s="3" t="s">
        <v>1992</v>
      </c>
      <c r="C2333" s="4" t="str">
        <f ca="1">IFERROR(__xludf.DUMMYFUNCTION("GOOGLETRANSLATE(A2333, ""auto"", ""bn"")"),"আমার বাবা আমাদের সকলের এই ডায়েট অনুসরণ করার ব্যাপারে অনেক আশাবাদী। আমার মনে হচ্ছে আমি ইতিমধ্যেই ব্যর্থ হয়েছি। আমি কেবল নিজেকে গোপন রাখতে চাই এবং নিজের মতো করে কাজ করতে চাই, ওজন কমানোর এবং বাজে কথা বলার জন্য সবাই কথা বললে আমি সহ্য করতে পারি না, আমি লোকেদ"&amp;"ের হতাশ করতে খুব ভয় পাই। আমি এটা করতে পারব না, আমি কিছুই করতে পারি না। তাছাড়া, আমি কেবল ব্যর্থতার মতো অনুভব করি, এবং আমি জানি না আমি কী করছি। তাছাড়া, আমি জানি তিনি আমাদের বাড়ির সবার জন্য যা ভালো তা চান, কিন্তু আমি এই সমস্ত মনোযোগ সহ্য করতে পারি না। তা"&amp;"ছাড়া, আমি যা খাই তার জন্য আমি অপরাধবোধ করি, আমি কিছুই খেতে চাই না। তাছাড়া, আমার মনে হয় আমি একটি মাইক্রোস্কোপের নীচে আছি।")</f>
        <v>আমার বাবা আমাদের সকলের এই ডায়েট অনুসরণ করার ব্যাপারে অনেক আশাবাদী। আমার মনে হচ্ছে আমি ইতিমধ্যেই ব্যর্থ হয়েছি। আমি কেবল নিজেকে গোপন রাখতে চাই এবং নিজের মতো করে কাজ করতে চাই, ওজন কমানোর এবং বাজে কথা বলার জন্য সবাই কথা বললে আমি সহ্য করতে পারি না, আমি লোকেদের হতাশ করতে খুব ভয় পাই। আমি এটা করতে পারব না, আমি কিছুই করতে পারি না। তাছাড়া, আমি কেবল ব্যর্থতার মতো অনুভব করি, এবং আমি জানি না আমি কী করছি। তাছাড়া, আমি জানি তিনি আমাদের বাড়ির সবার জন্য যা ভালো তা চান, কিন্তু আমি এই সমস্ত মনোযোগ সহ্য করতে পারি না। তাছাড়া, আমি যা খাই তার জন্য আমি অপরাধবোধ করি, আমি কিছুই খেতে চাই না। তাছাড়া, আমার মনে হয় আমি একটি মাইক্রোস্কোপের নীচে আছি।</v>
      </c>
    </row>
    <row r="2334" spans="1:3" ht="15" x14ac:dyDescent="0.25">
      <c r="A2334" s="3" t="s">
        <v>2327</v>
      </c>
      <c r="B2334" s="3" t="s">
        <v>1992</v>
      </c>
      <c r="C2334" s="4" t="str">
        <f ca="1">IFERROR(__xludf.DUMMYFUNCTION("GOOGLETRANSLATE(A2334, ""auto"", ""bn"")"),"কেন IRL মানুষের সাথে কথা বলতে এত অস্বস্তি লাগে? তাই আমার খুব বেশি IRL বন্ধু নেই কারণ যখনই আমি নতুন মানুষের সাথে কথা বলি তখন আমার এত লজ্জা লাগে যে মনে হয় আমি মারা যাব, আর আমি ঘামতে শুরু করি এবং ধীরে ধীরে কীভাবে শুরু করব তার কিছু টিপস দিই? অথবা আমার কী করা"&amp;" উচিত?")</f>
        <v>কেন IRL মানুষের সাথে কথা বলতে এত অস্বস্তি লাগে? তাই আমার খুব বেশি IRL বন্ধু নেই কারণ যখনই আমি নতুন মানুষের সাথে কথা বলি তখন আমার এত লজ্জা লাগে যে মনে হয় আমি মারা যাব, আর আমি ঘামতে শুরু করি এবং ধীরে ধীরে কীভাবে শুরু করব তার কিছু টিপস দিই? অথবা আমার কী করা উচিত?</v>
      </c>
    </row>
    <row r="2335" spans="1:3" ht="15" x14ac:dyDescent="0.25">
      <c r="A2335" s="3" t="s">
        <v>2328</v>
      </c>
      <c r="B2335" s="3" t="s">
        <v>1992</v>
      </c>
      <c r="C2335" s="4" t="str">
        <f ca="1">IFERROR(__xludf.DUMMYFUNCTION("GOOGLETRANSLATE(A2335, ""auto"", ""bn"")"),"কর্মক্ষেত্রে চাপ। বড়দিনের ছুটির পর প্রথম দিন, আর আমি ইতিমধ্যেই চাপে ভুগছি। এটা আমার প্রথম পূর্ণ-সময়ের চাকরি, এবং এটা আমার জন্য অবিশ্বাস্যভাবে দ্রুতগতির। কখনও কখনও 'দুই দিন একই রকম হয় না' এই দাবি খারাপ হতে পারে। আমি এটা মেনে চলতে চাই, এবং আমি জানি যে অন"&amp;"েকেই আমার চাকরির জন্য একটি অঙ্গ ত্যাগ করবে, কিন্তু আমি দিনে ৮ ঘন্টা উদ্বিগ্ন থাকতে ঘৃণা করি।")</f>
        <v>কর্মক্ষেত্রে চাপ। বড়দিনের ছুটির পর প্রথম দিন, আর আমি ইতিমধ্যেই চাপে ভুগছি। এটা আমার প্রথম পূর্ণ-সময়ের চাকরি, এবং এটা আমার জন্য অবিশ্বাস্যভাবে দ্রুতগতির। কখনও কখনও 'দুই দিন একই রকম হয় না' এই দাবি খারাপ হতে পারে। আমি এটা মেনে চলতে চাই, এবং আমি জানি যে অনেকেই আমার চাকরির জন্য একটি অঙ্গ ত্যাগ করবে, কিন্তু আমি দিনে ৮ ঘন্টা উদ্বিগ্ন থাকতে ঘৃণা করি।</v>
      </c>
    </row>
    <row r="2336" spans="1:3" ht="15" x14ac:dyDescent="0.25">
      <c r="A2336" s="3" t="s">
        <v>2329</v>
      </c>
      <c r="B2336" s="3" t="s">
        <v>1992</v>
      </c>
      <c r="C2336" s="4" t="str">
        <f ca="1">IFERROR(__xludf.DUMMYFUNCTION("GOOGLETRANSLATE(A2336, ""auto"", ""bn"")"),"ডাক্তারের বার্তা পড়ার চেয়ে বরং বিশ্রাম নেওয়ার চেষ্টা করছি। আমার কাছে আসার আগে বোকামি না করার চেষ্টা করছি। আমি আমার কাঁধে একটা পিণ্ড বা শক্ত শিরা দেখতে পেলাম। প্রথমে, আমি ভেবেছিলাম এটা দারুন। আমি (উদ্বেগের চিকিৎসার অংশ হিসেবে) ব্যায়াম করছিলাম, এবং একজন বো"&amp;"কার মতো, ভাবলাম এটা নিশ্চয়ই ফিটনেসের লক্ষণ! টিভির মতো বড় বড় পেশীগুলো শিরাগুলো বের করে দিচ্ছে, RAW! আচ্ছা, আমার মুহূর্তটা কেটে গেল। তারপর আমি সিদ্ধান্ত নিলাম এটা শিরা নয়, এটা একটা টিউমার। তারপর আমি সিদ্ধান্ত নিলাম এটা আবার শিরা, জমাট বাঁধা। তাই আমি কিছু "&amp;"ছবি তুলে Ask Docs-এ রাখলাম, এবং ""সম্ভবত কিছুই না, কিন্তু ভয়াবহ কিছু হতে পারে তাই এটি পরীক্ষা করে দেখুন""। আমার ডাক্তার একজন সাধু, এবং আমাকে এই ধরণের জিনিস সম্পর্কে My Chart-এ তাকে বার্তা দিতে বললেন। আমি এটি বর্ণনা করেছি, একটি ছবি পাঠিয়েছি, এবং কয়েক ঘন"&amp;"্টার মধ্যে (আবার, একজন সাধু হিসেবে, এই প্রোগ্রামের জন্য আদর্শ হিসেবে 2 কার্যদিবস) বলেছি ""এটি জরুরি মনে হচ্ছে না, যদি এটি আরও খারাপ হয় তবে আমাকে জানাবেন।"" অসাধারণ! আমার হাতের DVT হচ্ছে না! তারপর আমি নেমে পড়লাম। ""কিন্তু সুস্থ এবং জরুরি অবস্থার মধ্যে অন"&amp;"েক খারাপ বিকল্প আছে। কেন সে বলল না 'ঠিক আছে, চিন্তার কিছু নেই?'"" ""যদি এটি আরও খারাপ হয়ে যায়? তাহলে কি এটি ইতিমধ্যেই খারাপ?"" ""আমরা কি এমন একটি পর্যায়ে আছি যেখানে এটি ভয়াবহ হতে পারে, কিন্তু আমাদের অপেক্ষা করতে হবে এবং দেখতে হবে এটি বিকশিত হয় কিনা? "&amp;"সর্বোপরি, আমরা সবসময় রোগ নির্ণয়ের একই দিনে ম্যালিগন্যান্ট টিউমার অপসারণ করি না।"" তাই আমি উদযাপন থেকে শুরু করে জ্ঞানীয় বিকৃতির দিকে এগিয়ে গেলাম যা আমাকে বলেছিল যে আমরা যা মোকাবেলা করছি তা বেশ খারাপ কিছু যা কয়েক দিন অপেক্ষা করতে পারে, যার সম্ভাব্যতা ঘ"&amp;"ড়ির কাঁটার প্রক্রিয়াকে হারাতে পারে। এবং ভাবুন, আমি এক বছরেরও বেশি সময় ধরে সুস্থতার একটি ভাল অবস্থায় ছিলাম। হতবাক। আমার ইতিমধ্যেই ৮ তারিখে তার সাথে চেকআপের জন্য অ্যাপয়েন্টমেন্ট ছিল, তাই আমি শীঘ্রই তার সাথে দেখা করব। পুরানো চেকআপ অভ্যাসে না পড়ার জন্য "&amp;"খুব চেষ্টা করছি।")</f>
        <v>ডাক্তারের বার্তা পড়ার চেয়ে বরং বিশ্রাম নেওয়ার চেষ্টা করছি। আমার কাছে আসার আগে বোকামি না করার চেষ্টা করছি। আমি আমার কাঁধে একটা পিণ্ড বা শক্ত শিরা দেখতে পেলাম। প্রথমে, আমি ভেবেছিলাম এটা দারুন। আমি (উদ্বেগের চিকিৎসার অংশ হিসেবে) ব্যায়াম করছিলাম, এবং একজন বোকার মতো, ভাবলাম এটা নিশ্চয়ই ফিটনেসের লক্ষণ! টিভির মতো বড় বড় পেশীগুলো শিরাগুলো বের করে দিচ্ছে, RAW! আচ্ছা, আমার মুহূর্তটা কেটে গেল। তারপর আমি সিদ্ধান্ত নিলাম এটা শিরা নয়, এটা একটা টিউমার। তারপর আমি সিদ্ধান্ত নিলাম এটা আবার শিরা, জমাট বাঁধা। তাই আমি কিছু ছবি তুলে Ask Docs-এ রাখলাম, এবং "সম্ভবত কিছুই না, কিন্তু ভয়াবহ কিছু হতে পারে তাই এটি পরীক্ষা করে দেখুন"। আমার ডাক্তার একজন সাধু, এবং আমাকে এই ধরণের জিনিস সম্পর্কে My Chart-এ তাকে বার্তা দিতে বললেন। আমি এটি বর্ণনা করেছি, একটি ছবি পাঠিয়েছি, এবং কয়েক ঘন্টার মধ্যে (আবার, একজন সাধু হিসেবে, এই প্রোগ্রামের জন্য আদর্শ হিসেবে 2 কার্যদিবস) বলেছি "এটি জরুরি মনে হচ্ছে না, যদি এটি আরও খারাপ হয় তবে আমাকে জানাবেন।" অসাধারণ! আমার হাতের DVT হচ্ছে না! তারপর আমি নেমে পড়লাম। "কিন্তু সুস্থ এবং জরুরি অবস্থার মধ্যে অনেক খারাপ বিকল্প আছে। কেন সে বলল না 'ঠিক আছে, চিন্তার কিছু নেই?'" "যদি এটি আরও খারাপ হয়ে যায়? তাহলে কি এটি ইতিমধ্যেই খারাপ?" "আমরা কি এমন একটি পর্যায়ে আছি যেখানে এটি ভয়াবহ হতে পারে, কিন্তু আমাদের অপেক্ষা করতে হবে এবং দেখতে হবে এটি বিকশিত হয় কিনা? সর্বোপরি, আমরা সবসময় রোগ নির্ণয়ের একই দিনে ম্যালিগন্যান্ট টিউমার অপসারণ করি না।" তাই আমি উদযাপন থেকে শুরু করে জ্ঞানীয় বিকৃতির দিকে এগিয়ে গেলাম যা আমাকে বলেছিল যে আমরা যা মোকাবেলা করছি তা বেশ খারাপ কিছু যা কয়েক দিন অপেক্ষা করতে পারে, যার সম্ভাব্যতা ঘড়ির কাঁটার প্রক্রিয়াকে হারাতে পারে। এবং ভাবুন, আমি এক বছরেরও বেশি সময় ধরে সুস্থতার একটি ভাল অবস্থায় ছিলাম। হতবাক। আমার ইতিমধ্যেই ৮ তারিখে তার সাথে চেকআপের জন্য অ্যাপয়েন্টমেন্ট ছিল, তাই আমি শীঘ্রই তার সাথে দেখা করব। পুরানো চেকআপ অভ্যাসে না পড়ার জন্য খুব চেষ্টা করছি।</v>
      </c>
    </row>
    <row r="2337" spans="1:3" ht="15" x14ac:dyDescent="0.25">
      <c r="A2337" s="3" t="s">
        <v>2330</v>
      </c>
      <c r="B2337" s="3" t="s">
        <v>1992</v>
      </c>
      <c r="C2337" s="4" t="str">
        <f ca="1">IFERROR(__xludf.DUMMYFUNCTION("GOOGLETRANSLATE(A2337, ""auto"", ""bn"")"),"আগামীকাল চাকরির ইন্টারভিউ, কাল আমার একটা চাকরির ইন্টারভিউ, আর আমি খুব বেশি নার্ভাস। এটা আমার দ্বিতীয় চাকরি, আমি আমার প্রথম চাকরিতে ৫ বছর ধরে কাজ করেছি এবং আমার বাবা মালিককে চিনতেন, তাই আমি খুব বেশি নার্ভাস ছিলাম না। এটাও একটা খুচরা ব্যবসা ছিল, তাই কাজটা "&amp;"ভালোভাবে করতে পারার ব্যাপারে আমি নার্ভাস ছিলাম না। এটা একটা রিসেপশনিস্ট পদ, তাই আমি ভয় পাচ্ছি যে আমি খারাপ হব কারণ এখানে অনেক সামাজিক যোগাযোগ আছে এবং আমার সামাজিক উদ্বেগ আছে (তবে আমি মনে করি এ কারণেই এটি আমার জন্য ভালো হবে)। ইন্টারভিউয়ের কথা বলতে গেলে, "&amp;"আমি প্রতি ঘন্টায় ১২ টাকা চাওয়ার ব্যাপারে সত্যিই নার্ভাস। আমি এখন ১০ টাকা করি, আর এই চাকরিটা অনেক দূরের ব্যাপার, তাই আমার মনে হয় এটা চাওয়াটা হাস্যকর নয়, কিন্তু আমার মনে হয় আমার আত্মবিশ্বাস নেই, আর আমি বোকার মতো দেখতে ভয় পাচ্ছি। কোন পরামর্শ?")</f>
        <v>আগামীকাল চাকরির ইন্টারভিউ, কাল আমার একটা চাকরির ইন্টারভিউ, আর আমি খুব বেশি নার্ভাস। এটা আমার দ্বিতীয় চাকরি, আমি আমার প্রথম চাকরিতে ৫ বছর ধরে কাজ করেছি এবং আমার বাবা মালিককে চিনতেন, তাই আমি খুব বেশি নার্ভাস ছিলাম না। এটাও একটা খুচরা ব্যবসা ছিল, তাই কাজটা ভালোভাবে করতে পারার ব্যাপারে আমি নার্ভাস ছিলাম না। এটা একটা রিসেপশনিস্ট পদ, তাই আমি ভয় পাচ্ছি যে আমি খারাপ হব কারণ এখানে অনেক সামাজিক যোগাযোগ আছে এবং আমার সামাজিক উদ্বেগ আছে (তবে আমি মনে করি এ কারণেই এটি আমার জন্য ভালো হবে)। ইন্টারভিউয়ের কথা বলতে গেলে, আমি প্রতি ঘন্টায় ১২ টাকা চাওয়ার ব্যাপারে সত্যিই নার্ভাস। আমি এখন ১০ টাকা করি, আর এই চাকরিটা অনেক দূরের ব্যাপার, তাই আমার মনে হয় এটা চাওয়াটা হাস্যকর নয়, কিন্তু আমার মনে হয় আমার আত্মবিশ্বাস নেই, আর আমি বোকার মতো দেখতে ভয় পাচ্ছি। কোন পরামর্শ?</v>
      </c>
    </row>
    <row r="2338" spans="1:3" ht="15" x14ac:dyDescent="0.25">
      <c r="A2338" s="3" t="s">
        <v>2331</v>
      </c>
      <c r="B2338" s="3" t="s">
        <v>1992</v>
      </c>
      <c r="C2338" s="4" t="str">
        <f ca="1">IFERROR(__xludf.DUMMYFUNCTION("GOOGLETRANSLATE(A2338, ""auto"", ""bn"")"),"উদ্বিগ্ন ঝাঁকুনি আমার সাধারণত ভয়ানক উদ্বেগ থাকে এবং আমি সাধারণত অসামাজিক, কিন্তু যখনই আমি বাইরে বেরোতে বা নতুন কিছু চেষ্টা করতে দেখি তখনই আমি আক্ষরিক অর্থেই প্রায় কাঁপতে শুরু করি এবং বাড়িতে গিয়ে একা থাকা ছাড়া আর কিছুই আমাকে শান্ত করে না। কোন পরামর্শ?")</f>
        <v>উদ্বিগ্ন ঝাঁকুনি আমার সাধারণত ভয়ানক উদ্বেগ থাকে এবং আমি সাধারণত অসামাজিক, কিন্তু যখনই আমি বাইরে বেরোতে বা নতুন কিছু চেষ্টা করতে দেখি তখনই আমি আক্ষরিক অর্থেই প্রায় কাঁপতে শুরু করি এবং বাড়িতে গিয়ে একা থাকা ছাড়া আর কিছুই আমাকে শান্ত করে না। কোন পরামর্শ?</v>
      </c>
    </row>
    <row r="2339" spans="1:3" ht="15" x14ac:dyDescent="0.25">
      <c r="A2339" s="3" t="s">
        <v>2332</v>
      </c>
      <c r="B2339" s="3" t="s">
        <v>1992</v>
      </c>
      <c r="C2339" s="4" t="str">
        <f ca="1">IFERROR(__xludf.DUMMYFUNCTION("GOOGLETRANSLATE(A2339, ""auto"", ""bn"")"),"জরুরি সাহায্যের প্রয়োজন, সারাদিন ধরে প্যানিক অ্যাটাক চলছে বন্ধুরা, দয়া করে আমার তাৎক্ষণিক সাহায্যের প্রয়োজন, আমার সারাদিন প্যানিক অ্যাটাক হচ্ছে। এটা অসহনীয় হয়ে উঠছে। আমি আমার ডাক্তারকে ফোন করতে পারছি না কারণ তিনি নির্দিষ্ট সময়ের পরেও কোনও উত্তর দেন না এবং"&amp;" আমার কিছু টিপস এবং কৌশলের প্রয়োজন যাতে আমি কয়েক ঘন্টা ধরে সুস্থ থাকতে পারি। আমার বাবা ৩ ঘন্টা ধরে আমার সাথে আছেন, এবং এটি থামছে না, এটি সম্পর্কে কথা বলছেন, অন্য কিছু নিয়ে ভাবছেন, সিরিজ দেখছেন। কিছুই কাজ করছে না, আমি উদ্বেগ এবং প্যানিক অ্যাটাকের সাথে নতু"&amp;"ন নই, তবে এটি আসলে ২০ ঘন্টারও বেশি সময় ধরে চলতে থাকা নতুন এবং এটি অসহনীয় হয়ে উঠছে। আমাকে এমন কিছু বলুন যা সাহায্য করতে পারে। আমার কি ভ্যালিয়াম বা জ্যানাক্স নেওয়া উচিত? আমার কি জরুরি বিভাগে যাওয়া উচিত?")</f>
        <v>জরুরি সাহায্যের প্রয়োজন, সারাদিন ধরে প্যানিক অ্যাটাক চলছে বন্ধুরা, দয়া করে আমার তাৎক্ষণিক সাহায্যের প্রয়োজন, আমার সারাদিন প্যানিক অ্যাটাক হচ্ছে। এটা অসহনীয় হয়ে উঠছে। আমি আমার ডাক্তারকে ফোন করতে পারছি না কারণ তিনি নির্দিষ্ট সময়ের পরেও কোনও উত্তর দেন না এবং আমার কিছু টিপস এবং কৌশলের প্রয়োজন যাতে আমি কয়েক ঘন্টা ধরে সুস্থ থাকতে পারি। আমার বাবা ৩ ঘন্টা ধরে আমার সাথে আছেন, এবং এটি থামছে না, এটি সম্পর্কে কথা বলছেন, অন্য কিছু নিয়ে ভাবছেন, সিরিজ দেখছেন। কিছুই কাজ করছে না, আমি উদ্বেগ এবং প্যানিক অ্যাটাকের সাথে নতুন নই, তবে এটি আসলে ২০ ঘন্টারও বেশি সময় ধরে চলতে থাকা নতুন এবং এটি অসহনীয় হয়ে উঠছে। আমাকে এমন কিছু বলুন যা সাহায্য করতে পারে। আমার কি ভ্যালিয়াম বা জ্যানাক্স নেওয়া উচিত? আমার কি জরুরি বিভাগে যাওয়া উচিত?</v>
      </c>
    </row>
    <row r="2340" spans="1:3" ht="15" x14ac:dyDescent="0.25">
      <c r="A2340" s="3" t="s">
        <v>2333</v>
      </c>
      <c r="B2340" s="3" t="s">
        <v>1992</v>
      </c>
      <c r="C2340" s="4" t="str">
        <f ca="1">IFERROR(__xludf.DUMMYFUNCTION("GOOGLETRANSLATE(A2340, ""auto"", ""bn"")"),"আমি আমার আবেগগুলো সবসময় বুঝতে পারি না। আমার অনুভূতি নিয়ে আমি দ্বিমুখী বোধ করছি। যখন আমি কিছু অনুভব করি, তখন আমার একটা নির্দিষ্ট অনুভূতি হতে পারে, কিন্তু আমার প্রতিক্রিয়া সম্পূর্ণ ভিন্ন হবে। অনেক পরিস্থিতিতেই আমি এটা অনুভব করেছি। আমার এক বন্ধু আমাকে বলেছে"&amp;" যে মাঝে মাঝে যখন আমি ব্যস্ত/বিক্ষিপ্ত থাকি না; যখন আমি বাসের জন্য অপেক্ষা করি, খাই, ইত্যাদি, তখন আমি রাগান্বিত দেখাই, যদিও এরকম সময়ে আমার মনে আসলে কিছুই ঘুরপাক খায় না। আমি রাগের ভাব থামিয়ে আরাম করার চেষ্টা করার সিদ্ধান্ত নিলাম, বরং, আমি ""মনে হচ্ছে আমি"&amp;" কাঁদতে যাচ্ছি"" ভাবনার দিকে ঝুঁকে পড়লাম। বেশিরভাগ সময়, আমি আমার মনোভাব বর্ণনা করতে পারি না, এমন নয় যে আমি কিছুই অনুভব করি না, তবে আমাকে বর্ণনা করার মতো কোনও অনুভূতি নেই। আমি কেবল বিদ্যমান। যখন আমি ছোট ছিলাম তখন আমি আমার অনুভূতিগুলো ত্যাগ করেছিলাম। আমি"&amp;" অত্যন্ত আত্মসচেতন ছিলাম, তাই আমি মানিয়ে নেওয়ার চেষ্টা করেছিলাম এবং একবার যখন আমি বুঝতে পারলাম যে আমি মানিয়ে নিতে পারছি না, তখন আমি পরিবর্তন করার চেষ্টা করেছিলাম। আমার প্রচেষ্টা সত্ত্বেও, আমাকে এখনও তুচ্ছ মনে করা হত, আমি বিশ্বাস করতাম যে যাই হোক না কেন"&amp;", আমি যথেষ্ট নই। আমার প্রচেষ্টা ব্যর্থ হয়েছে বুঝতে পেরে আমি হাল ছেড়ে দিয়েছিলাম। আমি চেষ্টা করা, যত্ন নেওয়া, জীবনকে মূল্য দেওয়া বন্ধ করে দিয়েছিলাম। আমি ইচ্ছাকৃতভাবে নিজেকে অন্যদের থেকে আলাদা করে ফেলেছিলাম, অনুভূতি বন্ধ করার চেষ্টা করেছিলাম। তদুপরি, আ"&amp;"মি বুঝতে পারি যে এটি কিছুটা নাটকীয় ছিল এবং এই গল্পটি ভুয়া স্ব-নির্ণিত বিষণ্নতার মতো শোনাচ্ছে, যা সম্ভবত এটি, তবে সমস্যাটি এখনও রয়ে গেছে, এবং আমি কিছুই না বলে অনুভব করার পরিবর্তে আমার অনুভূতির সাথে আরও প্রকাশ করার জন্য প্রচেষ্টা শুরু করতে চাই। অবশ্যই, আ"&amp;"মার এখনও আবেগ আছে, কিন্তু সেগুলি চাপা পড়ে আছে। আমি যে আবেগগুলি খনন করেছি তা কীভাবে পুনরুদ্ধার করতে পারি?")</f>
        <v>আমি আমার আবেগগুলো সবসময় বুঝতে পারি না। আমার অনুভূতি নিয়ে আমি দ্বিমুখী বোধ করছি। যখন আমি কিছু অনুভব করি, তখন আমার একটা নির্দিষ্ট অনুভূতি হতে পারে, কিন্তু আমার প্রতিক্রিয়া সম্পূর্ণ ভিন্ন হবে। অনেক পরিস্থিতিতেই আমি এটা অনুভব করেছি। আমার এক বন্ধু আমাকে বলেছে যে মাঝে মাঝে যখন আমি ব্যস্ত/বিক্ষিপ্ত থাকি না; যখন আমি বাসের জন্য অপেক্ষা করি, খাই, ইত্যাদি, তখন আমি রাগান্বিত দেখাই, যদিও এরকম সময়ে আমার মনে আসলে কিছুই ঘুরপাক খায় না। আমি রাগের ভাব থামিয়ে আরাম করার চেষ্টা করার সিদ্ধান্ত নিলাম, বরং, আমি "মনে হচ্ছে আমি কাঁদতে যাচ্ছি" ভাবনার দিকে ঝুঁকে পড়লাম। বেশিরভাগ সময়, আমি আমার মনোভাব বর্ণনা করতে পারি না, এমন নয় যে আমি কিছুই অনুভব করি না, তবে আমাকে বর্ণনা করার মতো কোনও অনুভূতি নেই। আমি কেবল বিদ্যমান। যখন আমি ছোট ছিলাম তখন আমি আমার অনুভূতিগুলো ত্যাগ করেছিলাম। আমি অত্যন্ত আত্মসচেতন ছিলাম, তাই আমি মানিয়ে নেওয়ার চেষ্টা করেছিলাম এবং একবার যখন আমি বুঝতে পারলাম যে আমি মানিয়ে নিতে পারছি না, তখন আমি পরিবর্তন করার চেষ্টা করেছিলাম। আমার প্রচেষ্টা সত্ত্বেও, আমাকে এখনও তুচ্ছ মনে করা হত, আমি বিশ্বাস করতাম যে যাই হোক না কেন, আমি যথেষ্ট নই। আমার প্রচেষ্টা ব্যর্থ হয়েছে বুঝতে পেরে আমি হাল ছেড়ে দিয়েছিলাম। আমি চেষ্টা করা, যত্ন নেওয়া, জীবনকে মূল্য দেওয়া বন্ধ করে দিয়েছিলাম। আমি ইচ্ছাকৃতভাবে নিজেকে অন্যদের থেকে আলাদা করে ফেলেছিলাম, অনুভূতি বন্ধ করার চেষ্টা করেছিলাম। তদুপরি, আমি বুঝতে পারি যে এটি কিছুটা নাটকীয় ছিল এবং এই গল্পটি ভুয়া স্ব-নির্ণিত বিষণ্নতার মতো শোনাচ্ছে, যা সম্ভবত এটি, তবে সমস্যাটি এখনও রয়ে গেছে, এবং আমি কিছুই না বলে অনুভব করার পরিবর্তে আমার অনুভূতির সাথে আরও প্রকাশ করার জন্য প্রচেষ্টা শুরু করতে চাই। অবশ্যই, আমার এখনও আবেগ আছে, কিন্তু সেগুলি চাপা পড়ে আছে। আমি যে আবেগগুলি খনন করেছি তা কীভাবে পুনরুদ্ধার করতে পারি?</v>
      </c>
    </row>
    <row r="2341" spans="1:3" ht="15" x14ac:dyDescent="0.25">
      <c r="A2341" s="3" t="s">
        <v>2334</v>
      </c>
      <c r="B2341" s="3" t="s">
        <v>1992</v>
      </c>
      <c r="C2341" s="4" t="str">
        <f ca="1">IFERROR(__xludf.DUMMYFUNCTION("GOOGLETRANSLATE(A2341, ""auto"", ""bn"")"),"NYE তে মদ্যপানের কারণে স্বল্পমেয়াদী সাহায্য, উদ্বেগ নামে বেশ কিছু সাবস্ক্রাইবার উদ্বেগ প্রকাশ করেছে, তাই আমি আশা করি এটি পোস্ট করার জন্য এটি সঠিক জায়গা: তাই আমার থেরাপিস্টের সাথে দেখা করতে আমাকে আরও এক সপ্তাহ অপেক্ষা করতে হবে, তাই Reddit-এর কাছে স্বল্পম"&amp;"েয়াদী সাহায্যের জন্য অনুরোধ করছি। NYE তে, আমি মাতাল হয়ে পড়েছিলাম। আমি জানি আমি কিছু ভুল করেছি। অন্তত একটি জিনিস, সম্ভবত 3. আমার প্যানিক অ্যাটাক হচ্ছে কারণ আমি জানি না কী ঘটেছে। আমি একজন ভালো বন্ধুকে জিজ্ঞাসা করতে পারি কী ঘটেছে, তবে কী ঘটেছে তা জানতেও আ"&amp;"মি ভয় পাচ্ছি। তবে আমার জিজ্ঞাসা করা উচিত যাতে হোস্টদের কাছে ঋণী হওয়ার আগে যা ঘটেছে তার জন্য আমি ক্ষমা চাইতে পারি এবং এটি উদ্বেগকে আরও বাড়িয়ে তোলে। উলু, প্রতিক্রিয়ার চক্রে আটকে গেছে।")</f>
        <v>NYE তে মদ্যপানের কারণে স্বল্পমেয়াদী সাহায্য, উদ্বেগ নামে বেশ কিছু সাবস্ক্রাইবার উদ্বেগ প্রকাশ করেছে, তাই আমি আশা করি এটি পোস্ট করার জন্য এটি সঠিক জায়গা: তাই আমার থেরাপিস্টের সাথে দেখা করতে আমাকে আরও এক সপ্তাহ অপেক্ষা করতে হবে, তাই Reddit-এর কাছে স্বল্পমেয়াদী সাহায্যের জন্য অনুরোধ করছি। NYE তে, আমি মাতাল হয়ে পড়েছিলাম। আমি জানি আমি কিছু ভুল করেছি। অন্তত একটি জিনিস, সম্ভবত 3. আমার প্যানিক অ্যাটাক হচ্ছে কারণ আমি জানি না কী ঘটেছে। আমি একজন ভালো বন্ধুকে জিজ্ঞাসা করতে পারি কী ঘটেছে, তবে কী ঘটেছে তা জানতেও আমি ভয় পাচ্ছি। তবে আমার জিজ্ঞাসা করা উচিত যাতে হোস্টদের কাছে ঋণী হওয়ার আগে যা ঘটেছে তার জন্য আমি ক্ষমা চাইতে পারি এবং এটি উদ্বেগকে আরও বাড়িয়ে তোলে। উলু, প্রতিক্রিয়ার চক্রে আটকে গেছে।</v>
      </c>
    </row>
    <row r="2342" spans="1:3" ht="15" x14ac:dyDescent="0.25">
      <c r="A2342" s="3" t="s">
        <v>2335</v>
      </c>
      <c r="B2342" s="3" t="s">
        <v>1992</v>
      </c>
      <c r="C2342" s="4" t="str">
        <f ca="1">IFERROR(__xludf.DUMMYFUNCTION("GOOGLETRANSLATE(A2342, ""auto"", ""bn"")"),"প্রিয়জনের সাথে দ্বিমত পোষণের উদ্বেগ। হ্যালো, আমি বুঝতে পেরেছি যে আমার কাছের মানুষদের কাছে আমার অনুভূতি প্রকাশ করার সময় আমি খুব তীব্র উদ্বেগ অনুভব করি। তোমার প্রতি যত্নশীল হওয়ার কারণে নয়। আমার মতামত, অথবা আমার চাহিদা প্রকাশ করতে আমার খুব কষ্ট হয়, যদি "&amp;"আমি জানি যে আমি কার সাথে কথা বলছি তার থেকে এটি আলাদা। এবং আমি নিশ্চিত যে কেউ তাদের কাছের কারো সাথে দ্বিমত পোষণ করতে উদ্বিগ্ন বোধ করবে? আমি এটা নিয়ে এতটাই উদ্বিগ্ন যে আমি হয় কিছু বলতে পারি না অথবা আমি খুব দীর্ঘসূত্রী হয়ে আমার বক্তব্য হারিয়ে ফেলতে পারি।"&amp;" যদি আপনার সাথে এটি ঘটে তবে আপনি কীভাবে এটি মোকাবেলা করবেন সে সম্পর্কে আপনার যদি কোনও পরামর্শ থাকে, আমি শুনতে আগ্রহী!")</f>
        <v>প্রিয়জনের সাথে দ্বিমত পোষণের উদ্বেগ। হ্যালো, আমি বুঝতে পেরেছি যে আমার কাছের মানুষদের কাছে আমার অনুভূতি প্রকাশ করার সময় আমি খুব তীব্র উদ্বেগ অনুভব করি। তোমার প্রতি যত্নশীল হওয়ার কারণে নয়। আমার মতামত, অথবা আমার চাহিদা প্রকাশ করতে আমার খুব কষ্ট হয়, যদি আমি জানি যে আমি কার সাথে কথা বলছি তার থেকে এটি আলাদা। এবং আমি নিশ্চিত যে কেউ তাদের কাছের কারো সাথে দ্বিমত পোষণ করতে উদ্বিগ্ন বোধ করবে? আমি এটা নিয়ে এতটাই উদ্বিগ্ন যে আমি হয় কিছু বলতে পারি না অথবা আমি খুব দীর্ঘসূত্রী হয়ে আমার বক্তব্য হারিয়ে ফেলতে পারি। যদি আপনার সাথে এটি ঘটে তবে আপনি কীভাবে এটি মোকাবেলা করবেন সে সম্পর্কে আপনার যদি কোনও পরামর্শ থাকে, আমি শুনতে আগ্রহী!</v>
      </c>
    </row>
    <row r="2343" spans="1:3" ht="15" x14ac:dyDescent="0.25">
      <c r="A2343" s="3" t="s">
        <v>2336</v>
      </c>
      <c r="B2343" s="3" t="s">
        <v>1992</v>
      </c>
      <c r="C2343" s="4" t="str">
        <f ca="1">IFERROR(__xludf.DUMMYFUNCTION("GOOGLETRANSLATE(A2343, ""auto"", ""bn"")"),"উদ্বিগ্ন না হওয়া, অথবা অন্তত উদ্বেগ নিয়ন্ত্রণে আনা হলে কেমন লাগে? আমি প্রায় ছয় মাস ধরে থেরাপি নিয়ে আছি এবং গত সপ্তাহে আমি জোলফট শুরু করেছি। আমার কিছুটা উন্নতি হয়েছে, কিন্তু থেরাপি আমার জন্য যা প্রকাশ করেছে তার কারণে আমার মনে হচ্ছে আমার উদ্বেগ কিছুটা একই র"&amp;"কম বা আরও খারাপ। আমার সারা জীবন আমার চিন্তাভাবনা ক্রমাগত ছুটে চলেছে এবং আমার মনে হয় যে আমার সবকিছু নিয়ে উদ্বেগ আছে, বরং এটি কোনও কারণ ছাড়াই দেখা দেয়। তাই আমি ভাবছিলাম যে ওষুধ বা থেরাপি যাদেরকে কোনও উদ্বেগের জায়গায় পৌঁছাতে সাহায্য করেছে তাদের জন্য এটি কে"&amp;"মন লাগে। আমি জানি এটি কখনও দূর হতে পারে না, তবে আমি কেবল জানতে আগ্রহী যে এটি ধ্রুবক থেকে বেরিয়ে আসার অনুভূতি কেমন, অথবা এটি পরিচালিত হওয়ার চেয়ে খারাপ এবং কম। (যদি আগে একই রকম কিছু উত্তর দেওয়া হয়ে থাকে তবে দুঃখিত)")</f>
        <v>উদ্বিগ্ন না হওয়া, অথবা অন্তত উদ্বেগ নিয়ন্ত্রণে আনা হলে কেমন লাগে? আমি প্রায় ছয় মাস ধরে থেরাপি নিয়ে আছি এবং গত সপ্তাহে আমি জোলফট শুরু করেছি। আমার কিছুটা উন্নতি হয়েছে, কিন্তু থেরাপি আমার জন্য যা প্রকাশ করেছে তার কারণে আমার মনে হচ্ছে আমার উদ্বেগ কিছুটা একই রকম বা আরও খারাপ। আমার সারা জীবন আমার চিন্তাভাবনা ক্রমাগত ছুটে চলেছে এবং আমার মনে হয় যে আমার সবকিছু নিয়ে উদ্বেগ আছে, বরং এটি কোনও কারণ ছাড়াই দেখা দেয়। তাই আমি ভাবছিলাম যে ওষুধ বা থেরাপি যাদেরকে কোনও উদ্বেগের জায়গায় পৌঁছাতে সাহায্য করেছে তাদের জন্য এটি কেমন লাগে। আমি জানি এটি কখনও দূর হতে পারে না, তবে আমি কেবল জানতে আগ্রহী যে এটি ধ্রুবক থেকে বেরিয়ে আসার অনুভূতি কেমন, অথবা এটি পরিচালিত হওয়ার চেয়ে খারাপ এবং কম। (যদি আগে একই রকম কিছু উত্তর দেওয়া হয়ে থাকে তবে দুঃখিত)</v>
      </c>
    </row>
    <row r="2344" spans="1:3" ht="15" x14ac:dyDescent="0.25">
      <c r="A2344" s="3" t="s">
        <v>2337</v>
      </c>
      <c r="B2344" s="3" t="s">
        <v>1992</v>
      </c>
      <c r="C2344" s="4" t="str">
        <f ca="1">IFERROR(__xludf.DUMMYFUNCTION("GOOGLETRANSLATE(A2344, ""auto"", ""bn"")"),"প্রথম অ্যাপয়েন্টমেন্ট - সব কাগজপত্রের কাজ অথবা চিকিৎসা/ঔষধও। আপনার প্রথম সাক্ষাতের অভিজ্ঞতায়, আপনার মনোরোগ বিশেষজ্ঞ কি আপনার উদ্বেগের চিকিৎসার জন্য কিছু লিখেছিলেন বা লিখেছিলেন? আমি জিজ্ঞাসা করছি কারণ আমি মাসের পর মাস ধরে আমার প্রথম অ্যাপয়েন্টমেন্টের সম"&amp;"য় নির্ধারণ করতে আক্ষরিক অর্থেই লড়াই করছি এবং অবশেষে এটি করতে এবং ফলোআপ করতে খুব ভয় পাচ্ছি না, এবং আমি শুনেছি যে বেশিরভাগ প্রথম অ্যাপয়েন্টমেন্ট কাগজপত্র সহ দেখা এবং শুভেচ্ছা জানানোর মতো যা আমি বুঝতে পারি যে এটি হওয়া দরকার, তবে আমি মনে করি না যে স্বল্প"&amp;"মেয়াদে আসলে এটি কোনও সাহায্য করবে।")</f>
        <v>প্রথম অ্যাপয়েন্টমেন্ট - সব কাগজপত্রের কাজ অথবা চিকিৎসা/ঔষধও। আপনার প্রথম সাক্ষাতের অভিজ্ঞতায়, আপনার মনোরোগ বিশেষজ্ঞ কি আপনার উদ্বেগের চিকিৎসার জন্য কিছু লিখেছিলেন বা লিখেছিলেন? আমি জিজ্ঞাসা করছি কারণ আমি মাসের পর মাস ধরে আমার প্রথম অ্যাপয়েন্টমেন্টের সময় নির্ধারণ করতে আক্ষরিক অর্থেই লড়াই করছি এবং অবশেষে এটি করতে এবং ফলোআপ করতে খুব ভয় পাচ্ছি না, এবং আমি শুনেছি যে বেশিরভাগ প্রথম অ্যাপয়েন্টমেন্ট কাগজপত্র সহ দেখা এবং শুভেচ্ছা জানানোর মতো যা আমি বুঝতে পারি যে এটি হওয়া দরকার, তবে আমি মনে করি না যে স্বল্পমেয়াদে আসলে এটি কোনও সাহায্য করবে।</v>
      </c>
    </row>
    <row r="2345" spans="1:3" ht="15" x14ac:dyDescent="0.25">
      <c r="A2345" s="3" t="s">
        <v>2338</v>
      </c>
      <c r="B2345" s="3" t="s">
        <v>1992</v>
      </c>
      <c r="C2345" s="4" t="str">
        <f ca="1">IFERROR(__xludf.DUMMYFUNCTION("GOOGLETRANSLATE(A2345, ""auto"", ""bn"")"),"আবার কুকুরের মালিক হওয়াটা আমাকে চরম উদ্বেগ এবং চাপ দিচ্ছে, সংক্ষেপে বলতে গেলে, প্রায় ৬ বছর আগে একটা মর্মান্তিক দুর্ঘটনায় আমার একটা কুকুর হারিয়েছিল, যেটা আমার দোষ ছিল। এটা এখনও আমাকে তাড়া করে এবং আমি এখনও অবিশ্বাস্যভাবে অপরাধী বোধ করি। সেই ঘটনার পর পোষা প্"&amp;"রাণী এবং সাধারণ জীবনের কথা বলতে গেলে আমার অনেক চাপ এবং উদ্বেগ ছিল। কিন্তু সম্প্রতি আমি অ্যান্টি-অ্যাংজাইটি ওষুধ খেয়েছিলাম এবং পরিস্থিতি আরও ভালো হয়ে গেছে। আমি একাকীত্ব বোধ করতে করতে ক্লান্ত হয়ে পড়েছিলাম এবং সাহচর্যের অনুভূতি চাইছিলাম, তাই আমি একটি কুক"&amp;"ুরছানা আনতে গিয়েছিলাম। ঠিক এই প্রক্রিয়ার মধ্যে আমি এক সপ্তাহের জন্য ৪টি কুকুরছানা লালন-পালন করেছি কারণ আশ্রয়কেন্দ্রে তাদের জন্য কোনও জায়গা ছিল না। আমি তাদের মধ্যে একজনের সাথে সত্যিই যোগাযোগ স্থাপন করেছি এবং আমি তাকে দত্তক নেওয়ার জন্য প্রস্তুত ছিলাম। ত"&amp;"ারপর সপ্তাহের শেষে সে নিউটারেশনের জন্য গেল (দত্তক নেওয়ার আগে আশ্রয়কেন্দ্রে যা বাধ্যতামূলক ছিল) সে মারা গেল। তারা মনে করে এটি হৃদরোগের কারণে হয়েছে। এটি আমার পুরনো ক্ষতগুলিকে খুব ছিঁড়ে ফেলেছিল এবং আমি পোষা প্রাণীদের জীবনের জন্য শপথ করেছিলাম। সেটা চার মা"&amp;"স আগের কথা। এখন, ৫ দিন আগে আমার বাবার বন্ধু কুকুরের কুকুরছানা ছিল এবং তারা আমাকে তাদের মধ্যে একটি বিনামূল্যে দিতে চেয়েছিল। অনেকক্ষণ চিন্তাভাবনা এবং পরিবারের সাথে কথা বলার পর আমি ভেবেছিলাম হয়তো এতে কিছু সাহায্য হবে। আমি ভুল ছিলাম। গত ৫ দিন ধরে আমি কুকুরছ"&amp;"ানাটিকে নিয়ে অবিশ্বাস্যভাবে চাপ এবং উদ্বিগ্ন ছিলাম। সে একটি কুকুরছানার জন্য অবিশ্বাস্যভাবে ভালো আচরণ করে এবং আমার থাকার কোনও কারণ নেই কিন্তু যখনই সে আমার দৃষ্টিতে থাকে না তখন আমার মনে হয় আমি একজন ভালো মালিক হতে পারছি না। আমি চিন্তিত যে আমি তাকে পর্যাপ্ত"&amp;" ব্যায়াম বা প্রশিক্ষণ দিচ্ছি না, এবং মনে হয় আমার বুকে বিশাল ওজন আছে এবং আমি শ্বাস নিতে পারছি না। আমি জানি এটি সম্ভবত অবচেতনভাবে আমার উদ্বেগের বিষয় যে আবার কিছু ঘটতে চলেছে, কিন্তু আমি যন্ত্রণায় আছি। তাছাড়া, আমি রাতে খুব কম ঘুমাই, হাস্যকরভাবে চিন্তা কর"&amp;"ি যে সে ঘুম থেকে উঠে অনেক ঘেউ ঘেউ করবে, আমার পরিবারকে জাগিয়ে তুলবে। তাকে ছেড়ে দেওয়া এবং এখন তার উপর হাল ছেড়ে দেওয়া নিষ্ঠুর হবে। সে তার নাম শিখেছে। সে পোটি-প্রশিক্ষিত। তাছাড়া, সে রাতে তার ক্যানেলে তুলনামূলকভাবে ঝামেলামুক্ত ঘুমায়। আমি জানি না কী করব,"&amp;" তবে আমার সবসময় ভয়ঙ্কর অনুভূতি হয়।")</f>
        <v>আবার কুকুরের মালিক হওয়াটা আমাকে চরম উদ্বেগ এবং চাপ দিচ্ছে, সংক্ষেপে বলতে গেলে, প্রায় ৬ বছর আগে একটা মর্মান্তিক দুর্ঘটনায় আমার একটা কুকুর হারিয়েছিল, যেটা আমার দোষ ছিল। এটা এখনও আমাকে তাড়া করে এবং আমি এখনও অবিশ্বাস্যভাবে অপরাধী বোধ করি। সেই ঘটনার পর পোষা প্রাণী এবং সাধারণ জীবনের কথা বলতে গেলে আমার অনেক চাপ এবং উদ্বেগ ছিল। কিন্তু সম্প্রতি আমি অ্যান্টি-অ্যাংজাইটি ওষুধ খেয়েছিলাম এবং পরিস্থিতি আরও ভালো হয়ে গেছে। আমি একাকীত্ব বোধ করতে করতে ক্লান্ত হয়ে পড়েছিলাম এবং সাহচর্যের অনুভূতি চাইছিলাম, তাই আমি একটি কুকুরছানা আনতে গিয়েছিলাম। ঠিক এই প্রক্রিয়ার মধ্যে আমি এক সপ্তাহের জন্য ৪টি কুকুরছানা লালন-পালন করেছি কারণ আশ্রয়কেন্দ্রে তাদের জন্য কোনও জায়গা ছিল না। আমি তাদের মধ্যে একজনের সাথে সত্যিই যোগাযোগ স্থাপন করেছি এবং আমি তাকে দত্তক নেওয়ার জন্য প্রস্তুত ছিলাম। তারপর সপ্তাহের শেষে সে নিউটারেশনের জন্য গেল (দত্তক নেওয়ার আগে আশ্রয়কেন্দ্রে যা বাধ্যতামূলক ছিল) সে মারা গেল। তারা মনে করে এটি হৃদরোগের কারণে হয়েছে। এটি আমার পুরনো ক্ষতগুলিকে খুব ছিঁড়ে ফেলেছিল এবং আমি পোষা প্রাণীদের জীবনের জন্য শপথ করেছিলাম। সেটা চার মাস আগের কথা। এখন, ৫ দিন আগে আমার বাবার বন্ধু কুকুরের কুকুরছানা ছিল এবং তারা আমাকে তাদের মধ্যে একটি বিনামূল্যে দিতে চেয়েছিল। অনেকক্ষণ চিন্তাভাবনা এবং পরিবারের সাথে কথা বলার পর আমি ভেবেছিলাম হয়তো এতে কিছু সাহায্য হবে। আমি ভুল ছিলাম। গত ৫ দিন ধরে আমি কুকুরছানাটিকে নিয়ে অবিশ্বাস্যভাবে চাপ এবং উদ্বিগ্ন ছিলাম। সে একটি কুকুরছানার জন্য অবিশ্বাস্যভাবে ভালো আচরণ করে এবং আমার থাকার কোনও কারণ নেই কিন্তু যখনই সে আমার দৃষ্টিতে থাকে না তখন আমার মনে হয় আমি একজন ভালো মালিক হতে পারছি না। আমি চিন্তিত যে আমি তাকে পর্যাপ্ত ব্যায়াম বা প্রশিক্ষণ দিচ্ছি না, এবং মনে হয় আমার বুকে বিশাল ওজন আছে এবং আমি শ্বাস নিতে পারছি না। আমি জানি এটি সম্ভবত অবচেতনভাবে আমার উদ্বেগের বিষয় যে আবার কিছু ঘটতে চলেছে, কিন্তু আমি যন্ত্রণায় আছি। তাছাড়া, আমি রাতে খুব কম ঘুমাই, হাস্যকরভাবে চিন্তা করি যে সে ঘুম থেকে উঠে অনেক ঘেউ ঘেউ করবে, আমার পরিবারকে জাগিয়ে তুলবে। তাকে ছেড়ে দেওয়া এবং এখন তার উপর হাল ছেড়ে দেওয়া নিষ্ঠুর হবে। সে তার নাম শিখেছে। সে পোটি-প্রশিক্ষিত। তাছাড়া, সে রাতে তার ক্যানেলে তুলনামূলকভাবে ঝামেলামুক্ত ঘুমায়। আমি জানি না কী করব, তবে আমার সবসময় ভয়ঙ্কর অনুভূতি হয়।</v>
      </c>
    </row>
    <row r="2346" spans="1:3" ht="15" x14ac:dyDescent="0.25">
      <c r="A2346" s="3" t="s">
        <v>2339</v>
      </c>
      <c r="B2346" s="3" t="s">
        <v>1992</v>
      </c>
      <c r="C2346" s="4" t="str">
        <f ca="1">IFERROR(__xludf.DUMMYFUNCTION("GOOGLETRANSLATE(A2346, ""auto"", ""bn"")"),"উদ্বেগের জন্য CBD? আমি সুপারিশের চেয়ে বেশি কিছু খুঁজছি না, বরং অন্তর্দৃষ্টির দিকে। আমি ইতিমধ্যেই ওষুধ (Lexa pro এবং Buspirone) খাচ্ছি, তাই এই কারণেই এই ওষুধের মিশ্রণে যোগ করার বিষয়ে আমার দুবার ভাবা উচিত। কিন্তু আমি আমার সম্পূর্ণ দৃষ্টিভঙ্গি পুনর্গঠন করছ"&amp;"ি এবং মনে করছি যে একদিন, যদি আমি পারি, তাহলে আমি ওষুধ ছাড়াই আমার উদ্বেগ নিয়ন্ত্রণ করার চেষ্টা করব। যাই হোক... এটা কেমন লাগে? আমি মৌখিক সমাধানকে একটি সূচনা বিন্দু হিসাবে বিবেচনা করছি। আপনি কি কিছু ড্রপ খান এবং কয়েক মিনিটের মধ্যে শান্ত বোধ করেন? আপনি কি "&amp;"ক্লান্ত বোধ করেন নাকি ক্লান্ত বোধ করেন? আপনি কতটা গ্রহণ করেন এবং কীভাবে? আপনি কি ওষুধও গ্রহণ করেন? সাধারণভাবে, আপনার অভিজ্ঞতা কী এবং এটি কি ইতিবাচক হয়েছে?")</f>
        <v>উদ্বেগের জন্য CBD? আমি সুপারিশের চেয়ে বেশি কিছু খুঁজছি না, বরং অন্তর্দৃষ্টির দিকে। আমি ইতিমধ্যেই ওষুধ (Lexa pro এবং Buspirone) খাচ্ছি, তাই এই কারণেই এই ওষুধের মিশ্রণে যোগ করার বিষয়ে আমার দুবার ভাবা উচিত। কিন্তু আমি আমার সম্পূর্ণ দৃষ্টিভঙ্গি পুনর্গঠন করছি এবং মনে করছি যে একদিন, যদি আমি পারি, তাহলে আমি ওষুধ ছাড়াই আমার উদ্বেগ নিয়ন্ত্রণ করার চেষ্টা করব। যাই হোক... এটা কেমন লাগে? আমি মৌখিক সমাধানকে একটি সূচনা বিন্দু হিসাবে বিবেচনা করছি। আপনি কি কিছু ড্রপ খান এবং কয়েক মিনিটের মধ্যে শান্ত বোধ করেন? আপনি কি ক্লান্ত বোধ করেন নাকি ক্লান্ত বোধ করেন? আপনি কতটা গ্রহণ করেন এবং কীভাবে? আপনি কি ওষুধও গ্রহণ করেন? সাধারণভাবে, আপনার অভিজ্ঞতা কী এবং এটি কি ইতিবাচক হয়েছে?</v>
      </c>
    </row>
    <row r="2347" spans="1:3" ht="15" x14ac:dyDescent="0.25">
      <c r="A2347" s="3" t="s">
        <v>2340</v>
      </c>
      <c r="B2347" s="3" t="s">
        <v>1992</v>
      </c>
      <c r="C2347" s="4" t="str">
        <f ca="1">IFERROR(__xludf.DUMMYFUNCTION("GOOGLETRANSLATE(A2347, ""auto"", ""bn"")"),"রাতের আতঙ্কের আক্রমণের সাথে আপনি কীভাবে মোকাবিলা করবেন? গত কয়েক মাস ধরে আমার এই সমস্যাটি দেখা দিয়েছে। বিছানায় ঘুমানোর সময় হঠাৎ করেই আমার মনে হয় আতঙ্কের তীব্রতা আমাকে আঘাত করেছে এবং রক্ত ​​দ্রুত বমি করতে শুরু করেছে, আমার হৃদস্পন্দন দ্রুত বেগে ছুটে যাচ"&amp;"্ছে, এবং আমি বিছানা থেকে লাফিয়ে লাফিয়ে উঠছি। কিন্তু প্রায়শই আমি যখন ঘুমানোর জন্য কুইটিয়াপিন খাই তখন থেকে আমার পা দুর্বল হয়ে পড়ে। এবং তারপরে এটি এমনভাবে এদিক-ওদিক হয় যেখানে মনে হয় আমি অজ্ঞান হয়ে যাচ্ছি, আমি গড়াগড়ি খাই, জল খাই, উঠে দাঁড়াই, আবেগ "&amp;"সব জায়গায় ছড়িয়ে পড়ে এবং আমি 911 নম্বরে ফোন করতে চাই কিন্তু আমি তা করি না কারণ গত 3 বার আমি ""হৃদস্পন্দন"" বা আমার যা কিছুর জন্য VA ER-তে গিয়েছিলাম, আমার কোনও সমস্যা হয়নি যার জন্য ER-তে থাকার প্রয়োজন ছিল। আক্রমণের কোনও ধারাবাহিকতা নেই, আমি এক সপ্তা"&amp;"হ ধরে এটি ছাড়াই চলেছি, তারপর আমার একটি হবে, তারপর আমি এক মাস যাব, কিন্তু আমি এখন এই প্রশ্নটি করছি কারণ গত ৫ দিনের মধ্যে ৩ রাতে আমার সত্যিই তীব্র প্যানিক অ্যাটাক হয়েছে, গত রাতে আমার বমি বমি ভাবের দ্বারপ্রান্তে ছিল, এটা খুব খারাপ ছিল। তাহলে, আমি বাইরে কী "&amp;"করতে পারি পানি পান করা বা গভীর শ্বাস নেওয়ার চেষ্টা করা? আমি কয়েকটি সাইটে পড়েছি যে আমার কেবল উঠে নীচে যাওয়া উচিত এবং ৩০-৬০ মিনিট ধরে কিছু করে পুরোপুরি ঘুম থেকে ওঠা উচিত যতক্ষণ না আমার হৃদস্পন্দন কমে যায়। আমি এই বিষয়ে মানুষের কাছ থেকে আরও কিছু ব্যক্তি"&amp;"গত মতামত চেয়েছিলাম। ধন্যবাদ।")</f>
        <v>রাতের আতঙ্কের আক্রমণের সাথে আপনি কীভাবে মোকাবিলা করবেন? গত কয়েক মাস ধরে আমার এই সমস্যাটি দেখা দিয়েছে। বিছানায় ঘুমানোর সময় হঠাৎ করেই আমার মনে হয় আতঙ্কের তীব্রতা আমাকে আঘাত করেছে এবং রক্ত ​​দ্রুত বমি করতে শুরু করেছে, আমার হৃদস্পন্দন দ্রুত বেগে ছুটে যাচ্ছে, এবং আমি বিছানা থেকে লাফিয়ে লাফিয়ে উঠছি। কিন্তু প্রায়শই আমি যখন ঘুমানোর জন্য কুইটিয়াপিন খাই তখন থেকে আমার পা দুর্বল হয়ে পড়ে। এবং তারপরে এটি এমনভাবে এদিক-ওদিক হয় যেখানে মনে হয় আমি অজ্ঞান হয়ে যাচ্ছি, আমি গড়াগড়ি খাই, জল খাই, উঠে দাঁড়াই, আবেগ সব জায়গায় ছড়িয়ে পড়ে এবং আমি 911 নম্বরে ফোন করতে চাই কিন্তু আমি তা করি না কারণ গত 3 বার আমি "হৃদস্পন্দন" বা আমার যা কিছুর জন্য VA ER-তে গিয়েছিলাম, আমার কোনও সমস্যা হয়নি যার জন্য ER-তে থাকার প্রয়োজন ছিল। আক্রমণের কোনও ধারাবাহিকতা নেই, আমি এক সপ্তাহ ধরে এটি ছাড়াই চলেছি, তারপর আমার একটি হবে, তারপর আমি এক মাস যাব, কিন্তু আমি এখন এই প্রশ্নটি করছি কারণ গত ৫ দিনের মধ্যে ৩ রাতে আমার সত্যিই তীব্র প্যানিক অ্যাটাক হয়েছে, গত রাতে আমার বমি বমি ভাবের দ্বারপ্রান্তে ছিল, এটা খুব খারাপ ছিল। তাহলে, আমি বাইরে কী করতে পারি পানি পান করা বা গভীর শ্বাস নেওয়ার চেষ্টা করা? আমি কয়েকটি সাইটে পড়েছি যে আমার কেবল উঠে নীচে যাওয়া উচিত এবং ৩০-৬০ মিনিট ধরে কিছু করে পুরোপুরি ঘুম থেকে ওঠা উচিত যতক্ষণ না আমার হৃদস্পন্দন কমে যায়। আমি এই বিষয়ে মানুষের কাছ থেকে আরও কিছু ব্যক্তিগত মতামত চেয়েছিলাম। ধন্যবাদ।</v>
      </c>
    </row>
    <row r="2348" spans="1:3" ht="15" x14ac:dyDescent="0.25">
      <c r="A2348" s="3" t="s">
        <v>2341</v>
      </c>
      <c r="B2348" s="3" t="s">
        <v>1992</v>
      </c>
      <c r="C2348" s="4" t="str">
        <f ca="1">IFERROR(__xludf.DUMMYFUNCTION("GOOGLETRANSLATE(A2348, ""auto"", ""bn"")"),"গরমের ঝলক এখানে অন্য কারোর যদি কোনও বিষয়ে নার্ভাস বোধ হয় অথবা মাঝে মাঝে অপরিচিতদের সাথে কথা বলার সময় গরমের ঝলক দেখা দেয়? এখন আমি গরম হওয়ার চিন্তায় ভুগছি এবং অবশ্যই এটি আমার গরমের কারণ হয়ে দাঁড়ায়। কেউ কি এই অভিজ্ঞতা পেয়েছেন?")</f>
        <v>গরমের ঝলক এখানে অন্য কারোর যদি কোনও বিষয়ে নার্ভাস বোধ হয় অথবা মাঝে মাঝে অপরিচিতদের সাথে কথা বলার সময় গরমের ঝলক দেখা দেয়? এখন আমি গরম হওয়ার চিন্তায় ভুগছি এবং অবশ্যই এটি আমার গরমের কারণ হয়ে দাঁড়ায়। কেউ কি এই অভিজ্ঞতা পেয়েছেন?</v>
      </c>
    </row>
    <row r="2349" spans="1:3" ht="15" x14ac:dyDescent="0.25">
      <c r="A2349" s="3" t="s">
        <v>2342</v>
      </c>
      <c r="B2349" s="3" t="s">
        <v>1992</v>
      </c>
      <c r="C2349" s="4" t="str">
        <f ca="1">IFERROR(__xludf.DUMMYFUNCTION("GOOGLETRANSLATE(A2349, ""auto"", ""bn"")"),"ঠিক আছে, আমার কথা শোনো। যখন কেউ তোমাকে টেক্সট/স্ন্যাপ চ্যাট না করে, তখন কি কেউ এতটা উদ্বিগ্ন হয়? আমার ক্ষেত্রে অবশ্য মেয়েদের ক্ষেত্রেই। পটভূমি তথ্য.... আমার একটি মেয়ে আছে যে মূলত একজন FWB, এবং আমরা অনেকবার চ্যাট করেছি কিন্তু শেষবার যখন আমরা আসলে কথা বল"&amp;"েছিলাম তখন আমি তাকে জন্মদিনের শুভেচ্ছা জানিয়েছিলাম যা ছিল ৭ দিন আগে। তার উত্তর ঠিক ছিল এবং একেবারে স্বাভাবিক ছিল, এবং আমি জানি সে ব্যস্ত ছিল কারণ সে তার জন্মদিনের সেই সপ্তাহে প্রতি রাতে বাইরে যেত এবং এমনকি সে আমাকে একটি স্ন্যাপও পাঠিয়েছিল যে ক্রিসমাস সপ"&amp;"্তাহ এত দীর্ঘ সপ্তাহ। তারপর নতুন বছর এসেছিল এবং সে আবার বাইরে গিয়েছিল। আমি ১৮ তারিখে তাকে দেখতে যাচ্ছি এবং গত মাসটি পুরোপুরি ঠিকঠাক কেটেছে কিন্তু গত ৭ দিন ধরে আমার মনে হয় আমি গত মাসে যতটা মনোযোগ পাচ্ছিলাম ততটা মনোযোগ পাইনি। আমি মোটামুটি নিশ্চিত যে সবকিছ"&amp;"ু ঠিক আছে এবং সে ব্যস্ত কিন্তু আমি কীভাবে নিজেকে শান্ত হতে বলব এবং সে আমার সাথে একই পরিমাণে স্ন্যাপ চ্যাট করছে না তা নিয়ে চিন্তা না করতে। হ্যাঁ, আমরা প্রতিদিন স্ন্যাপ চ্যাট করি। আমরা ভিন্ন ভিন্ন রাজ্যে থাকি এবং আমরা একে অপরকে প্রায়ই টেক্সট করি। আমি জানি "&amp;"এটা হয়তো বোকামি মনে হচ্ছে, কিন্তু কেন জানি না, কিন্তু আমার উদ্বেগ হয় এই ভেবে যে আমাদের মধ্যে যোগাযোগের স্তর আলাদা এবং একই রকম নয়।")</f>
        <v>ঠিক আছে, আমার কথা শোনো। যখন কেউ তোমাকে টেক্সট/স্ন্যাপ চ্যাট না করে, তখন কি কেউ এতটা উদ্বিগ্ন হয়? আমার ক্ষেত্রে অবশ্য মেয়েদের ক্ষেত্রেই। পটভূমি তথ্য.... আমার একটি মেয়ে আছে যে মূলত একজন FWB, এবং আমরা অনেকবার চ্যাট করেছি কিন্তু শেষবার যখন আমরা আসলে কথা বলেছিলাম তখন আমি তাকে জন্মদিনের শুভেচ্ছা জানিয়েছিলাম যা ছিল ৭ দিন আগে। তার উত্তর ঠিক ছিল এবং একেবারে স্বাভাবিক ছিল, এবং আমি জানি সে ব্যস্ত ছিল কারণ সে তার জন্মদিনের সেই সপ্তাহে প্রতি রাতে বাইরে যেত এবং এমনকি সে আমাকে একটি স্ন্যাপও পাঠিয়েছিল যে ক্রিসমাস সপ্তাহ এত দীর্ঘ সপ্তাহ। তারপর নতুন বছর এসেছিল এবং সে আবার বাইরে গিয়েছিল। আমি ১৮ তারিখে তাকে দেখতে যাচ্ছি এবং গত মাসটি পুরোপুরি ঠিকঠাক কেটেছে কিন্তু গত ৭ দিন ধরে আমার মনে হয় আমি গত মাসে যতটা মনোযোগ পাচ্ছিলাম ততটা মনোযোগ পাইনি। আমি মোটামুটি নিশ্চিত যে সবকিছু ঠিক আছে এবং সে ব্যস্ত কিন্তু আমি কীভাবে নিজেকে শান্ত হতে বলব এবং সে আমার সাথে একই পরিমাণে স্ন্যাপ চ্যাট করছে না তা নিয়ে চিন্তা না করতে। হ্যাঁ, আমরা প্রতিদিন স্ন্যাপ চ্যাট করি। আমরা ভিন্ন ভিন্ন রাজ্যে থাকি এবং আমরা একে অপরকে প্রায়ই টেক্সট করি। আমি জানি এটা হয়তো বোকামি মনে হচ্ছে, কিন্তু কেন জানি না, কিন্তু আমার উদ্বেগ হয় এই ভেবে যে আমাদের মধ্যে যোগাযোগের স্তর আলাদা এবং একই রকম নয়।</v>
      </c>
    </row>
    <row r="2350" spans="1:3" ht="15" x14ac:dyDescent="0.25">
      <c r="A2350" s="3" t="s">
        <v>2343</v>
      </c>
      <c r="B2350" s="3" t="s">
        <v>1992</v>
      </c>
      <c r="C2350" s="4" t="str">
        <f ca="1">IFERROR(__xludf.DUMMYFUNCTION("GOOGLETRANSLATE(A2350, ""auto"", ""bn"")"),"আমি আসলে এটা নিয়ে ভাবতে চাই না, কিন্তু যখন সবকিছু একসাথে ভুল হয়ে যায়, আর তুমি ভাবছো কেন আমি? আমি মূলত প্যাডেল ছাড়াই খালের উপরে থাকি, দুর্গন্ধ বের হয় এবং আমাকে এটা সহ্য করতে হয়, কিন্তু আশ্চর্যজনকভাবে আমি এখনও ঠিক আছি। অবশ্যই, আমি মানসিক চাপে আছি, কিন"&amp;"্তু আমার আসলে মরতে ইচ্ছে করছে না, এবং অন্তত এই রূপকটিতে আমি নৌকায় আছি, বিষ্ঠায় সাঁতার কাটছি না! হ্যাঁ, রূপালী আস্তরণ!")</f>
        <v>আমি আসলে এটা নিয়ে ভাবতে চাই না, কিন্তু যখন সবকিছু একসাথে ভুল হয়ে যায়, আর তুমি ভাবছো কেন আমি? আমি মূলত প্যাডেল ছাড়াই খালের উপরে থাকি, দুর্গন্ধ বের হয় এবং আমাকে এটা সহ্য করতে হয়, কিন্তু আশ্চর্যজনকভাবে আমি এখনও ঠিক আছি। অবশ্যই, আমি মানসিক চাপে আছি, কিন্তু আমার আসলে মরতে ইচ্ছে করছে না, এবং অন্তত এই রূপকটিতে আমি নৌকায় আছি, বিষ্ঠায় সাঁতার কাটছি না! হ্যাঁ, রূপালী আস্তরণ!</v>
      </c>
    </row>
    <row r="2351" spans="1:3" ht="15" x14ac:dyDescent="0.25">
      <c r="A2351" s="3" t="s">
        <v>2344</v>
      </c>
      <c r="B2351" s="3" t="s">
        <v>1992</v>
      </c>
      <c r="C2351" s="4" t="str">
        <f ca="1">IFERROR(__xludf.DUMMYFUNCTION("GOOGLETRANSLATE(A2351, ""auto"", ""bn"")"),"ঔষধ কাজ করে! ৩ সপ্তাহ পর বু স্পার এবং শিখুন, আবার স্বাভাবিক বোধ করছি। SSRI শুরু করতে আমার খুব ভয় হচ্ছিল। Learn দিয়ে Bu spar শুরু করলে আমার সাহায্য হয়েছিল কারণ আমার ডাক্তার বলেছিলেন Bu spar তাৎক্ষণিকভাবে কাজ করবে, কিন্তু Learn করতে কিছুটা সময় লাগবে। SS"&amp;"RI শুরু করার জন্য যদি আপনি খুব বেশি উদ্বিগ্ন হন, তাহলে আপনার ডাক্তারকে বলুন, তারা আপনাকে এটি বের করতে সাহায্য করবে!")</f>
        <v>ঔষধ কাজ করে! ৩ সপ্তাহ পর বু স্পার এবং শিখুন, আবার স্বাভাবিক বোধ করছি। SSRI শুরু করতে আমার খুব ভয় হচ্ছিল। Learn দিয়ে Bu spar শুরু করলে আমার সাহায্য হয়েছিল কারণ আমার ডাক্তার বলেছিলেন Bu spar তাৎক্ষণিকভাবে কাজ করবে, কিন্তু Learn করতে কিছুটা সময় লাগবে। SSRI শুরু করার জন্য যদি আপনি খুব বেশি উদ্বিগ্ন হন, তাহলে আপনার ডাক্তারকে বলুন, তারা আপনাকে এটি বের করতে সাহায্য করবে!</v>
      </c>
    </row>
    <row r="2352" spans="1:3" ht="15" x14ac:dyDescent="0.25">
      <c r="A2352" s="3" t="s">
        <v>2345</v>
      </c>
      <c r="B2352" s="3" t="s">
        <v>1992</v>
      </c>
      <c r="C2352" s="4" t="str">
        <f ca="1">IFERROR(__xludf.DUMMYFUNCTION("GOOGLETRANSLATE(A2352, ""auto"", ""bn"")"),"অন্য কেউ কি উদ্বেগের কারণে খুব বেশি নড়াচড়া করে? হাই বন্ধুরা! আমি এমন একজন ব্যক্তি যিনি সবসময় উদ্বেগের সাথে লড়াই করেছেন, এবং আমি এমন একজনকে বিয়ে করেছি যার আমার মতোই তীব্র উদ্বেগ রয়েছে (যদিও এটি বিভিন্ন উপায়ে নিজেকে প্রকাশ করে)। যদিও আমি প্রায় 15 বছ"&amp;"র ধরে থেরাপিতে ছিলাম এবং আমার উদ্বেগের জন্য ওষুধ খেয়েছিলাম, আমার স্বামীকে কখনও কোনও থেরাপিস্টের (নিয়ন্ত্রণকারী বাবা-মা) কাছে যেতে দেওয়া হয়নি এবং কখনও কখনও ভাবেনি যে তারও উদ্বেগ থাকতে পারে, যতক্ষণ না সে আমার কিছু থেরাপি সেশনে বসে আমার সাথে কথা বলতে শুর"&amp;"ু করে। আমার কথা বলতে... আমার স্বামী অনেক নড়াচড়া করে। প্রচুর। বেশিরভাগ মুখ নড়াচড়া করে, তবে অনেক সময় পুরো শরীরের ঝাঁকুনির মতো নড়াচড়াও হয়... বিশেষ করে খাওয়ার সময়। যখন সে খাচ্ছে, তখন তার শরীর নড়াচড়া করবে এবং তার ভ্রু এতটাই নড়াচড়া করবে যে তাকে থা"&amp;"মতে হবে এবং চালিয়ে যাওয়ার আগে একটি বড় গভীর শ্বাস নিতে হবে। এটি এমন কিছু যা তার বাবাও করেন, এবং তার এক ভাই... তাই আমি এটিকে একটি শিক্ষিত বৈশিষ্ট্য বলে মনে করেছি যদিও তার নড়াচড়া তার বাবা বা ভাইয়ের চেয়ে অনেক বেশি চরম পর্যায়ে ছিল। কিন্তু গত এক বছর ধরে"&amp;" অবস্থা আরও খারাপের দিকে যাচ্ছে বলে মনে হচ্ছে। আমরা সম্প্রতি কঠিন সময়ের মধ্য দিয়ে যাচ্ছি, এবং সে খুব উদ্বিগ্ন বোধ করছে। যখন আমি মন্তব্য করেছি যে তার মোচড়ানো আরও খারাপ হচ্ছে, এবং সম্ভবত এটি তার উদ্বেগের সাথে সম্পর্কিত... তখন সে ভয় পেয়ে বলে যে এটি কেবল"&amp;" এমন একটি জিনিস যা সে সবসময় করে আসছে, এবং এটি উদ্বেগ হতে পারে না কারণ তার বাবা এবং ভাইও এটি করে। সে এমন একটি পরিবার থেকে এসেছে যারা মানসিক অসুস্থতায় বিশ্বাস করে না, তাই তাদের কাছে উদ্বেগ ""আসল জিনিস"" নয়। তাই আমি মনে করি উদ্বেগজনক আচরণ প্রদর্শনের বিষয়"&amp;"ে তার প্রতিরক্ষামূলক মনোভাব এর থেকেই উদ্ভূত, যা সম্পূর্ণ ন্যায্য। কিন্তু এটি কি তার উদ্বেগের কারণে বেশি কিছু... নাকি এটি আরও গুরুতর, চিকিৎসাগত উদ্বেগ হতে পারে যার জন্য তাকে পরীক্ষা করা উচিত? উদ্বেগের কারণে আরও কতজন মোচড়ানো বা নার্ভাস টিক্স অনুভব করে তা জ"&amp;"ানতে আগ্রহী... কারণ আমার উদ্বেগ এইভাবে প্রকাশ পায় না, তবে আমি শুনেছি এটি হতে পারে!")</f>
        <v>অন্য কেউ কি উদ্বেগের কারণে খুব বেশি নড়াচড়া করে? হাই বন্ধুরা! আমি এমন একজন ব্যক্তি যিনি সবসময় উদ্বেগের সাথে লড়াই করেছেন, এবং আমি এমন একজনকে বিয়ে করেছি যার আমার মতোই তীব্র উদ্বেগ রয়েছে (যদিও এটি বিভিন্ন উপায়ে নিজেকে প্রকাশ করে)। যদিও আমি প্রায় 15 বছর ধরে থেরাপিতে ছিলাম এবং আমার উদ্বেগের জন্য ওষুধ খেয়েছিলাম, আমার স্বামীকে কখনও কোনও থেরাপিস্টের (নিয়ন্ত্রণকারী বাবা-মা) কাছে যেতে দেওয়া হয়নি এবং কখনও কখনও ভাবেনি যে তারও উদ্বেগ থাকতে পারে, যতক্ষণ না সে আমার কিছু থেরাপি সেশনে বসে আমার সাথে কথা বলতে শুরু করে। আমার কথা বলতে... আমার স্বামী অনেক নড়াচড়া করে। প্রচুর। বেশিরভাগ মুখ নড়াচড়া করে, তবে অনেক সময় পুরো শরীরের ঝাঁকুনির মতো নড়াচড়াও হয়... বিশেষ করে খাওয়ার সময়। যখন সে খাচ্ছে, তখন তার শরীর নড়াচড়া করবে এবং তার ভ্রু এতটাই নড়াচড়া করবে যে তাকে থামতে হবে এবং চালিয়ে যাওয়ার আগে একটি বড় গভীর শ্বাস নিতে হবে। এটি এমন কিছু যা তার বাবাও করেন, এবং তার এক ভাই... তাই আমি এটিকে একটি শিক্ষিত বৈশিষ্ট্য বলে মনে করেছি যদিও তার নড়াচড়া তার বাবা বা ভাইয়ের চেয়ে অনেক বেশি চরম পর্যায়ে ছিল। কিন্তু গত এক বছর ধরে অবস্থা আরও খারাপের দিকে যাচ্ছে বলে মনে হচ্ছে। আমরা সম্প্রতি কঠিন সময়ের মধ্য দিয়ে যাচ্ছি, এবং সে খুব উদ্বিগ্ন বোধ করছে। যখন আমি মন্তব্য করেছি যে তার মোচড়ানো আরও খারাপ হচ্ছে, এবং সম্ভবত এটি তার উদ্বেগের সাথে সম্পর্কিত... তখন সে ভয় পেয়ে বলে যে এটি কেবল এমন একটি জিনিস যা সে সবসময় করে আসছে, এবং এটি উদ্বেগ হতে পারে না কারণ তার বাবা এবং ভাইও এটি করে। সে এমন একটি পরিবার থেকে এসেছে যারা মানসিক অসুস্থতায় বিশ্বাস করে না, তাই তাদের কাছে উদ্বেগ "আসল জিনিস" নয়। তাই আমি মনে করি উদ্বেগজনক আচরণ প্রদর্শনের বিষয়ে তার প্রতিরক্ষামূলক মনোভাব এর থেকেই উদ্ভূত, যা সম্পূর্ণ ন্যায্য। কিন্তু এটি কি তার উদ্বেগের কারণে বেশি কিছু... নাকি এটি আরও গুরুতর, চিকিৎসাগত উদ্বেগ হতে পারে যার জন্য তাকে পরীক্ষা করা উচিত? উদ্বেগের কারণে আরও কতজন মোচড়ানো বা নার্ভাস টিক্স অনুভব করে তা জানতে আগ্রহী... কারণ আমার উদ্বেগ এইভাবে প্রকাশ পায় না, তবে আমি শুনেছি এটি হতে পারে!</v>
      </c>
    </row>
    <row r="2353" spans="1:3" ht="15" x14ac:dyDescent="0.25">
      <c r="A2353" s="3" t="s">
        <v>2346</v>
      </c>
      <c r="B2353" s="3" t="s">
        <v>1992</v>
      </c>
      <c r="C2353" s="4" t="str">
        <f ca="1">IFERROR(__xludf.DUMMYFUNCTION("GOOGLETRANSLATE(A2353, ""auto"", ""bn"")"),"গাড়ি চালানোর ব্যাপারে কি আর কারোর খুব বেশি উদ্বেগ আছে? আমার মনে হয় গাড়ি চালানোর ব্যাপারে আমার উদ্বেগ আমার ক্যারিয়ারে নিজেকে এগিয়ে নেওয়ার ক্ষমতাকে প্রভাবিত করেছে, এমনকি বন্ধুত্বকে আরও এগিয়ে নেওয়ার ক্ষেত্রেও। ১৮ বছর আগে আমার বোন, তার স্বামী এবং তাদে"&amp;"র ছোট মেয়ে গাড়ি চালানোর সময় একটি ভয়াবহ দুর্ঘটনায় জড়িয়ে পড়েছিল, যার ফলে আমার ভাগ্নি পক্ষাঘাতগ্রস্ত হয়ে পড়েছিল এবং আমার বোন এবং শ্যালক গুরুতর আহত হয়েছিল। তারা আজকাল দুর্দান্ত করছে, কিন্তু তাদের দুর্ঘটনা আমার জন্য অনেক কিছু বদলে দিয়েছে। যখন কোনও "&amp;"শহরে, অথবা আন্তঃরাজ্য, অথবা আমার কাছে অপরিচিত এবং প্রচুর যানজটযুক্ত যে কোনও জায়গায় গাড়ি চালানোর কথা আসে তখন আমি আমার উদ্বেগের স্তর নিয়ে লজ্জিত হই। বছরের পর বছর ধরে আমি নিজের জন্য এমন একটি জীবন তৈরি করতে সক্ষম হয়েছি যেখানে এই ধরণের পরিস্থিতিতে গাড়ি চ"&amp;"ালানোর প্রয়োজন হয় না, তবে আমার মনে হয় আমি সুযোগ হারিয়েছি এবং মানুষকে হতাশ করেছি। অন্য কেউ কি গাড়ি চালানোর উদ্বেগে ভুগছেন, এবং আপনি কি এটি কাটিয়ে উঠতে পেরেছেন?")</f>
        <v>গাড়ি চালানোর ব্যাপারে কি আর কারোর খুব বেশি উদ্বেগ আছে? আমার মনে হয় গাড়ি চালানোর ব্যাপারে আমার উদ্বেগ আমার ক্যারিয়ারে নিজেকে এগিয়ে নেওয়ার ক্ষমতাকে প্রভাবিত করেছে, এমনকি বন্ধুত্বকে আরও এগিয়ে নেওয়ার ক্ষেত্রেও। ১৮ বছর আগে আমার বোন, তার স্বামী এবং তাদের ছোট মেয়ে গাড়ি চালানোর সময় একটি ভয়াবহ দুর্ঘটনায় জড়িয়ে পড়েছিল, যার ফলে আমার ভাগ্নি পক্ষাঘাতগ্রস্ত হয়ে পড়েছিল এবং আমার বোন এবং শ্যালক গুরুতর আহত হয়েছিল। তারা আজকাল দুর্দান্ত করছে, কিন্তু তাদের দুর্ঘটনা আমার জন্য অনেক কিছু বদলে দিয়েছে। যখন কোনও শহরে, অথবা আন্তঃরাজ্য, অথবা আমার কাছে অপরিচিত এবং প্রচুর যানজটযুক্ত যে কোনও জায়গায় গাড়ি চালানোর কথা আসে তখন আমি আমার উদ্বেগের স্তর নিয়ে লজ্জিত হই। বছরের পর বছর ধরে আমি নিজের জন্য এমন একটি জীবন তৈরি করতে সক্ষম হয়েছি যেখানে এই ধরণের পরিস্থিতিতে গাড়ি চালানোর প্রয়োজন হয় না, তবে আমার মনে হয় আমি সুযোগ হারিয়েছি এবং মানুষকে হতাশ করেছি। অন্য কেউ কি গাড়ি চালানোর উদ্বেগে ভুগছেন, এবং আপনি কি এটি কাটিয়ে উঠতে পেরেছেন?</v>
      </c>
    </row>
    <row r="2354" spans="1:3" ht="15" x14ac:dyDescent="0.25">
      <c r="A2354" s="3" t="s">
        <v>2347</v>
      </c>
      <c r="B2354" s="3" t="s">
        <v>1992</v>
      </c>
      <c r="C2354" s="4" t="str">
        <f ca="1">IFERROR(__xludf.DUMMYFUNCTION("GOOGLETRANSLATE(A2354, ""auto"", ""bn"")"),"ওষুধের মাধ্যমে যৌন উন্নতি আমি প্রায়শই দেখি যে লোকেরা ওষুধ খাওয়া শুরু করলে তাদের যৌন ইচ্ছা কমে যায়, তাই আমি আমার অভিজ্ঞতা শেয়ার করতে চাই কারণ এটা সম্পূর্ণ বিপরীত। সেপ্টেম্বরে ফ্লুওক্সেটিন শুরু করার আগে আমি আগে এবং পরে সরাসরি গোসল না করে সেক্স করতাম না, আম"&amp;"ি কেবল আমার স্বামীকে গোসলের সময় মুখে মুখে দিতাম এবং সেক্সের ফলে আমি সাধারণত নোংরা এবং অস্বস্তি বোধ করতাম। গত কয়েক মাসে আমি সেক্সের ব্যাপারে অনেক বেশি স্বাচ্ছন্দ্য বোধ করেছি, আমি এলোমেলো জিনিসের দিকে মন না ঘুরিয়ে বা চাদর ""নষ্ট"" হওয়ার বিষয়ে চিন্তা না "&amp;"করে আরও বেশি উপস্থিত এবং ব্যস্ত থাকতে পেরেছি। আমি আমার স্বামীর অগ্রগতির প্রতি আরও বেশি গ্রহণযোগ্য হয়েছি এবং আমাদের যৌন জীবন অপরিমেয়ভাবে উন্নত হয়েছে। আমি আশা করি এটি আমার আনন্দের মতো শোনাচ্ছে না, আমি কেবল শেয়ার করতে চেয়েছিলাম যদি অন্য কেউ একই নৌকায় থ"&amp;"াকে কারণ ওষুধ শুরু করার আগে আমি ভীত ছিলাম যে আমি আগের চেয়ে কম যৌন হয়ে যাব। তদুপরি, আমি অবশেষে সাহায্য চেয়েছিলাম বলে আমি অত্যন্ত কৃতজ্ঞ।")</f>
        <v>ওষুধের মাধ্যমে যৌন উন্নতি আমি প্রায়শই দেখি যে লোকেরা ওষুধ খাওয়া শুরু করলে তাদের যৌন ইচ্ছা কমে যায়, তাই আমি আমার অভিজ্ঞতা শেয়ার করতে চাই কারণ এটা সম্পূর্ণ বিপরীত। সেপ্টেম্বরে ফ্লুওক্সেটিন শুরু করার আগে আমি আগে এবং পরে সরাসরি গোসল না করে সেক্স করতাম না, আমি কেবল আমার স্বামীকে গোসলের সময় মুখে মুখে দিতাম এবং সেক্সের ফলে আমি সাধারণত নোংরা এবং অস্বস্তি বোধ করতাম। গত কয়েক মাসে আমি সেক্সের ব্যাপারে অনেক বেশি স্বাচ্ছন্দ্য বোধ করেছি, আমি এলোমেলো জিনিসের দিকে মন না ঘুরিয়ে বা চাদর "নষ্ট" হওয়ার বিষয়ে চিন্তা না করে আরও বেশি উপস্থিত এবং ব্যস্ত থাকতে পেরেছি। আমি আমার স্বামীর অগ্রগতির প্রতি আরও বেশি গ্রহণযোগ্য হয়েছি এবং আমাদের যৌন জীবন অপরিমেয়ভাবে উন্নত হয়েছে। আমি আশা করি এটি আমার আনন্দের মতো শোনাচ্ছে না, আমি কেবল শেয়ার করতে চেয়েছিলাম যদি অন্য কেউ একই নৌকায় থাকে কারণ ওষুধ শুরু করার আগে আমি ভীত ছিলাম যে আমি আগের চেয়ে কম যৌন হয়ে যাব। তদুপরি, আমি অবশেষে সাহায্য চেয়েছিলাম বলে আমি অত্যন্ত কৃতজ্ঞ।</v>
      </c>
    </row>
    <row r="2355" spans="1:3" ht="15" x14ac:dyDescent="0.25">
      <c r="A2355" s="3" t="s">
        <v>2348</v>
      </c>
      <c r="B2355" s="3" t="s">
        <v>1992</v>
      </c>
      <c r="C2355" s="4" t="str">
        <f ca="1">IFERROR(__xludf.DUMMYFUNCTION("GOOGLETRANSLATE(A2355, ""auto"", ""bn"")"),"আমার সবসময়ই একটা অনুভূতি থাকে যে, অতীতে আমার প্রিয় পরিবারের সদস্যদের স্বাস্থ্যগত কিছু গুরুতর পরিস্থিতির মধ্য দিয়ে যাওয়ার পর, কোনও কারণ ছাড়াই খারাপ কিছু ঘটবে। তাদের মধ্যে একজন গত বসন্তে মারা যান। আরেকটি অভিজ্ঞতা প্রায় মৃত্যুর কাছাকাছি ছিল, যেখানে অ্যাম্বু"&amp;"লেন্সে করে প্রসব করা হয় এবং বেঁচে যায়। তাই আমি বলতে পারি যে ঘটনাগুলি দেখে আমি মানসিকভাবে আঘাতপ্রাপ্ত ছিলাম, যদিও আমি পরিস্থিতির সাথে শান্তভাবে মোকাবিলা করেছিলাম, কিন্তু পরে তা আমাকে আজ পর্যন্ত আঘাত করে। আমি নিজেকে এক মিনিটও মুক্ত থাকতে দিতে দোষী বোধ করি। "&amp;"যখন আমি কিছু গান শুনি তখন আমার মনে হয় আমার স্মার্টফোন বেজে উঠছে কারণ কারো আমার প্রয়োজন। যখন আমি খুশি বোধ করি, তখন ভাবি যে এটি এক মুহূর্তের মধ্যেই শেষ হয়ে যেতে পারে। এর কারণে আমি নিজেকে খুশি বোধ করতে অস্বীকার করি। যখন আমি সিনেমা দেখি, স্বপ্ন দেখি, ঘুমাই"&amp;", যৌনমিলন করি, তখন আমি সবসময় আমার উদ্বেগের দাস বোধ করি যে ""যেকোনো মুহূর্তে খারাপ কিছু ঘটবে এবং আমাকে প্রস্তুত থাকতে হবে""।")</f>
        <v>আমার সবসময়ই একটা অনুভূতি থাকে যে, অতীতে আমার প্রিয় পরিবারের সদস্যদের স্বাস্থ্যগত কিছু গুরুতর পরিস্থিতির মধ্য দিয়ে যাওয়ার পর, কোনও কারণ ছাড়াই খারাপ কিছু ঘটবে। তাদের মধ্যে একজন গত বসন্তে মারা যান। আরেকটি অভিজ্ঞতা প্রায় মৃত্যুর কাছাকাছি ছিল, যেখানে অ্যাম্বুলেন্সে করে প্রসব করা হয় এবং বেঁচে যায়। তাই আমি বলতে পারি যে ঘটনাগুলি দেখে আমি মানসিকভাবে আঘাতপ্রাপ্ত ছিলাম, যদিও আমি পরিস্থিতির সাথে শান্তভাবে মোকাবিলা করেছিলাম, কিন্তু পরে তা আমাকে আজ পর্যন্ত আঘাত করে। আমি নিজেকে এক মিনিটও মুক্ত থাকতে দিতে দোষী বোধ করি। যখন আমি কিছু গান শুনি তখন আমার মনে হয় আমার স্মার্টফোন বেজে উঠছে কারণ কারো আমার প্রয়োজন। যখন আমি খুশি বোধ করি, তখন ভাবি যে এটি এক মুহূর্তের মধ্যেই শেষ হয়ে যেতে পারে। এর কারণে আমি নিজেকে খুশি বোধ করতে অস্বীকার করি। যখন আমি সিনেমা দেখি, স্বপ্ন দেখি, ঘুমাই, যৌনমিলন করি, তখন আমি সবসময় আমার উদ্বেগের দাস বোধ করি যে "যেকোনো মুহূর্তে খারাপ কিছু ঘটবে এবং আমাকে প্রস্তুত থাকতে হবে"।</v>
      </c>
    </row>
    <row r="2356" spans="1:3" ht="15" x14ac:dyDescent="0.25">
      <c r="A2356" s="3" t="s">
        <v>2349</v>
      </c>
      <c r="B2356" s="3" t="s">
        <v>1992</v>
      </c>
      <c r="C2356" s="4" t="str">
        <f ca="1">IFERROR(__xludf.DUMMYFUNCTION("GOOGLETRANSLATE(A2356, ""auto"", ""bn"")"),"কর্টিসোন ইনজেকশনের আগে প্রচণ্ড উদ্বেগ হচ্ছে। আজ ডিকারভেইনের জন্য আমার বাম হাতে কর্টিসোন ইনজেকশন নেওয়া হচ্ছে। এটা নিয়ে আমার তীব্র উদ্বেগ হচ্ছে। প্রথমত, কেউই সূঁচ পছন্দ করে না। দ্বিতীয়ত, এই বছর আমার অন্যান্য স্বাস্থ্যগত সমস্যা (হাইপোথাইরয়েডিজম এবং কিছু অ্য"&amp;"াড্রিনাল সমস্যা) হয়েছে এবং আমি চিন্তিত যে ইনজেকশনটি তাদের উপর প্রভাব ফেলতে পারে। তৃতীয়ত, আমার ইতিমধ্যেই তীব্র অনিদ্রা আছে এবং কিছু লোক ইনজেকশনের পার্শ্বপ্রতিক্রিয়া হিসেবে এটি অনুভব করে। কারও কি এমন ছিল এবং আমাকে আশ্বস্ত করতে পারেন যে এটি ঠিক হয়ে যাবে?")</f>
        <v>কর্টিসোন ইনজেকশনের আগে প্রচণ্ড উদ্বেগ হচ্ছে। আজ ডিকারভেইনের জন্য আমার বাম হাতে কর্টিসোন ইনজেকশন নেওয়া হচ্ছে। এটা নিয়ে আমার তীব্র উদ্বেগ হচ্ছে। প্রথমত, কেউই সূঁচ পছন্দ করে না। দ্বিতীয়ত, এই বছর আমার অন্যান্য স্বাস্থ্যগত সমস্যা (হাইপোথাইরয়েডিজম এবং কিছু অ্যাড্রিনাল সমস্যা) হয়েছে এবং আমি চিন্তিত যে ইনজেকশনটি তাদের উপর প্রভাব ফেলতে পারে। তৃতীয়ত, আমার ইতিমধ্যেই তীব্র অনিদ্রা আছে এবং কিছু লোক ইনজেকশনের পার্শ্বপ্রতিক্রিয়া হিসেবে এটি অনুভব করে। কারও কি এমন ছিল এবং আমাকে আশ্বস্ত করতে পারেন যে এটি ঠিক হয়ে যাবে?</v>
      </c>
    </row>
    <row r="2357" spans="1:3" ht="15" x14ac:dyDescent="0.25">
      <c r="A2357" s="3" t="s">
        <v>2350</v>
      </c>
      <c r="B2357" s="3" t="s">
        <v>1992</v>
      </c>
      <c r="C2357" s="4" t="str">
        <f ca="1">IFERROR(__xludf.DUMMYFUNCTION("GOOGLETRANSLATE(A2357, ""auto"", ""bn"")"),"ব্যায়াম করতে সমস্যা হচ্ছে? আজ আমার উদ্বেগের জন্য দিনটা বেশ খারাপ কেটেছে বলে মনে হচ্ছে। গত কয়েক মাস ধরে আমার হৃদস্পন্দন বেশ তীব্র হয়ে পড়ছে, এবং এটি আমাকে যেকোনো কঠোর শারীরিক পরিশ্রমে অংশ নিতে সত্যিই ক্লান্ত করে তুলেছে। এর আগে আমি বেশ সক্রিয় ছিলাম এবং মোটা"&amp;"মুটি নিয়মিত ব্যায়াম করতাম। আমি আমার ডাক্তারের কাছে গিয়েছি এবং কয়েকটি পরীক্ষা করেছি, যার সবগুলোই ভালো ছিল। কিন্তু আজ, আমি কেবল অলস বোধ করছি, এবং সিঁড়ি বেয়ে ওঠার সময় আমার হাত পা ব্যথা করছে, যা আমি নিশ্চিত যে কেবল উদ্বেগ, কিন্তু আজ... আজকের দিনটা কঠিন ছিল। আ"&amp;"শা করি বাকিরা ভালো আছেন!!")</f>
        <v>ব্যায়াম করতে সমস্যা হচ্ছে? আজ আমার উদ্বেগের জন্য দিনটা বেশ খারাপ কেটেছে বলে মনে হচ্ছে। গত কয়েক মাস ধরে আমার হৃদস্পন্দন বেশ তীব্র হয়ে পড়ছে, এবং এটি আমাকে যেকোনো কঠোর শারীরিক পরিশ্রমে অংশ নিতে সত্যিই ক্লান্ত করে তুলেছে। এর আগে আমি বেশ সক্রিয় ছিলাম এবং মোটামুটি নিয়মিত ব্যায়াম করতাম। আমি আমার ডাক্তারের কাছে গিয়েছি এবং কয়েকটি পরীক্ষা করেছি, যার সবগুলোই ভালো ছিল। কিন্তু আজ, আমি কেবল অলস বোধ করছি, এবং সিঁড়ি বেয়ে ওঠার সময় আমার হাত পা ব্যথা করছে, যা আমি নিশ্চিত যে কেবল উদ্বেগ, কিন্তু আজ... আজকের দিনটা কঠিন ছিল। আশা করি বাকিরা ভালো আছেন!!</v>
      </c>
    </row>
    <row r="2358" spans="1:3" ht="15" x14ac:dyDescent="0.25">
      <c r="A2358" s="3" t="s">
        <v>2351</v>
      </c>
      <c r="B2358" s="3" t="s">
        <v>1992</v>
      </c>
      <c r="C2358" s="4" t="str">
        <f ca="1">IFERROR(__xludf.DUMMYFUNCTION("GOOGLETRANSLATE(A2358, ""auto"", ""bn"")"),"ছোটবেলায় যখন আমি মাদক ব্যবহার করতাম, তখন বুঝতেই পারতাম না যে এর প্রভাব আমার মস্তিষ্কে কী। জানি না কেন তা কাজ করত না। এখন আমি পিছনে ফিরে তাকাই, আমি বিশ্বাস করতে পারছি না। আমার মনে হয় সমস্যাটি না হওয়া পর্যন্ত তুমি সমস্যাটি বুঝতে পারবে না। আমি কোক ব্যবহার"&amp;" করতাম এবং কেবল ভৌতিক হয়ে যেতাম কিন্তু কখনও ভাবিনি। আমার থামাতে হবে। দীর্ঘস্থায়ী উদ্দীপক অপব্যবহার মানসিক রোগ সৃষ্টি করছিল, কিন্তু আমি কখনই জানতাম না যে এটি কী ছিল তখন কোনও ধারণা ছিল না এমনকি উদ্বেগ কী তাও জানত না এখন আমি বয়স্ক এবং জ্ঞানী হয়েছি, এবং আ"&amp;"মি নিজের এবং আমার মস্তিষ্কের সাথে কী করেছি তা বিশ্বাস করতে পারছি না। আমি হতাশ হয়ে পড়েছি যে আমার বাকি জীবন সমস্যায় ভুগবে কারণ আমি জানি আমার কিছু গুরুতর ক্ষতি হয়েছে।")</f>
        <v>ছোটবেলায় যখন আমি মাদক ব্যবহার করতাম, তখন বুঝতেই পারতাম না যে এর প্রভাব আমার মস্তিষ্কে কী। জানি না কেন তা কাজ করত না। এখন আমি পিছনে ফিরে তাকাই, আমি বিশ্বাস করতে পারছি না। আমার মনে হয় সমস্যাটি না হওয়া পর্যন্ত তুমি সমস্যাটি বুঝতে পারবে না। আমি কোক ব্যবহার করতাম এবং কেবল ভৌতিক হয়ে যেতাম কিন্তু কখনও ভাবিনি। আমার থামাতে হবে। দীর্ঘস্থায়ী উদ্দীপক অপব্যবহার মানসিক রোগ সৃষ্টি করছিল, কিন্তু আমি কখনই জানতাম না যে এটি কী ছিল তখন কোনও ধারণা ছিল না এমনকি উদ্বেগ কী তাও জানত না এখন আমি বয়স্ক এবং জ্ঞানী হয়েছি, এবং আমি নিজের এবং আমার মস্তিষ্কের সাথে কী করেছি তা বিশ্বাস করতে পারছি না। আমি হতাশ হয়ে পড়েছি যে আমার বাকি জীবন সমস্যায় ভুগবে কারণ আমি জানি আমার কিছু গুরুতর ক্ষতি হয়েছে।</v>
      </c>
    </row>
    <row r="2359" spans="1:3" ht="15" x14ac:dyDescent="0.25">
      <c r="A2359" s="3" t="s">
        <v>2352</v>
      </c>
      <c r="B2359" s="3" t="s">
        <v>1992</v>
      </c>
      <c r="C2359" s="4" t="str">
        <f ca="1">IFERROR(__xludf.DUMMYFUNCTION("GOOGLETRANSLATE(A2359, ""auto"", ""bn"")"),"আমি নিজেই বিমানে ভ্রমণ করতে যাচ্ছি! আমার জন্য শুভকামনা (আমি উদ্বিগ্ন)")</f>
        <v>আমি নিজেই বিমানে ভ্রমণ করতে যাচ্ছি! আমার জন্য শুভকামনা (আমি উদ্বিগ্ন)</v>
      </c>
    </row>
    <row r="2360" spans="1:3" ht="15" x14ac:dyDescent="0.25">
      <c r="A2360" s="3" t="s">
        <v>2353</v>
      </c>
      <c r="B2360" s="3" t="s">
        <v>1992</v>
      </c>
      <c r="C2360" s="4" t="str">
        <f ca="1">IFERROR(__xludf.DUMMYFUNCTION("GOOGLETRANSLATE(A2360, ""auto"", ""bn"")"),"আমার বান্ধবী একটা ওষুধ খাচ্ছে। তাই আমার বান্ধবীর মাথাব্যথা হচ্ছিল। আমি তাকে বুঝতে সাহায্য করার চেষ্টা করছিলাম যে এর কারণ কী। সে তখন বললো, ""আমার ডাক্তার আমাকে যে ওষুধটি দিয়েছিলেন""। আমি জিজ্ঞাসা করিনি যে এটা কী। কিন্তু আমি উদ্বিগ্ন হয়ে পড়ছি যে এই ওষুধট"&amp;"ি কী, তার কোন চিকিৎসাগত সমস্যা থাকতে পারে। এটি আমাকে তার এবং তার স্বাস্থ্যের জন্য চিন্তিত করে তুলছে। আমি জিজ্ঞাসা করতে চাই না যে সে কী বলছে কারণ আমি ভয় পাচ্ছি যে এটি সীমা অতিক্রম করছে এবং IDK। আমি জিজ্ঞাসা করতে চাই না যে আমি জানতাম না। আমি কি জিজ্ঞাসা কর"&amp;"া উচিত?")</f>
        <v>আমার বান্ধবী একটা ওষুধ খাচ্ছে। তাই আমার বান্ধবীর মাথাব্যথা হচ্ছিল। আমি তাকে বুঝতে সাহায্য করার চেষ্টা করছিলাম যে এর কারণ কী। সে তখন বললো, "আমার ডাক্তার আমাকে যে ওষুধটি দিয়েছিলেন"। আমি জিজ্ঞাসা করিনি যে এটা কী। কিন্তু আমি উদ্বিগ্ন হয়ে পড়ছি যে এই ওষুধটি কী, তার কোন চিকিৎসাগত সমস্যা থাকতে পারে। এটি আমাকে তার এবং তার স্বাস্থ্যের জন্য চিন্তিত করে তুলছে। আমি জিজ্ঞাসা করতে চাই না যে সে কী বলছে কারণ আমি ভয় পাচ্ছি যে এটি সীমা অতিক্রম করছে এবং IDK। আমি জিজ্ঞাসা করতে চাই না যে আমি জানতাম না। আমি কি জিজ্ঞাসা করা উচিত?</v>
      </c>
    </row>
    <row r="2361" spans="1:3" ht="15" x14ac:dyDescent="0.25">
      <c r="A2361" s="3" t="s">
        <v>2354</v>
      </c>
      <c r="B2361" s="3" t="s">
        <v>1992</v>
      </c>
      <c r="C2361" s="4" t="str">
        <f ca="1">IFERROR(__xludf.DUMMYFUNCTION("GOOGLETRANSLATE(A2361, ""auto"", ""bn"")"),"উদ্বেগের কারণে কি নাক দিয়ে রক্তপাত সম্ভব? গত ৩ দিনে আমার প্রায় ৫ বার নাক দিয়ে রক্তপাত হয়েছে, এবং এটি আমাকে সত্যিই চিন্তিত করতে শুরু করেছে। এটি আমাকে ভাবাচ্ছে যে আমি কোনও ভয়াবহ রোগে মারা যাচ্ছি। আমি আজ আমার ডাক্তারের সাথে অ্যাপয়েন্টমেন্টের সময় নির্ধ"&amp;"ারণ করছি।")</f>
        <v>উদ্বেগের কারণে কি নাক দিয়ে রক্তপাত সম্ভব? গত ৩ দিনে আমার প্রায় ৫ বার নাক দিয়ে রক্তপাত হয়েছে, এবং এটি আমাকে সত্যিই চিন্তিত করতে শুরু করেছে। এটি আমাকে ভাবাচ্ছে যে আমি কোনও ভয়াবহ রোগে মারা যাচ্ছি। আমি আজ আমার ডাক্তারের সাথে অ্যাপয়েন্টমেন্টের সময় নির্ধারণ করছি।</v>
      </c>
    </row>
    <row r="2362" spans="1:3" ht="15" x14ac:dyDescent="0.25">
      <c r="A2362" s="3" t="s">
        <v>2355</v>
      </c>
      <c r="B2362" s="3" t="s">
        <v>1992</v>
      </c>
      <c r="C2362" s="4" t="str">
        <f ca="1">IFERROR(__xludf.DUMMYFUNCTION("GOOGLETRANSLATE(A2362, ""auto"", ""bn"")"),"সম্পর্কের চাপ কমানোর টিপস? সংক্ষেপে: আমি এই মহিলাকে দেখছি। আমরা যখন একসাথে থাকি তখন সাধারণত সবকিছু ভালো হয়, কিন্তু কীভাবে শুরু হয়েছিল তার দিক থেকে আমাদের ইতিহাস কিছুটা জটিল। এই কারণে (এবং অন্যান্য কারণে), সে আমার পছন্দের চেয়ে ধীরে ধীরে সবকিছু নিতে চায়"&amp;"। আমি এমন এক পর্যায়ে এসেছি যেখানে আমি সবকিছুকে একটি প্রতিশ্রুতিবদ্ধ সম্পর্কে পরিণত করতে চাই, কিন্তু সে এখনও সেখানে পৌঁছায়নি এবং আপাতত সবকিছু খোলা রাখতে চায়। সে দম্পতি হওয়ার ধারণার জন্য উন্মুক্ত, সে এখনও সেখানে পৌঁছায়নি। এটি আমার মধ্যে প্রচুর উদ্বেগের"&amp;" সৃষ্টি করছে যা মোকাবেলা করার জন্য আমি সত্যিই কঠোর চেষ্টা করছি। কয়েক সপ্তাহ আগে আমি তার সামনে একটি ডেট নষ্ট করার পরে, আমি জানি যে আমার আরও ভালভাবে পরিস্থিতি মোকাবেলা করা দরকার, তাই আমি তাকে ভয় পাই না (সে পরিস্থিতি সম্পর্কে একজন সৎ ব্যক্তি ছিল, এবং মনে হ"&amp;"চ্ছে সে সবকিছু ছেড়ে দিয়েছে, তবে আমি বলতে পারি এটি তার আপত্তি আরও বাড়িয়েছে এবং আমি সত্যিই, সত্যিই দুঃখিত...) এখন সবচেয়ে বড় চাপ হল যে সে অন্য কারো সাথেও ডেটিং করছে। সে আমাকে তার সম্পর্কে কিছু বলেছে (আমার অনুরোধে, আমি তাকে অন্য একজন মহিলার কথাও বলেছি য"&amp;"ার সাথে আমি দেখা করতাম কিন্তু তারপর থেকে ডেটিং বন্ধ করে দিয়েছি)। আমি যখনই অন্যদের সাথে দেখা করতে চাই না, তখনই যখনই আমি তাদের কথা ভাবি তখনই আমার মস্তিষ্ক ছুটে বেড়াতে শুরু করে। আমাকে হতাশ করে যে আমি জানি এটা কতটা অযৌক্তিক: তারা আমাদের মতো এত কাছাকাছি আর ক"&amp;"োথাও নেই। সে এখনও তাকে চুমুও খায়নি; তারা মাত্র কয়েকটি ডেটে গেছে, এবং সে সপ্তাহে মাত্র দু'বার তার সাথে কথা বলে। এবং এটা এমন নয় যে এটি প্রতারণা করছে কারণ আমরা এখনও কিছু করিনি। তবুও আমার মস্তিষ্ক পাগল হয়ে যায়। সময়সূচীর কারণে তারা কেবল প্রতি শনিবার বাইর"&amp;"ে যায়। এই শনিবার আরেকটি ডেট আছে। এই পরিস্থিতি সম্পর্কে আমার উদ্বেগ কীভাবে আরও ভালভাবে পরিচালনা করার চেষ্টা করতে পারি সে সম্পর্কে আমি কারও পরামর্শ খুঁজছি। আমি সাধারণত নিজেকে শান্ত করতে পারি, শুধু মনে করিয়ে দিয়ে যে আমাদের সম্পর্ক বর্তমানে কেমন, আমি যা চা"&amp;"ই তা নয়, এবং সেই রাতের জন্য আমি বিভ্রান্তির পরিকল্পনা করার চেষ্টা করছি, কিন্তু এটা কেবল কঠিন। তাছাড়া, আমি এই সপ্তাহ থেকে থেরাপিতে ফিরে যাচ্ছি, কিন্তু এটি একজন নতুন থেরাপিস্টের সাথে, তাই আমি জানি না যে তিনি শুরু থেকেই কতটা সাহায্য করতে পারবেন। তাছাড়া, আ"&amp;"মাকে কেবল এটি কীভাবে পরিচালনা করতে হবে তা খুঁজে বের করতে হবে যাতে আমি নিজেকে কেবল শিথিল করতে পারি। তিনি এখন আমার সম্পর্কে একমাত্র আসল অভিযোগ বলছেন যে আমি কেবল আরাম করতে পারি না এবং স্বাভাবিকভাবে জিনিসগুলি ঘটতে দিতে পারি না। যা সম্পূর্ণ সত্য; আমি আমার সারা"&amp;" জীবন এর সাথে লড়াই করেছি। আমি সবসময় খুব বেশি চাপ দিই এবং পরবর্তী ধাপে যেতে চাই। আমি যা কিছু করি তাতেই। আমি খুব অধৈর্য। এবং আমি ভীত যে যদি আমি এটি পরিচালনা করতে না পারি তবে আমি তাকে ভয় দেখাব। আমি ওর জন্য একেবারেই পাগল এবং আমি এটা নিয়ে বাজে কথা বলতে চাই"&amp;" না, কিন্তু আমার ভয় হচ্ছে যে এত ভালো করতে ভয় পাওয়াটা একটা স্ব-পরিপূর্ণ ভবিষ্যদ্বাণীতে পরিণত হবে।")</f>
        <v>সম্পর্কের চাপ কমানোর টিপস? সংক্ষেপে: আমি এই মহিলাকে দেখছি। আমরা যখন একসাথে থাকি তখন সাধারণত সবকিছু ভালো হয়, কিন্তু কীভাবে শুরু হয়েছিল তার দিক থেকে আমাদের ইতিহাস কিছুটা জটিল। এই কারণে (এবং অন্যান্য কারণে), সে আমার পছন্দের চেয়ে ধীরে ধীরে সবকিছু নিতে চায়। আমি এমন এক পর্যায়ে এসেছি যেখানে আমি সবকিছুকে একটি প্রতিশ্রুতিবদ্ধ সম্পর্কে পরিণত করতে চাই, কিন্তু সে এখনও সেখানে পৌঁছায়নি এবং আপাতত সবকিছু খোলা রাখতে চায়। সে দম্পতি হওয়ার ধারণার জন্য উন্মুক্ত, সে এখনও সেখানে পৌঁছায়নি। এটি আমার মধ্যে প্রচুর উদ্বেগের সৃষ্টি করছে যা মোকাবেলা করার জন্য আমি সত্যিই কঠোর চেষ্টা করছি। কয়েক সপ্তাহ আগে আমি তার সামনে একটি ডেট নষ্ট করার পরে, আমি জানি যে আমার আরও ভালভাবে পরিস্থিতি মোকাবেলা করা দরকার, তাই আমি তাকে ভয় পাই না (সে পরিস্থিতি সম্পর্কে একজন সৎ ব্যক্তি ছিল, এবং মনে হচ্ছে সে সবকিছু ছেড়ে দিয়েছে, তবে আমি বলতে পারি এটি তার আপত্তি আরও বাড়িয়েছে এবং আমি সত্যিই, সত্যিই দুঃখিত...) এখন সবচেয়ে বড় চাপ হল যে সে অন্য কারো সাথেও ডেটিং করছে। সে আমাকে তার সম্পর্কে কিছু বলেছে (আমার অনুরোধে, আমি তাকে অন্য একজন মহিলার কথাও বলেছি যার সাথে আমি দেখা করতাম কিন্তু তারপর থেকে ডেটিং বন্ধ করে দিয়েছি)। আমি যখনই অন্যদের সাথে দেখা করতে চাই না, তখনই যখনই আমি তাদের কথা ভাবি তখনই আমার মস্তিষ্ক ছুটে বেড়াতে শুরু করে। আমাকে হতাশ করে যে আমি জানি এটা কতটা অযৌক্তিক: তারা আমাদের মতো এত কাছাকাছি আর কোথাও নেই। সে এখনও তাকে চুমুও খায়নি; তারা মাত্র কয়েকটি ডেটে গেছে, এবং সে সপ্তাহে মাত্র দু'বার তার সাথে কথা বলে। এবং এটা এমন নয় যে এটি প্রতারণা করছে কারণ আমরা এখনও কিছু করিনি। তবুও আমার মস্তিষ্ক পাগল হয়ে যায়। সময়সূচীর কারণে তারা কেবল প্রতি শনিবার বাইরে যায়। এই শনিবার আরেকটি ডেট আছে। এই পরিস্থিতি সম্পর্কে আমার উদ্বেগ কীভাবে আরও ভালভাবে পরিচালনা করার চেষ্টা করতে পারি সে সম্পর্কে আমি কারও পরামর্শ খুঁজছি। আমি সাধারণত নিজেকে শান্ত করতে পারি, শুধু মনে করিয়ে দিয়ে যে আমাদের সম্পর্ক বর্তমানে কেমন, আমি যা চাই তা নয়, এবং সেই রাতের জন্য আমি বিভ্রান্তির পরিকল্পনা করার চেষ্টা করছি, কিন্তু এটা কেবল কঠিন। তাছাড়া, আমি এই সপ্তাহ থেকে থেরাপিতে ফিরে যাচ্ছি, কিন্তু এটি একজন নতুন থেরাপিস্টের সাথে, তাই আমি জানি না যে তিনি শুরু থেকেই কতটা সাহায্য করতে পারবেন। তাছাড়া, আমাকে কেবল এটি কীভাবে পরিচালনা করতে হবে তা খুঁজে বের করতে হবে যাতে আমি নিজেকে কেবল শিথিল করতে পারি। তিনি এখন আমার সম্পর্কে একমাত্র আসল অভিযোগ বলছেন যে আমি কেবল আরাম করতে পারি না এবং স্বাভাবিকভাবে জিনিসগুলি ঘটতে দিতে পারি না। যা সম্পূর্ণ সত্য; আমি আমার সারা জীবন এর সাথে লড়াই করেছি। আমি সবসময় খুব বেশি চাপ দিই এবং পরবর্তী ধাপে যেতে চাই। আমি যা কিছু করি তাতেই। আমি খুব অধৈর্য। এবং আমি ভীত যে যদি আমি এটি পরিচালনা করতে না পারি তবে আমি তাকে ভয় দেখাব। আমি ওর জন্য একেবারেই পাগল এবং আমি এটা নিয়ে বাজে কথা বলতে চাই না, কিন্তু আমার ভয় হচ্ছে যে এত ভালো করতে ভয় পাওয়াটা একটা স্ব-পরিপূর্ণ ভবিষ্যদ্বাণীতে পরিণত হবে।</v>
      </c>
    </row>
    <row r="2363" spans="1:3" ht="15" x14ac:dyDescent="0.25">
      <c r="A2363" s="3" t="s">
        <v>2356</v>
      </c>
      <c r="B2363" s="3" t="s">
        <v>1992</v>
      </c>
      <c r="C2363" s="4" t="str">
        <f ca="1">IFERROR(__xludf.DUMMYFUNCTION("GOOGLETRANSLATE(A2363, ""auto"", ""bn"")"),"অবিরাম কাজের সমস্যাজনিত উদ্বেগ। সবাইকে নমস্কার, এই ক্রিসমাসের সময় আমি খুব বেশি উদ্বেগে ভুগছি। আমি এটি প্রায়শই পাই না, এবং এটি কেবল কাজের সাথে সম্পর্কিত। শেষবার কয়েক বছর আগে ছিল, এবং কর্মক্ষেত্রে একটি সমস্যা আবার এটিকে ফিরিয়ে এনেছে। আমার পেটের গর্তে এক"&amp;"টি গিঁট আছে যা কখনও যায় না। যদিও আমি পরিবার এবং বন্ধুদের সাথে সুন্দর সময় কাটিয়েছি, এই কুঁচকানো অনুভূতি সবসময়ই থাকে। আমি একা থাকি এবং যখন আমি বাড়িতে থাকি তখন আমি ক্রমাগত আমার মাথায় পরিস্থিতি এবং কথোপকথন নিয়ে ঘুরপাক খাই যা আমাকে কেবল একটি চক্রে আটকে "&amp;"রাখে এবং উদ্বেগের মাত্রা বাড়িয়ে তোলে। কিছু সময়ে মনে হয় আমি দীর্ঘ সময় ধরে পরপর প্যানিক অ্যাটাক করছি। আমার যুক্তিবাদী স্ব জানে যে এই কাজের জিনিসটি এত গুরুত্বপূর্ণ নয়... কিন্তু আমি এটিকে এড়াতে পারছি না। আমি পরের সপ্তাহে কাজে ফিরে যাব, এবং আমি আশা করছি"&amp;" বিষয়টি দ্রুত সমাধান হয়ে যাবে। [একদিকে এটা এমন নয় যে আমি আমার চাকরি হারাচ্ছি বা অন্য কিছু, এটা আমার দলের একজন কর্মচারীর সাথে একটি চলমান সমস্যা] অন্যদের কিছু অভিজ্ঞতা এবং/অথবা পরামর্শ আছে যা তারা ভাগ করে নিতে ইচ্ছুক, এই আশায় ভাগ করে নিচ্ছি। সবাইকে ধন্যবা"&amp;"দ এবং অনেক ভালোবাসা!")</f>
        <v>অবিরাম কাজের সমস্যাজনিত উদ্বেগ। সবাইকে নমস্কার, এই ক্রিসমাসের সময় আমি খুব বেশি উদ্বেগে ভুগছি। আমি এটি প্রায়শই পাই না, এবং এটি কেবল কাজের সাথে সম্পর্কিত। শেষবার কয়েক বছর আগে ছিল, এবং কর্মক্ষেত্রে একটি সমস্যা আবার এটিকে ফিরিয়ে এনেছে। আমার পেটের গর্তে একটি গিঁট আছে যা কখনও যায় না। যদিও আমি পরিবার এবং বন্ধুদের সাথে সুন্দর সময় কাটিয়েছি, এই কুঁচকানো অনুভূতি সবসময়ই থাকে। আমি একা থাকি এবং যখন আমি বাড়িতে থাকি তখন আমি ক্রমাগত আমার মাথায় পরিস্থিতি এবং কথোপকথন নিয়ে ঘুরপাক খাই যা আমাকে কেবল একটি চক্রে আটকে রাখে এবং উদ্বেগের মাত্রা বাড়িয়ে তোলে। কিছু সময়ে মনে হয় আমি দীর্ঘ সময় ধরে পরপর প্যানিক অ্যাটাক করছি। আমার যুক্তিবাদী স্ব জানে যে এই কাজের জিনিসটি এত গুরুত্বপূর্ণ নয়... কিন্তু আমি এটিকে এড়াতে পারছি না। আমি পরের সপ্তাহে কাজে ফিরে যাব, এবং আমি আশা করছি বিষয়টি দ্রুত সমাধান হয়ে যাবে। [একদিকে এটা এমন নয় যে আমি আমার চাকরি হারাচ্ছি বা অন্য কিছু, এটা আমার দলের একজন কর্মচারীর সাথে একটি চলমান সমস্যা] অন্যদের কিছু অভিজ্ঞতা এবং/অথবা পরামর্শ আছে যা তারা ভাগ করে নিতে ইচ্ছুক, এই আশায় ভাগ করে নিচ্ছি। সবাইকে ধন্যবাদ এবং অনেক ভালোবাসা!</v>
      </c>
    </row>
    <row r="2364" spans="1:3" ht="15" x14ac:dyDescent="0.25">
      <c r="A2364" s="3" t="s">
        <v>2357</v>
      </c>
      <c r="B2364" s="3" t="s">
        <v>1992</v>
      </c>
      <c r="C2364" s="4" t="str">
        <f ca="1">IFERROR(__xludf.DUMMYFUNCTION("GOOGLETRANSLATE(A2364, ""auto"", ""bn"")"),"উদ্বেগ আমার খুব খারাপ লাগে যে উদ্বেগ তোমার চিন্তাভাবনা এবং শরীরকে দখল করে নেয়... এটা এমন এক অভ্যন্তরীণ সংগ্রাম যার মাধ্যমে তুমি যা সত্য তা নিয়ে পরস্পরবিরোধী চিন্তাভাবনা তৈরি হয় এবং তোমার মন কীভাবে তা এমন কিছুতে পরিণত করে যা সত্য নয়। মানুষ আসলে বুঝতে প"&amp;"ারে না, যদি না তারা আক্রমণের মধ্য দিয়ে যায়। তুমি কীভাবে এটাকে দখল করতে দেবে না?")</f>
        <v>উদ্বেগ আমার খুব খারাপ লাগে যে উদ্বেগ তোমার চিন্তাভাবনা এবং শরীরকে দখল করে নেয়... এটা এমন এক অভ্যন্তরীণ সংগ্রাম যার মাধ্যমে তুমি যা সত্য তা নিয়ে পরস্পরবিরোধী চিন্তাভাবনা তৈরি হয় এবং তোমার মন কীভাবে তা এমন কিছুতে পরিণত করে যা সত্য নয়। মানুষ আসলে বুঝতে পারে না, যদি না তারা আক্রমণের মধ্য দিয়ে যায়। তুমি কীভাবে এটাকে দখল করতে দেবে না?</v>
      </c>
    </row>
    <row r="2365" spans="1:3" ht="15" x14ac:dyDescent="0.25">
      <c r="A2365" s="3" t="s">
        <v>2358</v>
      </c>
      <c r="B2365" s="3" t="s">
        <v>1992</v>
      </c>
      <c r="C2365" s="4" t="str">
        <f ca="1">IFERROR(__xludf.DUMMYFUNCTION("GOOGLETRANSLATE(A2365, ""auto"", ""bn"")"),"এই Subreddit কীভাবে প্রভাবিত করেছে? এক বছর আগে, আমি আমার কোনও কাজই বুঝতে পারিনি। ছোট ছোট বিষয় নিয়ে চিন্তা করা, বারবার জিনিস নিয়ে মগ্ন থাকা এবং মনে হচ্ছিল যেন সবাই আমাকে ঘৃণা করে। আমি জানি না কখন থেকে এটা শুরু হয়েছে, কিন্তু গত বছর আমি বুঝতে পেরেছি যে এ"&amp;"টা স্বাভাবিক নয়। আমি এই Subreddit খুঁজে পেয়েছি, এবং ভেবেছিলাম এটি আমাকে সাহায্য করতে পারে। তাছাড়া, আমি মনে করি এটি আমার জীবনে আমার উদ্বেগ দূর করার জন্য সবচেয়ে ভালো জিনিস। তাছাড়া, আমি থেরাপিতে যাই না এবং আমি ওষুধও খাই না (সম্ভবত আমার উচিত), তাই হয়তো "&amp;"এটি তাদের মতো ভালো নয়। তবে আমি যা মনে করি তা লিখে রাখা আমাকে অনেক সাহায্য করেছে। অবশ্যই, প্রতিক্রিয়া এবং অন্যান্য লোকের পোস্টগুলিও সাহায্য করেছে। তবে সবকিছু লিখে রাখলে, এর সম্পর্কে কিছু না কিছু আমার জন্য কাজ করে। আপনার বছরটি শুভ হোক!")</f>
        <v>এই Subreddit কীভাবে প্রভাবিত করেছে? এক বছর আগে, আমি আমার কোনও কাজই বুঝতে পারিনি। ছোট ছোট বিষয় নিয়ে চিন্তা করা, বারবার জিনিস নিয়ে মগ্ন থাকা এবং মনে হচ্ছিল যেন সবাই আমাকে ঘৃণা করে। আমি জানি না কখন থেকে এটা শুরু হয়েছে, কিন্তু গত বছর আমি বুঝতে পেরেছি যে এটা স্বাভাবিক নয়। আমি এই Subreddit খুঁজে পেয়েছি, এবং ভেবেছিলাম এটি আমাকে সাহায্য করতে পারে। তাছাড়া, আমি মনে করি এটি আমার জীবনে আমার উদ্বেগ দূর করার জন্য সবচেয়ে ভালো জিনিস। তাছাড়া, আমি থেরাপিতে যাই না এবং আমি ওষুধও খাই না (সম্ভবত আমার উচিত), তাই হয়তো এটি তাদের মতো ভালো নয়। তবে আমি যা মনে করি তা লিখে রাখা আমাকে অনেক সাহায্য করেছে। অবশ্যই, প্রতিক্রিয়া এবং অন্যান্য লোকের পোস্টগুলিও সাহায্য করেছে। তবে সবকিছু লিখে রাখলে, এর সম্পর্কে কিছু না কিছু আমার জন্য কাজ করে। আপনার বছরটি শুভ হোক!</v>
      </c>
    </row>
    <row r="2366" spans="1:3" ht="15" x14ac:dyDescent="0.25">
      <c r="A2366" s="3" t="s">
        <v>2359</v>
      </c>
      <c r="B2366" s="3" t="s">
        <v>1992</v>
      </c>
      <c r="C2366" s="4" t="str">
        <f ca="1">IFERROR(__xludf.DUMMYFUNCTION("GOOGLETRANSLATE(A2366, ""auto"", ""bn"")"),"নিজেকে সামলাতে পারছি না এটা কি বিদ্রূপাত্মক নয় যে আমি একটি ফার্মেসিতে কাজ করি এবং ক্রমাগত লোকেদের তাদের সমস্যা সমাধানের চেষ্টা করি, কিন্তু আমি নিজেকেও সামলাতে পারছি না। যেমন, চাকরিটা আমাকে এত উদ্বিগ্ন করে তোলে। আমি কী করছি তা আমার কোনও ধারণা নেই, এবং আমা"&amp;"কে ক্রমাগত প্রশ্ন জিজ্ঞাসা করতে এবং গ্রাহকদের দ্বারা চিৎকার করতে বাধ্য করতে হয়। এবং এখন আমি অসুস্থ, এবং আমাকে এক ঘন্টার মধ্যে কাজ করতে হবে, এবং আমি অন্য কিছু করতে চাই। কিন্তু টাকা ভালো, বিশেষ করে কমিউনিটি কলেজে পড়া একজন ১৮ বছর বয়সী কিশোরের জন্য এবং আমি"&amp;" কেবল আটকে আছি। যেমন, আমি কেবল নিজের সাথে এটি করেছি, আমি নিজেকে চাকরি পেতে বাধ্য করেছি, এবং এখন আমি এটি ঘৃণা করি। এখন আমি আটকে আছি, এবং মনে হচ্ছে তারা আমাকে আরও বেশি ঘন্টা কাজ করতে বাধ্য করার চেষ্টা করছে, এবং পরবর্তী সেমিস্টার শীঘ্রই শুরু হবে এবং আমি গত স"&amp;"েমিস্টারের তুলনায় এই সেমিস্টারে দ্বিগুণ ক্রেডিট নেব। আমি জানি না, আমি কেবল এটি বের করতে চেয়েছিলাম। আপনি যদি এটি পড়েন তবে আমি সত্যিই দুঃখিত।")</f>
        <v>নিজেকে সামলাতে পারছি না এটা কি বিদ্রূপাত্মক নয় যে আমি একটি ফার্মেসিতে কাজ করি এবং ক্রমাগত লোকেদের তাদের সমস্যা সমাধানের চেষ্টা করি, কিন্তু আমি নিজেকেও সামলাতে পারছি না। যেমন, চাকরিটা আমাকে এত উদ্বিগ্ন করে তোলে। আমি কী করছি তা আমার কোনও ধারণা নেই, এবং আমাকে ক্রমাগত প্রশ্ন জিজ্ঞাসা করতে এবং গ্রাহকদের দ্বারা চিৎকার করতে বাধ্য করতে হয়। এবং এখন আমি অসুস্থ, এবং আমাকে এক ঘন্টার মধ্যে কাজ করতে হবে, এবং আমি অন্য কিছু করতে চাই। কিন্তু টাকা ভালো, বিশেষ করে কমিউনিটি কলেজে পড়া একজন ১৮ বছর বয়সী কিশোরের জন্য এবং আমি কেবল আটকে আছি। যেমন, আমি কেবল নিজের সাথে এটি করেছি, আমি নিজেকে চাকরি পেতে বাধ্য করেছি, এবং এখন আমি এটি ঘৃণা করি। এখন আমি আটকে আছি, এবং মনে হচ্ছে তারা আমাকে আরও বেশি ঘন্টা কাজ করতে বাধ্য করার চেষ্টা করছে, এবং পরবর্তী সেমিস্টার শীঘ্রই শুরু হবে এবং আমি গত সেমিস্টারের তুলনায় এই সেমিস্টারে দ্বিগুণ ক্রেডিট নেব। আমি জানি না, আমি কেবল এটি বের করতে চেয়েছিলাম। আপনি যদি এটি পড়েন তবে আমি সত্যিই দুঃখিত।</v>
      </c>
    </row>
    <row r="2367" spans="1:3" ht="15" x14ac:dyDescent="0.25">
      <c r="A2367" s="3" t="s">
        <v>2360</v>
      </c>
      <c r="B2367" s="3" t="s">
        <v>1992</v>
      </c>
      <c r="C2367" s="4" t="str">
        <f ca="1">IFERROR(__xludf.DUMMYFUNCTION("GOOGLETRANSLATE(A2367, ""auto"", ""bn"")"),"খেতে না পারাটা কীভাবে সামলাবেন? হ্যালো সবাই, যখন আমার সাধারণ উদ্বেগ বেশি থাকে (যেমনটা এখন কয়েক সপ্তাহ/মাস ধরে আছে), তখন আমার খাওয়া খুব কঠিন হয়ে পড়ে। আমি এখন ক্ষুধার্ত, কিন্তু এই বাটি সিরিয়ালও শেষ করতে আমার কষ্ট হচ্ছে। মাঝে মাঝে আমি একটু খাই। তাছাড়া,"&amp;" আমি মনে করি যে আমি যা নিয়ে চিন্তিত তা হল আমি যদি খাই তাহলে আমার পেটে অদ্ভুত অনুভূতি হবে (বমি বমি ভাবের ভয়)। যখন আমি খাবার গিলে ফেলি/হজম করি তখন আমি অনুভূতিগুলিকে অতিরঞ্জিত করি এবং আতঙ্কিত হই। আমি যা করার চেষ্টা করছি তা হল নিজেকে বোঝাতে চাই যে ক্ষুধার য"&amp;"ন্ত্রণা আমি খাওয়ার সময় যে নেতিবাচক লক্ষণগুলি অনুভব করি তার চেয়েও খারাপ। অন্য কারো কি একই রকম সমস্যা আছে?")</f>
        <v>খেতে না পারাটা কীভাবে সামলাবেন? হ্যালো সবাই, যখন আমার সাধারণ উদ্বেগ বেশি থাকে (যেমনটা এখন কয়েক সপ্তাহ/মাস ধরে আছে), তখন আমার খাওয়া খুব কঠিন হয়ে পড়ে। আমি এখন ক্ষুধার্ত, কিন্তু এই বাটি সিরিয়ালও শেষ করতে আমার কষ্ট হচ্ছে। মাঝে মাঝে আমি একটু খাই। তাছাড়া, আমি মনে করি যে আমি যা নিয়ে চিন্তিত তা হল আমি যদি খাই তাহলে আমার পেটে অদ্ভুত অনুভূতি হবে (বমি বমি ভাবের ভয়)। যখন আমি খাবার গিলে ফেলি/হজম করি তখন আমি অনুভূতিগুলিকে অতিরঞ্জিত করি এবং আতঙ্কিত হই। আমি যা করার চেষ্টা করছি তা হল নিজেকে বোঝাতে চাই যে ক্ষুধার যন্ত্রণা আমি খাওয়ার সময় যে নেতিবাচক লক্ষণগুলি অনুভব করি তার চেয়েও খারাপ। অন্য কারো কি একই রকম সমস্যা আছে?</v>
      </c>
    </row>
    <row r="2368" spans="1:3" ht="15" x14ac:dyDescent="0.25">
      <c r="A2368" s="3" t="s">
        <v>2361</v>
      </c>
      <c r="B2368" s="3" t="s">
        <v>1992</v>
      </c>
      <c r="C2368" s="4" t="str">
        <f ca="1">IFERROR(__xludf.DUMMYFUNCTION("GOOGLETRANSLATE(A2368, ""auto"", ""bn"")"),"উদ্বেগের সাথে ডেটিং আমি এখন একজন ছেলের সাথে দু-একবার ডেটে গেছি, এবং এখন পর্যন্ত সবকিছু ঠিকঠাক চলছে, কিন্তু আমাদের প্রথম ডেট থেকে আমার মনে প্রচণ্ড উদ্বেগ কাজ করছে, এবং এটি আমার উপর প্রভাব ফেলতে শুরু করেছে। আমি তার সাথে সময় কাটাতে ভালোবাসি এবং তার সাথে ডেট"&amp;"িং চালিয়ে যেতে চাই, কিন্তু আমি উদ্বেগের সাথে মানিয়ে নিতে পারছি না... একটা জিনিস যা আমাকে উদ্বিগ্ন করে তুলছে তা হল সে যদি পারত তাহলে প্রতিটা সেকেন্ড আমার সাথে কাটাত, যা আমি জানি আশ্চর্যজনক, কিন্তু এটা আমার জন্য অনেক বেশি। মাঝে মাঝে আমার একা সময় প্রয়োজন"&amp;"। আমার মনে হয় এটা খুব দ্রুত চলছে, এবং আমি জানি না কিভাবে তাকে বলব.... কারো কি কোন পরামর্শ আছে? কেউ কি একই রকম পরিস্থিতিতে পড়েছেন?")</f>
        <v>উদ্বেগের সাথে ডেটিং আমি এখন একজন ছেলের সাথে দু-একবার ডেটে গেছি, এবং এখন পর্যন্ত সবকিছু ঠিকঠাক চলছে, কিন্তু আমাদের প্রথম ডেট থেকে আমার মনে প্রচণ্ড উদ্বেগ কাজ করছে, এবং এটি আমার উপর প্রভাব ফেলতে শুরু করেছে। আমি তার সাথে সময় কাটাতে ভালোবাসি এবং তার সাথে ডেটিং চালিয়ে যেতে চাই, কিন্তু আমি উদ্বেগের সাথে মানিয়ে নিতে পারছি না... একটা জিনিস যা আমাকে উদ্বিগ্ন করে তুলছে তা হল সে যদি পারত তাহলে প্রতিটা সেকেন্ড আমার সাথে কাটাত, যা আমি জানি আশ্চর্যজনক, কিন্তু এটা আমার জন্য অনেক বেশি। মাঝে মাঝে আমার একা সময় প্রয়োজন। আমার মনে হয় এটা খুব দ্রুত চলছে, এবং আমি জানি না কিভাবে তাকে বলব.... কারো কি কোন পরামর্শ আছে? কেউ কি একই রকম পরিস্থিতিতে পড়েছেন?</v>
      </c>
    </row>
    <row r="2369" spans="1:3" ht="15" x14ac:dyDescent="0.25">
      <c r="A2369" s="3" t="s">
        <v>2362</v>
      </c>
      <c r="B2369" s="3" t="s">
        <v>1992</v>
      </c>
      <c r="C2369" s="4" t="str">
        <f ca="1">IFERROR(__xludf.DUMMYFUNCTION("GOOGLETRANSLATE(A2369, ""auto"", ""bn"")"),"কি হচ্ছে? প্রায় দুই বছর আগে আমার এক বন্ধুর সাথে ঝগড়া হয়েছিল। তারা আমাকে ক্ষমা করেনি। আমি একাধিকবার যোগাযোগ করার চেষ্টা করেছি, কিন্তু কোনও সাড়া পাওয়া যায়নি। সম্ভবত আক্রমণাত্মক হয়ে পড়েছিলাম। আবার তাদের নম্বর খুঁজে ফোন করার কথা ভেবেছিলাম। বুঝতে পেরেছিলাম যে "&amp;"আমি সত্যিই পাগল হয়ে যাচ্ছি। আমি অনেক নজরদারি করতাম। মাঝে মাঝে তাদের সোশ্যাল মিডিয়া অ্যাকাউন্টগুলো দেখতাম। আমি আর খুব বেশি কিছু করিনি কারণ আমি বুঝতে পেরেছি যে আমি প্রতিবারই ক্ষতটি আবার খুলে দিচ্ছি। থেরাপিতে যাচ্ছিলাম, কিন্তু আমার থেরাপিস্টের একটি বাচ্চা হয়"&amp;"েছে এবং ফেব্রুয়ারি পর্যন্ত ফিরে আসব না। ক্ষমা না পাওয়া থেকে কীভাবে এগিয়ে যাব তা আমি সত্যিই বুঝতে পারছি না। যেমন, মাসে একবার এটি আমাকে প্রচণ্ড বিষণ্ণতা এবং উদ্বেগ দেবে। এটি সবচেয়ে খারাপ অনুভূতি। আমার থেরাপিস্ট আমাকে বলেছিলেন যে আমি অনেক বেশি চিন্তা করি, এ"&amp;"বং আমাকে চিন্তাভাবনা বন্ধ করা এবং জ্ঞানীয় বিচ্ছিন্নতার মতো জিনিসগুলি অনুশীলন করতে হয়। আমার ইচ্ছাশক্তি বেশ খারাপ, কিন্তু আমি ভালো হয়ে উঠছি। কেউ কি এইরকম কিছু মোকাবেলা করেছে? যদি তাই হয়, তাহলে তারা কীভাবে এটি অতিক্রম করেছে? এক বা দুই সপ্তাহ ভালো থাকতে প"&amp;"ারব, এটা আমার খুব খারাপ লাগে, কিন্তু হঠাৎ করেই কয়েকদিনের জন্য মন খারাপ হয়ে যায়। এই শব্দগুলো এত এলোমেলো করে দেওয়ার জন্য দুঃখিত।")</f>
        <v>কি হচ্ছে? প্রায় দুই বছর আগে আমার এক বন্ধুর সাথে ঝগড়া হয়েছিল। তারা আমাকে ক্ষমা করেনি। আমি একাধিকবার যোগাযোগ করার চেষ্টা করেছি, কিন্তু কোনও সাড়া পাওয়া যায়নি। সম্ভবত আক্রমণাত্মক হয়ে পড়েছিলাম। আবার তাদের নম্বর খুঁজে ফোন করার কথা ভেবেছিলাম। বুঝতে পেরেছিলাম যে আমি সত্যিই পাগল হয়ে যাচ্ছি। আমি অনেক নজরদারি করতাম। মাঝে মাঝে তাদের সোশ্যাল মিডিয়া অ্যাকাউন্টগুলো দেখতাম। আমি আর খুব বেশি কিছু করিনি কারণ আমি বুঝতে পেরেছি যে আমি প্রতিবারই ক্ষতটি আবার খুলে দিচ্ছি। থেরাপিতে যাচ্ছিলাম, কিন্তু আমার থেরাপিস্টের একটি বাচ্চা হয়েছে এবং ফেব্রুয়ারি পর্যন্ত ফিরে আসব না। ক্ষমা না পাওয়া থেকে কীভাবে এগিয়ে যাব তা আমি সত্যিই বুঝতে পারছি না। যেমন, মাসে একবার এটি আমাকে প্রচণ্ড বিষণ্ণতা এবং উদ্বেগ দেবে। এটি সবচেয়ে খারাপ অনুভূতি। আমার থেরাপিস্ট আমাকে বলেছিলেন যে আমি অনেক বেশি চিন্তা করি, এবং আমাকে চিন্তাভাবনা বন্ধ করা এবং জ্ঞানীয় বিচ্ছিন্নতার মতো জিনিসগুলি অনুশীলন করতে হয়। আমার ইচ্ছাশক্তি বেশ খারাপ, কিন্তু আমি ভালো হয়ে উঠছি। কেউ কি এইরকম কিছু মোকাবেলা করেছে? যদি তাই হয়, তাহলে তারা কীভাবে এটি অতিক্রম করেছে? এক বা দুই সপ্তাহ ভালো থাকতে পারব, এটা আমার খুব খারাপ লাগে, কিন্তু হঠাৎ করেই কয়েকদিনের জন্য মন খারাপ হয়ে যায়। এই শব্দগুলো এত এলোমেলো করে দেওয়ার জন্য দুঃখিত।</v>
      </c>
    </row>
    <row r="2370" spans="1:3" ht="15" x14ac:dyDescent="0.25">
      <c r="A2370" s="3" t="s">
        <v>2363</v>
      </c>
      <c r="B2370" s="3" t="s">
        <v>1992</v>
      </c>
      <c r="C2370" s="4" t="str">
        <f ca="1">IFERROR(__xludf.DUMMYFUNCTION("GOOGLETRANSLATE(A2370, ""auto"", ""bn"")"),"SAD আক্রান্ত ব্যক্তিরা, বছরের এই সময়টাতে আপনি কীভাবে মোকাবেলা করেন? আমার দৌড়/অযৌক্তিক চিন্তাভাবনা নিয়ন্ত্রণ/ধীর করার নতুন উপায় খুঁজছি।")</f>
        <v>SAD আক্রান্ত ব্যক্তিরা, বছরের এই সময়টাতে আপনি কীভাবে মোকাবেলা করেন? আমার দৌড়/অযৌক্তিক চিন্তাভাবনা নিয়ন্ত্রণ/ধীর করার নতুন উপায় খুঁজছি।</v>
      </c>
    </row>
    <row r="2371" spans="1:3" ht="15" x14ac:dyDescent="0.25">
      <c r="A2371" s="3" t="s">
        <v>2364</v>
      </c>
      <c r="B2371" s="3" t="s">
        <v>1992</v>
      </c>
      <c r="C2371" s="4" t="str">
        <f ca="1">IFERROR(__xludf.DUMMYFUNCTION("GOOGLETRANSLATE(A2371, ""auto"", ""bn"")"),"শ্বাসকষ্ট গত ৪(?) দিন ধরে, আমার হাতে শ্বাস নিতে খুব কষ্ট হচ্ছে। আমি ঘুম থেকে উঠি, সাথে সাথে হাতে শ্বাস নিতে শুরু করি, এবং যখন আমি ব্যস্ত থাকি বা অন্য কিছুতে মনোযোগ দিই তখন সারাদিনে এটি অল্প সময়ের জন্য বন্ধ হয়ে যায় (যা প্রায়শই হয় না কারণ আমি শীতকালীন "&amp;"ছুটিতে স্কুল থেকে বাড়ি ফিরে আসি)। যখন আমি ঘুমাই, তখন আমার শ্বাস নিতে কোনও সমস্যা হয় না এবং আমার শরীর আমার জন্য ঠিকভাবে কাজ করে, কিন্তু যখন আমি জেগে থাকি, তখন এটি একটি নিয়মিত সমস্যা। আমি বেশ নার্ভাস এবং হতাশ হয়ে পড়ছি। কেউ কি এই অভিজ্ঞতার সম্মুখীন হয়ে"&amp;"ছেন?")</f>
        <v>শ্বাসকষ্ট গত ৪(?) দিন ধরে, আমার হাতে শ্বাস নিতে খুব কষ্ট হচ্ছে। আমি ঘুম থেকে উঠি, সাথে সাথে হাতে শ্বাস নিতে শুরু করি, এবং যখন আমি ব্যস্ত থাকি বা অন্য কিছুতে মনোযোগ দিই তখন সারাদিনে এটি অল্প সময়ের জন্য বন্ধ হয়ে যায় (যা প্রায়শই হয় না কারণ আমি শীতকালীন ছুটিতে স্কুল থেকে বাড়ি ফিরে আসি)। যখন আমি ঘুমাই, তখন আমার শ্বাস নিতে কোনও সমস্যা হয় না এবং আমার শরীর আমার জন্য ঠিকভাবে কাজ করে, কিন্তু যখন আমি জেগে থাকি, তখন এটি একটি নিয়মিত সমস্যা। আমি বেশ নার্ভাস এবং হতাশ হয়ে পড়ছি। কেউ কি এই অভিজ্ঞতার সম্মুখীন হয়েছেন?</v>
      </c>
    </row>
    <row r="2372" spans="1:3" ht="15" x14ac:dyDescent="0.25">
      <c r="A2372" s="3" t="s">
        <v>2365</v>
      </c>
      <c r="B2372" s="3" t="s">
        <v>1992</v>
      </c>
      <c r="C2372" s="4" t="str">
        <f ca="1">IFERROR(__xludf.DUMMYFUNCTION("GOOGLETRANSLATE(A2372, ""auto"", ""bn"")"),"কলেজ শুরু করতে যাচ্ছি এবং আমি জানি না আমি এটা মোবাইলে করতে পারব কিনা তাই দয়া করে খারাপ ব্যাকরণ, ফর্ম্যাট, এই সব বাজে কথা ক্ষমা করুন। হে সকল, আমি এখানে নতুন কিন্তু আমার যতটা সম্ভব সাহায্যের প্রয়োজন। আমি ১৮ বছর বয়সী একজন ছেলে, কমিউনিটি কলেজের প্রথম সেমিস"&amp;"্টার শুরু করতে যাচ্ছি এবং আমার সামাজিক উদ্বেগজনিত ব্যাধি আছে। আমি জানি এটি এমন কিছু যা আমাকে করতে হবে কিন্তু স্কুলে ফিরে যাওয়ার চিন্তাভাবনা আমার সততার সাথে বমি বমি ভাব করে। আমি কোনও সামাজিক পরিবেশে সত্যিই ভালো করতে পারি না এবং যখনই সম্ভব আমি এগুলি এড়িয়"&amp;"ে চলি। যদি কেউ একই রকম পরিস্থিতির মধ্য দিয়ে যায় তবে আমি সত্যিই কিছু পরামর্শ নিতে পারি।")</f>
        <v>কলেজ শুরু করতে যাচ্ছি এবং আমি জানি না আমি এটা মোবাইলে করতে পারব কিনা তাই দয়া করে খারাপ ব্যাকরণ, ফর্ম্যাট, এই সব বাজে কথা ক্ষমা করুন। হে সকল, আমি এখানে নতুন কিন্তু আমার যতটা সম্ভব সাহায্যের প্রয়োজন। আমি ১৮ বছর বয়সী একজন ছেলে, কমিউনিটি কলেজের প্রথম সেমিস্টার শুরু করতে যাচ্ছি এবং আমার সামাজিক উদ্বেগজনিত ব্যাধি আছে। আমি জানি এটি এমন কিছু যা আমাকে করতে হবে কিন্তু স্কুলে ফিরে যাওয়ার চিন্তাভাবনা আমার সততার সাথে বমি বমি ভাব করে। আমি কোনও সামাজিক পরিবেশে সত্যিই ভালো করতে পারি না এবং যখনই সম্ভব আমি এগুলি এড়িয়ে চলি। যদি কেউ একই রকম পরিস্থিতির মধ্য দিয়ে যায় তবে আমি সত্যিই কিছু পরামর্শ নিতে পারি।</v>
      </c>
    </row>
    <row r="2373" spans="1:3" ht="15" x14ac:dyDescent="0.25">
      <c r="A2373" s="3" t="s">
        <v>2366</v>
      </c>
      <c r="B2373" s="3" t="s">
        <v>1992</v>
      </c>
      <c r="C2373" s="4" t="str">
        <f ca="1">IFERROR(__xludf.DUMMYFUNCTION("GOOGLETRANSLATE(A2373, ""auto"", ""bn"")"),"আমাকে অনেক দিন একা থাকতে হচ্ছে, কোন কাজ নেই। দুশ্চিন্তা মাথাচাড়া দিয়ে উঠছে। এটা মোকাবেলা করার পরামর্শ? আমার জীবনটা সম্প্রতি একঘেয়ে হয়ে গেছে, সবকিছু একসাথে জমে গেছে। চাকরি ছেড়ে দিয়েছি, বাবা-মায়ের কাছে চলে এসেছি। তাদের সাথে থাকি এবং আবার চাকরি পাওয়া"&amp;"র আগে মানসিক স্বাস্থ্য সহায়তা পাব। আমার কোনও মানসিক সাহায্য পাওয়ার আগে প্রায় এক বা দুই সপ্তাহ সময় আছে। ইতিমধ্যে, এখানে আমার কোনও বন্ধু নেই, আমার গাড়িটি সবেমাত্র নষ্ট হয়ে গেছে, এবং আমি গাড়ি চালাতে পারি না। আমার সমস্ত শখ বাইরে কিন্তু আমার বাবা-মায়ের"&amp;" বাড়ি শহরে। বই/সিনেমার প্রতি আমার সামান্য আগ্রহ আছে কিন্তু আসলে তা নয়। তা ছাড়া, আক্ষরিক অর্থেই আর কিছু করার নেই। কিছুই করার নেই, একা থাকা, আমার উদ্বেগ ছাদের উপর দিয়ে যাচ্ছে, আমি কিছু করার ইচ্ছা হারিয়ে ফেলছি, শক্তি নেই, এতটাই দুঃখজনক এবং অসুখী, চিন্তা"&amp;" থামাতে পারছি না। ঘন্টাগুলি চিরকালের মতো মনে হচ্ছে, আমি যদি দুই সপ্তাহের জন্য কোমায় চলে যেতে পারতাম। আমি কীভাবে এটি মোকাবেলা করতে পারি? ধন্যবাদ")</f>
        <v>আমাকে অনেক দিন একা থাকতে হচ্ছে, কোন কাজ নেই। দুশ্চিন্তা মাথাচাড়া দিয়ে উঠছে। এটা মোকাবেলা করার পরামর্শ? আমার জীবনটা সম্প্রতি একঘেয়ে হয়ে গেছে, সবকিছু একসাথে জমে গেছে। চাকরি ছেড়ে দিয়েছি, বাবা-মায়ের কাছে চলে এসেছি। তাদের সাথে থাকি এবং আবার চাকরি পাওয়ার আগে মানসিক স্বাস্থ্য সহায়তা পাব। আমার কোনও মানসিক সাহায্য পাওয়ার আগে প্রায় এক বা দুই সপ্তাহ সময় আছে। ইতিমধ্যে, এখানে আমার কোনও বন্ধু নেই, আমার গাড়িটি সবেমাত্র নষ্ট হয়ে গেছে, এবং আমি গাড়ি চালাতে পারি না। আমার সমস্ত শখ বাইরে কিন্তু আমার বাবা-মায়ের বাড়ি শহরে। বই/সিনেমার প্রতি আমার সামান্য আগ্রহ আছে কিন্তু আসলে তা নয়। তা ছাড়া, আক্ষরিক অর্থেই আর কিছু করার নেই। কিছুই করার নেই, একা থাকা, আমার উদ্বেগ ছাদের উপর দিয়ে যাচ্ছে, আমি কিছু করার ইচ্ছা হারিয়ে ফেলছি, শক্তি নেই, এতটাই দুঃখজনক এবং অসুখী, চিন্তা থামাতে পারছি না। ঘন্টাগুলি চিরকালের মতো মনে হচ্ছে, আমি যদি দুই সপ্তাহের জন্য কোমায় চলে যেতে পারতাম। আমি কীভাবে এটি মোকাবেলা করতে পারি? ধন্যবাদ</v>
      </c>
    </row>
    <row r="2374" spans="1:3" ht="15" x14ac:dyDescent="0.25">
      <c r="A2374" s="3" t="s">
        <v>2367</v>
      </c>
      <c r="B2374" s="3" t="s">
        <v>1992</v>
      </c>
      <c r="C2374" s="4" t="str">
        <f ca="1">IFERROR(__xludf.DUMMYFUNCTION("GOOGLETRANSLATE(A2374, ""auto"", ""bn"")"),"আইবিএস এবং উদ্বেগ হে বন্ধুরা, কয়েকদিন আগে আমার পোস্টের পর, **আইবিএস** এবং **উদ্বেগ** থাকা... আমি বুঝতে পেরেছি যে আমার মতো একই নৌকায় কত মানুষ আছে, এটা জেনে আসলে বেশ সান্ত্বনা পাওয়া যায় **আমরা একা নই!** তাই এই বিষয়টি মাথায় রেখে, আমি ফেসবুকে একটি নতুন [আইব"&amp;"িএস সাপোর্ট গ্রুপ](https://www.facebook.com/groups/ibsociety/) তৈরি করেছি যাতে আমাদের সকলের জন্য একটি সত্যিকারের সহায়ক সম্প্রদায় তৈরি করা যায়। আমরা একে অপরকে টিপস দিতে পারি, যখন তারা অতিরিক্ত চিন্তা করে তখন তাদের আশ্বস্ত করতে পারি, গল্প শেয়ার করতে পারি"&amp;" এবং অন্যান্য জিনিস যা সাহায্য করবে। এখানে গ্রুপের একটি লিঙ্ক দেওয়া হল, আশা করি এটি আপনার জন্য সহায়ক হবে [https://www.facebook.com/groups/ibsociety/](https://www.facebook.com/groups/ibsociety/) ধন্যবাদ বন্ধুরা, শুভ নববর্ষ।")</f>
        <v>আইবিএস এবং উদ্বেগ হে বন্ধুরা, কয়েকদিন আগে আমার পোস্টের পর, **আইবিএস** এবং **উদ্বেগ** থাকা... আমি বুঝতে পেরেছি যে আমার মতো একই নৌকায় কত মানুষ আছে, এটা জেনে আসলে বেশ সান্ত্বনা পাওয়া যায় **আমরা একা নই!** তাই এই বিষয়টি মাথায় রেখে, আমি ফেসবুকে একটি নতুন [আইবিএস সাপোর্ট গ্রুপ](https://www.facebook.com/groups/ibsociety/) তৈরি করেছি যাতে আমাদের সকলের জন্য একটি সত্যিকারের সহায়ক সম্প্রদায় তৈরি করা যায়। আমরা একে অপরকে টিপস দিতে পারি, যখন তারা অতিরিক্ত চিন্তা করে তখন তাদের আশ্বস্ত করতে পারি, গল্প শেয়ার করতে পারি এবং অন্যান্য জিনিস যা সাহায্য করবে। এখানে গ্রুপের একটি লিঙ্ক দেওয়া হল, আশা করি এটি আপনার জন্য সহায়ক হবে [https://www.facebook.com/groups/ibsociety/](https://www.facebook.com/groups/ibsociety/) ধন্যবাদ বন্ধুরা, শুভ নববর্ষ।</v>
      </c>
    </row>
    <row r="2375" spans="1:3" ht="15" x14ac:dyDescent="0.25">
      <c r="A2375" s="3" t="s">
        <v>2368</v>
      </c>
      <c r="B2375" s="3" t="s">
        <v>1992</v>
      </c>
      <c r="C2375" s="4" t="str">
        <f ca="1">IFERROR(__xludf.DUMMYFUNCTION("GOOGLETRANSLATE(A2375, ""auto"", ""bn"")"),"উদ্বেগ/বিষণ্ণতার কারণে কেউ কি শারীরিক অস্বস্তি অনুভব করেন? কয়েক সপ্তাহ আগে আমার তীব্র আতঙ্কের আক্রমণ হয়েছে এবং তারপর থেকে আমি প্রায় প্রতিদিনই উদ্বিগ্ন বোধ করছি। আমি প্রায়শই খুব নার্ভাস বোধ করি, এবং এই অনুভূতিটি হঠাৎ করেই আসে। যেন আমি ভালো বোধ করছি এবং"&amp;" এক মিনিট পরে আমার আর ভালো লাগছে না। আমি মাঝে মাঝে আমার বুকে এই চাপ অনুভব করি, বমি বমি ভাব এবং কখনও কখনও মাথা ঘোরা। তবে প্রায়শই আমার শরীরে একটি অস্বস্তিকর অনুভূতি, যা আমাকে সম্প্রতি এত বিষণ্ণ বোধ করছে। আমি দুঃখিত বোধ করছি না, আমি কেবল ভালো বা স্বাচ্ছন্দ্"&amp;"য বোধ করছি না এবং আমি জানি না কেন। অনুভূতিটি ব্যাখ্যা করাও কঠিন, এটি আমার বুকে জ্বালাপোড়ার মতো।")</f>
        <v>উদ্বেগ/বিষণ্ণতার কারণে কেউ কি শারীরিক অস্বস্তি অনুভব করেন? কয়েক সপ্তাহ আগে আমার তীব্র আতঙ্কের আক্রমণ হয়েছে এবং তারপর থেকে আমি প্রায় প্রতিদিনই উদ্বিগ্ন বোধ করছি। আমি প্রায়শই খুব নার্ভাস বোধ করি, এবং এই অনুভূতিটি হঠাৎ করেই আসে। যেন আমি ভালো বোধ করছি এবং এক মিনিট পরে আমার আর ভালো লাগছে না। আমি মাঝে মাঝে আমার বুকে এই চাপ অনুভব করি, বমি বমি ভাব এবং কখনও কখনও মাথা ঘোরা। তবে প্রায়শই আমার শরীরে একটি অস্বস্তিকর অনুভূতি, যা আমাকে সম্প্রতি এত বিষণ্ণ বোধ করছে। আমি দুঃখিত বোধ করছি না, আমি কেবল ভালো বা স্বাচ্ছন্দ্য বোধ করছি না এবং আমি জানি না কেন। অনুভূতিটি ব্যাখ্যা করাও কঠিন, এটি আমার বুকে জ্বালাপোড়ার মতো।</v>
      </c>
    </row>
    <row r="2376" spans="1:3" ht="15" x14ac:dyDescent="0.25">
      <c r="A2376" s="3" t="s">
        <v>2369</v>
      </c>
      <c r="B2376" s="3" t="s">
        <v>1992</v>
      </c>
      <c r="C2376" s="4" t="str">
        <f ca="1">IFERROR(__xludf.DUMMYFUNCTION("GOOGLETRANSLATE(A2376, ""auto"", ""bn"")"),"শেয়ার করতে চাই, আমার এখন খুব কষ্ট হচ্ছে এবং এটা লিখে রাখতে হচ্ছে। আমি এক মাস ধরে আমার ল্যাপটপ ব্যবহার করছি না। ৯ মাস আগে যখন থেকে আমি ল্যাপটপটি ব্যবহার করি (প্রথম মাসেই ল্যাপটপটি ব্যবহার করেছিলাম) তখন থেকেই এটি আমার জন্য ক্রমাগত উদ্বেগের কারণ হয়ে দাঁড়ি"&amp;"য়েছে। তখন থেকেই ছোট সমস্যাটি আমাকে নার্ভাস করে তোলে। আমি ভয় পাচ্ছি যে এতদিন ধরে এটি ব্যবহার না করার পর, একই সাথে আপডেট করার চেষ্টা করা অ্যাপ্লিকেশনগুলি এটিকে ক্র্যাশ করে ফেলবে এবং এটিকে মেরে ফেলবে, যদিও আমি হাজার হাজার থ্রেড পড়েছি যেখানে বলা হয়েছে যে "&amp;"এটি শেষ হবে না। এটি লেখার পরে আমি সত্যি বলতে পারি যে আমি অনেক ভালো বোধ করছি এবং আমার উদ্বেগ অদৃশ্য হয়ে গেছে। আপনারা যারা এতদূর এসেছেন, আমার অযৌক্তিক উদ্বেগগুলি এভাবে লেখা সত্যিই আমাকে বুঝতে এবং বুঝতে সাহায্য করে যে আমি কতটা অযৌক্তিক, এবং নিজেকে শান্ত করত"&amp;"ে সাহায্য করে, তাই এই পোস্টটি লেখার উদ্দেশ্য। আমি আপনাদের সকলকে জানাতে চাই যে আমি আপনাদের সকলের প্রশংসা করি এবং আপনাদের উদ্বেগ আপনাকে সংজ্ঞায়িত করে না, বরং এটি কেবল আপনাকে বাধা দেয়। এটি হতে দেবেন না। তুমি তোমার মানব স্বভাবকে অপ্রয়োজনীয়ভাবে বৃদ্ধি করেছো,"&amp;" আর আমি নিশ্চিত তুমি এটা কাটিয়ে উঠবে। শুভকামনা এবং ঈশ্বরের আশীর্বাদ কামনা করছি।")</f>
        <v>শেয়ার করতে চাই, আমার এখন খুব কষ্ট হচ্ছে এবং এটা লিখে রাখতে হচ্ছে। আমি এক মাস ধরে আমার ল্যাপটপ ব্যবহার করছি না। ৯ মাস আগে যখন থেকে আমি ল্যাপটপটি ব্যবহার করি (প্রথম মাসেই ল্যাপটপটি ব্যবহার করেছিলাম) তখন থেকেই এটি আমার জন্য ক্রমাগত উদ্বেগের কারণ হয়ে দাঁড়িয়েছে। তখন থেকেই ছোট সমস্যাটি আমাকে নার্ভাস করে তোলে। আমি ভয় পাচ্ছি যে এতদিন ধরে এটি ব্যবহার না করার পর, একই সাথে আপডেট করার চেষ্টা করা অ্যাপ্লিকেশনগুলি এটিকে ক্র্যাশ করে ফেলবে এবং এটিকে মেরে ফেলবে, যদিও আমি হাজার হাজার থ্রেড পড়েছি যেখানে বলা হয়েছে যে এটি শেষ হবে না। এটি লেখার পরে আমি সত্যি বলতে পারি যে আমি অনেক ভালো বোধ করছি এবং আমার উদ্বেগ অদৃশ্য হয়ে গেছে। আপনারা যারা এতদূর এসেছেন, আমার অযৌক্তিক উদ্বেগগুলি এভাবে লেখা সত্যিই আমাকে বুঝতে এবং বুঝতে সাহায্য করে যে আমি কতটা অযৌক্তিক, এবং নিজেকে শান্ত করতে সাহায্য করে, তাই এই পোস্টটি লেখার উদ্দেশ্য। আমি আপনাদের সকলকে জানাতে চাই যে আমি আপনাদের সকলের প্রশংসা করি এবং আপনাদের উদ্বেগ আপনাকে সংজ্ঞায়িত করে না, বরং এটি কেবল আপনাকে বাধা দেয়। এটি হতে দেবেন না। তুমি তোমার মানব স্বভাবকে অপ্রয়োজনীয়ভাবে বৃদ্ধি করেছো, আর আমি নিশ্চিত তুমি এটা কাটিয়ে উঠবে। শুভকামনা এবং ঈশ্বরের আশীর্বাদ কামনা করছি।</v>
      </c>
    </row>
    <row r="2377" spans="1:3" ht="15" x14ac:dyDescent="0.25">
      <c r="A2377" s="3" t="s">
        <v>2370</v>
      </c>
      <c r="B2377" s="3" t="s">
        <v>1992</v>
      </c>
      <c r="C2377" s="4" t="str">
        <f ca="1">IFERROR(__xludf.DUMMYFUNCTION("GOOGLETRANSLATE(A2377, ""auto"", ""bn"")"),"উদ্বেগের সাথে কীভাবে কাজ করবেন আমি বেশ কয়েক মাস ধরে বেশ বড় উদ্বেগে ভুগছি (আমি প্রায় সব সময় কিছুটা আলাদা থাকি)। আমি এই অবস্থায় থাকাকালীন কীভাবে অর্থ উপার্জন করা সম্ভব তা বোঝার চেষ্টা করছি। আমি বেশ কয়েক মাস ধরে আমার মায়ের সাথে থাকি কিন্তু দুর্ভাগ্যবশ"&amp;"ত, তিনি আমার উদ্বেগের একটি বড় কারণ। তদুপরি, আমাকে কোনওভাবে অর্থ উপার্জন শুরু করতে হবে, কিন্তু যখনই আমি কাজ করার চেষ্টা করি, আমার উদ্বেগ আরও খারাপ হয়ে যায় এবং আমাকে চলে যেতে বাধ্য করে। তদুপরি, আমি এক মাসেরও বেশি সময় ধরে বিসি আর্থিক সহায়তা পাওয়ার চেষ্"&amp;"টা করছি, কিন্তু তারা আমাকে যে পরিমাণ ঝামেলার মধ্য দিয়ে যেতে বাধ্য করছে তা হাস্যকর, এবং এখন আমি জানতে পারছি যে তারা আমাকে কেবল $400 দেবে, যার মধ্যে খুব বেশি কিছু নেই। আমি কীভাবে এটি মোকাবেলা করব? তোমরা সবাই কী করেছ? আমি বেশ মরিয়া, কিন্তু আবারও, আমার উদ্ব"&amp;"েগ আমার পেটে লাথি মারছে।")</f>
        <v>উদ্বেগের সাথে কীভাবে কাজ করবেন আমি বেশ কয়েক মাস ধরে বেশ বড় উদ্বেগে ভুগছি (আমি প্রায় সব সময় কিছুটা আলাদা থাকি)। আমি এই অবস্থায় থাকাকালীন কীভাবে অর্থ উপার্জন করা সম্ভব তা বোঝার চেষ্টা করছি। আমি বেশ কয়েক মাস ধরে আমার মায়ের সাথে থাকি কিন্তু দুর্ভাগ্যবশত, তিনি আমার উদ্বেগের একটি বড় কারণ। তদুপরি, আমাকে কোনওভাবে অর্থ উপার্জন শুরু করতে হবে, কিন্তু যখনই আমি কাজ করার চেষ্টা করি, আমার উদ্বেগ আরও খারাপ হয়ে যায় এবং আমাকে চলে যেতে বাধ্য করে। তদুপরি, আমি এক মাসেরও বেশি সময় ধরে বিসি আর্থিক সহায়তা পাওয়ার চেষ্টা করছি, কিন্তু তারা আমাকে যে পরিমাণ ঝামেলার মধ্য দিয়ে যেতে বাধ্য করছে তা হাস্যকর, এবং এখন আমি জানতে পারছি যে তারা আমাকে কেবল $400 দেবে, যার মধ্যে খুব বেশি কিছু নেই। আমি কীভাবে এটি মোকাবেলা করব? তোমরা সবাই কী করেছ? আমি বেশ মরিয়া, কিন্তু আবারও, আমার উদ্বেগ আমার পেটে লাথি মারছে।</v>
      </c>
    </row>
    <row r="2378" spans="1:3" ht="15" x14ac:dyDescent="0.25">
      <c r="A2378" s="3" t="s">
        <v>2371</v>
      </c>
      <c r="B2378" s="3" t="s">
        <v>1992</v>
      </c>
      <c r="C2378" s="4" t="str">
        <f ca="1">IFERROR(__xludf.DUMMYFUNCTION("GOOGLETRANSLATE(A2378, ""auto"", ""bn"")"),"আর্থিক উদ্বেগের কারণে কেউ কি চিকিৎসা থেকে নিজেকে বিরত রেখেছে? মনে হচ্ছে এই চক্রে আটকে থাকাটা সত্যিই অভিশপ্ত। সবকিছু নিয়েই আমার এত উদ্বেগ -- উপযুক্ত না হওয়া, সফল না হওয়া, পর্যাপ্ত টাকা না থাকা। কিন্তু এখন আমার কলেজ শেষ, আর মানসিক চিকিৎসা আর বিনামূল্যে প"&amp;"াওয়া যায় না, আর আমি সবসময় গল্প শুনি যে মার্কিন হাসপাতালের বিল কতটা ভয়াবহ। আমি মাঝে মাঝে নিজেকে এতটাই পঙ্গু মনে করি যে আমি এমন পেশাদারদের কাছে থাকতে চাই যারা নিশ্চিত করবে যে আমার হৃদয় দ্রুত গতিতে বিস্ফোরিত না হয়, কিন্তু তারপর আমি ভাবি যে এর জন্য আমার"&amp;" কত খরচ হবে, এবং তারপর হতাশা, ফাঁদে পড়া এবং আশঙ্কার অনুভূতি আরও খারাপ হয়।")</f>
        <v>আর্থিক উদ্বেগের কারণে কেউ কি চিকিৎসা থেকে নিজেকে বিরত রেখেছে? মনে হচ্ছে এই চক্রে আটকে থাকাটা সত্যিই অভিশপ্ত। সবকিছু নিয়েই আমার এত উদ্বেগ -- উপযুক্ত না হওয়া, সফল না হওয়া, পর্যাপ্ত টাকা না থাকা। কিন্তু এখন আমার কলেজ শেষ, আর মানসিক চিকিৎসা আর বিনামূল্যে পাওয়া যায় না, আর আমি সবসময় গল্প শুনি যে মার্কিন হাসপাতালের বিল কতটা ভয়াবহ। আমি মাঝে মাঝে নিজেকে এতটাই পঙ্গু মনে করি যে আমি এমন পেশাদারদের কাছে থাকতে চাই যারা নিশ্চিত করবে যে আমার হৃদয় দ্রুত গতিতে বিস্ফোরিত না হয়, কিন্তু তারপর আমি ভাবি যে এর জন্য আমার কত খরচ হবে, এবং তারপর হতাশা, ফাঁদে পড়া এবং আশঙ্কার অনুভূতি আরও খারাপ হয়।</v>
      </c>
    </row>
    <row r="2379" spans="1:3" ht="15" x14ac:dyDescent="0.25">
      <c r="A2379" s="3" t="s">
        <v>2372</v>
      </c>
      <c r="B2379" s="3" t="s">
        <v>1992</v>
      </c>
      <c r="C2379" s="4" t="str">
        <f ca="1">IFERROR(__xludf.DUMMYFUNCTION("GOOGLETRANSLATE(A2379, ""auto"", ""bn"")"),"৩ ঘন্টা ঘুমের পর কি আর কেউ জেগে ওঠে, পুরোপুরি জেগে? যদি না আমি মদ্যপান করি যতক্ষণ না আমি অজ্ঞান হয়ে যাই, অথবা ঘুমানোর আগে বেজোসের উপর ভরসা করি, তাহলে আমি ঘুমাতে যাওয়ার প্রায় ৩ ঘন্টা পরে জেগে উঠি, দিনের জন্য প্রস্তুত হই। আমি জানি এটা যথেষ্ট ঘুম নয় এবং "&amp;"(আবার) ঘুমের মনোরোগের অভিজ্ঞতা লাভ করার আমার কোন আগ্রহ নেই। এটা কি অন্যদের সাথে ঘটে? আপনি কীভাবে এটি পরিচালনা করেন?")</f>
        <v>৩ ঘন্টা ঘুমের পর কি আর কেউ জেগে ওঠে, পুরোপুরি জেগে? যদি না আমি মদ্যপান করি যতক্ষণ না আমি অজ্ঞান হয়ে যাই, অথবা ঘুমানোর আগে বেজোসের উপর ভরসা করি, তাহলে আমি ঘুমাতে যাওয়ার প্রায় ৩ ঘন্টা পরে জেগে উঠি, দিনের জন্য প্রস্তুত হই। আমি জানি এটা যথেষ্ট ঘুম নয় এবং (আবার) ঘুমের মনোরোগের অভিজ্ঞতা লাভ করার আমার কোন আগ্রহ নেই। এটা কি অন্যদের সাথে ঘটে? আপনি কীভাবে এটি পরিচালনা করেন?</v>
      </c>
    </row>
    <row r="2380" spans="1:3" ht="15" x14ac:dyDescent="0.25">
      <c r="A2380" s="3" t="s">
        <v>2373</v>
      </c>
      <c r="B2380" s="3" t="s">
        <v>1992</v>
      </c>
      <c r="C2380" s="4" t="str">
        <f ca="1">IFERROR(__xludf.DUMMYFUNCTION("GOOGLETRANSLATE(A2380, ""auto"", ""bn"")"),"পিসিএস নাকি উদ্বেগ? তাহলে পটভূমি: প্রায় ৪.৫ বছর আগে আমার বেশ খারাপ একটা কনকাশন হয়েছিল এবং আমি এর চিকিৎসার জন্য কিছুই করিনি এবং পরিস্থিতি আরও খারাপ হয়ে ওঠে, পিসিএস হয়ে ওঠে। বেশিরভাগ ক্ষেত্রেই উদ্বেগ এবং প্যানিক অ্যাটাক (প্রধানত আমার স্বাস্থ্যের সাথে সম্পর্"&amp;"কিত) আকারে, যার আগে আমার কোনও লক্ষণ ছিল না (তখন আমার বয়স ছিল ২২)। প্রায় ৩ বছর লেগেছে কিন্তু শেষ মন্দার জন্য আমি উদ্বেগকে কাটিয়েছি এবং পিসিএস বলে মনে হচ্ছে, আবার আমার মতো অনুভব করছি। প্রায় দুই দিন আগে আমি আমার গাড়ি আনলোড করছিলাম এবং ট্রাঙ্কের উপর আমার মাথ"&amp;"া ধাক্কা খায়, যা সাইডে ঠেলে ঠেলে দেয়। আমি ধীর গতিতে হাঁটছিলাম, এবং ট্রাঙ্কের নীচের অংশটি বিশেষভাবে কঠিন ছিল না, তবে, আমার মাথাটি কিছুটা পিছনের দিকে ঘুরছিল। আমি নিজেকে হতবাক করে দিয়েছিলাম, কিন্তু, সংযম হারিয়ে ফেলিনি এবং পুরো ঘটনাটি মনে রাখতে পারিনি। তৎক্ষ"&amp;"ণাৎ সেই সমস্ত অনুভূতি ফিরে এসেছিল এবং আমার মনে হয়েছিল যেন আমার আবার কনকাশন হয়েছে। গত দুই দিন ধরে আমি কুয়াশার মধ্যে আছি এবং আমি কি আতঙ্কিত যে আমি নিজেকে ভুলিয়ে ফেলেছি এবং আরও দীর্ঘ পুনরুদ্ধারের অপেক্ষায় আছি? আমি জানি ৩ দিন পরেও যদি আমার পেটের ব্যথা চলে য"&amp;"ায়, তবুও ডাক্তারের কাছে গেলেও আমার রোগ নির্ণয় করা সম্ভব হবে না। এটা কি আসলেই কনকাশন ছিল নাকি পিসিএস ফিরে আসার চিন্তায় আমি শুধু উদ্বিগ্ন? আমার পরিস্থিতির উন্নতির জন্য আমি কি কিছু করতে পারি? সবাইকে আগাম ধন্যবাদ, যেকোনো সাহায্যের জন্য কৃতজ্ঞ থাকব।")</f>
        <v>পিসিএস নাকি উদ্বেগ? তাহলে পটভূমি: প্রায় ৪.৫ বছর আগে আমার বেশ খারাপ একটা কনকাশন হয়েছিল এবং আমি এর চিকিৎসার জন্য কিছুই করিনি এবং পরিস্থিতি আরও খারাপ হয়ে ওঠে, পিসিএস হয়ে ওঠে। বেশিরভাগ ক্ষেত্রেই উদ্বেগ এবং প্যানিক অ্যাটাক (প্রধানত আমার স্বাস্থ্যের সাথে সম্পর্কিত) আকারে, যার আগে আমার কোনও লক্ষণ ছিল না (তখন আমার বয়স ছিল ২২)। প্রায় ৩ বছর লেগেছে কিন্তু শেষ মন্দার জন্য আমি উদ্বেগকে কাটিয়েছি এবং পিসিএস বলে মনে হচ্ছে, আবার আমার মতো অনুভব করছি। প্রায় দুই দিন আগে আমি আমার গাড়ি আনলোড করছিলাম এবং ট্রাঙ্কের উপর আমার মাথা ধাক্কা খায়, যা সাইডে ঠেলে ঠেলে দেয়। আমি ধীর গতিতে হাঁটছিলাম, এবং ট্রাঙ্কের নীচের অংশটি বিশেষভাবে কঠিন ছিল না, তবে, আমার মাথাটি কিছুটা পিছনের দিকে ঘুরছিল। আমি নিজেকে হতবাক করে দিয়েছিলাম, কিন্তু, সংযম হারিয়ে ফেলিনি এবং পুরো ঘটনাটি মনে রাখতে পারিনি। তৎক্ষণাৎ সেই সমস্ত অনুভূতি ফিরে এসেছিল এবং আমার মনে হয়েছিল যেন আমার আবার কনকাশন হয়েছে। গত দুই দিন ধরে আমি কুয়াশার মধ্যে আছি এবং আমি কি আতঙ্কিত যে আমি নিজেকে ভুলিয়ে ফেলেছি এবং আরও দীর্ঘ পুনরুদ্ধারের অপেক্ষায় আছি? আমি জানি ৩ দিন পরেও যদি আমার পেটের ব্যথা চলে যায়, তবুও ডাক্তারের কাছে গেলেও আমার রোগ নির্ণয় করা সম্ভব হবে না। এটা কি আসলেই কনকাশন ছিল নাকি পিসিএস ফিরে আসার চিন্তায় আমি শুধু উদ্বিগ্ন? আমার পরিস্থিতির উন্নতির জন্য আমি কি কিছু করতে পারি? সবাইকে আগাম ধন্যবাদ, যেকোনো সাহায্যের জন্য কৃতজ্ঞ থাকব।</v>
      </c>
    </row>
    <row r="2381" spans="1:3" ht="15" x14ac:dyDescent="0.25">
      <c r="A2381" s="3" t="s">
        <v>2374</v>
      </c>
      <c r="B2381" s="3" t="s">
        <v>1992</v>
      </c>
      <c r="C2381" s="4" t="str">
        <f ca="1">IFERROR(__xludf.DUMMYFUNCTION("GOOGLETRANSLATE(A2381, ""auto"", ""bn"")"),"Lexa pro-এর প্রথম দিন, আবারও.... সবাইকে হ্যালো, আজ আবার Lexa pro শুরু করলাম কারণ আগে যখন আমি এটি নিতাম তখন আমার মনে হয় না যে প্রথম কয়েক সপ্তাহের লক্ষণগুলি কাটিয়ে উঠতে পারব। এটি সবকিছুকে আরও খারাপ করে তুলেছিল। কিন্তু এখানে কিছু পোস্ট পড়ার পর আমি আশাবাদ"&amp;"ী যে যদি আমি প্রথম কয়েক সপ্তাহ কঠোর পরিশ্রম করি এবং সবকিছু আমার আগের মতো হয়ে যাবে। প্যানিক অ্যাটাক, উদ্বেগ, কান্না এবং সামগ্রিকভাবে কেবল আতঙ্ক ছাড়াই জীবন। Lexa pro সাহায্য শুরু করতে কতক্ষণ সময় নিয়েছিল?")</f>
        <v>Lexa pro-এর প্রথম দিন, আবারও.... সবাইকে হ্যালো, আজ আবার Lexa pro শুরু করলাম কারণ আগে যখন আমি এটি নিতাম তখন আমার মনে হয় না যে প্রথম কয়েক সপ্তাহের লক্ষণগুলি কাটিয়ে উঠতে পারব। এটি সবকিছুকে আরও খারাপ করে তুলেছিল। কিন্তু এখানে কিছু পোস্ট পড়ার পর আমি আশাবাদী যে যদি আমি প্রথম কয়েক সপ্তাহ কঠোর পরিশ্রম করি এবং সবকিছু আমার আগের মতো হয়ে যাবে। প্যানিক অ্যাটাক, উদ্বেগ, কান্না এবং সামগ্রিকভাবে কেবল আতঙ্ক ছাড়াই জীবন। Lexa pro সাহায্য শুরু করতে কতক্ষণ সময় নিয়েছিল?</v>
      </c>
    </row>
    <row r="2382" spans="1:3" ht="15" x14ac:dyDescent="0.25">
      <c r="A2382" s="3" t="s">
        <v>2375</v>
      </c>
      <c r="B2382" s="3" t="s">
        <v>1992</v>
      </c>
      <c r="C2382" s="4" t="str">
        <f ca="1">IFERROR(__xludf.DUMMYFUNCTION("GOOGLETRANSLATE(A2382, ""auto"", ""bn"")"),"আমি ভেবেছিলাম আমি ভালো বোধ করছি। আমি দুই মাস ধরে কোনও আক্রমণ ছাড়াই ছিলাম। এটা কি মজার নয় যে তোমার শেষ আক্রমণের কিছু সময় পার হওয়ার পর, এটা আর বাস্তব মনে হয় না? যেন এটা আর তোমার অংশ নয়। প্রায় যেন আর কখনও ঘটবে না। আমি ভেবেছিলাম আমি ঠিক হয়ে যাব। নববর্"&amp;"ষের আগের দিন, আমি এই একজনের কাছ থেকে একটি বার্তা পাই। পাঁচ মিনিট পরে, আমি বাথরুমে আছি, প্রার্থনা করছি যেন আমার বমি বমি না হয়, পা কাঁপানো বন্ধ করার চেষ্টা করছি। আমি ঘুমাতে গিয়ে নিজেকে শান্ত করি। একজন মানুষ কীভাবে এত বড় ট্রিগার হতে পারে? আমার মনে হয় না "&amp;"আমি তাকে এতটা গুরুত্ব দিই। আমি তার কথা না ভেবে মাসের পর মাস কাটিয়ে দিতে পারি। এটা এত বড় ব্যাপার হবে তা আমার খারাপ লাগে না। আমার শরীরের কী ঘটে তা আমি নিয়ন্ত্রণ করি না তা আমার খারাপ লাগে। আমি ঘৃণা করি যে একই জিনিস যে কোনও সময়, যে কোনও জায়গায়, হঠাৎ করে"&amp;" ঘটতে পারে, যেখানে বাথরুম নেই, যেখানে আমার ঘরের কোনও প্রশান্তি নেই, যেখানে আমার মা আমাকে সান্ত্বনা দেওয়ার জন্য নেই। তাছাড়া, আমি স্বাধীন জীবন কল্পনাও করতে পারি না। আর আমি ভেবেছিলাম আমি আরও ভালো করছি।")</f>
        <v>আমি ভেবেছিলাম আমি ভালো বোধ করছি। আমি দুই মাস ধরে কোনও আক্রমণ ছাড়াই ছিলাম। এটা কি মজার নয় যে তোমার শেষ আক্রমণের কিছু সময় পার হওয়ার পর, এটা আর বাস্তব মনে হয় না? যেন এটা আর তোমার অংশ নয়। প্রায় যেন আর কখনও ঘটবে না। আমি ভেবেছিলাম আমি ঠিক হয়ে যাব। নববর্ষের আগের দিন, আমি এই একজনের কাছ থেকে একটি বার্তা পাই। পাঁচ মিনিট পরে, আমি বাথরুমে আছি, প্রার্থনা করছি যেন আমার বমি বমি না হয়, পা কাঁপানো বন্ধ করার চেষ্টা করছি। আমি ঘুমাতে গিয়ে নিজেকে শান্ত করি। একজন মানুষ কীভাবে এত বড় ট্রিগার হতে পারে? আমার মনে হয় না আমি তাকে এতটা গুরুত্ব দিই। আমি তার কথা না ভেবে মাসের পর মাস কাটিয়ে দিতে পারি। এটা এত বড় ব্যাপার হবে তা আমার খারাপ লাগে না। আমার শরীরের কী ঘটে তা আমি নিয়ন্ত্রণ করি না তা আমার খারাপ লাগে। আমি ঘৃণা করি যে একই জিনিস যে কোনও সময়, যে কোনও জায়গায়, হঠাৎ করে ঘটতে পারে, যেখানে বাথরুম নেই, যেখানে আমার ঘরের কোনও প্রশান্তি নেই, যেখানে আমার মা আমাকে সান্ত্বনা দেওয়ার জন্য নেই। তাছাড়া, আমি স্বাধীন জীবন কল্পনাও করতে পারি না। আর আমি ভেবেছিলাম আমি আরও ভালো করছি।</v>
      </c>
    </row>
    <row r="2383" spans="1:3" ht="15" x14ac:dyDescent="0.25">
      <c r="A2383" s="3" t="s">
        <v>2376</v>
      </c>
      <c r="B2383" s="3" t="s">
        <v>1992</v>
      </c>
      <c r="C2383" s="4" t="str">
        <f ca="1">IFERROR(__xludf.DUMMYFUNCTION("GOOGLETRANSLATE(A2383, ""auto"", ""bn"")"),"মনোযোগ/উৎপাদনশীলতা এবং শিথিলকরণে সাহায্য করার জন্য 3টি দুর্দান্ত আরামদায়ক স্পটিফাই প্লেলিস্ট। শুনতে এবং উপভোগ করতে দ্বিধা করবেন না ?????????????????????? Âƒ?? Â‹? ÂA?? Â‹? ÂA?? Â‹? Â :) মনোযোগ বৃদ্ধিতে সাহায্য করার জন্য আমি স্পটিফাইতে তৈরি প্লেলিস্টগু"&amp;"লির একটি সংগ্রহ এখানে দেওয়া হল। COFFEEHOUSE MIX প্লেলিস্টগুলি অনুসরণ করতে এবং উপভোগ করতে দ্বিধা করবেন না [https://open.spotify.com/user/%2Aruby%2A/playlist/1MIEdE9gfr6wgkylJu64PI?si=p5EL\_n94RoCaEBYY2vnjag](https://open.spotify.com/user/%2Aruby%2A/playlis"&amp;"t/1MIEdE9gfr6wgkylJu64PI?si=p5EL_n94RoCaEBYY2vnjag) সোমবার সকালের ঠান্ডা [https://open.spotify.com/user/%2Aruby%2A/playlist/1iZWtDZj940zG0tWBMXLez?si=5gyBa2QWT9WNgcnrCD7hGQ](https://open.spotify.com/user/%2Aruby%2A/playlist/1iZWtDZj940zG0tWBMXLez?si=5gyBa"&amp;"2QWT9WNgcnrCD7hGQ) মনোযোগ এবং ধ্যান [https://open.spotify.com/user/%2Aruby%2A/playlist/43j9sAZenNQcQ5A4ITyJ82?si=wEpugq4\_TDKc\_oTsxTlMvg](https://open.spotify.com/user/%2Aruby%2A/playlist/43j9sAZenNQcQ5A4ITyJ82?si=wEpugq4_TDKc_oTsxTlMvg) উপভোগ করুন, আশা "&amp;"করি এগুলো সাহায্য করবে :)")</f>
        <v>মনোযোগ/উৎপাদনশীলতা এবং শিথিলকরণে সাহায্য করার জন্য 3টি দুর্দান্ত আরামদায়ক স্পটিফাই প্লেলিস্ট। শুনতে এবং উপভোগ করতে দ্বিধা করবেন না ?????????????????????? Âƒ?? Â‹? ÂA?? Â‹? ÂA?? Â‹? Â :) মনোযোগ বৃদ্ধিতে সাহায্য করার জন্য আমি স্পটিফাইতে তৈরি প্লেলিস্টগুলির একটি সংগ্রহ এখানে দেওয়া হল। COFFEEHOUSE MIX প্লেলিস্টগুলি অনুসরণ করতে এবং উপভোগ করতে দ্বিধা করবেন না [https://open.spotify.com/user/%2Aruby%2A/playlist/1MIEdE9gfr6wgkylJu64PI?si=p5EL\_n94RoCaEBYY2vnjag](https://open.spotify.com/user/%2Aruby%2A/playlist/1MIEdE9gfr6wgkylJu64PI?si=p5EL_n94RoCaEBYY2vnjag) সোমবার সকালের ঠান্ডা [https://open.spotify.com/user/%2Aruby%2A/playlist/1iZWtDZj940zG0tWBMXLez?si=5gyBa2QWT9WNgcnrCD7hGQ](https://open.spotify.com/user/%2Aruby%2A/playlist/1iZWtDZj940zG0tWBMXLez?si=5gyBa2QWT9WNgcnrCD7hGQ) মনোযোগ এবং ধ্যান [https://open.spotify.com/user/%2Aruby%2A/playlist/43j9sAZenNQcQ5A4ITyJ82?si=wEpugq4\_TDKc\_oTsxTlMvg](https://open.spotify.com/user/%2Aruby%2A/playlist/43j9sAZenNQcQ5A4ITyJ82?si=wEpugq4_TDKc_oTsxTlMvg) উপভোগ করুন, আশা করি এগুলো সাহায্য করবে :)</v>
      </c>
    </row>
    <row r="2384" spans="1:3" ht="15" x14ac:dyDescent="0.25">
      <c r="A2384" s="3" t="s">
        <v>2377</v>
      </c>
      <c r="B2384" s="3" t="s">
        <v>1992</v>
      </c>
      <c r="C2384" s="4" t="str">
        <f ca="1">IFERROR(__xludf.DUMMYFUNCTION("GOOGLETRANSLATE(A2384, ""auto"", ""bn"")"),"বন্ধু ব্যবস্থা কেউ? আমার মনে হয় আমরা সবাই একে অপরকে আরও সাহায্য করতে পারি। এক সপ্তাহ আগে একজন অত্যন্ত দয়ালু রেডিটর আমাকে আতঙ্কের মধ্যে ফেলে দিয়েছিলেন এবং এটি আমাকে একটি ভয়াবহ রাত থেকে বাঁচিয়েছিল। তবে এটি আমাকে ভাবতে বাধ্য করেছিল, কেন একটি পূর্ণাঙ্গ স"&amp;"ংকটের জন্য অপেক্ষা করবেন? কেন এমন কিছু সংযোগ তৈরি করবেন না যা সাধারণত পাওয়া যায়, এমনকি এক মিনিটের জন্যও। কেবল এমন কিছু যা একা পৃথিবী জুড়ে হাঁটতে হবে না। তুমি তো সবার সাথে আছো, তবুও আমি তোমাকে কখনও দেখতে পাই না। হয়তো আমার পকেটে একটি সংযোগ থাকা এবং সাহা"&amp;"য্য পাওয়ার জন্য কিছু হতে পারে। আমার মনে এখনও কোনও কাঠামো নেই। আমরা অতিরিক্ত কাজের জন্য চারজনের ছোট ছোট দল তৈরি করতে পারি। আমি জানি না, এটি কেবল একটি ধারণা, তবে আমি এটি একটি জিনিস হতে চাই এবং যদি কেউ আমাকে এমনভাবে এটি তৈরি করতে সাহায্য করতে পারে যা আমাদের"&amp;" সকলের জন্য ব্যবহারিক হয় তবে আমি মনে করি এটি সাহায্য করতে পারে। কেবল একটি চিন্তা। আমি আশা করি অন্য কেউও একই রকম অনুভব করবে। দিনের যে কোনও সময় আপনি এই বোঝা নিয়ে একা হাঁটবেন না তা জেনে খুব ভালো হবে। অথবা হয়তো এটা একটা বোকামি ধারণা, আমি জানি না, কিন্তু কে"&amp;"উ কি তাদের মতামত জানাতে আগ্রহী?")</f>
        <v>বন্ধু ব্যবস্থা কেউ? আমার মনে হয় আমরা সবাই একে অপরকে আরও সাহায্য করতে পারি। এক সপ্তাহ আগে একজন অত্যন্ত দয়ালু রেডিটর আমাকে আতঙ্কের মধ্যে ফেলে দিয়েছিলেন এবং এটি আমাকে একটি ভয়াবহ রাত থেকে বাঁচিয়েছিল। তবে এটি আমাকে ভাবতে বাধ্য করেছিল, কেন একটি পূর্ণাঙ্গ সংকটের জন্য অপেক্ষা করবেন? কেন এমন কিছু সংযোগ তৈরি করবেন না যা সাধারণত পাওয়া যায়, এমনকি এক মিনিটের জন্যও। কেবল এমন কিছু যা একা পৃথিবী জুড়ে হাঁটতে হবে না। তুমি তো সবার সাথে আছো, তবুও আমি তোমাকে কখনও দেখতে পাই না। হয়তো আমার পকেটে একটি সংযোগ থাকা এবং সাহায্য পাওয়ার জন্য কিছু হতে পারে। আমার মনে এখনও কোনও কাঠামো নেই। আমরা অতিরিক্ত কাজের জন্য চারজনের ছোট ছোট দল তৈরি করতে পারি। আমি জানি না, এটি কেবল একটি ধারণা, তবে আমি এটি একটি জিনিস হতে চাই এবং যদি কেউ আমাকে এমনভাবে এটি তৈরি করতে সাহায্য করতে পারে যা আমাদের সকলের জন্য ব্যবহারিক হয় তবে আমি মনে করি এটি সাহায্য করতে পারে। কেবল একটি চিন্তা। আমি আশা করি অন্য কেউও একই রকম অনুভব করবে। দিনের যে কোনও সময় আপনি এই বোঝা নিয়ে একা হাঁটবেন না তা জেনে খুব ভালো হবে। অথবা হয়তো এটা একটা বোকামি ধারণা, আমি জানি না, কিন্তু কেউ কি তাদের মতামত জানাতে আগ্রহী?</v>
      </c>
    </row>
    <row r="2385" spans="1:3" ht="15" x14ac:dyDescent="0.25">
      <c r="A2385" s="3" t="s">
        <v>2378</v>
      </c>
      <c r="B2385" s="3" t="s">
        <v>1992</v>
      </c>
      <c r="C2385" s="4" t="str">
        <f ca="1">IFERROR(__xludf.DUMMYFUNCTION("GOOGLETRANSLATE(A2385, ""auto"", ""bn"")"),"এখানে কেউ কি কখনও হিপনোথেরাপি চেষ্টা করেছেন? আর যদি হ্যাঁ, তাহলে আপনার অভিজ্ঞতা কেমন ছিল? আপনার অবস্থার কি উন্নতি হয়েছে? আমি অনলাইনে প্রচুর ইতিবাচক পর্যালোচনা পড়ছি, কিন্তু এমনও অনেকে আছেন যারা হিপনোথেরাপিস্টদের ভণ্ড এবং হিপনোথেরাপিকে ছদ্ম-বিজ্ঞান বলে ডা"&amp;"কছেন। এ বিষয়ে আপনার মতামত কী?")</f>
        <v>এখানে কেউ কি কখনও হিপনোথেরাপি চেষ্টা করেছেন? আর যদি হ্যাঁ, তাহলে আপনার অভিজ্ঞতা কেমন ছিল? আপনার অবস্থার কি উন্নতি হয়েছে? আমি অনলাইনে প্রচুর ইতিবাচক পর্যালোচনা পড়ছি, কিন্তু এমনও অনেকে আছেন যারা হিপনোথেরাপিস্টদের ভণ্ড এবং হিপনোথেরাপিকে ছদ্ম-বিজ্ঞান বলে ডাকছেন। এ বিষয়ে আপনার মতামত কী?</v>
      </c>
    </row>
    <row r="2386" spans="1:3" ht="15" x14ac:dyDescent="0.25">
      <c r="A2386" s="3" t="s">
        <v>2379</v>
      </c>
      <c r="B2386" s="3" t="s">
        <v>1992</v>
      </c>
      <c r="C2386" s="4" t="str">
        <f ca="1">IFERROR(__xludf.DUMMYFUNCTION("GOOGLETRANSLATE(A2386, ""auto"", ""bn"")"),"ভ্রমণ উদ্বেগ আমি পরামর্শের আশায় আছি। আমার সারা জীবন উদ্বেগ ছিল। আমি সবসময় অতিরিক্ত চিন্তাভাবনা, অতিরিক্ত চিন্তাভাবনা, সামাজিকভাবে উদ্বিগ্ন ছিলাম। তাছাড়া, আমার মনে হয় এটি আমার পুরো জীবন দখল করে নিয়েছে। তাছাড়া, আমি কখনও বাইরে যাই না, আমি যা কিছু করি ত"&amp;"া নিয়ে প্রশ্ন করি, আমি সবকিছু নিয়ে উদ্বিগ্ন। এই বছর আমার বয়স ৩১। আমি নিজেকে বলেছিলাম যে ৩০ বছর হওয়ার আগে আমি আমার উদ্বেগ প্রকাশ করব যে কে বস। এটা ঘটেনি। আমি আমার সাহস হারিয়ে ফেলেছিলাম। আমি আতঙ্কিত হয়ে পড়েছিলাম। তাছাড়া, আমার একটি আক্রমণ হয়েছিল (সব"&amp;"সময়ের মতো)। তাছাড়া, আমি জানতাম যে আমাকে পরিবর্তন করতে হবে। তাছাড়া, আমি যখন কয়েক মাস আগে বইয়ের বোতাম টিপছিলাম তখন আমি ঘাম ঝরছিল এবং হাইপারভেন্টিলেট করছিলাম, কিন্তু আমি তা করেছিলাম। তাছাড়া, আমি থাইল্যান্ডে তিন সপ্তাহের একটি ভ্রমণ বুক করেছি। এখন, ভ্রমণ"&amp;"টি ৪ দিন দূরে। রবিবার আমি প্রথমবারের মতো সমুদ্রের উপর দিয়ে উড়ে যাওয়ার জন্য একটি বিমানে উঠি, একটি ভিন্ন ভাষা এবং সংস্কৃতির দেশে, সম্পূর্ণ একা। আমার চাকরি আমাকে এই ভ্রমণে যাওয়ার জন্য বরখাস্ত করেছে। ওরা আমাকে বলেছিল যদি আমি এটা নিই, তাহলে আমাকে চাকরিচ্যু"&amp;"ত করা হবে, কিন্তু আমি তা নিইনি। আমার সীমাহীন উদ্বেগের স্তূপে আরেকটি ইট। আমি সম্পূর্ণ বেকার হয়ে ফিরে আসব। সবকিছু স্তূপীকৃত হচ্ছে, এবং আমি চিন্তা থামাতে পারছি না। আজ আমার দুটি আক্রমণ হয়েছে এবং আমি ঘুমাতে বা খেতে পারছি না, প্যাকিং এবং ফ্লাইট নিয়ে চিন্তা ক"&amp;"রছি এবং একটি অদ্ভুত জায়গায় একা থাকার চিন্তা করছি এবং কেন আমি কখন ভেবেছিলাম যে আমি এমন কিছু করতে পারব যখন আমি সুপারমার্কেটে ক্যাশিয়ারদের সাথে কথাও বলতে পারি না!! আমি কেন এটা করলাম?!?! আমি কেন ভাবলাম আমি এটা করতে পারব?! আমি কিছু না করার জন্য এত চিন্তিত য"&amp;"ে আমি কিছুই করছি না! আমি ভয় পাওয়া থামাতে পারছি না। তদুপরি, আমি জানি এটি এমন একটি সম্প্রদায় যেখানে সবাই একটু সাহায্যের জন্য খুঁজছে, কিন্তু কারও কাছে কি কোন টিপস আছে? এমনকি ছোটদেরও। অথবা হয়তো সেই সময়ের গল্প যখন আপনি ঝুঁকি নেওয়ার জন্য আপনার উদ্বেগের মধ"&amp;"্যে কোনওভাবে ঝগড়া করতে পেরেছিলেন? ধন্যবাদ। আমি দুঃখিত যদি এই পোস্টটি অর্থহীন না হয়, আমার মনে হচ্ছে আমার মন সম্প্রতি ১১ টার দিকে চলে গেছে যখন আমি এর জন্য প্রস্তুত হচ্ছি। TLDR: আমি কয়েকদিনের মধ্যে এশিয়ায় একা ভ্রমণে যাচ্ছি। এর দুশ্চিন্তা কাটিয়ে উঠতে আমার স"&amp;"াহায্য প্রয়োজন।")</f>
        <v>ভ্রমণ উদ্বেগ আমি পরামর্শের আশায় আছি। আমার সারা জীবন উদ্বেগ ছিল। আমি সবসময় অতিরিক্ত চিন্তাভাবনা, অতিরিক্ত চিন্তাভাবনা, সামাজিকভাবে উদ্বিগ্ন ছিলাম। তাছাড়া, আমার মনে হয় এটি আমার পুরো জীবন দখল করে নিয়েছে। তাছাড়া, আমি কখনও বাইরে যাই না, আমি যা কিছু করি তা নিয়ে প্রশ্ন করি, আমি সবকিছু নিয়ে উদ্বিগ্ন। এই বছর আমার বয়স ৩১। আমি নিজেকে বলেছিলাম যে ৩০ বছর হওয়ার আগে আমি আমার উদ্বেগ প্রকাশ করব যে কে বস। এটা ঘটেনি। আমি আমার সাহস হারিয়ে ফেলেছিলাম। আমি আতঙ্কিত হয়ে পড়েছিলাম। তাছাড়া, আমার একটি আক্রমণ হয়েছিল (সবসময়ের মতো)। তাছাড়া, আমি জানতাম যে আমাকে পরিবর্তন করতে হবে। তাছাড়া, আমি যখন কয়েক মাস আগে বইয়ের বোতাম টিপছিলাম তখন আমি ঘাম ঝরছিল এবং হাইপারভেন্টিলেট করছিলাম, কিন্তু আমি তা করেছিলাম। তাছাড়া, আমি থাইল্যান্ডে তিন সপ্তাহের একটি ভ্রমণ বুক করেছি। এখন, ভ্রমণটি ৪ দিন দূরে। রবিবার আমি প্রথমবারের মতো সমুদ্রের উপর দিয়ে উড়ে যাওয়ার জন্য একটি বিমানে উঠি, একটি ভিন্ন ভাষা এবং সংস্কৃতির দেশে, সম্পূর্ণ একা। আমার চাকরি আমাকে এই ভ্রমণে যাওয়ার জন্য বরখাস্ত করেছে। ওরা আমাকে বলেছিল যদি আমি এটা নিই, তাহলে আমাকে চাকরিচ্যুত করা হবে, কিন্তু আমি তা নিইনি। আমার সীমাহীন উদ্বেগের স্তূপে আরেকটি ইট। আমি সম্পূর্ণ বেকার হয়ে ফিরে আসব। সবকিছু স্তূপীকৃত হচ্ছে, এবং আমি চিন্তা থামাতে পারছি না। আজ আমার দুটি আক্রমণ হয়েছে এবং আমি ঘুমাতে বা খেতে পারছি না, প্যাকিং এবং ফ্লাইট নিয়ে চিন্তা করছি এবং একটি অদ্ভুত জায়গায় একা থাকার চিন্তা করছি এবং কেন আমি কখন ভেবেছিলাম যে আমি এমন কিছু করতে পারব যখন আমি সুপারমার্কেটে ক্যাশিয়ারদের সাথে কথাও বলতে পারি না!! আমি কেন এটা করলাম?!?! আমি কেন ভাবলাম আমি এটা করতে পারব?! আমি কিছু না করার জন্য এত চিন্তিত যে আমি কিছুই করছি না! আমি ভয় পাওয়া থামাতে পারছি না। তদুপরি, আমি জানি এটি এমন একটি সম্প্রদায় যেখানে সবাই একটু সাহায্যের জন্য খুঁজছে, কিন্তু কারও কাছে কি কোন টিপস আছে? এমনকি ছোটদেরও। অথবা হয়তো সেই সময়ের গল্প যখন আপনি ঝুঁকি নেওয়ার জন্য আপনার উদ্বেগের মধ্যে কোনওভাবে ঝগড়া করতে পেরেছিলেন? ধন্যবাদ। আমি দুঃখিত যদি এই পোস্টটি অর্থহীন না হয়, আমার মনে হচ্ছে আমার মন সম্প্রতি ১১ টার দিকে চলে গেছে যখন আমি এর জন্য প্রস্তুত হচ্ছি। TLDR: আমি কয়েকদিনের মধ্যে এশিয়ায় একা ভ্রমণে যাচ্ছি। এর দুশ্চিন্তা কাটিয়ে উঠতে আমার সাহায্য প্রয়োজন।</v>
      </c>
    </row>
    <row r="2387" spans="1:3" ht="15" x14ac:dyDescent="0.25">
      <c r="A2387" s="3" t="s">
        <v>2380</v>
      </c>
      <c r="B2387" s="3" t="s">
        <v>1992</v>
      </c>
      <c r="C2387" s="4" t="str">
        <f ca="1">IFERROR(__xludf.DUMMYFUNCTION("GOOGLETRANSLATE(A2387, ""auto"", ""bn"")"),"কেউ এটা দেখতে পাবে না, আমি তো এতটাই দারুন কাজ করেছি যে আমি আক্ষরিক অর্থেই ৪ ঘন্টা ধরে আমার কাজ অর্ধেকও করিনি। এটা শুধু একটা বাজে হোমওয়ার্ক, যেন আমি শেষ হয়ে গেছি। আমার উদ্বেগের সাথে একাগ্রতা এতটাই কঠিন যে আমার মন ক্রমাগত গুঞ্জন করছে এবং আমি নিজেকে সারাদি"&amp;"নের সমস্ত বাজে চিন্তাভাবনা থেকে দূরে সরিয়ে রাখার চেষ্টা করছি। আর আমার বুকে এতটাই ব্যথা হচ্ছে যে আমাকে ক্রমাগত বিছানায় শুয়ে থাকতে হচ্ছে। আমি সত্যিই খুব KZKZKXJJZKZKZKZ। ঈশ্বর, দয়া করে আমাকে এই কাজটি শেষ করতে দিন আমি আক্ষরিক অর্থেই JSKZKZKJZJZJZK। আমি দ"&amp;"ুঃখিত যে আমাকে এই BCU পোস্ট করতে হয়েছিল আমি সত্যিই অতিরিক্তRRRRRRRRRHELM। আক্ষরিক অর্থেই আমার মনের সবচেয়ে বড় চ্যালেঞ্জ হল আমার একাগ্রতার সমস্যাগুলি মোকাবেলা করা ঈশ্বর দয়া করে আমাকে কেউ সাহায্য করুন!!!!")</f>
        <v>কেউ এটা দেখতে পাবে না, আমি তো এতটাই দারুন কাজ করেছি যে আমি আক্ষরিক অর্থেই ৪ ঘন্টা ধরে আমার কাজ অর্ধেকও করিনি। এটা শুধু একটা বাজে হোমওয়ার্ক, যেন আমি শেষ হয়ে গেছি। আমার উদ্বেগের সাথে একাগ্রতা এতটাই কঠিন যে আমার মন ক্রমাগত গুঞ্জন করছে এবং আমি নিজেকে সারাদিনের সমস্ত বাজে চিন্তাভাবনা থেকে দূরে সরিয়ে রাখার চেষ্টা করছি। আর আমার বুকে এতটাই ব্যথা হচ্ছে যে আমাকে ক্রমাগত বিছানায় শুয়ে থাকতে হচ্ছে। আমি সত্যিই খুব KZKZKXJJZKZKZKZ। ঈশ্বর, দয়া করে আমাকে এই কাজটি শেষ করতে দিন আমি আক্ষরিক অর্থেই JSKZKZKJZJZJZK। আমি দুঃখিত যে আমাকে এই BCU পোস্ট করতে হয়েছিল আমি সত্যিই অতিরিক্তRRRRRRRRRHELM। আক্ষরিক অর্থেই আমার মনের সবচেয়ে বড় চ্যালেঞ্জ হল আমার একাগ্রতার সমস্যাগুলি মোকাবেলা করা ঈশ্বর দয়া করে আমাকে কেউ সাহায্য করুন!!!!</v>
      </c>
    </row>
    <row r="2388" spans="1:3" ht="15" x14ac:dyDescent="0.25">
      <c r="A2388" s="3" t="s">
        <v>2381</v>
      </c>
      <c r="B2388" s="3" t="s">
        <v>1992</v>
      </c>
      <c r="C2388" s="4" t="str">
        <f ca="1">IFERROR(__xludf.DUMMYFUNCTION("GOOGLETRANSLATE(A2388, ""auto"", ""bn"")"),"কর্মক্ষেত্রে ফোন করা প্রশ্ন। আমি অত্যন্ত চাপের মধ্যে কাজ করি এবং মাঝে মাঝে এত উদ্বিগ্ন হয়ে পড়ি যে আমি খুব অসুস্থ হয়ে পড়ি। আমার কাজ এবং আমি যা করি তা ভালোবাসি, কিন্তু আজ আমাকে ফোন করতে হয়েছিল। আসলে অসুস্থ থাকার কারণে (ডাক্তার নিশ্চিত করেছেন) এবং আমি ভ"&amp;"য়ঙ্কর বোধ করছি। আমি যখনই অফিসে ফোন করি তখনই আমার খারাপ লাগে এবং আমি জানি না কেন... আমি ভাবছি যে অন্য কেউ কি এই ধরণের উদ্বেগে ভুগছে। ধন্যবাদ!")</f>
        <v>কর্মক্ষেত্রে ফোন করা প্রশ্ন। আমি অত্যন্ত চাপের মধ্যে কাজ করি এবং মাঝে মাঝে এত উদ্বিগ্ন হয়ে পড়ি যে আমি খুব অসুস্থ হয়ে পড়ি। আমার কাজ এবং আমি যা করি তা ভালোবাসি, কিন্তু আজ আমাকে ফোন করতে হয়েছিল। আসলে অসুস্থ থাকার কারণে (ডাক্তার নিশ্চিত করেছেন) এবং আমি ভয়ঙ্কর বোধ করছি। আমি যখনই অফিসে ফোন করি তখনই আমার খারাপ লাগে এবং আমি জানি না কেন... আমি ভাবছি যে অন্য কেউ কি এই ধরণের উদ্বেগে ভুগছে। ধন্যবাদ!</v>
      </c>
    </row>
    <row r="2389" spans="1:3" ht="15" x14ac:dyDescent="0.25">
      <c r="A2389" s="3" t="s">
        <v>2382</v>
      </c>
      <c r="B2389" s="3" t="s">
        <v>1992</v>
      </c>
      <c r="C2389" s="4" t="str">
        <f ca="1">IFERROR(__xludf.DUMMYFUNCTION("GOOGLETRANSLATE(A2389, ""auto"", ""bn"")"),"ওষুধ-সৃষ্ট উদ্বেগ নিয়ন্ত্রণে আমি ADD-এর লক্ষণগুলি দূর করার জন্য Concert 27mg গ্রহণ করি। আমি এটি প্রতিদিন গ্রহণ করা প্রয়োজন বলে মনে করি, তবে আমি যে পার্শ্ব প্রতিক্রিয়া লক্ষ্য করেছি তা হল বর্ধিত এবং অবিরাম উদ্বেগ। আমি Vyvanse, Dexedrine এবং Ritalin-এর মত"&amp;"ো অন্যান্য উদ্দীপক ওষুধ চেষ্টা করেছি এবং সবগুলিই আমাকে একইভাবে প্রভাবিত করেছে। যেমনটি আমি বলেছি, আমি এটিকে স্বাভাবিক দৈনন্দিন কার্যকারিতার জন্য প্রয়োজনীয় বলে মনে করি, তবে এটি অত্যধিক এবং মোকাবেলা করা কঠিন হতে পারে কারণ এটি আমার OCD-কে আরও খারাপ করে তোলে"&amp;"। দীর্ঘমেয়াদী পার্শ্ব প্রতিক্রিয়াগুলি মোকাবেলা/পরিচালনা করার জন্য কারও কাছে যদি কোনও টিপস থাকে তবে আমি এটির জন্য কৃতজ্ঞ থাকব।")</f>
        <v>ওষুধ-সৃষ্ট উদ্বেগ নিয়ন্ত্রণে আমি ADD-এর লক্ষণগুলি দূর করার জন্য Concert 27mg গ্রহণ করি। আমি এটি প্রতিদিন গ্রহণ করা প্রয়োজন বলে মনে করি, তবে আমি যে পার্শ্ব প্রতিক্রিয়া লক্ষ্য করেছি তা হল বর্ধিত এবং অবিরাম উদ্বেগ। আমি Vyvanse, Dexedrine এবং Ritalin-এর মতো অন্যান্য উদ্দীপক ওষুধ চেষ্টা করেছি এবং সবগুলিই আমাকে একইভাবে প্রভাবিত করেছে। যেমনটি আমি বলেছি, আমি এটিকে স্বাভাবিক দৈনন্দিন কার্যকারিতার জন্য প্রয়োজনীয় বলে মনে করি, তবে এটি অত্যধিক এবং মোকাবেলা করা কঠিন হতে পারে কারণ এটি আমার OCD-কে আরও খারাপ করে তোলে। দীর্ঘমেয়াদী পার্শ্ব প্রতিক্রিয়াগুলি মোকাবেলা/পরিচালনা করার জন্য কারও কাছে যদি কোনও টিপস থাকে তবে আমি এটির জন্য কৃতজ্ঞ থাকব।</v>
      </c>
    </row>
    <row r="2390" spans="1:3" ht="15" x14ac:dyDescent="0.25">
      <c r="A2390" s="3" t="s">
        <v>2383</v>
      </c>
      <c r="B2390" s="3" t="s">
        <v>1992</v>
      </c>
      <c r="C2390" s="4" t="str">
        <f ca="1">IFERROR(__xludf.DUMMYFUNCTION("GOOGLETRANSLATE(A2390, ""auto"", ""bn"")"),"কাজের কারণে আমি উদ্বিগ্ন এবং আমি আর তা সামলাতে পারছি না। সম্প্রতি আমাকে বলা হয়েছে যে আমি কর্মক্ষেত্রে ভুল করছি, এবং এখন আমি আর তা সামলাতে পারছি না এবং আমার কিছু সাহায্যের প্রয়োজন। আমার মনে হচ্ছে তারা মূলত বলছে যে আমি আমার কাজে যথেষ্ট ভালো নই, এবং আমি এখ"&amp;"ন নিজেকে এতটাই অনুমান করছি যে এটি আমাকে এতটা চাপ দিচ্ছে যে এটি আমার বাইরের জীবনকেও প্রভাবিত করছে, কারণ আমি স্বাভাবিকের চেয়ে অনেক বেশি রাগান্বিত এবং খিটখিটে বোধ করছি। আমি স্বীকার করছি যে বিষণ্ণতার কারণে সম্প্রতি কাজ কমে গেছে, আমি যখন আমার কর্মক্ষমতা সম্পর"&amp;"্কে একটি মিটিংয়ে তাদের এটা বলতে পারতাম, কিন্তু আমি খুব উদ্বিগ্ন ছিলাম এবং নিজেকে এটা বলার জন্য প্রস্তুত করতে পারছিলাম না। তাছাড়া, আমি এখন চিন্তিত যে যদি আমি এটা বলি তবে তারা আমাকে বিশ্বাস করবে না, এবং আমি অজুহাত দেখানোর চেষ্টা করছি। তাছাড়া, আমি জানি যে"&amp;" এই চিন্তাভাবনা সম্পূর্ণ অযৌক্তিক, কিন্তু এটি আমাকে ক্রমাগত এটি সম্পর্কে চিন্তা করা থামাতে পারে না। তাছাড়া, আমার মনে হচ্ছে আমি ভেঙে পড়ার দ্বারপ্রান্তে আছি, মানসিক স্বাস্থ্য সমস্যার যে কোনও শেষ না হওয়া তালিকা আমার পক্ষে আর সামলানো কঠিন হয়ে উঠছে।")</f>
        <v>কাজের কারণে আমি উদ্বিগ্ন এবং আমি আর তা সামলাতে পারছি না। সম্প্রতি আমাকে বলা হয়েছে যে আমি কর্মক্ষেত্রে ভুল করছি, এবং এখন আমি আর তা সামলাতে পারছি না এবং আমার কিছু সাহায্যের প্রয়োজন। আমার মনে হচ্ছে তারা মূলত বলছে যে আমি আমার কাজে যথেষ্ট ভালো নই, এবং আমি এখন নিজেকে এতটাই অনুমান করছি যে এটি আমাকে এতটা চাপ দিচ্ছে যে এটি আমার বাইরের জীবনকেও প্রভাবিত করছে, কারণ আমি স্বাভাবিকের চেয়ে অনেক বেশি রাগান্বিত এবং খিটখিটে বোধ করছি। আমি স্বীকার করছি যে বিষণ্ণতার কারণে সম্প্রতি কাজ কমে গেছে, আমি যখন আমার কর্মক্ষমতা সম্পর্কে একটি মিটিংয়ে তাদের এটা বলতে পারতাম, কিন্তু আমি খুব উদ্বিগ্ন ছিলাম এবং নিজেকে এটা বলার জন্য প্রস্তুত করতে পারছিলাম না। তাছাড়া, আমি এখন চিন্তিত যে যদি আমি এটা বলি তবে তারা আমাকে বিশ্বাস করবে না, এবং আমি অজুহাত দেখানোর চেষ্টা করছি। তাছাড়া, আমি জানি যে এই চিন্তাভাবনা সম্পূর্ণ অযৌক্তিক, কিন্তু এটি আমাকে ক্রমাগত এটি সম্পর্কে চিন্তা করা থামাতে পারে না। তাছাড়া, আমার মনে হচ্ছে আমি ভেঙে পড়ার দ্বারপ্রান্তে আছি, মানসিক স্বাস্থ্য সমস্যার যে কোনও শেষ না হওয়া তালিকা আমার পক্ষে আর সামলানো কঠিন হয়ে উঠছে।</v>
      </c>
    </row>
    <row r="2391" spans="1:3" ht="15" x14ac:dyDescent="0.25">
      <c r="A2391" s="3" t="s">
        <v>2384</v>
      </c>
      <c r="B2391" s="3" t="s">
        <v>1992</v>
      </c>
      <c r="C2391" s="4" t="str">
        <f ca="1">IFERROR(__xludf.DUMMYFUNCTION("GOOGLETRANSLATE(A2391, ""auto"", ""bn"")"),"আমার নতুন সঙ্গীর সাথে রাতের ভ্রমণে যাচ্ছি। গত বছরের ছুটির কিছু কারণের কারণে আমি গত কয়েক সপ্তাহ ধরে সত্যিই উদ্বিগ্ন ছিলাম (আমার একটি উদ্বেগের আক্রমণ হয়েছিল যা কয়েক মাস স্থায়ী হয়েছিল এবং আমাকে হাসপাতালে ভর্তি করতে হয়েছিল)। আমি একটি নতুন সম্পর্কেরও পথ "&amp;"পাড়ি দিচ্ছি। আমি তার সাথে আমার উদ্বেগের সাথে খোলামেলা, এবং সে বেশ শান্ত এবং সহায়ক। আমরা আজ রাতে গ্রামাঞ্চলে রাতের ভ্রমণে যাচ্ছি। সুন্দর শোনাচ্ছে, কিন্তু যে জিনিসটি আমাকে নার্ভাস করে তুলছে তা হল বাড়ি থেকে দূরে থাকা। যখন আমি বাড়ি থেকে দূরে থাকি তখন আমি "&amp;"সত্যিই উদ্বিগ্ন হই, এবং কোনও উপায় নেই। যখন আমি ভ্রমণ করি, এবং আমি অন্য দেশে থাকি, তখন আমি সাধারণত উদ্বিগ্ন হই কারণ আমি আমার আরামের জায়গায় ফিরে যেতে পারি না। যদিও আমরা মাত্র 2 ঘন্টা দূরে থাকব, আমরা কেবল তার গাড়ি নিয়ে যাচ্ছি, এবং আমি এখনও আমার আরামের অ"&amp;"ঞ্চল থেকে দূরে থাকব। আমি এটা নিয়ে কিছুটা ভীত। আমার এশিয়ান আছে, তবে আমিও ভয় পাচ্ছি যে সে আমাকে প্যানিক অ্যাটাক করতে দেখছে। দীর্ঘশ্বাস ফেলছি")</f>
        <v>আমার নতুন সঙ্গীর সাথে রাতের ভ্রমণে যাচ্ছি। গত বছরের ছুটির কিছু কারণের কারণে আমি গত কয়েক সপ্তাহ ধরে সত্যিই উদ্বিগ্ন ছিলাম (আমার একটি উদ্বেগের আক্রমণ হয়েছিল যা কয়েক মাস স্থায়ী হয়েছিল এবং আমাকে হাসপাতালে ভর্তি করতে হয়েছিল)। আমি একটি নতুন সম্পর্কেরও পথ পাড়ি দিচ্ছি। আমি তার সাথে আমার উদ্বেগের সাথে খোলামেলা, এবং সে বেশ শান্ত এবং সহায়ক। আমরা আজ রাতে গ্রামাঞ্চলে রাতের ভ্রমণে যাচ্ছি। সুন্দর শোনাচ্ছে, কিন্তু যে জিনিসটি আমাকে নার্ভাস করে তুলছে তা হল বাড়ি থেকে দূরে থাকা। যখন আমি বাড়ি থেকে দূরে থাকি তখন আমি সত্যিই উদ্বিগ্ন হই, এবং কোনও উপায় নেই। যখন আমি ভ্রমণ করি, এবং আমি অন্য দেশে থাকি, তখন আমি সাধারণত উদ্বিগ্ন হই কারণ আমি আমার আরামের জায়গায় ফিরে যেতে পারি না। যদিও আমরা মাত্র 2 ঘন্টা দূরে থাকব, আমরা কেবল তার গাড়ি নিয়ে যাচ্ছি, এবং আমি এখনও আমার আরামের অঞ্চল থেকে দূরে থাকব। আমি এটা নিয়ে কিছুটা ভীত। আমার এশিয়ান আছে, তবে আমিও ভয় পাচ্ছি যে সে আমাকে প্যানিক অ্যাটাক করতে দেখছে। দীর্ঘশ্বাস ফেলছি</v>
      </c>
    </row>
    <row r="2392" spans="1:3" ht="15" x14ac:dyDescent="0.25">
      <c r="A2392" s="3" t="s">
        <v>2385</v>
      </c>
      <c r="B2392" s="3" t="s">
        <v>1992</v>
      </c>
      <c r="C2392" s="4" t="str">
        <f ca="1">IFERROR(__xludf.DUMMYFUNCTION("GOOGLETRANSLATE(A2392, ""auto"", ""bn"")"),"এমন কিছু নিয়ে উদ্বেগ যা নিয়ে আমার চিন্তা করা উচিত নয়... ২০১৭ সালের গোড়ায় যৌন রোগে আক্রান্ত হয়েছিলাম। সে আমাকে ক্ল্যামিডিয়া দিয়েছিল। আমার চিকিৎসা করা হয়েছিল। ২০১৮ সালের গোড়ায় আমার যৌন রোগে আক্রান্ত হয়েছিলাম। তাছাড়া, আমি যৌন রোগে আক্রান্ত হয়েছিলাম, এবং তা "&amp;"নেগেটিভ এসেছিল। আমার যৌন রোগে আক্রান্ত হওয়ার আগে আমি দুজন ছেলের সাথে ঘুমিয়েছিলাম, কিন্তু পরে আমার পরীক্ষা নেগেটিভ আসে। রবিবার রাতে আমি সারা রাত জেগে ছিলাম অসুস্থ, কারণ আমি আবার যৌন রোগে আক্রান্ত হওয়ার আশঙ্কায় আছি। সোমবার সকালে আমি আমার যৌন রোগে আক্রান্ত হ"&amp;"য়েছি এবং কেবল তারই সাথে। সে আমার সাথে প্রতারণা করেনি। কিন্তু এখন আমি পরীক্ষার ফলাফলের জন্য অপেক্ষা করছি। আমাদের কোনও লক্ষণ নেই। কিন্তু আমি খুব ভয় পাচ্ছি এবং আমার উদ্বেগ এটিকে অনেক দূর নিয়ে যাচ্ছে। আমি প্রতিদিন এটি মোকাবেলা করি। কিন্তু এটা সত্যিই আমার সাথে"&amp;" খারাপ। যদি আমার মিথ্যা নেতিবাচক ফলাফল থাকতো? এবং এটি এমন একজনের সাথে থাকতো যাকে আমি খুব ভালোবাসি? আমার কোনও লক্ষণ নেই এবং আমি সুস্থ। কিন্তু আমি এটা ঘৃণা করি। আমি যদি এটা না থাকতাম। এটা আমার জীবনকে ধ্বংস করে দেয়।")</f>
        <v>এমন কিছু নিয়ে উদ্বেগ যা নিয়ে আমার চিন্তা করা উচিত নয়... ২০১৭ সালের গোড়ায় যৌন রোগে আক্রান্ত হয়েছিলাম। সে আমাকে ক্ল্যামিডিয়া দিয়েছিল। আমার চিকিৎসা করা হয়েছিল। ২০১৮ সালের গোড়ায় আমার যৌন রোগে আক্রান্ত হয়েছিলাম। তাছাড়া, আমি যৌন রোগে আক্রান্ত হয়েছিলাম, এবং তা নেগেটিভ এসেছিল। আমার যৌন রোগে আক্রান্ত হওয়ার আগে আমি দুজন ছেলের সাথে ঘুমিয়েছিলাম, কিন্তু পরে আমার পরীক্ষা নেগেটিভ আসে। রবিবার রাতে আমি সারা রাত জেগে ছিলাম অসুস্থ, কারণ আমি আবার যৌন রোগে আক্রান্ত হওয়ার আশঙ্কায় আছি। সোমবার সকালে আমি আমার যৌন রোগে আক্রান্ত হয়েছি এবং কেবল তারই সাথে। সে আমার সাথে প্রতারণা করেনি। কিন্তু এখন আমি পরীক্ষার ফলাফলের জন্য অপেক্ষা করছি। আমাদের কোনও লক্ষণ নেই। কিন্তু আমি খুব ভয় পাচ্ছি এবং আমার উদ্বেগ এটিকে অনেক দূর নিয়ে যাচ্ছে। আমি প্রতিদিন এটি মোকাবেলা করি। কিন্তু এটা সত্যিই আমার সাথে খারাপ। যদি আমার মিথ্যা নেতিবাচক ফলাফল থাকতো? এবং এটি এমন একজনের সাথে থাকতো যাকে আমি খুব ভালোবাসি? আমার কোনও লক্ষণ নেই এবং আমি সুস্থ। কিন্তু আমি এটা ঘৃণা করি। আমি যদি এটা না থাকতাম। এটা আমার জীবনকে ধ্বংস করে দেয়।</v>
      </c>
    </row>
    <row r="2393" spans="1:3" ht="15" x14ac:dyDescent="0.25">
      <c r="A2393" s="3" t="s">
        <v>2386</v>
      </c>
      <c r="B2393" s="3" t="s">
        <v>1992</v>
      </c>
      <c r="C2393" s="4" t="str">
        <f ca="1">IFERROR(__xludf.DUMMYFUNCTION("GOOGLETRANSLATE(A2393, ""auto"", ""bn"")"),"আমার বন্ধুরা আমাকে ইনস্টাগ্রামে ব্লক করে চলেছে। আজ থেকে, আমার মনে হয় আমার দুই বন্ধু হঠাৎ করেই আমাকে ইনস্টাগ্রামে ব্লক করে দিয়েছে। ক্রিসমাসের ছুটির পর আগামীকাল যখন আমি স্কুলে ফিরে যাব, তখন এটা আমার উপর সত্যিই ক্লান্তিকর হয়ে উঠছে। পরিস্থিতি আরও খারাপ করে"&amp;" তোলে, আমার ক্লাস আছে যেখানে আমি তাদের ঠিক পাশেই বসে থাকি। আমার একটি ক্লাস আছে যেখানে আমি তাদের একজনের পাশে বসে থাকি এবং আরেকটিতে আমি অন্যজনের পাশে বসে থাকি। আমি জানি না কী করব! তাছাড়া, আমার মনে হচ্ছে তারা হঠাৎ আমাকে ঘৃণা করে! দয়া করে সাহায্য করুন! আমি "&amp;"কি তাদের সাথে এই বিষয়ে কথা বলব? যদি তাই হয়, তাহলে আমি কী বলব? আমি মরিয়া!")</f>
        <v>আমার বন্ধুরা আমাকে ইনস্টাগ্রামে ব্লক করে চলেছে। আজ থেকে, আমার মনে হয় আমার দুই বন্ধু হঠাৎ করেই আমাকে ইনস্টাগ্রামে ব্লক করে দিয়েছে। ক্রিসমাসের ছুটির পর আগামীকাল যখন আমি স্কুলে ফিরে যাব, তখন এটা আমার উপর সত্যিই ক্লান্তিকর হয়ে উঠছে। পরিস্থিতি আরও খারাপ করে তোলে, আমার ক্লাস আছে যেখানে আমি তাদের ঠিক পাশেই বসে থাকি। আমার একটি ক্লাস আছে যেখানে আমি তাদের একজনের পাশে বসে থাকি এবং আরেকটিতে আমি অন্যজনের পাশে বসে থাকি। আমি জানি না কী করব! তাছাড়া, আমার মনে হচ্ছে তারা হঠাৎ আমাকে ঘৃণা করে! দয়া করে সাহায্য করুন! আমি কি তাদের সাথে এই বিষয়ে কথা বলব? যদি তাই হয়, তাহলে আমি কী বলব? আমি মরিয়া!</v>
      </c>
    </row>
    <row r="2394" spans="1:3" ht="15" x14ac:dyDescent="0.25">
      <c r="A2394" s="3" t="s">
        <v>2387</v>
      </c>
      <c r="B2394" s="3" t="s">
        <v>1992</v>
      </c>
      <c r="C2394" s="4" t="str">
        <f ca="1">IFERROR(__xludf.DUMMYFUNCTION("GOOGLETRANSLATE(A2394, ""auto"", ""bn"")"),"আমার মৃত্যু এবং মৃত্যুর ভয় আছে, এটা কি থামানোর কোন উপায় আছে? আমি মোটামুটি নিশ্চিত যে আমার সমস্ত হতাশা এবং উদ্বেগ এখান থেকেই এসেছে। একদিন আমি চিরকাল বেঁচে থাকব না এই চিন্তা আমাকে প্রায় প্রতিদিনই আতঙ্কিত করে তোলে। আমি কোনও চিন্তা ছাড়াই একটি সুন্দর দিন কা"&amp;"টাতে পারি এবং হঠাৎ করেই এই চিন্তা আমার মাথায় এসে আমার দিনটিকে সম্পূর্ণরূপে নষ্ট করে দিতে পারে। আর কারও কি এইরকম ভয় ছিল এবং তা কাটিয়ে উঠতে পেরেছি? আমি নিশ্চিত নই কী করব কারণ আমার মনে হয় আমার বাকি জীবন এই ভয়াবহ অনুভূতিই থাকবে।")</f>
        <v>আমার মৃত্যু এবং মৃত্যুর ভয় আছে, এটা কি থামানোর কোন উপায় আছে? আমি মোটামুটি নিশ্চিত যে আমার সমস্ত হতাশা এবং উদ্বেগ এখান থেকেই এসেছে। একদিন আমি চিরকাল বেঁচে থাকব না এই চিন্তা আমাকে প্রায় প্রতিদিনই আতঙ্কিত করে তোলে। আমি কোনও চিন্তা ছাড়াই একটি সুন্দর দিন কাটাতে পারি এবং হঠাৎ করেই এই চিন্তা আমার মাথায় এসে আমার দিনটিকে সম্পূর্ণরূপে নষ্ট করে দিতে পারে। আর কারও কি এইরকম ভয় ছিল এবং তা কাটিয়ে উঠতে পেরেছি? আমি নিশ্চিত নই কী করব কারণ আমার মনে হয় আমার বাকি জীবন এই ভয়াবহ অনুভূতিই থাকবে।</v>
      </c>
    </row>
    <row r="2395" spans="1:3" ht="15" x14ac:dyDescent="0.25">
      <c r="A2395" s="3" t="s">
        <v>2388</v>
      </c>
      <c r="B2395" s="3" t="s">
        <v>1992</v>
      </c>
      <c r="C2395" s="4" t="str">
        <f ca="1">IFERROR(__xludf.DUMMYFUNCTION("GOOGLETRANSLATE(A2395, ""auto"", ""bn"")"),"ঠিক এক বছর পরে আবার উদ্বেগ ফিরে আসে। তাই জানুয়ারী ১, ২০১৮ আমার উদ্বেগ শুরু হয় এবং আমি এর জন্য থেরাপি নিতে গিয়েছিলাম এবং ভালোই হচ্ছিলাম, এবং প্রায় ছয় মাস ধরে প্যানিক অ্যাটাক হয়নি, কিন্তু হঠাৎ গতকাল, আমার প্যানিক অ্যাটাক হয়! এটা খুবই হতাশাজনক ছিল! আর"&amp;" আজ আমি সত্যিই বিষণ্ণ এবং দুঃখিত বোধ করছি। অন্য কেউ কি এই অভিজ্ঞতার সম্মুখীন হয়েছে?")</f>
        <v>ঠিক এক বছর পরে আবার উদ্বেগ ফিরে আসে। তাই জানুয়ারী ১, ২০১৮ আমার উদ্বেগ শুরু হয় এবং আমি এর জন্য থেরাপি নিতে গিয়েছিলাম এবং ভালোই হচ্ছিলাম, এবং প্রায় ছয় মাস ধরে প্যানিক অ্যাটাক হয়নি, কিন্তু হঠাৎ গতকাল, আমার প্যানিক অ্যাটাক হয়! এটা খুবই হতাশাজনক ছিল! আর আজ আমি সত্যিই বিষণ্ণ এবং দুঃখিত বোধ করছি। অন্য কেউ কি এই অভিজ্ঞতার সম্মুখীন হয়েছে?</v>
      </c>
    </row>
    <row r="2396" spans="1:3" ht="15" x14ac:dyDescent="0.25">
      <c r="A2396" s="3" t="s">
        <v>2389</v>
      </c>
      <c r="B2396" s="3" t="s">
        <v>1992</v>
      </c>
      <c r="C2396" s="4" t="str">
        <f ca="1">IFERROR(__xludf.DUMMYFUNCTION("GOOGLETRANSLATE(A2396, ""auto"", ""bn"")"),"আমি ক্রমশ আরও বেশি করে চাপে পড়ে যাচ্ছি এবং দয়া করে কিছু পরামর্শের প্রয়োজন। সম্প্রতি আমি লক্ষ্য করছি যে আমি আরও বেশি করে চাপে পড়ে যাচ্ছি। স্বাভাবিক চাপের পাশাপাশি এক বা দুটি জিনিসের কারণে আমি ভেঙে পড়ি এবং কয়েক সপ্তাহ ধরে এভাবেই থাকি। আমি যা কিছু নিয়"&amp;"ে উদ্বিগ্ন তা নিয়ে তাড়াহুড়ো করে মাথা ঘোরা বন্ধ করতে পারি না, এবং এর ফলে আমি অনেক বন্ধু হারাতে বাধ্য হয়েছি। যখন এটি ঘটে তখন কীভাবে মোকাবেলা করব সে সম্পর্কে আমার কিছু পরামর্শের প্রয়োজন। এখন এটি এতটাই কঠিন মনে হচ্ছে যে আমার কাছে যাওয়ার মতো কেউ নেই। আমি"&amp;" একজন কাউন্সিলরকে দেখেছি যিনি আসলেই পাত্তা দেননি এবং প্রায় ৫ জন ডাক্তার, যাদের কেউই বিষয়টিকে গুরুত্বের সাথে দেখেননি, তাই এখন আমি কেবল আটকে আছি। আমি ধ্যান শুরু করেছি, এবং এটি কিছুটা সাহায্য করে, তবে আমি দ্রুত আগের মতো হয়ে যাই। তাছাড়া, যারা একই রকম পরিস"&amp;"্থিতিতে পড়েছেন তাদের কাছ থেকে এই ঘটনা ঘটলে নিজেকে কীভাবে শান্ত করা যায় সে সম্পর্কে যে কোনও পরামর্শ পেলে আমি কৃতজ্ঞ থাকব।")</f>
        <v>আমি ক্রমশ আরও বেশি করে চাপে পড়ে যাচ্ছি এবং দয়া করে কিছু পরামর্শের প্রয়োজন। সম্প্রতি আমি লক্ষ্য করছি যে আমি আরও বেশি করে চাপে পড়ে যাচ্ছি। স্বাভাবিক চাপের পাশাপাশি এক বা দুটি জিনিসের কারণে আমি ভেঙে পড়ি এবং কয়েক সপ্তাহ ধরে এভাবেই থাকি। আমি যা কিছু নিয়ে উদ্বিগ্ন তা নিয়ে তাড়াহুড়ো করে মাথা ঘোরা বন্ধ করতে পারি না, এবং এর ফলে আমি অনেক বন্ধু হারাতে বাধ্য হয়েছি। যখন এটি ঘটে তখন কীভাবে মোকাবেলা করব সে সম্পর্কে আমার কিছু পরামর্শের প্রয়োজন। এখন এটি এতটাই কঠিন মনে হচ্ছে যে আমার কাছে যাওয়ার মতো কেউ নেই। আমি একজন কাউন্সিলরকে দেখেছি যিনি আসলেই পাত্তা দেননি এবং প্রায় ৫ জন ডাক্তার, যাদের কেউই বিষয়টিকে গুরুত্বের সাথে দেখেননি, তাই এখন আমি কেবল আটকে আছি। আমি ধ্যান শুরু করেছি, এবং এটি কিছুটা সাহায্য করে, তবে আমি দ্রুত আগের মতো হয়ে যাই। তাছাড়া, যারা একই রকম পরিস্থিতিতে পড়েছেন তাদের কাছ থেকে এই ঘটনা ঘটলে নিজেকে কীভাবে শান্ত করা যায় সে সম্পর্কে যে কোনও পরামর্শ পেলে আমি কৃতজ্ঞ থাকব।</v>
      </c>
    </row>
    <row r="2397" spans="1:3" ht="15" x14ac:dyDescent="0.25">
      <c r="A2397" s="3" t="s">
        <v>2390</v>
      </c>
      <c r="B2397" s="3" t="s">
        <v>1992</v>
      </c>
      <c r="C2397" s="4" t="str">
        <f ca="1">IFERROR(__xludf.DUMMYFUNCTION("GOOGLETRANSLATE(A2397, ""auto"", ""bn"")"),"উদ্বেগের কারণে কি কেউ দীর্ঘ সময় ধরে মাথা ঘোরা/মাথা ঘোরার সমস্যায় ভোগেন? শুধু যখন এটি তীব্র হয়/প্যানিক অ্যাটাকের সময়/ইত্যাদির সময় নয়। আমি বলছি দিনের ৫০-৭৫% সময় সবসময় মাথা ঘোরা বা মাথা ঘোরা থাকে। প্রায়শই টানা অনেক দিন ধরে। আমি তুলনামূলকভাবে উদ্বেগে"&amp;"র সাথে নতুন এবং আমার পরিবারের জীবনে কয়েকটি বড় ঘটনার পর আমি সম্প্রতি নিয়মিত এবং তীব্রভাবে এটি অনুভব করতে শুরু করেছি। আমি সবসময়ই কিছুটা উদ্বিগ্ন ব্যক্তি, কিন্তু গত প্রায় এক বছর বা তারও বেশি সময় পর্যন্ত এটি আমার উপর কোনও ধরণের নিয়ন্ত্রণ করতে পারেনি। ক"&amp;"েবল জানতে চেয়েছিলাম যে অন্যরা কি এই অভিজ্ঞতাটি অনুভব করেছে/বিশেষভাবে বা কেবল সাধারণভাবে উদ্বেগ মোকাবেলার জন্য আপনার কোন পরামর্শ থাকতে পারে! ধন্যবাদ!")</f>
        <v>উদ্বেগের কারণে কি কেউ দীর্ঘ সময় ধরে মাথা ঘোরা/মাথা ঘোরার সমস্যায় ভোগেন? শুধু যখন এটি তীব্র হয়/প্যানিক অ্যাটাকের সময়/ইত্যাদির সময় নয়। আমি বলছি দিনের ৫০-৭৫% সময় সবসময় মাথা ঘোরা বা মাথা ঘোরা থাকে। প্রায়শই টানা অনেক দিন ধরে। আমি তুলনামূলকভাবে উদ্বেগের সাথে নতুন এবং আমার পরিবারের জীবনে কয়েকটি বড় ঘটনার পর আমি সম্প্রতি নিয়মিত এবং তীব্রভাবে এটি অনুভব করতে শুরু করেছি। আমি সবসময়ই কিছুটা উদ্বিগ্ন ব্যক্তি, কিন্তু গত প্রায় এক বছর বা তারও বেশি সময় পর্যন্ত এটি আমার উপর কোনও ধরণের নিয়ন্ত্রণ করতে পারেনি। কেবল জানতে চেয়েছিলাম যে অন্যরা কি এই অভিজ্ঞতাটি অনুভব করেছে/বিশেষভাবে বা কেবল সাধারণভাবে উদ্বেগ মোকাবেলার জন্য আপনার কোন পরামর্শ থাকতে পারে! ধন্যবাদ!</v>
      </c>
    </row>
    <row r="2398" spans="1:3" ht="15" x14ac:dyDescent="0.25">
      <c r="A2398" s="3" t="s">
        <v>2391</v>
      </c>
      <c r="B2398" s="3" t="s">
        <v>1992</v>
      </c>
      <c r="C2398" s="4" t="str">
        <f ca="1">IFERROR(__xludf.DUMMYFUNCTION("GOOGLETRANSLATE(A2398, ""auto"", ""bn"")"),"তোমার বন্ধুদের গ্রুপের কারো সাথে ডেটিং করলে কি ব্যাপারটা অস্বস্তিকর হয়ে ওঠে? বন্ধু হারানোর সম্ভাবনা আমাকে ভয় পাইয়ে দেয়, আমি আমার বেস্ট গায় ফ্রেন্ডদের সাথে বাইরে গিয়েছিলাম এবং আমি জানি না এটা করলে আমাদের বন্ধুত্ব জটিল হবে কিনা। এই বিষয়ে কি কোন পুরুষ নীতি "&amp;"বা অন্য কিছু আছে? আমার মনে হয় যে আমার বন্ধু যখন আমার আগ্রহের লোকটি আশেপাশে থাকে তখন মাঝে মাঝে পিছু হটে যায়, এবং সে তার সম্পর্কে যেকোনো কথোপকথনকেও নষ্ট করে দেয়। আমি আমাদের বন্ধুত্ব নষ্ট বা জটিল করতে চাই না। আমি কি তার সাথে এই বিষয়ে কথা বলব, হয়তো পরোক্ষভাবে"&amp;"? আমি জানি ছেলেরা সবাই খুব বেশি আবেগপ্রবণ নয়, এবং আমি এমন কিছু নিয়ে অতিরিক্ত চিন্তাভাবনা এবং চিন্তিত হতে চাই না যা সেখানে থাকতে পারে না। আমি জানি যদি আমি তাকে জিজ্ঞাসা করি যে আমি তার বন্ধুর সাথে বাইরে গিয়েছি এটা কি অস্বস্তিকর করে তোলে, তাহলে সে বলবে যে আম"&amp;"ি কিছু ভাবি না, এটা ওয়ার্ড কেন হবে? কিন্তু আমার মনে হয় এটা একটা অকৃতজ্ঞ উত্তর হবে যত্নশীল না বলে। কীভাবে এটি মোকাবেলা করা যায় সে সম্পর্কে কোন পরামর্শ? পরিস্থিতি কীভাবে মোকাবেলা করব তা নিয়ে আমার শুধু দুশ্চিন্তা আছে এবং আমি জানি যে ছেলেরা কথা বলে, তাই আমি"&amp;" চাই না যে আমি যা বলি তা তাদের দুজনের মধ্যে ছড়িয়ে পড়ুক... আমি যাকে পছন্দ করি তাকেও দূরে সরিয়ে রাখতে চাই না।")</f>
        <v>তোমার বন্ধুদের গ্রুপের কারো সাথে ডেটিং করলে কি ব্যাপারটা অস্বস্তিকর হয়ে ওঠে? বন্ধু হারানোর সম্ভাবনা আমাকে ভয় পাইয়ে দেয়, আমি আমার বেস্ট গায় ফ্রেন্ডদের সাথে বাইরে গিয়েছিলাম এবং আমি জানি না এটা করলে আমাদের বন্ধুত্ব জটিল হবে কিনা। এই বিষয়ে কি কোন পুরুষ নীতি বা অন্য কিছু আছে? আমার মনে হয় যে আমার বন্ধু যখন আমার আগ্রহের লোকটি আশেপাশে থাকে তখন মাঝে মাঝে পিছু হটে যায়, এবং সে তার সম্পর্কে যেকোনো কথোপকথনকেও নষ্ট করে দেয়। আমি আমাদের বন্ধুত্ব নষ্ট বা জটিল করতে চাই না। আমি কি তার সাথে এই বিষয়ে কথা বলব, হয়তো পরোক্ষভাবে? আমি জানি ছেলেরা সবাই খুব বেশি আবেগপ্রবণ নয়, এবং আমি এমন কিছু নিয়ে অতিরিক্ত চিন্তাভাবনা এবং চিন্তিত হতে চাই না যা সেখানে থাকতে পারে না। আমি জানি যদি আমি তাকে জিজ্ঞাসা করি যে আমি তার বন্ধুর সাথে বাইরে গিয়েছি এটা কি অস্বস্তিকর করে তোলে, তাহলে সে বলবে যে আমি কিছু ভাবি না, এটা ওয়ার্ড কেন হবে? কিন্তু আমার মনে হয় এটা একটা অকৃতজ্ঞ উত্তর হবে যত্নশীল না বলে। কীভাবে এটি মোকাবেলা করা যায় সে সম্পর্কে কোন পরামর্শ? পরিস্থিতি কীভাবে মোকাবেলা করব তা নিয়ে আমার শুধু দুশ্চিন্তা আছে এবং আমি জানি যে ছেলেরা কথা বলে, তাই আমি চাই না যে আমি যা বলি তা তাদের দুজনের মধ্যে ছড়িয়ে পড়ুক... আমি যাকে পছন্দ করি তাকেও দূরে সরিয়ে রাখতে চাই না।</v>
      </c>
    </row>
    <row r="2399" spans="1:3" ht="15" x14ac:dyDescent="0.25">
      <c r="A2399" s="3" t="s">
        <v>2392</v>
      </c>
      <c r="B2399" s="3" t="s">
        <v>1992</v>
      </c>
      <c r="C2399" s="4" t="str">
        <f ca="1">IFERROR(__xludf.DUMMYFUNCTION("GOOGLETRANSLATE(A2399, ""auto"", ""bn"")"),"অপ্রচলিত লক্ষণ? হাই, এবং পড়ার জন্য ধন্যবাদ। আমার আগে খুব খারাপ উদ্বেগ ছিল, কিন্তু সঙ্গত কারণেই। আমার বিবাহবিচ্ছেদ হয়েছে, আমার একটি ছেলে আছে, তারপর 9 বছর পর সেনাবাহিনী থেকে চাকরি ছেড়ে দিয়েছিলাম এবং সপ্তাহে কমপক্ষে 30 ঘন্টা কাজ করে বিল এবং সন্তানের ভরণপ"&amp;"োষণের জন্য লড়াই করছিলাম। কোনওভাবে আমি এটি সম্পন্ন করেছি, স্নাতক হয়েছি, আমার প্রাক্তন স্ত্রীর সাথে একটি সৌহার্দ্যপূর্ণ সম্পর্ক বজায় রেখেছি, এবং একটি ভাল চাকরি পেয়েছি যা আমি পছন্দ করি এবং আরামে জীবনযাপন করার জন্য যথেষ্ট বেতন পাই। তারপর, হঠাৎ একদিন আমার "&amp;"ডেস্কে বসে থাকাকালীন ভয়ের অনুভূতি আপাতদৃষ্টিতে কোনও কারণ ছাড়াই ফিরে আসে। মনে হয় আমার গলার সমস্ত পেশী টানটান এবং গভীর শ্বাস শুধুমাত্র কিছুক্ষণের জন্য সাহায্য করে। আমি খুব বিরক্ত হয়ে যাই এবং লোকেদের উপর চড় মারে কিন্তু পরে ক্ষমা চাইতে হয়। আমি একজন ডাক্"&amp;"তারের সাথে দেখা করেছি যিনি সার্ট্রালিন লিখেছিলেন। এটি প্রথমে সাহায্য করেছে বলে মনে হয়েছিল কিন্তু এখন খুব বেশি নয়। আমার প্যানিক অ্যাটাক বা সামাজিক উদ্বেগ হয় না, কেবল গলার সমস্যা এবং খিটখিটে। অন্য কারও এই ধরণের সমস্যা আছে নাকি আমার পরিস্থিতি অনন্য? ধন্যব"&amp;"াদ।")</f>
        <v>অপ্রচলিত লক্ষণ? হাই, এবং পড়ার জন্য ধন্যবাদ। আমার আগে খুব খারাপ উদ্বেগ ছিল, কিন্তু সঙ্গত কারণেই। আমার বিবাহবিচ্ছেদ হয়েছে, আমার একটি ছেলে আছে, তারপর 9 বছর পর সেনাবাহিনী থেকে চাকরি ছেড়ে দিয়েছিলাম এবং সপ্তাহে কমপক্ষে 30 ঘন্টা কাজ করে বিল এবং সন্তানের ভরণপোষণের জন্য লড়াই করছিলাম। কোনওভাবে আমি এটি সম্পন্ন করেছি, স্নাতক হয়েছি, আমার প্রাক্তন স্ত্রীর সাথে একটি সৌহার্দ্যপূর্ণ সম্পর্ক বজায় রেখেছি, এবং একটি ভাল চাকরি পেয়েছি যা আমি পছন্দ করি এবং আরামে জীবনযাপন করার জন্য যথেষ্ট বেতন পাই। তারপর, হঠাৎ একদিন আমার ডেস্কে বসে থাকাকালীন ভয়ের অনুভূতি আপাতদৃষ্টিতে কোনও কারণ ছাড়াই ফিরে আসে। মনে হয় আমার গলার সমস্ত পেশী টানটান এবং গভীর শ্বাস শুধুমাত্র কিছুক্ষণের জন্য সাহায্য করে। আমি খুব বিরক্ত হয়ে যাই এবং লোকেদের উপর চড় মারে কিন্তু পরে ক্ষমা চাইতে হয়। আমি একজন ডাক্তারের সাথে দেখা করেছি যিনি সার্ট্রালিন লিখেছিলেন। এটি প্রথমে সাহায্য করেছে বলে মনে হয়েছিল কিন্তু এখন খুব বেশি নয়। আমার প্যানিক অ্যাটাক বা সামাজিক উদ্বেগ হয় না, কেবল গলার সমস্যা এবং খিটখিটে। অন্য কারও এই ধরণের সমস্যা আছে নাকি আমার পরিস্থিতি অনন্য? ধন্যবাদ।</v>
      </c>
    </row>
    <row r="2400" spans="1:3" ht="15" x14ac:dyDescent="0.25">
      <c r="A2400" s="3" t="s">
        <v>2393</v>
      </c>
      <c r="B2400" s="3" t="s">
        <v>1992</v>
      </c>
      <c r="C2400" s="4" t="str">
        <f ca="1">IFERROR(__xludf.DUMMYFUNCTION("GOOGLETRANSLATE(A2400, ""auto"", ""bn"")"),"Xanax কি কাজ করে? বন্ধুরা, আমি এই Subreddit ব্যবহারে নতুন, এবং আমি জানতে চাই, Xanax কি উদ্বেগ অনুভব করে? আমি আগেও এটি ব্যবহার করেছি, কিন্তু তখন আমার উদ্বেগ সামান্য ছিল, হ্যাঁ, এটি আমাকে ঠান্ডা করে দিয়েছিল, কিন্তু আমি এটি বিনোদনমূলকভাবে ব্যবহার করছিলাম। আ"&amp;"মার উদ্বেগ আগে নিয়ন্ত্রণে ছিল, কিন্তু এখন আমার দিনে 2 বা 3টি উদ্বেগের আক্রমণ হচ্ছে। আমি Xanax ব্যবহার করতে চাই না, কিন্তু আমি বেশ মরিয়া হয়ে উঠছি। এটি কি কাজ করে? যদি না হয়, তাহলে আমার কী করা উচিত?")</f>
        <v>Xanax কি কাজ করে? বন্ধুরা, আমি এই Subreddit ব্যবহারে নতুন, এবং আমি জানতে চাই, Xanax কি উদ্বেগ অনুভব করে? আমি আগেও এটি ব্যবহার করেছি, কিন্তু তখন আমার উদ্বেগ সামান্য ছিল, হ্যাঁ, এটি আমাকে ঠান্ডা করে দিয়েছিল, কিন্তু আমি এটি বিনোদনমূলকভাবে ব্যবহার করছিলাম। আমার উদ্বেগ আগে নিয়ন্ত্রণে ছিল, কিন্তু এখন আমার দিনে 2 বা 3টি উদ্বেগের আক্রমণ হচ্ছে। আমি Xanax ব্যবহার করতে চাই না, কিন্তু আমি বেশ মরিয়া হয়ে উঠছি। এটি কি কাজ করে? যদি না হয়, তাহলে আমার কী করা উচিত?</v>
      </c>
    </row>
    <row r="2401" spans="1:3" ht="15" x14ac:dyDescent="0.25">
      <c r="A2401" s="3" t="s">
        <v>2394</v>
      </c>
      <c r="B2401" s="3" t="s">
        <v>1992</v>
      </c>
      <c r="C2401" s="4" t="str">
        <f ca="1">IFERROR(__xludf.DUMMYFUNCTION("GOOGLETRANSLATE(A2401, ""auto"", ""bn"")"),"উদ্বেগ কি নিরাময়যোগ্য? হে! শুধু বোঝার চেষ্টা করছি, যদি আপনার উদ্বেগ সঠিকভাবে ওষুধের মাধ্যমে সমাধান করা হয়, এবং আপনি যদি এর মোকাবিলা করার জন্য থেরাপি খোঁজেন, তাহলে কি আপনি কখনও নিরাময় পেতে পারেন? অথবা, উদ্বেগ এমন কিছু যা বেশিরভাগ সময় আপনার সাথেই থাকবে,"&amp;" কিন্তু ওষুধ আপনার চিন্তাভাবনাকে সঠিক পথে রাখতে সাহায্য করে এবং থেরাপি অনুশীলনগুলি আপনাকে পরিস্থিতির উদ্ভব হলে তা প্রশমিত করার জন্য সরঞ্জাম সরবরাহ করতে সাহায্য করে?")</f>
        <v>উদ্বেগ কি নিরাময়যোগ্য? হে! শুধু বোঝার চেষ্টা করছি, যদি আপনার উদ্বেগ সঠিকভাবে ওষুধের মাধ্যমে সমাধান করা হয়, এবং আপনি যদি এর মোকাবিলা করার জন্য থেরাপি খোঁজেন, তাহলে কি আপনি কখনও নিরাময় পেতে পারেন? অথবা, উদ্বেগ এমন কিছু যা বেশিরভাগ সময় আপনার সাথেই থাকবে, কিন্তু ওষুধ আপনার চিন্তাভাবনাকে সঠিক পথে রাখতে সাহায্য করে এবং থেরাপি অনুশীলনগুলি আপনাকে পরিস্থিতির উদ্ভব হলে তা প্রশমিত করার জন্য সরঞ্জাম সরবরাহ করতে সাহায্য করে?</v>
      </c>
    </row>
    <row r="2402" spans="1:3" ht="15" x14ac:dyDescent="0.25">
      <c r="A2402" s="3" t="s">
        <v>2395</v>
      </c>
      <c r="B2402" s="3" t="s">
        <v>1992</v>
      </c>
      <c r="C2402" s="4" t="str">
        <f ca="1">IFERROR(__xludf.DUMMYFUNCTION("GOOGLETRANSLATE(A2402, ""auto"", ""bn"")"),"তীব্র উদ্বেগের জন্য ওষুধ? আমার মাথাব্যথা, ক্রমাগত আতঙ্কের আক্রমণ ইত্যাদি সমস্যা আছে। এটি একটি নিরন্তর 24/7 লড়াই। এর জন্য আমি কী নিতে পারি?")</f>
        <v>তীব্র উদ্বেগের জন্য ওষুধ? আমার মাথাব্যথা, ক্রমাগত আতঙ্কের আক্রমণ ইত্যাদি সমস্যা আছে। এটি একটি নিরন্তর 24/7 লড়াই। এর জন্য আমি কী নিতে পারি?</v>
      </c>
    </row>
    <row r="2403" spans="1:3" ht="15" x14ac:dyDescent="0.25">
      <c r="A2403" s="3" t="s">
        <v>2396</v>
      </c>
      <c r="B2403" s="3" t="s">
        <v>1992</v>
      </c>
      <c r="C2403" s="4" t="str">
        <f ca="1">IFERROR(__xludf.DUMMYFUNCTION("GOOGLETRANSLATE(A2403, ""auto"", ""bn"")"),"খারাপ চিন্তাভাবনা তৈরি করে এমন উদ্বেগের সাথে আমি কীভাবে মোকাবিলা করব? (কিছুটা উত্তেজনাকর হতে পারে) হ্যালো, Subreddit-এ নতুন, তাই যেকোনো অপরাধের জন্য দুঃখিত। ঠিক আছে, তাই বছরের পর বছর ধরে আমি ভেবেছিলাম যে আমার বিষণ্ণতা থাকবে কারণ আমার এই আত্মহত্যার চিন্তাভ"&amp;"াবনা বারবার আসছিল। গত বছর আমাকে হাসপাতালে ভর্তি করা হয়েছিল, এবং একজন ডাক্তার আমাকে বলেছিলেন যে আমার যা আছে তা আসলে বিষণ্ণতা নয় বরং উদ্বেগ। এটা জানার পর আমি এটি পরিচালনা করতে অনেক ভালো হয়েছি এবং যেহেতু কম পর্বের সাথে আমি অনেক ভালো হয়েছি। এখন সমস্যা হল "&amp;"যে যদি আমি মানসিকতায় প্রবেশ করি তবে আমি দিনের পর দিন আত্মহত্যার চিন্তাভাবনা নিয়ে কাটিয়ে দিতে পারি এবং এটি সম্পর্ক নষ্ট করে দেয়। আমি এমন একটি মেয়ের সাথে দেখা করেছি যার প্রেমে পড়েছি। সে অসাধারণ এবং আমার সমস্যাগুলি সমাধানে আমাকে সাহায্য করে, কিন্তু আমর"&amp;"া এটি নিয়ে আলোচনা করেছি যে যদি সে আমার এখানে থাকার এবং বেঁচে থাকার উপর নির্ভর করতে না পারে তবে দীর্ঘ ভবিষ্যতের পরিকল্পনা করা খুব কঠিন। আমি জানি এর দ্রুত সমাধান নেই, এবং আমি ধীরে ধীরে আমার সমস্যাগুলি নিয়ে কাজ করছি। কিন্তু এমন কোন পদ্ধতি আছে কি যা আমাকে এ"&amp;"ই আক্রমণগুলি কাটিয়ে উঠতে সাহায্য করতে পারে? আমার নিজস্ব কিছু পদ্ধতি আছে যা আমাকে সাহায্য করে, কিন্তু কেউ যদি এমন কোনও ধ্যান বা ঘটনা মেনে নেওয়ার উপায় বা পরামর্শ দিতে পারেন যা আমাকে শান্ত করতে পারে, তাহলে আমি সত্যিই কৃতজ্ঞ থাকব। আপনার সময় দেওয়ার জন্য ধ"&amp;"ন্যবাদ! TLDR; যখন আমার কোনও উদ্বেগের আক্রমণ হয় তখন নিজেকে শান্ত করার জন্য আমি কিছু সাহায্য চাই।")</f>
        <v>খারাপ চিন্তাভাবনা তৈরি করে এমন উদ্বেগের সাথে আমি কীভাবে মোকাবিলা করব? (কিছুটা উত্তেজনাকর হতে পারে) হ্যালো, Subreddit-এ নতুন, তাই যেকোনো অপরাধের জন্য দুঃখিত। ঠিক আছে, তাই বছরের পর বছর ধরে আমি ভেবেছিলাম যে আমার বিষণ্ণতা থাকবে কারণ আমার এই আত্মহত্যার চিন্তাভাবনা বারবার আসছিল। গত বছর আমাকে হাসপাতালে ভর্তি করা হয়েছিল, এবং একজন ডাক্তার আমাকে বলেছিলেন যে আমার যা আছে তা আসলে বিষণ্ণতা নয় বরং উদ্বেগ। এটা জানার পর আমি এটি পরিচালনা করতে অনেক ভালো হয়েছি এবং যেহেতু কম পর্বের সাথে আমি অনেক ভালো হয়েছি। এখন সমস্যা হল যে যদি আমি মানসিকতায় প্রবেশ করি তবে আমি দিনের পর দিন আত্মহত্যার চিন্তাভাবনা নিয়ে কাটিয়ে দিতে পারি এবং এটি সম্পর্ক নষ্ট করে দেয়। আমি এমন একটি মেয়ের সাথে দেখা করেছি যার প্রেমে পড়েছি। সে অসাধারণ এবং আমার সমস্যাগুলি সমাধানে আমাকে সাহায্য করে, কিন্তু আমরা এটি নিয়ে আলোচনা করেছি যে যদি সে আমার এখানে থাকার এবং বেঁচে থাকার উপর নির্ভর করতে না পারে তবে দীর্ঘ ভবিষ্যতের পরিকল্পনা করা খুব কঠিন। আমি জানি এর দ্রুত সমাধান নেই, এবং আমি ধীরে ধীরে আমার সমস্যাগুলি নিয়ে কাজ করছি। কিন্তু এমন কোন পদ্ধতি আছে কি যা আমাকে এই আক্রমণগুলি কাটিয়ে উঠতে সাহায্য করতে পারে? আমার নিজস্ব কিছু পদ্ধতি আছে যা আমাকে সাহায্য করে, কিন্তু কেউ যদি এমন কোনও ধ্যান বা ঘটনা মেনে নেওয়ার উপায় বা পরামর্শ দিতে পারেন যা আমাকে শান্ত করতে পারে, তাহলে আমি সত্যিই কৃতজ্ঞ থাকব। আপনার সময় দেওয়ার জন্য ধন্যবাদ! TLDR; যখন আমার কোনও উদ্বেগের আক্রমণ হয় তখন নিজেকে শান্ত করার জন্য আমি কিছু সাহায্য চাই।</v>
      </c>
    </row>
    <row r="2404" spans="1:3" ht="15" x14ac:dyDescent="0.25">
      <c r="A2404" s="3" t="s">
        <v>2397</v>
      </c>
      <c r="B2404" s="3" t="s">
        <v>1992</v>
      </c>
      <c r="C2404" s="4" t="str">
        <f ca="1">IFERROR(__xludf.DUMMYFUNCTION("GOOGLETRANSLATE(A2404, ""auto"", ""bn"")"),"আমি সাহায্য চাইনি কারণ আমি চিন্তিত যে আমি আমার উদ্বেগ এবং বিষণ্ণতাকে একজন খারাপ ব্যক্তি হওয়ার অজুহাত হিসেবে ব্যবহার করি। ২০০৮ সাল থেকে বিভিন্ন কারণে আমার উদ্বেগ এবং বিষণ্ণতার গুরুতর লক্ষণ দেখা দিয়েছে। তাছাড়া, আমি নিজেকে আঘাত করেছি এবং আমার সক্রিয়ভাবে আ"&amp;"ত্মহত্যার চিন্তাভাবনা আছে। আমার মা আমাকে গ্রেড স্কুল জুড়ে যে থেরাপিস্টদের দেখাতে বাধ্য করেছিলেন তা ছাড়া, আমি কখনও আমার পরিস্থিতি সম্পর্কে কোনও কাউন্সিলর বা চিকিৎসা পেশাদারের সাথে সক্রিয়ভাবে যোগাযোগ করিনি। এখানে বেশ কয়েকটি কারণ রয়েছে যেমন খরচ এবং থেরা"&amp;"পির প্রতি সাধারণ অনীহা (সম্ভবত আমার অভিজ্ঞতার কারণে), তবে প্রধানটি হল ভয়। এটি কাজ করবে না এই ভয় নয়, বরং এটি কাজ করবে এই ভয়। যখন আমি বিষণ্ণ থাকি না তখন আমি কে? যখন আমার উদ্বেগ থাকে না তখন আমি কীভাবে আমার দিন কাটাই? এই মানসিক অবস্থাগুলি চলমান লড়াই যা থ"&amp;"েকে কেউ কখনও সত্যিকার অর্থে মুক্তি পায় না, এগুলি বাস্তবসম্মত ধারণা নয়, আমি এটি জানি। এবং তবুও আমি চিন্তিত যে আমি যদি এগুলি নিয়ন্ত্রণ করতে পারি, তবুও আমি একজন ব্যক্তি হিসাবে পরিবর্তন হব না। আমি চিন্তিত যে আমি এখনও আমার বন্ধুদের অবহেলা করব, আমার দায়িত্ব "&amp;"এড়িয়ে যাব, এবং দিনে প্রায় ৬০ বার মিথ্যা বলবো, কারণ আমি আর জানি না। আমি চিন্তিত যে আমার স্বার্থপর আত্মা আমার মানসিক অসুস্থতার সুযোগ নিচ্ছে, যেগুলো অন্যরা এত বেশি ভুগছে যে তারা আসলে এর জন্য আত্মহত্যা করছে, এবং আমি এর উত্তর জানতে ভয় পাচ্ছি। যদি তা যথেষ্ট না"&amp;" হয়, তাহলে আমার নৈতিকতার উপর এর সম্ভাব্য নৃশংসতা সম্পর্কে আমার উদ্বেগ কেবল আমার আত্ম-বিদ্বেষ এবং আত্মহত্যার চিন্তাভাবনাকে আরও বাড়িয়ে তুলবে। এটি একটি দুষ্টচক্র যা থেকে আমি কীভাবে বেরিয়ে আসব জানি না, এবং আমি জানি না যে আমি এর যোগ্যও কিনা।")</f>
        <v>আমি সাহায্য চাইনি কারণ আমি চিন্তিত যে আমি আমার উদ্বেগ এবং বিষণ্ণতাকে একজন খারাপ ব্যক্তি হওয়ার অজুহাত হিসেবে ব্যবহার করি। ২০০৮ সাল থেকে বিভিন্ন কারণে আমার উদ্বেগ এবং বিষণ্ণতার গুরুতর লক্ষণ দেখা দিয়েছে। তাছাড়া, আমি নিজেকে আঘাত করেছি এবং আমার সক্রিয়ভাবে আত্মহত্যার চিন্তাভাবনা আছে। আমার মা আমাকে গ্রেড স্কুল জুড়ে যে থেরাপিস্টদের দেখাতে বাধ্য করেছিলেন তা ছাড়া, আমি কখনও আমার পরিস্থিতি সম্পর্কে কোনও কাউন্সিলর বা চিকিৎসা পেশাদারের সাথে সক্রিয়ভাবে যোগাযোগ করিনি। এখানে বেশ কয়েকটি কারণ রয়েছে যেমন খরচ এবং থেরাপির প্রতি সাধারণ অনীহা (সম্ভবত আমার অভিজ্ঞতার কারণে), তবে প্রধানটি হল ভয়। এটি কাজ করবে না এই ভয় নয়, বরং এটি কাজ করবে এই ভয়। যখন আমি বিষণ্ণ থাকি না তখন আমি কে? যখন আমার উদ্বেগ থাকে না তখন আমি কীভাবে আমার দিন কাটাই? এই মানসিক অবস্থাগুলি চলমান লড়াই যা থেকে কেউ কখনও সত্যিকার অর্থে মুক্তি পায় না, এগুলি বাস্তবসম্মত ধারণা নয়, আমি এটি জানি। এবং তবুও আমি চিন্তিত যে আমি যদি এগুলি নিয়ন্ত্রণ করতে পারি, তবুও আমি একজন ব্যক্তি হিসাবে পরিবর্তন হব না। আমি চিন্তিত যে আমি এখনও আমার বন্ধুদের অবহেলা করব, আমার দায়িত্ব এড়িয়ে যাব, এবং দিনে প্রায় ৬০ বার মিথ্যা বলবো, কারণ আমি আর জানি না। আমি চিন্তিত যে আমার স্বার্থপর আত্মা আমার মানসিক অসুস্থতার সুযোগ নিচ্ছে, যেগুলো অন্যরা এত বেশি ভুগছে যে তারা আসলে এর জন্য আত্মহত্যা করছে, এবং আমি এর উত্তর জানতে ভয় পাচ্ছি। যদি তা যথেষ্ট না হয়, তাহলে আমার নৈতিকতার উপর এর সম্ভাব্য নৃশংসতা সম্পর্কে আমার উদ্বেগ কেবল আমার আত্ম-বিদ্বেষ এবং আত্মহত্যার চিন্তাভাবনাকে আরও বাড়িয়ে তুলবে। এটি একটি দুষ্টচক্র যা থেকে আমি কীভাবে বেরিয়ে আসব জানি না, এবং আমি জানি না যে আমি এর যোগ্যও কিনা।</v>
      </c>
    </row>
    <row r="2405" spans="1:3" ht="15" x14ac:dyDescent="0.25">
      <c r="A2405" s="3" t="s">
        <v>2398</v>
      </c>
      <c r="B2405" s="3" t="s">
        <v>1992</v>
      </c>
      <c r="C2405" s="4" t="str">
        <f ca="1">IFERROR(__xludf.DUMMYFUNCTION("GOOGLETRANSLATE(A2405, ""auto"", ""bn"")"),"ছোট বাচ্চাদের উদ্বিগ্ন বাবা, ক্রোনের রোগ, এবং অস্তিত্বহীন ক্ষুধা। তাই, আমার দ্বিধা এখানেই। আমি ৫ এবং ৩ বছর বয়সী দুটি সুন্দরী ছোট মেয়ের বাবা। সবকিছুই দুর্দান্ত এবং আমি একজন বাবা হতে ভালোবাসি। তবে কোনও কারণে, যখনই মেয়েরা অসুস্থ হয় বা যেকোনো কিছু (ঠান্ডা"&amp;", ফ্লু, পেটের পোকামাকড়, যাই হোক না কেন) নিয়ে অসুস্থ হয়ে পড়ে, তখন এটি আমার তীব্র উদ্বেগের কারণ হয়। আমি খুব উদ্বিগ্ন হয়ে পড়ি, কারণ আমি জানি না যে তারা অসুস্থ হলে কীভাবে তাদের সাহায্য করব, তবে, আমি এই মুহূর্তে সত্যিই আতঙ্কিত হই না, এবং আমি পালিয়ে যাও"&amp;"য়ার চেষ্টাও করি না... আমি কেবল নীরবে কষ্ট সহ্য করি এবং যা কিছু পরিচালনা করা দরকার তা পরিচালনা করি। আমার উদ্বেগের অভ্যন্তরীণ পার্শ্ব প্রতিক্রিয়া হল যে আমার শরীর মূলত সঠিকভাবে কাজ করা বন্ধ করে দেয়। আমি আমার ক্ষুধা ১০০% হারিয়ে ফেলি, আমি এক সপ্তাহ বা তার ব"&amp;"েশি সময় ধরে না খাওয়ার প্রবণতা রাখি। এবং শেষ পর্যন্ত আমার ওজন অনেক কমে যায়। একটি নির্দিষ্ট চক্রে আমি ১৬০ পাউন্ড থেকে ১৮৫ পাউন্ড পর্যন্ত ওঠানামা করি। যখন সবকিছু উদ্বেগমুক্ত থাকে, তখন উদ্বেগ শুরু হওয়ার সাথে সাথে আমার খাদ্যাভ্যাস সম্পূর্ণ স্বাভাবিক হয়ে য"&amp;"ায়, এটি খাবারের উপর 100% বর্জন... যেমন, আমি চাইলেও নিজেকে জোর করে খেতে পারতাম না... এটাও উল্লেখ করার মতো যে আমারও ক্রোনের রোগ আছে। আমার মনে হয় যখন আমার উদ্বেগ হয় তখন ক্রোনের প্রদাহ বেড়ে যায় এবং বিপরীতভাবে (ক্রোনের সমস্যা শুরু হলে উদ্বেগ)। আমি বেশিরভা"&amp;"গ সময় খাদ্য বনাম ওষুধ দিয়ে আমার ক্রোনের সিস্টেম পরিচালনা করি। তদুপরি, আমি একটি উদ্বেগের ঔষধ (bu spar) গ্রহণ করি, যা কখনও কখনও সাহায্য করে বলে মনে হয়, কিন্তু বেশিরভাগ সময় আমার উদ্বেগ নিয়ন্ত্রণে মোটেও সাহায্য করে বলে মনে হয় না। তদুপরি, আমার মনে হয় আম"&amp;"ি একই রকম সমস্যায় ভুগছেন এমন কারো জন্য Subreddits অনুসন্ধান করেছি, কিন্তু আমি আসলে খুব বেশি কিছু দেখিনি। অন্য কেউ কি এরকম কিছু অনুভব করে? নাকি শিশুদের অসুস্থতার সাথে তীব্র উদ্বেগ? তুমি কীভাবে মোকাবেলা করো? আমি সম্প্রতি নিজেকে এই বলে মোকাবেলা করার চেষ্টা "&amp;"করছি যে ""সবকিছু ঠিকঠাক হয়ে যাবে, বাচ্চারা অসুস্থ হয়ে পড়বে এবং এটি এমনই হবে।"" এবং ""আমরা এর মধ্য দিয়ে যাব, কারণ আমরা সবসময় এর মধ্য দিয়ে যাব"" এবং ""বছরের ৩৬৫ দিনের মধ্যে একটি অসুস্থ দিন, পৃথিবীর শেষ নয়""। কখনও কখনও এটি সাহায্য করে বলে মনে হয়, কখন"&amp;"ও কখনও হয় না। সৌভাগ্যবশত, আমার একজন খুব সহায়ক স্ত্রী আছেন যিনি সর্বদা হস্তক্ষেপ করতে এবং অতিরিক্ত কিছু করতে ইচ্ছুক থাকেন যখন আমি কখনও কখনও জিনিসগুলি পরিচালনা করতে পারি না। আমি এর জন্য খুব কৃতজ্ঞ, কিন্তু কিছু পরিস্থিতিতে আমার নিজের মতো থাকতে না পারার অক্"&amp;"ষমতা কেবল উদ্বেগকে বাড়িয়ে তোলে। এই বিষয়ে যেকোনো চিন্তাভাবনা বা প্রতিক্রিয়ার জন্য কৃতজ্ঞ। ধন্যবাদ সহ-উদ্বিগ্ন মানুষদের!")</f>
        <v>ছোট বাচ্চাদের উদ্বিগ্ন বাবা, ক্রোনের রোগ, এবং অস্তিত্বহীন ক্ষুধা। তাই, আমার দ্বিধা এখানেই। আমি ৫ এবং ৩ বছর বয়সী দুটি সুন্দরী ছোট মেয়ের বাবা। সবকিছুই দুর্দান্ত এবং আমি একজন বাবা হতে ভালোবাসি। তবে কোনও কারণে, যখনই মেয়েরা অসুস্থ হয় বা যেকোনো কিছু (ঠান্ডা, ফ্লু, পেটের পোকামাকড়, যাই হোক না কেন) নিয়ে অসুস্থ হয়ে পড়ে, তখন এটি আমার তীব্র উদ্বেগের কারণ হয়। আমি খুব উদ্বিগ্ন হয়ে পড়ি, কারণ আমি জানি না যে তারা অসুস্থ হলে কীভাবে তাদের সাহায্য করব, তবে, আমি এই মুহূর্তে সত্যিই আতঙ্কিত হই না, এবং আমি পালিয়ে যাওয়ার চেষ্টাও করি না... আমি কেবল নীরবে কষ্ট সহ্য করি এবং যা কিছু পরিচালনা করা দরকার তা পরিচালনা করি। আমার উদ্বেগের অভ্যন্তরীণ পার্শ্ব প্রতিক্রিয়া হল যে আমার শরীর মূলত সঠিকভাবে কাজ করা বন্ধ করে দেয়। আমি আমার ক্ষুধা ১০০% হারিয়ে ফেলি, আমি এক সপ্তাহ বা তার বেশি সময় ধরে না খাওয়ার প্রবণতা রাখি। এবং শেষ পর্যন্ত আমার ওজন অনেক কমে যায়। একটি নির্দিষ্ট চক্রে আমি ১৬০ পাউন্ড থেকে ১৮৫ পাউন্ড পর্যন্ত ওঠানামা করি। যখন সবকিছু উদ্বেগমুক্ত থাকে, তখন উদ্বেগ শুরু হওয়ার সাথে সাথে আমার খাদ্যাভ্যাস সম্পূর্ণ স্বাভাবিক হয়ে যায়, এটি খাবারের উপর 100% বর্জন... যেমন, আমি চাইলেও নিজেকে জোর করে খেতে পারতাম না... এটাও উল্লেখ করার মতো যে আমারও ক্রোনের রোগ আছে। আমার মনে হয় যখন আমার উদ্বেগ হয় তখন ক্রোনের প্রদাহ বেড়ে যায় এবং বিপরীতভাবে (ক্রোনের সমস্যা শুরু হলে উদ্বেগ)। আমি বেশিরভাগ সময় খাদ্য বনাম ওষুধ দিয়ে আমার ক্রোনের সিস্টেম পরিচালনা করি। তদুপরি, আমি একটি উদ্বেগের ঔষধ (bu spar) গ্রহণ করি, যা কখনও কখনও সাহায্য করে বলে মনে হয়, কিন্তু বেশিরভাগ সময় আমার উদ্বেগ নিয়ন্ত্রণে মোটেও সাহায্য করে বলে মনে হয় না। তদুপরি, আমার মনে হয় আমি একই রকম সমস্যায় ভুগছেন এমন কারো জন্য Subreddits অনুসন্ধান করেছি, কিন্তু আমি আসলে খুব বেশি কিছু দেখিনি। অন্য কেউ কি এরকম কিছু অনুভব করে? নাকি শিশুদের অসুস্থতার সাথে তীব্র উদ্বেগ? তুমি কীভাবে মোকাবেলা করো? আমি সম্প্রতি নিজেকে এই বলে মোকাবেলা করার চেষ্টা করছি যে "সবকিছু ঠিকঠাক হয়ে যাবে, বাচ্চারা অসুস্থ হয়ে পড়বে এবং এটি এমনই হবে।" এবং "আমরা এর মধ্য দিয়ে যাব, কারণ আমরা সবসময় এর মধ্য দিয়ে যাব" এবং "বছরের ৩৬৫ দিনের মধ্যে একটি অসুস্থ দিন, পৃথিবীর শেষ নয়"। কখনও কখনও এটি সাহায্য করে বলে মনে হয়, কখনও কখনও হয় না। সৌভাগ্যবশত, আমার একজন খুব সহায়ক স্ত্রী আছেন যিনি সর্বদা হস্তক্ষেপ করতে এবং অতিরিক্ত কিছু করতে ইচ্ছুক থাকেন যখন আমি কখনও কখনও জিনিসগুলি পরিচালনা করতে পারি না। আমি এর জন্য খুব কৃতজ্ঞ, কিন্তু কিছু পরিস্থিতিতে আমার নিজের মতো থাকতে না পারার অক্ষমতা কেবল উদ্বেগকে বাড়িয়ে তোলে। এই বিষয়ে যেকোনো চিন্তাভাবনা বা প্রতিক্রিয়ার জন্য কৃতজ্ঞ। ধন্যবাদ সহ-উদ্বিগ্ন মানুষদের!</v>
      </c>
    </row>
    <row r="2406" spans="1:3" ht="15" x14ac:dyDescent="0.25">
      <c r="A2406" s="3" t="s">
        <v>2399</v>
      </c>
      <c r="B2406" s="3" t="s">
        <v>1992</v>
      </c>
      <c r="C2406" s="4" t="str">
        <f ca="1">IFERROR(__xludf.DUMMYFUNCTION("GOOGLETRANSLATE(A2406, ""auto"", ""bn"")"),"ইনস্টাগ্রাম মুছে ফেলা হয়েছে আমি আমার ইনস্টাগ্রাম অ্যাকাউন্ট মুছে ফেলেছি। আমার মনে হচ্ছে এটি আমার উদ্বেগের কারণ। আমি ইতিমধ্যেই স্বস্তি বোধ করছি।")</f>
        <v>ইনস্টাগ্রাম মুছে ফেলা হয়েছে আমি আমার ইনস্টাগ্রাম অ্যাকাউন্ট মুছে ফেলেছি। আমার মনে হচ্ছে এটি আমার উদ্বেগের কারণ। আমি ইতিমধ্যেই স্বস্তি বোধ করছি।</v>
      </c>
    </row>
    <row r="2407" spans="1:3" ht="15" x14ac:dyDescent="0.25">
      <c r="A2407" s="3" t="s">
        <v>2400</v>
      </c>
      <c r="B2407" s="3" t="s">
        <v>1992</v>
      </c>
      <c r="C2407" s="4" t="str">
        <f ca="1">IFERROR(__xludf.DUMMYFUNCTION("GOOGLETRANSLATE(A2407, ""auto"", ""bn"")"),"ক্রমাগত খারাপ হচ্ছে। আমার মনে হয় আমার তীব্র (সামাজিক) উদ্বেগ আছে, বিশেষ করে অ্যাগোরাফোবিয়া। সাম্প্রতিক বছরগুলিতে এটি ঘটেছে, এবং মনে হচ্ছে এটি আরও খারাপ হচ্ছে। আমি আমার সমস্ত বন্ধুদের সাথে একটি ছোট শহরে বড় হয়েছি এবং আমার স্কুল-বছর জুড়ে খুব জনপ্রিয় ছি"&amp;"লাম। আমি 3 বছর আগে পড়াশোনা করার জন্য শহরে চলে এসেছিলাম, যখন আমার সমস্ত বন্ধুরা রয়ে গিয়েছিল। নতুন বন্ধুত্বের সাথে সম্পর্ক স্থাপন করা কঠিন ছিল, কারণ আমি সবসময় সপ্তাহান্তে আমার পুরানো বন্ধুদের সাথে দেখা করতে যেতাম। আমার জন্য উদ্বেগের বিষয়টি ক্লাস উপস্থা"&amp;"পনা দিয়ে শুরু হয়েছিল, তারপর ক্লাসের সময় কোনও শিক্ষক আমাকে একটি সহজ প্রশ্ন জিজ্ঞাসা করলে চরম নার্ভাসনে পরিণত হয়েছিল। এই পরিস্থিতিতে আমি অতিরিক্ত ঘামবো, যা খুবই স্পষ্ট এবং বিব্রতকর। আমি এই ক্রিসমাসে একটি অসুস্থতার ভান করেছি, যদিও এটি শুধুমাত্র আমার পরিব"&amp;"ারের সদস্যদের জন্য রাখা হয়েছিল, বিশেষ কিছু নয়। আমি কেবল রাতের খাবার খেতে ঘাবড়ে যাই, কারণ আমি পাগলের মতো ঘামতে শুরু করব। এটা পাগলামি, আমি আমার পরিবারের সদস্যদের সাথে কথা বলতে নার্ভাস হয়ে যাই, মানে এটা কখন এতদূর এসেছে, এবং কোথায় যাচ্ছে? অতীতের ঘটনাগুলি"&amp;"র কারণে আমার কিছু পরিস্থিতির প্রতি প্রচণ্ড ভয় আছে, এবং এটি আমার মাথার মধ্যেই থাকে - আমি কেবল এটি বের করতে পারি না। আমি জানি যে আমি একজন সুদর্শন মানুষ, আমি ভালোবাসা পাই, বুদ্ধিমান এবং প্রচুর লোক আমার দিকে তাকায়, তাই এই সব হাস্যকর। এটি এমন পর্যায়ে এসে পৌ"&amp;"ঁছেছে যেখানে এটি আমার মেজাজ, গ্রেড, সামাজিক জীবনকে প্রভাবিত করে এবং আমি নিজেকে সর্বদা ক্লান্ত মনে করি। আমি যদি আমার জীবনের শেষ 3 বছর মুছে ফেলতে পারতাম কারণ এটি আমার মতো নয়, এবং আমার কাছে এর সাক্ষ্য দেওয়ার জন্য লোক আছে। মাঝে মাঝে আমি নিজেকে লোকেদের বোঝান"&amp;"োর চেষ্টা করি যে আমি অন্তত তাদের মতোই শান্ত এবং জনপ্রিয়, কিন্তু তারা আমার সম্পর্কে যা দেখেছে তা থেকে কীভাবে জানবে? আমি শুনেছি সিগারেট, অ্যালকোহল এবং কফি উদ্বেগ-উদ্দীপক, কিন্তু আমি এই জিনিসগুলি ATM ছেড়ে দেওয়ার প্রেরণা খুঁজে পাচ্ছি না। আমি জানি এটি ক্লিক"&amp;"?? কিন্তু তোমাদের মধ্যে কেউ কি আসলেই এমন কিছু খুঁজে পেয়েছে যা সাহায্য করতে পারে? অতিরিক্ত ঘাম সবচেয়ে খারাপ অংশ, এবং এই পুরো উদ্বেগ-জিনিসটি আসলে একটি দুষ্ট চক্র।")</f>
        <v>ক্রমাগত খারাপ হচ্ছে। আমার মনে হয় আমার তীব্র (সামাজিক) উদ্বেগ আছে, বিশেষ করে অ্যাগোরাফোবিয়া। সাম্প্রতিক বছরগুলিতে এটি ঘটেছে, এবং মনে হচ্ছে এটি আরও খারাপ হচ্ছে। আমি আমার সমস্ত বন্ধুদের সাথে একটি ছোট শহরে বড় হয়েছি এবং আমার স্কুল-বছর জুড়ে খুব জনপ্রিয় ছিলাম। আমি 3 বছর আগে পড়াশোনা করার জন্য শহরে চলে এসেছিলাম, যখন আমার সমস্ত বন্ধুরা রয়ে গিয়েছিল। নতুন বন্ধুত্বের সাথে সম্পর্ক স্থাপন করা কঠিন ছিল, কারণ আমি সবসময় সপ্তাহান্তে আমার পুরানো বন্ধুদের সাথে দেখা করতে যেতাম। আমার জন্য উদ্বেগের বিষয়টি ক্লাস উপস্থাপনা দিয়ে শুরু হয়েছিল, তারপর ক্লাসের সময় কোনও শিক্ষক আমাকে একটি সহজ প্রশ্ন জিজ্ঞাসা করলে চরম নার্ভাসনে পরিণত হয়েছিল। এই পরিস্থিতিতে আমি অতিরিক্ত ঘামবো, যা খুবই স্পষ্ট এবং বিব্রতকর। আমি এই ক্রিসমাসে একটি অসুস্থতার ভান করেছি, যদিও এটি শুধুমাত্র আমার পরিবারের সদস্যদের জন্য রাখা হয়েছিল, বিশেষ কিছু নয়। আমি কেবল রাতের খাবার খেতে ঘাবড়ে যাই, কারণ আমি পাগলের মতো ঘামতে শুরু করব। এটা পাগলামি, আমি আমার পরিবারের সদস্যদের সাথে কথা বলতে নার্ভাস হয়ে যাই, মানে এটা কখন এতদূর এসেছে, এবং কোথায় যাচ্ছে? অতীতের ঘটনাগুলির কারণে আমার কিছু পরিস্থিতির প্রতি প্রচণ্ড ভয় আছে, এবং এটি আমার মাথার মধ্যেই থাকে - আমি কেবল এটি বের করতে পারি না। আমি জানি যে আমি একজন সুদর্শন মানুষ, আমি ভালোবাসা পাই, বুদ্ধিমান এবং প্রচুর লোক আমার দিকে তাকায়, তাই এই সব হাস্যকর। এটি এমন পর্যায়ে এসে পৌঁছেছে যেখানে এটি আমার মেজাজ, গ্রেড, সামাজিক জীবনকে প্রভাবিত করে এবং আমি নিজেকে সর্বদা ক্লান্ত মনে করি। আমি যদি আমার জীবনের শেষ 3 বছর মুছে ফেলতে পারতাম কারণ এটি আমার মতো নয়, এবং আমার কাছে এর সাক্ষ্য দেওয়ার জন্য লোক আছে। মাঝে মাঝে আমি নিজেকে লোকেদের বোঝানোর চেষ্টা করি যে আমি অন্তত তাদের মতোই শান্ত এবং জনপ্রিয়, কিন্তু তারা আমার সম্পর্কে যা দেখেছে তা থেকে কীভাবে জানবে? আমি শুনেছি সিগারেট, অ্যালকোহল এবং কফি উদ্বেগ-উদ্দীপক, কিন্তু আমি এই জিনিসগুলি ATM ছেড়ে দেওয়ার প্রেরণা খুঁজে পাচ্ছি না। আমি জানি এটি ক্লিক?? কিন্তু তোমাদের মধ্যে কেউ কি আসলেই এমন কিছু খুঁজে পেয়েছে যা সাহায্য করতে পারে? অতিরিক্ত ঘাম সবচেয়ে খারাপ অংশ, এবং এই পুরো উদ্বেগ-জিনিসটি আসলে একটি দুষ্ট চক্র।</v>
      </c>
    </row>
    <row r="2408" spans="1:3" ht="15" x14ac:dyDescent="0.25">
      <c r="A2408" s="3" t="s">
        <v>2401</v>
      </c>
      <c r="B2408" s="3" t="s">
        <v>1992</v>
      </c>
      <c r="C2408" s="4" t="str">
        <f ca="1">IFERROR(__xludf.DUMMYFUNCTION("GOOGLETRANSLATE(A2408, ""auto"", ""bn"")"),"সবচেয়ে খারাপ উদ্বেগের আক্রমণ - 'বেঞ্জ ক্র্যাশ' গত কয়েক সপ্তাহ ধরে প্রতিদিন ভ্যালিয়াম গ্রহণ করছি, প্রায় ৫ সপ্তাহ ধরে, আমি বলবো যে এটি সাধারণ উদ্বেগের জন্য খারাপ। আমি অন্য দিন বন্ধ করে দিয়েছি। দৃশ্যত এটি আসক্ত হওয়ার জন্য যথেষ্ট সময় নয়, (আমার মনে হয়"&amp;" না আমি আছি) কিন্তু আমি সারা রাত জেগে ছিলাম ঘামছিলাম এবং কাঁপছিলাম এবং আমার হৃদস্পন্দন পাগল হয়ে গিয়েছিল, আমি অসুস্থ বোধ করছিলাম, এবং এটি এমন যে আমি যা নিয়ে উদ্বিগ্ন ছিলাম তা একবারে এবং বহুগুণে আমাকে আঘাত করছে। আমি উদ্বেগ, ওষুধ, থেরাপি, মধ্যস্থতা, ডায়ে"&amp;"ট, ব্যায়ামের জন্য সবকিছু চেষ্টা করেছি, এবং ভ্যালিয়ামই একমাত্র জিনিস যার লক্ষণীয় প্রভাব ছিল, কিন্তু মনে হচ্ছে এটি পরিস্থিতি আরও খারাপ করেছে। আমি আগেও এটি অনেকবার গ্রহণ করেছি এবং এটি কখনও হয়নি, সাধারণত এটি স্বাভাবিক অবস্থায় ফিরে আসে। আমি জানি না কীভাবে"&amp;" আরও প্রেসক্রিপশন না দিয়ে এটি বন্ধ করা যায়। যাইহোক, এটি শেষের দিকেও কাজ করছিল না এবং আমি নিজেকে একটি উচ্চ মাত্রা গ্রহণ করতে এবং তারপর দ্রুত শেষ হয়ে যেতে দেখেছি। (আমি জানি আমার এটা করা উচিত নয়) এটা বন্ধ করার জন্য, অথবা স্বাভাবিক অবস্থায় ফিরে আসার প্রক"&amp;"্রিয়াটি দ্রুত করার জন্য আমি কি কিছু করতে পারি? আমি ডাক্তারকে ফোন করব, কিন্তু আমি খুব বেশি খারাপ অবস্থায় আছি, এবং আমি চিন্তিত যে তারা ভাবছে আমি বোকামি করছি, অথবা হয়তো তারা আমাকে আরও বেশি কিছু দেবে, এবং আমার মনে হয় না আমি নিজেকে নিয়ন্ত্রণ করতে পারব। এট"&amp;"া সব মানসিক হতে পারে, কিন্তু যেকোনোভাবেই এটা ভয়াবহ?")</f>
        <v>সবচেয়ে খারাপ উদ্বেগের আক্রমণ - 'বেঞ্জ ক্র্যাশ' গত কয়েক সপ্তাহ ধরে প্রতিদিন ভ্যালিয়াম গ্রহণ করছি, প্রায় ৫ সপ্তাহ ধরে, আমি বলবো যে এটি সাধারণ উদ্বেগের জন্য খারাপ। আমি অন্য দিন বন্ধ করে দিয়েছি। দৃশ্যত এটি আসক্ত হওয়ার জন্য যথেষ্ট সময় নয়, (আমার মনে হয় না আমি আছি) কিন্তু আমি সারা রাত জেগে ছিলাম ঘামছিলাম এবং কাঁপছিলাম এবং আমার হৃদস্পন্দন পাগল হয়ে গিয়েছিল, আমি অসুস্থ বোধ করছিলাম, এবং এটি এমন যে আমি যা নিয়ে উদ্বিগ্ন ছিলাম তা একবারে এবং বহুগুণে আমাকে আঘাত করছে। আমি উদ্বেগ, ওষুধ, থেরাপি, মধ্যস্থতা, ডায়েট, ব্যায়ামের জন্য সবকিছু চেষ্টা করেছি, এবং ভ্যালিয়ামই একমাত্র জিনিস যার লক্ষণীয় প্রভাব ছিল, কিন্তু মনে হচ্ছে এটি পরিস্থিতি আরও খারাপ করেছে। আমি আগেও এটি অনেকবার গ্রহণ করেছি এবং এটি কখনও হয়নি, সাধারণত এটি স্বাভাবিক অবস্থায় ফিরে আসে। আমি জানি না কীভাবে আরও প্রেসক্রিপশন না দিয়ে এটি বন্ধ করা যায়। যাইহোক, এটি শেষের দিকেও কাজ করছিল না এবং আমি নিজেকে একটি উচ্চ মাত্রা গ্রহণ করতে এবং তারপর দ্রুত শেষ হয়ে যেতে দেখেছি। (আমি জানি আমার এটা করা উচিত নয়) এটা বন্ধ করার জন্য, অথবা স্বাভাবিক অবস্থায় ফিরে আসার প্রক্রিয়াটি দ্রুত করার জন্য আমি কি কিছু করতে পারি? আমি ডাক্তারকে ফোন করব, কিন্তু আমি খুব বেশি খারাপ অবস্থায় আছি, এবং আমি চিন্তিত যে তারা ভাবছে আমি বোকামি করছি, অথবা হয়তো তারা আমাকে আরও বেশি কিছু দেবে, এবং আমার মনে হয় না আমি নিজেকে নিয়ন্ত্রণ করতে পারব। এটা সব মানসিক হতে পারে, কিন্তু যেকোনোভাবেই এটা ভয়াবহ?</v>
      </c>
    </row>
    <row r="2409" spans="1:3" ht="15" x14ac:dyDescent="0.25">
      <c r="A2409" s="3" t="s">
        <v>2402</v>
      </c>
      <c r="B2409" s="3" t="s">
        <v>1992</v>
      </c>
      <c r="C2409" s="4" t="str">
        <f ca="1">IFERROR(__xludf.DUMMYFUNCTION("GOOGLETRANSLATE(A2409, ""auto"", ""bn"")"),"আমি আমার কম্পিউটারকে মাথা থেকে বের করতে পারছি না। সম্ভবত এটিই সবচেয়ে বোকামি যা নিয়ে কেউ চিন্তিত হতে পারে। গত জুন থেকে, আমার কম্পিউটারে কিছু শারীরিক সমস্যা ছিল এবং তারপর থেকে আমি কেবল চিন্তায় থাকি যে পরে কী হতে পারে। আমি জানি এটি কেবল একটি মোটামুটি পুরা"&amp;"নো কম্পিউটার, এবং আমি সম্ভবত যন্ত্রাংশ প্রতিস্থাপন করতে সক্ষম, কিন্তু জিনিসগুলি ভেঙে যেতে শুরু করার চিন্তা আমাকে খুব পীড়া দেয়। প্রতিটি সন্দেহজনক শব্দ, যা 90% সময় সিস্টেম থেকেও আসে না, কেবল আমাকে চিন্তায় ফেলে দেয় এবং এর জন্য আমি নিজেকে ঘৃণা করি।")</f>
        <v>আমি আমার কম্পিউটারকে মাথা থেকে বের করতে পারছি না। সম্ভবত এটিই সবচেয়ে বোকামি যা নিয়ে কেউ চিন্তিত হতে পারে। গত জুন থেকে, আমার কম্পিউটারে কিছু শারীরিক সমস্যা ছিল এবং তারপর থেকে আমি কেবল চিন্তায় থাকি যে পরে কী হতে পারে। আমি জানি এটি কেবল একটি মোটামুটি পুরানো কম্পিউটার, এবং আমি সম্ভবত যন্ত্রাংশ প্রতিস্থাপন করতে সক্ষম, কিন্তু জিনিসগুলি ভেঙে যেতে শুরু করার চিন্তা আমাকে খুব পীড়া দেয়। প্রতিটি সন্দেহজনক শব্দ, যা 90% সময় সিস্টেম থেকেও আসে না, কেবল আমাকে চিন্তায় ফেলে দেয় এবং এর জন্য আমি নিজেকে ঘৃণা করি।</v>
      </c>
    </row>
    <row r="2410" spans="1:3" ht="15" x14ac:dyDescent="0.25">
      <c r="A2410" s="3" t="s">
        <v>2403</v>
      </c>
      <c r="B2410" s="3" t="s">
        <v>1992</v>
      </c>
      <c r="C2410" s="4" t="str">
        <f ca="1">IFERROR(__xludf.DUMMYFUNCTION("GOOGLETRANSLATE(A2410, ""auto"", ""bn"")"),"কারো কি learn এর অভিজ্ঞতা আছে? আমার কিছু খুব বিরক্তিকর পার্শ্বপ্রতিক্রিয়া হচ্ছে। আমি এই বিষয়ে দুজন ডাক্তারের কাছে গিয়েছি, এবং তারা কখন এটি চলে যাবে সে সম্পর্কে আমাকে স্পষ্ট উত্তর দেননি। তাছাড়া, আমাকে প্রতিদিন 10 মিলিগ্রাম learn লিখে দেওয়া হয়েছিল, আম"&amp;"ি প্রায় দুই সপ্তাহ ধরে প্রতিদিন পাঁচটি করে নিচ্ছিলাম, যখন রাতে আমার হ্যামস্ট্রিংয়ে কিছুটা টানটানতা লক্ষ্য করলাম। দ্বিতীয় সপ্তাহে এটি প্রায় অসহনীয় হ্যামস্ট্রিং টানটানতা/রাতে ব্যথার সাথে সাথে ফ্লুর মতো বমি বমি ভাব এবং জয়েন্টগুলোতে ব্যথা এবং ফাটল অনুভব"&amp;" করলাম। আমি প্রায় দুই দিন ধরে বিছানায় শুয়ে ছিলাম যখন আমি এটি গ্রহণ বন্ধ করার সিদ্ধান্ত নিলাম। আমি এই ওষুধটি খুব ঘৃণা করি। তাছাড়া, আমি প্রায় দেড় সপ্তাহ ধরে বন্ধ করে দিয়েছি এবং রাতের অদ্ভুত গভীর হ্যামস্ট্রিং ব্যথা এখনও চলছে, এবং গত রাতে আবার খারাপ হয"&amp;"়ে গেছে। সময়ের কারণে আমি ভাবতেও পারছি না যে এটি learn ছাড়া আর কিছু হতে পারে, কিন্তু আমি খুব কম ঘুমাচ্ছি এবং বেশ বিরক্ত। এটি এত ভয়াবহ এবং অদ্ভুত গভীর ব্যথা যে এটি আমাকে পাগল করে দিচ্ছে। যদি কেউ একবার বুঝতে পারে এবং আমাকে জানাতে পারে তবে আমি অনেক ভালো বো"&amp;"ধ করব। আমি আর কখনও SSRI নেব না।")</f>
        <v>কারো কি learn এর অভিজ্ঞতা আছে? আমার কিছু খুব বিরক্তিকর পার্শ্বপ্রতিক্রিয়া হচ্ছে। আমি এই বিষয়ে দুজন ডাক্তারের কাছে গিয়েছি, এবং তারা কখন এটি চলে যাবে সে সম্পর্কে আমাকে স্পষ্ট উত্তর দেননি। তাছাড়া, আমাকে প্রতিদিন 10 মিলিগ্রাম learn লিখে দেওয়া হয়েছিল, আমি প্রায় দুই সপ্তাহ ধরে প্রতিদিন পাঁচটি করে নিচ্ছিলাম, যখন রাতে আমার হ্যামস্ট্রিংয়ে কিছুটা টানটানতা লক্ষ্য করলাম। দ্বিতীয় সপ্তাহে এটি প্রায় অসহনীয় হ্যামস্ট্রিং টানটানতা/রাতে ব্যথার সাথে সাথে ফ্লুর মতো বমি বমি ভাব এবং জয়েন্টগুলোতে ব্যথা এবং ফাটল অনুভব করলাম। আমি প্রায় দুই দিন ধরে বিছানায় শুয়ে ছিলাম যখন আমি এটি গ্রহণ বন্ধ করার সিদ্ধান্ত নিলাম। আমি এই ওষুধটি খুব ঘৃণা করি। তাছাড়া, আমি প্রায় দেড় সপ্তাহ ধরে বন্ধ করে দিয়েছি এবং রাতের অদ্ভুত গভীর হ্যামস্ট্রিং ব্যথা এখনও চলছে, এবং গত রাতে আবার খারাপ হয়ে গেছে। সময়ের কারণে আমি ভাবতেও পারছি না যে এটি learn ছাড়া আর কিছু হতে পারে, কিন্তু আমি খুব কম ঘুমাচ্ছি এবং বেশ বিরক্ত। এটি এত ভয়াবহ এবং অদ্ভুত গভীর ব্যথা যে এটি আমাকে পাগল করে দিচ্ছে। যদি কেউ একবার বুঝতে পারে এবং আমাকে জানাতে পারে তবে আমি অনেক ভালো বোধ করব। আমি আর কখনও SSRI নেব না।</v>
      </c>
    </row>
    <row r="2411" spans="1:3" ht="15" x14ac:dyDescent="0.25">
      <c r="A2411" s="3" t="s">
        <v>2404</v>
      </c>
      <c r="B2411" s="3" t="s">
        <v>1992</v>
      </c>
      <c r="C2411" s="4" t="str">
        <f ca="1">IFERROR(__xludf.DUMMYFUNCTION("GOOGLETRANSLATE(A2411, ""auto"", ""bn"")"),"তোমার কি মুখ থেকে মুখ বের করতে ইচ্ছে করছে? হে বন্ধুরা, আমার একটু মনোযোগ নষ্ট করার দরকার আছে এবং আমি কারো সাথে কথা বলতে চাই। যদি মুখ থেকে মুখ বের করতে ইচ্ছে করে অথবা জোরে জোরে মনে হয়, তাহলে আমাকে একটা PM পাঠাও এবং শুরু করো,")</f>
        <v>তোমার কি মুখ থেকে মুখ বের করতে ইচ্ছে করছে? হে বন্ধুরা, আমার একটু মনোযোগ নষ্ট করার দরকার আছে এবং আমি কারো সাথে কথা বলতে চাই। যদি মুখ থেকে মুখ বের করতে ইচ্ছে করে অথবা জোরে জোরে মনে হয়, তাহলে আমাকে একটা PM পাঠাও এবং শুরু করো,</v>
      </c>
    </row>
    <row r="2412" spans="1:3" ht="15" x14ac:dyDescent="0.25">
      <c r="A2412" s="3" t="s">
        <v>2405</v>
      </c>
      <c r="B2412" s="3" t="s">
        <v>1992</v>
      </c>
      <c r="C2412" s="4" t="str">
        <f ca="1">IFERROR(__xludf.DUMMYFUNCTION("GOOGLETRANSLATE(A2412, ""auto"", ""bn"")"),"কেউ কি এতটা উদ্বিগ্ন বোধ করে যে বমি করতে ইচ্ছে করে? এটা আমার সাথে প্রতিদিন ঘটে, আর আমি জানি না আমার উদ্বেগ কোথা থেকে আসছে।")</f>
        <v>কেউ কি এতটা উদ্বিগ্ন বোধ করে যে বমি করতে ইচ্ছে করে? এটা আমার সাথে প্রতিদিন ঘটে, আর আমি জানি না আমার উদ্বেগ কোথা থেকে আসছে।</v>
      </c>
    </row>
    <row r="2413" spans="1:3" ht="15" x14ac:dyDescent="0.25">
      <c r="A2413" s="3" t="s">
        <v>2406</v>
      </c>
      <c r="B2413" s="3" t="s">
        <v>1992</v>
      </c>
      <c r="C2413" s="4" t="str">
        <f ca="1">IFERROR(__xludf.DUMMYFUNCTION("GOOGLETRANSLATE(A2413, ""auto"", ""bn"")"),"আগামীকাল ফ্লাইট আর বুকে ব্যথা আমার মনকে ব্যস্ত করে তুলছে। আবারও সবাইকে হ্যালো, আজ চতুর্থ দিন আমার বুক নিয়ে চিন্তার। পটভূমি: আমার EKG, CT স্ক্যান, এক্স-রে, প্রতিধ্বনি এবং রক্ত ​​পরীক্ষা করানো হয়েছিল এবং ER-এর ডাক্তাররা কিছুই খুঁজে পাননি। তারপর থেকে, আমার"&amp;" মাঝে মাঝে বুকে ব্যথা হয় যা আসে এবং যায়, চলে যায় এবং ডাক্তারদের কাছে আমি এক পর্যায়ে এটি উল্লেখ করেছিলাম, কিন্তু তিনি চিন্তিত বলে মনে হয়নি। আপনারা কেউ কেউ আমার অন্যান্য পোস্ট থেকে দেখেছেন, বদহজমের মতো অনুভূতি নিয়ে চিন্তিত হওয়ার পর গত কয়েকদিন ধরে আম"&amp;"ি বুকে ব্যথায় ভুগছি। আমি এটি নিয়ে খুব উদ্বিগ্ন। রাতে আমি দিশেহারা এবং চিন্তিত অবস্থায় ঘুম থেকে উঠি, সকালে ঘুম থেকে উঠে কাঁদতে কাঁদতে ভাবি যে অবস্থা খারাপ হচ্ছে কিনা (কয়েকদিন ধরে একই রকম অস্বস্তি, তাই না) ছুটির পর বাড়ি ফেরার জন্য আগামীকাল আমাকে ১২ ঘন্"&amp;"টার ফ্লাইট ধরতে হবে, এবং আমি চিন্তিত যে: - আমি জরুরি চিকিৎসার সুযোগ হাতছাড়া করেছি, এবং আমি ধার করা সময় নিয়েছি - বিমানে আমার হৃদয় জীবন-মৃত্যুর পর্বে ভুগতে চলেছে এবং আমি বাঁচব না - আমি এমন কিছু উপেক্ষা করছি যা সত্যিই মোকাবেলা করা উচিত কারণ আমি মনে করি এ"&amp;"টি উদ্বেগ... - প্রয়োজনে বিমানের পরে কত তাড়াতাড়ি হাসপাতালে যেতে পারি - উপরের চিন্তাগুলি মাথায় ঘুরপাক খাচ্ছে এবং বিমানে বারো ঘন্টা একা কাটাচ্ছি। তদুপরি, আমি ব্যথা বিশ্লেষণ করার চেষ্টা করার জন্য ক্রমাগত আমার বুকে চাপ দিচ্ছি। তদুপরি, আমি এটির উপর এতটাই মন"&amp;"োযোগ দিচ্ছি যে আমি অন্য কোনও কিছুতে মনোযোগ দিতে পারছি না। তদুপরি, আমি কেবল এটি পর্যবেক্ষণ করছি, আমার নাড়ি পরীক্ষা করছি, নিজেকে জিজ্ঞাসা করছি যে এটি আরও খারাপ লাগছে কিনা। তদুপরি, আমি আমার পরিবারকে বলতে বা তাদের উদ্বিগ্ন করতে চাইনি যে আমি আগামীকাল বাড়ি ফি"&amp;"রে যাচ্ছি। তাছাড়া, আমি প্রতিদিন ভালো বোধ করার জন্য অপেক্ষা করছিলাম, কিন্তু এর পরিবর্তে ফ্লাইটের এই শেষ তারিখ যত এগিয়ে আসছে, ততই আমি আরও বেশি উদ্বিগ্ন। তাছাড়া, আমি ২০১৯ সালে এই স্বাস্থ্যগত উদ্বেগকে আমার নববর্ষের সংকল্প হিসেবে মোকাবেলা করতে চাই, কিন্তু এই "&amp;"মুহূর্তে আমি আগামীকালের বারো ঘন্টার ফ্লাইটের অতীত দেখতে পাচ্ছি না। তাছাড়া, আমি নিজেকে বারবার বলছি যে সেপ্টেম্বরে হাসপাতালে আমার বেশ কিছু তীব্র পরীক্ষা হয়েছিল এবং তারা রক্ত ​​জমাট বাঁধা, অশ্রু বা ক্ষতির সম্মুখীন হতে পারত কারণ তারা এটাই খুঁজছিল। গত কয়েকদি"&amp;"নে একাধিক পোস্টের জন্য দুঃখিত বন্ধুরা। যদি আমি ফ্লাইটের পরে বাড়ি ফিরে যেতে পারি, তাহলে আমি সত্যিই এবং আন্তরিকভাবে ডাক্তারদের কাছে যাব এবং সাহায্যের জন্য এই পর্বটি সম্পর্কে আমার কাউন্সেলরের সাথে কথা বলব। আমার স্যুটকেস প্যাক করতে হবে... এই অপ্রীতিকর পোস্টে"&amp;"র জন্য দুঃখিত।")</f>
        <v>আগামীকাল ফ্লাইট আর বুকে ব্যথা আমার মনকে ব্যস্ত করে তুলছে। আবারও সবাইকে হ্যালো, আজ চতুর্থ দিন আমার বুক নিয়ে চিন্তার। পটভূমি: আমার EKG, CT স্ক্যান, এক্স-রে, প্রতিধ্বনি এবং রক্ত ​​পরীক্ষা করানো হয়েছিল এবং ER-এর ডাক্তাররা কিছুই খুঁজে পাননি। তারপর থেকে, আমার মাঝে মাঝে বুকে ব্যথা হয় যা আসে এবং যায়, চলে যায় এবং ডাক্তারদের কাছে আমি এক পর্যায়ে এটি উল্লেখ করেছিলাম, কিন্তু তিনি চিন্তিত বলে মনে হয়নি। আপনারা কেউ কেউ আমার অন্যান্য পোস্ট থেকে দেখেছেন, বদহজমের মতো অনুভূতি নিয়ে চিন্তিত হওয়ার পর গত কয়েকদিন ধরে আমি বুকে ব্যথায় ভুগছি। আমি এটি নিয়ে খুব উদ্বিগ্ন। রাতে আমি দিশেহারা এবং চিন্তিত অবস্থায় ঘুম থেকে উঠি, সকালে ঘুম থেকে উঠে কাঁদতে কাঁদতে ভাবি যে অবস্থা খারাপ হচ্ছে কিনা (কয়েকদিন ধরে একই রকম অস্বস্তি, তাই না) ছুটির পর বাড়ি ফেরার জন্য আগামীকাল আমাকে ১২ ঘন্টার ফ্লাইট ধরতে হবে, এবং আমি চিন্তিত যে: - আমি জরুরি চিকিৎসার সুযোগ হাতছাড়া করেছি, এবং আমি ধার করা সময় নিয়েছি - বিমানে আমার হৃদয় জীবন-মৃত্যুর পর্বে ভুগতে চলেছে এবং আমি বাঁচব না - আমি এমন কিছু উপেক্ষা করছি যা সত্যিই মোকাবেলা করা উচিত কারণ আমি মনে করি এটি উদ্বেগ... - প্রয়োজনে বিমানের পরে কত তাড়াতাড়ি হাসপাতালে যেতে পারি - উপরের চিন্তাগুলি মাথায় ঘুরপাক খাচ্ছে এবং বিমানে বারো ঘন্টা একা কাটাচ্ছি। তদুপরি, আমি ব্যথা বিশ্লেষণ করার চেষ্টা করার জন্য ক্রমাগত আমার বুকে চাপ দিচ্ছি। তদুপরি, আমি এটির উপর এতটাই মনোযোগ দিচ্ছি যে আমি অন্য কোনও কিছুতে মনোযোগ দিতে পারছি না। তদুপরি, আমি কেবল এটি পর্যবেক্ষণ করছি, আমার নাড়ি পরীক্ষা করছি, নিজেকে জিজ্ঞাসা করছি যে এটি আরও খারাপ লাগছে কিনা। তদুপরি, আমি আমার পরিবারকে বলতে বা তাদের উদ্বিগ্ন করতে চাইনি যে আমি আগামীকাল বাড়ি ফিরে যাচ্ছি। তাছাড়া, আমি প্রতিদিন ভালো বোধ করার জন্য অপেক্ষা করছিলাম, কিন্তু এর পরিবর্তে ফ্লাইটের এই শেষ তারিখ যত এগিয়ে আসছে, ততই আমি আরও বেশি উদ্বিগ্ন। তাছাড়া, আমি ২০১৯ সালে এই স্বাস্থ্যগত উদ্বেগকে আমার নববর্ষের সংকল্প হিসেবে মোকাবেলা করতে চাই, কিন্তু এই মুহূর্তে আমি আগামীকালের বারো ঘন্টার ফ্লাইটের অতীত দেখতে পাচ্ছি না। তাছাড়া, আমি নিজেকে বারবার বলছি যে সেপ্টেম্বরে হাসপাতালে আমার বেশ কিছু তীব্র পরীক্ষা হয়েছিল এবং তারা রক্ত ​​জমাট বাঁধা, অশ্রু বা ক্ষতির সম্মুখীন হতে পারত কারণ তারা এটাই খুঁজছিল। গত কয়েকদিনে একাধিক পোস্টের জন্য দুঃখিত বন্ধুরা। যদি আমি ফ্লাইটের পরে বাড়ি ফিরে যেতে পারি, তাহলে আমি সত্যিই এবং আন্তরিকভাবে ডাক্তারদের কাছে যাব এবং সাহায্যের জন্য এই পর্বটি সম্পর্কে আমার কাউন্সেলরের সাথে কথা বলব। আমার স্যুটকেস প্যাক করতে হবে... এই অপ্রীতিকর পোস্টের জন্য দুঃখিত।</v>
      </c>
    </row>
    <row r="2414" spans="1:3" ht="15" x14ac:dyDescent="0.25">
      <c r="A2414" s="3" t="s">
        <v>2407</v>
      </c>
      <c r="B2414" s="3" t="s">
        <v>1992</v>
      </c>
      <c r="C2414" s="4" t="str">
        <f ca="1">IFERROR(__xludf.DUMMYFUNCTION("GOOGLETRANSLATE(A2414, ""auto"", ""bn"")"),"বেনাড্রিল কি উড়ানের উদ্বেগ কমাতে সাহায্য করবে? আমি ২ ঘন্টা পরে ফিরতি ফ্লাইটে যাচ্ছি এবং আমার প্রচণ্ড উদ্বেগ আছে। নিজেকে আরাম করার জন্য বেনাড্রিল কেনার কথা ভাবছিলাম।")</f>
        <v>বেনাড্রিল কি উড়ানের উদ্বেগ কমাতে সাহায্য করবে? আমি ২ ঘন্টা পরে ফিরতি ফ্লাইটে যাচ্ছি এবং আমার প্রচণ্ড উদ্বেগ আছে। নিজেকে আরাম করার জন্য বেনাড্রিল কেনার কথা ভাবছিলাম।</v>
      </c>
    </row>
    <row r="2415" spans="1:3" ht="15" x14ac:dyDescent="0.25">
      <c r="A2415" s="3" t="s">
        <v>2408</v>
      </c>
      <c r="B2415" s="3" t="s">
        <v>1992</v>
      </c>
      <c r="C2415" s="4" t="str">
        <f ca="1">IFERROR(__xludf.DUMMYFUNCTION("GOOGLETRANSLATE(A2415, ""auto"", ""bn"")"),"আমার মনে হচ্ছে আমার উদ্বেগ আমাকে এতটা তাড়িয়ে দিচ্ছে। এই পোস্টটি পোস্ট করার পর আমার আরও উদ্বেগ হচ্ছে। তাছাড়া, আমার সত্যিই বিশ্বাস, আমার প্যানিক অ্যাটাক এবং মানসিক অবনতির কারণে সে একটা আলগা সুতোয় আটকে আছে। সে দূরে সরে যাওয়া এবং প্রেমহীন বলে মনে হচ্ছে। আম"&amp;"ি জানি যে তোমার জীবনে এমন কাউকে থাকা যা উদ্বেগ এবং বিষণ্ণতায় ভুগছে তা সহ্য করা অনেক কঠিন, কিন্তু দিন দিন আমি আরও একা এবং দুঃখী বোধ করি। আমার মনে হয় আমার এই অভিশাপের কারণে আমরা শীঘ্রই বিপদের মুখোমুখি হচ্ছি। আমি দুঃস্বপ্ন দেখি যে সে আমাকে ছেড়ে চলে যাচ্ছে"&amp;" অথবা আমার সাথে প্রতারণা করছে। সত্যি বলতে, আমি মনে করি আমি ভেঙে পড়তে পারি। আমি খুব একা বোধ করছি।")</f>
        <v>আমার মনে হচ্ছে আমার উদ্বেগ আমাকে এতটা তাড়িয়ে দিচ্ছে। এই পোস্টটি পোস্ট করার পর আমার আরও উদ্বেগ হচ্ছে। তাছাড়া, আমার সত্যিই বিশ্বাস, আমার প্যানিক অ্যাটাক এবং মানসিক অবনতির কারণে সে একটা আলগা সুতোয় আটকে আছে। সে দূরে সরে যাওয়া এবং প্রেমহীন বলে মনে হচ্ছে। আমি জানি যে তোমার জীবনে এমন কাউকে থাকা যা উদ্বেগ এবং বিষণ্ণতায় ভুগছে তা সহ্য করা অনেক কঠিন, কিন্তু দিন দিন আমি আরও একা এবং দুঃখী বোধ করি। আমার মনে হয় আমার এই অভিশাপের কারণে আমরা শীঘ্রই বিপদের মুখোমুখি হচ্ছি। আমি দুঃস্বপ্ন দেখি যে সে আমাকে ছেড়ে চলে যাচ্ছে অথবা আমার সাথে প্রতারণা করছে। সত্যি বলতে, আমি মনে করি আমি ভেঙে পড়তে পারি। আমি খুব একা বোধ করছি।</v>
      </c>
    </row>
    <row r="2416" spans="1:3" ht="15" x14ac:dyDescent="0.25">
      <c r="A2416" s="3" t="s">
        <v>2409</v>
      </c>
      <c r="B2416" s="3" t="s">
        <v>1992</v>
      </c>
      <c r="C2416" s="4" t="str">
        <f ca="1">IFERROR(__xludf.DUMMYFUNCTION("GOOGLETRANSLATE(A2416, ""auto"", ""bn"")"),"সাহায্যের প্রয়োজন। আমার অনেক বছর ধরে উদ্বেগ ছিল, কিন্তু কয়েক মাস আগে যখন আমি প্রথমবার MDMA করেছিলাম, তখন থেকে এটি আরও খারাপ হয়ে গেছে। (MDMA ট্রিপের সময় আমার প্যানিক অ্যাটাক হয়েছিল)। এখন আমার বমি বমি ভাব হচ্ছে এবং আমি কোনও কিছুতেই ভালো বোধ করতে পারছি না এ"&amp;"বং আজ এটি আগের চেয়েও খারাপ :(আমার মনে হয় আমার শুধু কিছু সাহায্যের প্রয়োজন...")</f>
        <v>সাহায্যের প্রয়োজন। আমার অনেক বছর ধরে উদ্বেগ ছিল, কিন্তু কয়েক মাস আগে যখন আমি প্রথমবার MDMA করেছিলাম, তখন থেকে এটি আরও খারাপ হয়ে গেছে। (MDMA ট্রিপের সময় আমার প্যানিক অ্যাটাক হয়েছিল)। এখন আমার বমি বমি ভাব হচ্ছে এবং আমি কোনও কিছুতেই ভালো বোধ করতে পারছি না এবং আজ এটি আগের চেয়েও খারাপ :(আমার মনে হয় আমার শুধু কিছু সাহায্যের প্রয়োজন...</v>
      </c>
    </row>
    <row r="2417" spans="1:3" ht="15" x14ac:dyDescent="0.25">
      <c r="A2417" s="3" t="s">
        <v>2410</v>
      </c>
      <c r="B2417" s="3" t="s">
        <v>1992</v>
      </c>
      <c r="C2417" s="4" t="str">
        <f ca="1">IFERROR(__xludf.DUMMYFUNCTION("GOOGLETRANSLATE(A2417, ""auto"", ""bn"")"),"দয়া করে আমাকে সাহায্য করুন!! (TW?? যদি তুমি সত্যিই গাড়ি ভয় পাও??) হাই! আমার বয়স ১৬, আর আমার *অনেক* বেশি উদ্বেগ আছে। আমি সারা জীবন এটা সহ্য করেছি, আর এর চিকিৎসাও হয়নি, কিন্তু সৌভাগ্যবশত আমি সপ্তাহের থেরাপি শুরু করছি!! যাই হোক, আমি এক মিনিটের বেশি গাড়িতে থা"&amp;"কতে পারি না, ভয় পাওয়া যায় না। রাস্তায় অন্য সব গাড়ি আমাকে ভয় পায়, আমার সবসময় মনে হয় আমরা দুর্ঘটনায় পড়বো অথবা ধাক্কা খাবো। অনেক পরিবর্তনশীল বিষয় আছে, মনে হয় রাস্তায় শত শত মানুষকে বিশ্বাস করবো যে তারা বুদ্ধিমান, ভালো মানুষ হবে এবং ভুল করে বা ইচ্ছাকৃতভাবে আমা"&amp;"কে হত্যা করবে না। আর এটা খুবই খারাপ, কারণ আমি এবং আমার পরিবার *নিরন্তর* বাইরে যাই, আমি প্রায়ই গাড়িতে থাকি। এর ফলে আমার অসংখ্য প্যানিক অ্যাটাক হয়। এই ভয় থেকে আমি কীভাবে মুক্তি পাবো?? **দয়া করে ওষুধ সুপারিশ করবেন না। আমি জানি যে ওষুধ সাহায্য করতে পারে, কিন্"&amp;"তু কিছুক্ষণের জন্য আমাকে কোনও প্রেসক্রিপশন দেওয়া যাবে না। গাড়িতে শান্ত থাকার জন্য আমার দিনের প্রয়োজন।")</f>
        <v>দয়া করে আমাকে সাহায্য করুন!! (TW?? যদি তুমি সত্যিই গাড়ি ভয় পাও??) হাই! আমার বয়স ১৬, আর আমার *অনেক* বেশি উদ্বেগ আছে। আমি সারা জীবন এটা সহ্য করেছি, আর এর চিকিৎসাও হয়নি, কিন্তু সৌভাগ্যবশত আমি সপ্তাহের থেরাপি শুরু করছি!! যাই হোক, আমি এক মিনিটের বেশি গাড়িতে থাকতে পারি না, ভয় পাওয়া যায় না। রাস্তায় অন্য সব গাড়ি আমাকে ভয় পায়, আমার সবসময় মনে হয় আমরা দুর্ঘটনায় পড়বো অথবা ধাক্কা খাবো। অনেক পরিবর্তনশীল বিষয় আছে, মনে হয় রাস্তায় শত শত মানুষকে বিশ্বাস করবো যে তারা বুদ্ধিমান, ভালো মানুষ হবে এবং ভুল করে বা ইচ্ছাকৃতভাবে আমাকে হত্যা করবে না। আর এটা খুবই খারাপ, কারণ আমি এবং আমার পরিবার *নিরন্তর* বাইরে যাই, আমি প্রায়ই গাড়িতে থাকি। এর ফলে আমার অসংখ্য প্যানিক অ্যাটাক হয়। এই ভয় থেকে আমি কীভাবে মুক্তি পাবো?? **দয়া করে ওষুধ সুপারিশ করবেন না। আমি জানি যে ওষুধ সাহায্য করতে পারে, কিন্তু কিছুক্ষণের জন্য আমাকে কোনও প্রেসক্রিপশন দেওয়া যাবে না। গাড়িতে শান্ত থাকার জন্য আমার দিনের প্রয়োজন।</v>
      </c>
    </row>
    <row r="2418" spans="1:3" ht="15" x14ac:dyDescent="0.25">
      <c r="A2418" s="3" t="s">
        <v>2411</v>
      </c>
      <c r="B2418" s="3" t="s">
        <v>1992</v>
      </c>
      <c r="C2418" s="4" t="str">
        <f ca="1">IFERROR(__xludf.DUMMYFUNCTION("GOOGLETRANSLATE(A2418, ""auto"", ""bn"")"),"উদ্বেগের লক্ষণ উদ্বেগের অনেক লক্ষণ আছে; আমি যেগুলো পাই তা হলো হৃদস্পন্দন বৃদ্ধি, অদ্ভুত দৃশ্যমান রঙ, চেয়ারে বসে থাকতে না পারা (দাঁড়িয়ে থাকার প্রয়োজন বোধ করা)। কিন্তু এমন একটি লক্ষণ আছে যা আমি সামলাতে পারি না এবং যখন এটি আঘাত করে, তখন আমার জন্য খেলা শে"&amp;"ষ হয়ে যায়। বাস্তবতা অদৃশ্য হয়ে যায় এবং সবকিছু সাদা হয়ে যায় এমন অনুভূতি। আমি কখনও অজ্ঞান হইনি, কিন্তু যখন আমার প্যানিক অ্যাটাক তীব্র হয় তখন আমার সত্যিই মনে হয় আমার মাথা ঘরের মতো বড় হয়ে গেছে, এবং আমি অদৃশ্য হয়ে যাচ্ছি। ভয়ের পরিমাণ অব্যক্ত, একবার"&amp;" যখন আমি গাড়িতে আমার স্ত্রীকে ধরেছিলাম তখন আমি প্রায় তার হাত ভেঙে ফেলেছিলাম। আমি অজ্ঞান হয়ে যেতে (অথবা মারা যেতে) খুব ভয় পেয়েছিলাম এবং গাড়িটি দুর্ঘটনায় পড়ে তাকে আঘাত করতে পারে। অন্য কেউ কি অদৃশ্য হওয়ার এই ভয়াবহ অনুভূতিতে ভুগছেন? আসলে ব্যাখ্যা কর"&amp;"া খুব কঠিন।")</f>
        <v>উদ্বেগের লক্ষণ উদ্বেগের অনেক লক্ষণ আছে; আমি যেগুলো পাই তা হলো হৃদস্পন্দন বৃদ্ধি, অদ্ভুত দৃশ্যমান রঙ, চেয়ারে বসে থাকতে না পারা (দাঁড়িয়ে থাকার প্রয়োজন বোধ করা)। কিন্তু এমন একটি লক্ষণ আছে যা আমি সামলাতে পারি না এবং যখন এটি আঘাত করে, তখন আমার জন্য খেলা শেষ হয়ে যায়। বাস্তবতা অদৃশ্য হয়ে যায় এবং সবকিছু সাদা হয়ে যায় এমন অনুভূতি। আমি কখনও অজ্ঞান হইনি, কিন্তু যখন আমার প্যানিক অ্যাটাক তীব্র হয় তখন আমার সত্যিই মনে হয় আমার মাথা ঘরের মতো বড় হয়ে গেছে, এবং আমি অদৃশ্য হয়ে যাচ্ছি। ভয়ের পরিমাণ অব্যক্ত, একবার যখন আমি গাড়িতে আমার স্ত্রীকে ধরেছিলাম তখন আমি প্রায় তার হাত ভেঙে ফেলেছিলাম। আমি অজ্ঞান হয়ে যেতে (অথবা মারা যেতে) খুব ভয় পেয়েছিলাম এবং গাড়িটি দুর্ঘটনায় পড়ে তাকে আঘাত করতে পারে। অন্য কেউ কি অদৃশ্য হওয়ার এই ভয়াবহ অনুভূতিতে ভুগছেন? আসলে ব্যাখ্যা করা খুব কঠিন।</v>
      </c>
    </row>
    <row r="2419" spans="1:3" ht="15" x14ac:dyDescent="0.25">
      <c r="A2419" s="3" t="s">
        <v>2412</v>
      </c>
      <c r="B2419" s="3" t="s">
        <v>1992</v>
      </c>
      <c r="C2419" s="4" t="str">
        <f ca="1">IFERROR(__xludf.DUMMYFUNCTION("GOOGLETRANSLATE(A2419, ""auto"", ""bn"")"),"আমি জানি না আমার উদ্বেগ এবং বিষণ্ণতার কারণে আমার এমন অনুভূতি হয় যেন কেউ আমাকে পছন্দ করে না এবং আমি মানুষের সাথে কথা বলতেও বাধা পাই। আমি কেবল চাই যে আমার সাথে কথা বলার জন্য কেউ থাকুক। তাছাড়া, আমার অসাধারণ বন্ধু আছে, কিন্তু আমি তাদের উপর আমার সমস্যার বোঝা "&amp;"চাপাতে চাই না এবং তাদের সাথে কেবল এটি নিয়ে কথা বললে আমি কোনও কারণে কষ্ট পাই।")</f>
        <v>আমি জানি না আমার উদ্বেগ এবং বিষণ্ণতার কারণে আমার এমন অনুভূতি হয় যেন কেউ আমাকে পছন্দ করে না এবং আমি মানুষের সাথে কথা বলতেও বাধা পাই। আমি কেবল চাই যে আমার সাথে কথা বলার জন্য কেউ থাকুক। তাছাড়া, আমার অসাধারণ বন্ধু আছে, কিন্তু আমি তাদের উপর আমার সমস্যার বোঝা চাপাতে চাই না এবং তাদের সাথে কেবল এটি নিয়ে কথা বললে আমি কোনও কারণে কষ্ট পাই।</v>
      </c>
    </row>
    <row r="2420" spans="1:3" ht="15" x14ac:dyDescent="0.25">
      <c r="A2420" s="3" t="s">
        <v>2413</v>
      </c>
      <c r="B2420" s="3" t="s">
        <v>1992</v>
      </c>
      <c r="C2420" s="4" t="str">
        <f ca="1">IFERROR(__xludf.DUMMYFUNCTION("GOOGLETRANSLATE(A2420, ""auto"", ""bn"")"),"জিমে ভর্তি হতে চাইছি, কিন্তু লোকজন আমার দিকে তাকিয়ে আছে দেখে খুব উদ্বিগ্ন। জনসমক্ষে লড়াই করা, ব্যায়াম করার চেষ্টা তো দূরের কথা।")</f>
        <v>জিমে ভর্তি হতে চাইছি, কিন্তু লোকজন আমার দিকে তাকিয়ে আছে দেখে খুব উদ্বিগ্ন। জনসমক্ষে লড়াই করা, ব্যায়াম করার চেষ্টা তো দূরের কথা।</v>
      </c>
    </row>
    <row r="2421" spans="1:3" ht="15" x14ac:dyDescent="0.25">
      <c r="A2421" s="3" t="s">
        <v>2414</v>
      </c>
      <c r="B2421" s="3" t="s">
        <v>1992</v>
      </c>
      <c r="C2421" s="4" t="str">
        <f ca="1">IFERROR(__xludf.DUMMYFUNCTION("GOOGLETRANSLATE(A2421, ""auto"", ""bn"")"),"ট্রিগারগুলো কী কী? সবাইকে নমস্কার। আশা করি তোমাদের দিনটা ভালো এবং শান্তিপূর্ণ কাটছে। আমি এমন কিছুতে ভুগছি যাকে আমি সাধারণ উদ্বেগজনিত ব্যাধি হিসেবে চিহ্নিত করতে পারি। আমি সবসময় অতিরিক্ত চিন্তিত থাকি এবং প্রায়শই কোনও কারণ ছাড়াই রাগ অনুভব করি। আমি সবসময় ভয় "&amp;"পাই যে কিছু ভুল হয়ে যেতে পারে এবং ভবিষ্যতের পরিস্থিতি কল্পনা করতে শুরু করি যা আমাকে অসুখী করে তুলতে পারে। বর্তমানে, আমার কোনও থেরাপিস্ট বা পেশাদারের সাথে দেখা করার সুযোগ নেই। আমি বেশিরভাগ কারণ জানি যা আমাকে এইরকম বা অন্যরকম অনুভব করায়, কিন্তু এই ধরণের কিছ"&amp;"ু আঘাত কাটিয়ে উঠতে পারছি না। আমি কেবল ভয় পাওয়া বন্ধ করতে চাই। আমি নিজের জন্য দুটি জিনিস আবিষ্কার করেছি, অথবা, লোকেরা আমাকে আবিষ্কার করতে সাহায্য করেছে তা হল হাঁটা এবং ধ্যান। এটি সাহায্য করে, কিন্তু শুধুমাত্র একটি নির্দিষ্ট পরিমাণে, সম্পূর্ণরূপে নয়। আমি"&amp;" এখন অবিরাম লিখতে পারি, তবে সবচেয়ে গুরুত্বপূর্ণ প্রশ্নটি আমি জিজ্ঞাসা করতে চাই - উদ্বেগ এবং ক্রমাগত উদ্বেগের কারণ কী? এবং এছাড়াও, সিগারেট কি উদ্বেগের কারণ হয়? আমার কেবল জানতে হবে যে আমি ছেড়ে দিলে বা না দিলে আমি মানসিকভাবে ভালো বোধ করতে শুরু করব কিনা। "&amp;"কারণ কখনও কখনও যখন আমি উদ্বিগ্ন বোধ করি তখন আমি প্রথমেই সিগারেট জ্বালাই।")</f>
        <v>ট্রিগারগুলো কী কী? সবাইকে নমস্কার। আশা করি তোমাদের দিনটা ভালো এবং শান্তিপূর্ণ কাটছে। আমি এমন কিছুতে ভুগছি যাকে আমি সাধারণ উদ্বেগজনিত ব্যাধি হিসেবে চিহ্নিত করতে পারি। আমি সবসময় অতিরিক্ত চিন্তিত থাকি এবং প্রায়শই কোনও কারণ ছাড়াই রাগ অনুভব করি। আমি সবসময় ভয় পাই যে কিছু ভুল হয়ে যেতে পারে এবং ভবিষ্যতের পরিস্থিতি কল্পনা করতে শুরু করি যা আমাকে অসুখী করে তুলতে পারে। বর্তমানে, আমার কোনও থেরাপিস্ট বা পেশাদারের সাথে দেখা করার সুযোগ নেই। আমি বেশিরভাগ কারণ জানি যা আমাকে এইরকম বা অন্যরকম অনুভব করায়, কিন্তু এই ধরণের কিছু আঘাত কাটিয়ে উঠতে পারছি না। আমি কেবল ভয় পাওয়া বন্ধ করতে চাই। আমি নিজের জন্য দুটি জিনিস আবিষ্কার করেছি, অথবা, লোকেরা আমাকে আবিষ্কার করতে সাহায্য করেছে তা হল হাঁটা এবং ধ্যান। এটি সাহায্য করে, কিন্তু শুধুমাত্র একটি নির্দিষ্ট পরিমাণে, সম্পূর্ণরূপে নয়। আমি এখন অবিরাম লিখতে পারি, তবে সবচেয়ে গুরুত্বপূর্ণ প্রশ্নটি আমি জিজ্ঞাসা করতে চাই - উদ্বেগ এবং ক্রমাগত উদ্বেগের কারণ কী? এবং এছাড়াও, সিগারেট কি উদ্বেগের কারণ হয়? আমার কেবল জানতে হবে যে আমি ছেড়ে দিলে বা না দিলে আমি মানসিকভাবে ভালো বোধ করতে শুরু করব কিনা। কারণ কখনও কখনও যখন আমি উদ্বিগ্ন বোধ করি তখন আমি প্রথমেই সিগারেট জ্বালাই।</v>
      </c>
    </row>
    <row r="2422" spans="1:3" ht="15" x14ac:dyDescent="0.25">
      <c r="A2422" s="3" t="s">
        <v>2415</v>
      </c>
      <c r="B2422" s="3" t="s">
        <v>1992</v>
      </c>
      <c r="C2422" s="4" t="str">
        <f ca="1">IFERROR(__xludf.DUMMYFUNCTION("GOOGLETRANSLATE(A2422, ""auto"", ""bn"")"),"শুষ্ক জানুয়ারী যখন আমি এখানে একটা বিশাল হ্যাংওভারের মাঝখানে শুয়ে আছি, তখন আমি মনে মনে ভাবছি... ... এর চেয়ে ভালো উপায় তো থাকা উচিত। আমার উদ্বেগ এবং আতঙ্কের আক্রমণ মোকাবেলা এবং পরিচালনা করার জন্য আরও ভালো উপায়। আমি যেভাবে মদ্যপান করি তা আর আমার জন্য কি"&amp;"ছুই করে না। শুধু আমাকে প্রচণ্ড উদ্বেগ এবং বমি বমি ভাব দেয়। এমনকি এশিয়ানরাও আজ আমাকে সাহায্য করছে না। উফ আমি ঠিক থাকতে চাই। শুষ্ক জানুয়ারী আমার জিনিস। আমাকে এটা করতে হবে। আমি এটা করতে পারি। দুশ্চিন্তা দূর করুন। আমি এর চেয়ে শক্তিশালী।")</f>
        <v>শুষ্ক জানুয়ারী যখন আমি এখানে একটা বিশাল হ্যাংওভারের মাঝখানে শুয়ে আছি, তখন আমি মনে মনে ভাবছি... ... এর চেয়ে ভালো উপায় তো থাকা উচিত। আমার উদ্বেগ এবং আতঙ্কের আক্রমণ মোকাবেলা এবং পরিচালনা করার জন্য আরও ভালো উপায়। আমি যেভাবে মদ্যপান করি তা আর আমার জন্য কিছুই করে না। শুধু আমাকে প্রচণ্ড উদ্বেগ এবং বমি বমি ভাব দেয়। এমনকি এশিয়ানরাও আজ আমাকে সাহায্য করছে না। উফ আমি ঠিক থাকতে চাই। শুষ্ক জানুয়ারী আমার জিনিস। আমাকে এটা করতে হবে। আমি এটা করতে পারি। দুশ্চিন্তা দূর করুন। আমি এর চেয়ে শক্তিশালী।</v>
      </c>
    </row>
    <row r="2423" spans="1:3" ht="15" x14ac:dyDescent="0.25">
      <c r="A2423" s="3" t="s">
        <v>2416</v>
      </c>
      <c r="B2423" s="3" t="s">
        <v>1992</v>
      </c>
      <c r="C2423" s="4" t="str">
        <f ca="1">IFERROR(__xludf.DUMMYFUNCTION("GOOGLETRANSLATE(A2423, ""auto"", ""bn"")"),"DAE-কে ভুয়া মনে হচ্ছে? আমি জানি নামটির সম্ভাবনা আছে কিন্তু ডিরিয়ালাইজেশন বা w/e সম্পূর্ণ সঠিক বলে মনে হয় না। মাঝে মাঝে আমি নিজেকে এমন চিন্তার জালে ডুবি, ভাবি যে আমার আবেগগুলি সম্ভবত বাস্তব নয়, এবং আমি কোনও কিছুরই পরোয়া করি না। স্পষ্টতই, যখন আমি কিছুটা আব"&amp;"েগগতভাবে অভিভূত বোধ করতে শুরু করি তখন এটি আরও বেশি ঘটে - কিন্তু তারপর আমি ভাবি যে আমার সম্পর্কে সবকিছুই ভুয়া, আমি এমনকি একজন প্রকৃত মানুষও নই। এর কি কারো কাছে কোন অর্থ আছে?")</f>
        <v>DAE-কে ভুয়া মনে হচ্ছে? আমি জানি নামটির সম্ভাবনা আছে কিন্তু ডিরিয়ালাইজেশন বা w/e সম্পূর্ণ সঠিক বলে মনে হয় না। মাঝে মাঝে আমি নিজেকে এমন চিন্তার জালে ডুবি, ভাবি যে আমার আবেগগুলি সম্ভবত বাস্তব নয়, এবং আমি কোনও কিছুরই পরোয়া করি না। স্পষ্টতই, যখন আমি কিছুটা আবেগগতভাবে অভিভূত বোধ করতে শুরু করি তখন এটি আরও বেশি ঘটে - কিন্তু তারপর আমি ভাবি যে আমার সম্পর্কে সবকিছুই ভুয়া, আমি এমনকি একজন প্রকৃত মানুষও নই। এর কি কারো কাছে কোন অর্থ আছে?</v>
      </c>
    </row>
    <row r="2424" spans="1:3" ht="15" x14ac:dyDescent="0.25">
      <c r="A2424" s="3" t="s">
        <v>2417</v>
      </c>
      <c r="B2424" s="3" t="s">
        <v>1992</v>
      </c>
      <c r="C2424" s="4" t="str">
        <f ca="1">IFERROR(__xludf.DUMMYFUNCTION("GOOGLETRANSLATE(A2424, ""auto"", ""bn"")"),"অবশেষে সাহস করে পোস্ট করলাম! আমি রেডিটে ২ বছর ধরে আছি, কিন্তু গত কয়েক মাসে পোস্ট করার সাহস পেয়েছি। আমার মন্তব্য এবং পোস্টগুলি বেশিরভাগই ছোট এবং মিষ্টি, প্রতিক্রিয়ার ভয়ে আমি আসলে আমার চিন্তাভাবনা এবং মতামত প্রকাশ করি না, তবে অগ্রগতি অগ্রগতিই! :)")</f>
        <v>অবশেষে সাহস করে পোস্ট করলাম! আমি রেডিটে ২ বছর ধরে আছি, কিন্তু গত কয়েক মাসে পোস্ট করার সাহস পেয়েছি। আমার মন্তব্য এবং পোস্টগুলি বেশিরভাগই ছোট এবং মিষ্টি, প্রতিক্রিয়ার ভয়ে আমি আসলে আমার চিন্তাভাবনা এবং মতামত প্রকাশ করি না, তবে অগ্রগতি অগ্রগতিই! :)</v>
      </c>
    </row>
    <row r="2425" spans="1:3" ht="15" x14ac:dyDescent="0.25">
      <c r="A2425" s="3" t="s">
        <v>2418</v>
      </c>
      <c r="B2425" s="3" t="s">
        <v>1992</v>
      </c>
      <c r="C2425" s="4" t="str">
        <f ca="1">IFERROR(__xludf.DUMMYFUNCTION("GOOGLETRANSLATE(A2425, ""auto"", ""bn"")"),"হে সকল, আমি ১৬ বছর বয়সী একজন ওয়েটার/রান্নাঘরের কর্মী, যে আমার CAF-তে কর্মীর অভাবের কারণে বেশিরভাগ দিনই ৮ ঘন্টা করে একটানা কাজ করে আসছি?? গত ২ সপ্তাহ ধরে। আমার শিফটের পর আমার মনে এক ধরণের উদ্বেগ এবং চাপের সৃষ্টি হয় যা আমাকে অসুস্থ করে তোলে। কিছুটা কারণ "&amp;"গ্রাহকরা আমাকে নিয়ে কী ভাবছেন, কিছুটা কারণ আমি ৮ ঘন্টা ধরে কাজ করছি এবং আমার স্থির থাকতে কষ্ট হচ্ছে। পরামর্শের জন্য অনেক ধন্যবাদ।")</f>
        <v>হে সকল, আমি ১৬ বছর বয়সী একজন ওয়েটার/রান্নাঘরের কর্মী, যে আমার CAF-তে কর্মীর অভাবের কারণে বেশিরভাগ দিনই ৮ ঘন্টা করে একটানা কাজ করে আসছি?? গত ২ সপ্তাহ ধরে। আমার শিফটের পর আমার মনে এক ধরণের উদ্বেগ এবং চাপের সৃষ্টি হয় যা আমাকে অসুস্থ করে তোলে। কিছুটা কারণ গ্রাহকরা আমাকে নিয়ে কী ভাবছেন, কিছুটা কারণ আমি ৮ ঘন্টা ধরে কাজ করছি এবং আমার স্থির থাকতে কষ্ট হচ্ছে। পরামর্শের জন্য অনেক ধন্যবাদ।</v>
      </c>
    </row>
    <row r="2426" spans="1:3" ht="15" x14ac:dyDescent="0.25">
      <c r="A2426" s="3" t="s">
        <v>2419</v>
      </c>
      <c r="B2426" s="3" t="s">
        <v>1992</v>
      </c>
      <c r="C2426" s="4" t="str">
        <f ca="1">IFERROR(__xludf.DUMMYFUNCTION("GOOGLETRANSLATE(A2426, ""auto"", ""bn"")"),"সারা রাত জেগে থাকার পর আজ রাতে একা একটা কলেজ পার্টিতে গেলাম এবং ক্লাসের বাইরের লোকেদের সাথে আড্ডা দিতে বেশ উত্তেজিত ছিলাম। বাড়ি ফিরে আসার আগ পর্যন্ত দারুন সময় কাটিয়েছি এবং আমার উদ্বেগ আমাকে আরও বেশি করে ধরে ফেলেছে। ভোর ৩টার দিকে আমি বাড়ি ফিরে ক্লান্ত "&amp;"ছিলাম এবং ঘুমানোর জন্য প্রস্তুত ছিলাম যতক্ষণ না আমি শুয়ে পড়ি, আর এখন আমি কেবল আমার ফোনের দিকে তাকিয়ে আছি এবং খুব অস্থির। আমি কোনও এশিয়ানকে নিতে চাই না কারণ আমি মদ্যপান করছি। তাছাড়া, আমি কেবল ঘুমাতে চাই, কিন্তু আমি আমার মস্তিষ্ক বন্ধ করতে পারছি না।")</f>
        <v>সারা রাত জেগে থাকার পর আজ রাতে একা একটা কলেজ পার্টিতে গেলাম এবং ক্লাসের বাইরের লোকেদের সাথে আড্ডা দিতে বেশ উত্তেজিত ছিলাম। বাড়ি ফিরে আসার আগ পর্যন্ত দারুন সময় কাটিয়েছি এবং আমার উদ্বেগ আমাকে আরও বেশি করে ধরে ফেলেছে। ভোর ৩টার দিকে আমি বাড়ি ফিরে ক্লান্ত ছিলাম এবং ঘুমানোর জন্য প্রস্তুত ছিলাম যতক্ষণ না আমি শুয়ে পড়ি, আর এখন আমি কেবল আমার ফোনের দিকে তাকিয়ে আছি এবং খুব অস্থির। আমি কোনও এশিয়ানকে নিতে চাই না কারণ আমি মদ্যপান করছি। তাছাড়া, আমি কেবল ঘুমাতে চাই, কিন্তু আমি আমার মস্তিষ্ক বন্ধ করতে পারছি না।</v>
      </c>
    </row>
    <row r="2427" spans="1:3" ht="15" x14ac:dyDescent="0.25">
      <c r="A2427" s="3" t="s">
        <v>2420</v>
      </c>
      <c r="B2427" s="3" t="s">
        <v>1992</v>
      </c>
      <c r="C2427" s="4" t="str">
        <f ca="1">IFERROR(__xludf.DUMMYFUNCTION("GOOGLETRANSLATE(A2427, ""auto"", ""bn"")"),"আমার হৃদস্পন্দন নিয়ে উদ্বেগ আমি সত্যিই ভয় পাই কারণ যারা মোটেও অ্যাথলেটিক নন তাদের ক্ষেত্রে আমার হৃদস্পন্দন বেশ কম। ঠিক আছে, হয়তো খুব কম নয়, কিন্তু আমি এখনও এটি নিয়ে উদ্বিগ্ন। শুয়ে পড়ার সময় আমার হৃদস্পন্দন ৫৮ হয় এবং এটি আমাকে ভয় পাই কারণ যে কোনও কারণেই হোক"&amp;", আমি এখনও উদ্বেগের সাথে ধড়ফড়ানো এবং বুকে ব্যথা অনুভব করি। আমি কখনও এরকম কিছু অনুভব করিনি, এবং আমি ভাবছিলাম যে এখানে কি এমন কেউ আছে যার একই সমস্যা আছে যা আমাকে আমার পরিস্থিতি সম্পর্কে অনেক ভালো বোধ করাতে পারে।")</f>
        <v>আমার হৃদস্পন্দন নিয়ে উদ্বেগ আমি সত্যিই ভয় পাই কারণ যারা মোটেও অ্যাথলেটিক নন তাদের ক্ষেত্রে আমার হৃদস্পন্দন বেশ কম। ঠিক আছে, হয়তো খুব কম নয়, কিন্তু আমি এখনও এটি নিয়ে উদ্বিগ্ন। শুয়ে পড়ার সময় আমার হৃদস্পন্দন ৫৮ হয় এবং এটি আমাকে ভয় পাই কারণ যে কোনও কারণেই হোক, আমি এখনও উদ্বেগের সাথে ধড়ফড়ানো এবং বুকে ব্যথা অনুভব করি। আমি কখনও এরকম কিছু অনুভব করিনি, এবং আমি ভাবছিলাম যে এখানে কি এমন কেউ আছে যার একই সমস্যা আছে যা আমাকে আমার পরিস্থিতি সম্পর্কে অনেক ভালো বোধ করাতে পারে।</v>
      </c>
    </row>
    <row r="2428" spans="1:3" ht="15" x14ac:dyDescent="0.25">
      <c r="A2428" s="3" t="s">
        <v>2421</v>
      </c>
      <c r="B2428" s="3" t="s">
        <v>1992</v>
      </c>
      <c r="C2428" s="4" t="str">
        <f ca="1">IFERROR(__xludf.DUMMYFUNCTION("GOOGLETRANSLATE(A2428, ""auto"", ""bn"")"),"এটা কি উদ্বেগ? - আমার পারিবারিক দল; আমার ছেলেদের অটিজম। ইংরেজি আমার প্রথম ভাষা নয়, আমার ব্যাকরণ ভাঙার জন্য দুঃখিত। আমি ৩৮ বছর বয়সী, বিবাহিত দুটি ছোট ছেলের সাথে - একজনের হালকা অটিজম আছে (৫ বছর)। আমি আমার বিবাহ নিয়ে খুশি, আমি কর্মক্ষেত্রে উন্নতি করছি এবং"&amp;" সবচেয়ে গুরুত্বপূর্ণ, আমি আমার বড় ছেলেকে তার বিকাশে সাহায্য করছি। আমার মা যখন আশেপাশে থাকে বা আমার কোনও বোন থাকে তখন আমার তীব্র উদ্বেগের আক্রমণ হয়। যদি আমি আমার ছেলের অবস্থার সাথে সম্পর্কিত কিছু শেয়ার না করি - তারা (মায়ের দল; বোন) আমাকে বলে যে আমি এক"&amp;"জন খারাপ মা, আমি আমার ছেলের ভবিষ্যৎ নিয়ে আপস করছি এবং প্রায় সবকিছুই ধ্বংস হয়ে যাচ্ছে কারণ আমি তাদের ইচ্ছামত কাজ করি না বা বলি না। মূল কথা হল আমি জানি না যে রাতে এই চিন্তাভাবনাগুলি কীভাবে বন্ধ করব (কারণ আমি এটি লিখছি) - আমি আমার ছেলের ভবিষ্যৎ নিয়ে চিন্"&amp;"তা করা এবং ভাবছি যে আমি তাকে সাহায্য করার জন্য যথাসাধ্য চেষ্টা করছি কিনা। আমার স্বামী আমাকে বলেন যে আমি আমার ছেলেদের মধ্যে সবচেয়ে ভালো মা - আমরা আমার বড় ছেলেকে সমস্ত উপায়ে সাহায্য করছি, এবং আমরা অগ্রগতি করছি, যেন বিশাল অগ্রগতি। কিন্তু আমি এখনও মনে করি "&amp;"এটি যথেষ্ট নয়। যখন তারা পাশে থাকে না তখন জীবন সুন্দর, আমি অজেয় বোধ করি, এবং আমি আমার ছেলেদের অবস্থাকে আমাদের দৈনন্দিন গতিশীলতার অংশ হিসাবে গ্রহণ করি - কিন্তু যখন পারিবারিক পুনর্মিলন আসে, তখন আমার উদ্বেগ আরও বেড়ে যায় কারণ আমি জানি তারা উত্তর চাইবে এবং "&amp;"আমি অটিজম সম্পর্কে সবকিছু জানি না। আমি আমার ছেলেকে জানি এবং তাকে কীভাবে পড়তে হবে এবং সাহায্য করতে হবে, কিন্তু তাকে স্পর্শ করার এবং তাকে নিরাময় করার জন্য আমার কাছে কোনও জাদুর কাঠি নেই - আমরা তাকে সাহায্য করার জন্য আমাদের সমস্ত সময় এবং অর্থ ব্যয় করছি, স"&amp;"ে আমাদের অগ্রাধিকার, কিন্তু আমাদের এখনও 3 বছর বয়সী একটি সম্পূর্ণ স্বাভাবিক আছে যার জন্য সময়, ভালবাসা এবং মনোযোগ প্রয়োজন। সংখ্যালঘুদের অংশ হওয়া যার সম্পর্কে আপনি কিছুই জানেন না তা ভীতিকর - আমরা একসাথে একটি পরিবার হিসাবে এই সবকিছুর মধ্য দিয়ে যেতে পেরেছ"&amp;"ি... কিন্তু আমার বাবা-মা এবং বোনদের তথ্যের ক্রমাগত চাহিদা আমাকে মেরে ফেলছে। আমি জানি না! এটা কি উদ্বেগ?...")</f>
        <v>এটা কি উদ্বেগ? - আমার পারিবারিক দল; আমার ছেলেদের অটিজম। ইংরেজি আমার প্রথম ভাষা নয়, আমার ব্যাকরণ ভাঙার জন্য দুঃখিত। আমি ৩৮ বছর বয়সী, বিবাহিত দুটি ছোট ছেলের সাথে - একজনের হালকা অটিজম আছে (৫ বছর)। আমি আমার বিবাহ নিয়ে খুশি, আমি কর্মক্ষেত্রে উন্নতি করছি এবং সবচেয়ে গুরুত্বপূর্ণ, আমি আমার বড় ছেলেকে তার বিকাশে সাহায্য করছি। আমার মা যখন আশেপাশে থাকে বা আমার কোনও বোন থাকে তখন আমার তীব্র উদ্বেগের আক্রমণ হয়। যদি আমি আমার ছেলের অবস্থার সাথে সম্পর্কিত কিছু শেয়ার না করি - তারা (মায়ের দল; বোন) আমাকে বলে যে আমি একজন খারাপ মা, আমি আমার ছেলের ভবিষ্যৎ নিয়ে আপস করছি এবং প্রায় সবকিছুই ধ্বংস হয়ে যাচ্ছে কারণ আমি তাদের ইচ্ছামত কাজ করি না বা বলি না। মূল কথা হল আমি জানি না যে রাতে এই চিন্তাভাবনাগুলি কীভাবে বন্ধ করব (কারণ আমি এটি লিখছি) - আমি আমার ছেলের ভবিষ্যৎ নিয়ে চিন্তা করা এবং ভাবছি যে আমি তাকে সাহায্য করার জন্য যথাসাধ্য চেষ্টা করছি কিনা। আমার স্বামী আমাকে বলেন যে আমি আমার ছেলেদের মধ্যে সবচেয়ে ভালো মা - আমরা আমার বড় ছেলেকে সমস্ত উপায়ে সাহায্য করছি, এবং আমরা অগ্রগতি করছি, যেন বিশাল অগ্রগতি। কিন্তু আমি এখনও মনে করি এটি যথেষ্ট নয়। যখন তারা পাশে থাকে না তখন জীবন সুন্দর, আমি অজেয় বোধ করি, এবং আমি আমার ছেলেদের অবস্থাকে আমাদের দৈনন্দিন গতিশীলতার অংশ হিসাবে গ্রহণ করি - কিন্তু যখন পারিবারিক পুনর্মিলন আসে, তখন আমার উদ্বেগ আরও বেড়ে যায় কারণ আমি জানি তারা উত্তর চাইবে এবং আমি অটিজম সম্পর্কে সবকিছু জানি না। আমি আমার ছেলেকে জানি এবং তাকে কীভাবে পড়তে হবে এবং সাহায্য করতে হবে, কিন্তু তাকে স্পর্শ করার এবং তাকে নিরাময় করার জন্য আমার কাছে কোনও জাদুর কাঠি নেই - আমরা তাকে সাহায্য করার জন্য আমাদের সমস্ত সময় এবং অর্থ ব্যয় করছি, সে আমাদের অগ্রাধিকার, কিন্তু আমাদের এখনও 3 বছর বয়সী একটি সম্পূর্ণ স্বাভাবিক আছে যার জন্য সময়, ভালবাসা এবং মনোযোগ প্রয়োজন। সংখ্যালঘুদের অংশ হওয়া যার সম্পর্কে আপনি কিছুই জানেন না তা ভীতিকর - আমরা একসাথে একটি পরিবার হিসাবে এই সবকিছুর মধ্য দিয়ে যেতে পেরেছি... কিন্তু আমার বাবা-মা এবং বোনদের তথ্যের ক্রমাগত চাহিদা আমাকে মেরে ফেলছে। আমি জানি না! এটা কি উদ্বেগ?...</v>
      </c>
    </row>
    <row r="2429" spans="1:3" ht="15" x14ac:dyDescent="0.25">
      <c r="A2429" s="3" t="s">
        <v>2422</v>
      </c>
      <c r="B2429" s="3" t="s">
        <v>1992</v>
      </c>
      <c r="C2429" s="4" t="str">
        <f ca="1">IFERROR(__xludf.DUMMYFUNCTION("GOOGLETRANSLATE(A2429, ""auto"", ""bn"")"),"কাজের আগে দুশ্চিন্তা কমাতে আমি কীভাবে সাহায্য করতে পারি? আমার সবসময় ভালো ঘুম হয় না এবং সকালে খুব খারাপ লাগে। এর ফলে আমার অসুস্থতা হয় এবং আমি অনেকবার টয়লেটে বসে থাকি। আমি কর্মস্থলে যাওয়ার জন্য বাস ধরি, এবং আমার সবসময় বমি হওয়ার সম্ভাবনা থাকে। যেহেতু "&amp;"আজ কয়েক সপ্তাহ পর আমার প্রথম দিন ছিল, তাই আমি খুব কম ঘুমিয়েছিলাম এবং নিজেকে কাজে টেনে নিয়ে যেতে পেরেছিলাম, কিন্তু তারপর আমাকে বাড়ি যেতে হয়েছিল কারণ আমার খুব খারাপ লাগছিল। সাধারণত, আমি শুরু করার পরে এটি কমতে শুরু করে এবং এক ঘন্টা বা তারও বেশি সময় পরে"&amp;" চলে যায়। আমি এই কাজটি শুরু করিনি এবং দীর্ঘমেয়াদী ভবিষ্যৎ দেখতে পাচ্ছি, তাই আমি চিন্তিত যে এটি আমাকে পিছিয়ে রাখবে। এটি কীভাবে সাহায্য করতে পারে সে সম্পর্কে কারও কি কোন পরামর্শ আছে?")</f>
        <v>কাজের আগে দুশ্চিন্তা কমাতে আমি কীভাবে সাহায্য করতে পারি? আমার সবসময় ভালো ঘুম হয় না এবং সকালে খুব খারাপ লাগে। এর ফলে আমার অসুস্থতা হয় এবং আমি অনেকবার টয়লেটে বসে থাকি। আমি কর্মস্থলে যাওয়ার জন্য বাস ধরি, এবং আমার সবসময় বমি হওয়ার সম্ভাবনা থাকে। যেহেতু আজ কয়েক সপ্তাহ পর আমার প্রথম দিন ছিল, তাই আমি খুব কম ঘুমিয়েছিলাম এবং নিজেকে কাজে টেনে নিয়ে যেতে পেরেছিলাম, কিন্তু তারপর আমাকে বাড়ি যেতে হয়েছিল কারণ আমার খুব খারাপ লাগছিল। সাধারণত, আমি শুরু করার পরে এটি কমতে শুরু করে এবং এক ঘন্টা বা তারও বেশি সময় পরে চলে যায়। আমি এই কাজটি শুরু করিনি এবং দীর্ঘমেয়াদী ভবিষ্যৎ দেখতে পাচ্ছি, তাই আমি চিন্তিত যে এটি আমাকে পিছিয়ে রাখবে। এটি কীভাবে সাহায্য করতে পারে সে সম্পর্কে কারও কি কোন পরামর্শ আছে?</v>
      </c>
    </row>
    <row r="2430" spans="1:3" ht="15" x14ac:dyDescent="0.25">
      <c r="A2430" s="3" t="s">
        <v>2423</v>
      </c>
      <c r="B2430" s="3" t="s">
        <v>1992</v>
      </c>
      <c r="C2430" s="4" t="str">
        <f ca="1">IFERROR(__xludf.DUMMYFUNCTION("GOOGLETRANSLATE(A2430, ""auto"", ""bn"")"),"আমি দুই সপ্তাহের একটা ট্রিপে যাচ্ছি, আর আমার ভয় হচ্ছে যে আমার পরিবার আর কুকুরের সাথে খারাপ কিছু ঘটবে। আমি যখন বাইরে থাকবো তখন আমি আরাম করার জন্য আর মজা করার জন্য একা একটা ট্রিপ বুক করেছি কারণ আমি খুব চাপে আছি এবং আমার মানসিক স্বাস্থ্য সম্প্রতি ভালো নেই। "&amp;"কিন্তু যতই দিন ঘনিয়ে আসছে, ততই আমি চিন্তিত। আমি আর যেতে চাই না। আমি আমার পরিবার এবং আমার কুকুর থেকে দূরে থাকতে চাই না। তাছাড়া, আমি আগেও ওদের ট্রিপের জন্য রেখে এসেছি কিন্তু ২ সপ্তাহের জন্য নয়। এত বেশি দিন নয়। আমার খারাপ লাগছে কারণ আমার মা জন্মদিনের উপহ"&amp;"ার হিসেবে আমার ট্রিপের খরচ বহন করেছেন কারণ তিনি জানেন যে আমার এটি কতটা প্রয়োজন, কিন্তু আমি অত্যন্ত চিন্তিত। আমি আর যেতেও চাই না যদি পুরো ট্রিপ জুড়েই আমাকে চিন্তিত থাকতে হয়।")</f>
        <v>আমি দুই সপ্তাহের একটা ট্রিপে যাচ্ছি, আর আমার ভয় হচ্ছে যে আমার পরিবার আর কুকুরের সাথে খারাপ কিছু ঘটবে। আমি যখন বাইরে থাকবো তখন আমি আরাম করার জন্য আর মজা করার জন্য একা একটা ট্রিপ বুক করেছি কারণ আমি খুব চাপে আছি এবং আমার মানসিক স্বাস্থ্য সম্প্রতি ভালো নেই। কিন্তু যতই দিন ঘনিয়ে আসছে, ততই আমি চিন্তিত। আমি আর যেতে চাই না। আমি আমার পরিবার এবং আমার কুকুর থেকে দূরে থাকতে চাই না। তাছাড়া, আমি আগেও ওদের ট্রিপের জন্য রেখে এসেছি কিন্তু ২ সপ্তাহের জন্য নয়। এত বেশি দিন নয়। আমার খারাপ লাগছে কারণ আমার মা জন্মদিনের উপহার হিসেবে আমার ট্রিপের খরচ বহন করেছেন কারণ তিনি জানেন যে আমার এটি কতটা প্রয়োজন, কিন্তু আমি অত্যন্ত চিন্তিত। আমি আর যেতেও চাই না যদি পুরো ট্রিপ জুড়েই আমাকে চিন্তিত থাকতে হয়।</v>
      </c>
    </row>
    <row r="2431" spans="1:3" ht="15" x14ac:dyDescent="0.25">
      <c r="A2431" s="3" t="s">
        <v>2424</v>
      </c>
      <c r="B2431" s="3" t="s">
        <v>1992</v>
      </c>
      <c r="C2431" s="4" t="str">
        <f ca="1">IFERROR(__xludf.DUMMYFUNCTION("GOOGLETRANSLATE(A2431, ""auto"", ""bn"")"),"নতুন ওষুধ শুরু করতে খুব ভয় পাচ্ছি। বছরের পর বছর ধরে ওষুধ বন্ধ রাখার পর অবশেষে আজ আমি আমার ভেনলাফ্যাক্সিনের প্যাকেটটি তুলে নিলাম। আমার ভয় লাগছে, যদি তারা আমার সাথে অদ্ভুত আচরণ করে? যদি তারা আমাকে ঘুমের মধ্যে হাঁটতে বাধ্য করে, এবং তারপর আমি কাউকে আঘাত করি"&amp;" অথবা যদি তারা আমাকে ঘুমের মধ্যে হাঁটতে বাধ্য করে এবং আমি ছাদ থেকে লাফ দেই? যদি আমার মস্তিষ্ক এতটাই কুয়াশাচ্ছন্ন হয়ে যায় যে আমি পাগল হয়ে যাই। আমি খুব ভয় পাচ্ছি।")</f>
        <v>নতুন ওষুধ শুরু করতে খুব ভয় পাচ্ছি। বছরের পর বছর ধরে ওষুধ বন্ধ রাখার পর অবশেষে আজ আমি আমার ভেনলাফ্যাক্সিনের প্যাকেটটি তুলে নিলাম। আমার ভয় লাগছে, যদি তারা আমার সাথে অদ্ভুত আচরণ করে? যদি তারা আমাকে ঘুমের মধ্যে হাঁটতে বাধ্য করে, এবং তারপর আমি কাউকে আঘাত করি অথবা যদি তারা আমাকে ঘুমের মধ্যে হাঁটতে বাধ্য করে এবং আমি ছাদ থেকে লাফ দেই? যদি আমার মস্তিষ্ক এতটাই কুয়াশাচ্ছন্ন হয়ে যায় যে আমি পাগল হয়ে যাই। আমি খুব ভয় পাচ্ছি।</v>
      </c>
    </row>
    <row r="2432" spans="1:3" ht="15" x14ac:dyDescent="0.25">
      <c r="A2432" s="3" t="s">
        <v>2425</v>
      </c>
      <c r="B2432" s="3" t="s">
        <v>1992</v>
      </c>
      <c r="C2432" s="4" t="str">
        <f ca="1">IFERROR(__xludf.DUMMYFUNCTION("GOOGLETRANSLATE(A2432, ""auto"", ""bn"")"),"উদ্বেগের ওষুধ - কোন ধরণের এবং পার্শ্বপ্রতিক্রিয়া সম্পর্কে পরামর্শ?? (১৬F) (একটু লম্বা পোস্ট দুঃখিত) আমার থেরাপিস্ট সিদ্ধান্ত নিয়েছেন যে CBT-এর মাধ্যমে তার পরিবর্তনগুলি দ্রুত করার জন্য উদ্বেগের ওষুধ উপকারী হবে। আমার সঠিকভাবে রোগ নির্ণয় করা হয়নি, তবে অন"&amp;"েক জিপি, কাউন্সেলর এবং মনোবিজ্ঞানী বলেছেন যে আমার উচ্চ কার্যকারিতা Asperger আছে যা অবশ্যই সম্পর্কিত। আমি বহু বছর ধরে CBT করছি এবং মনে হচ্ছে আমার আসলে কোনও অগ্রগতি হয়নি। তদুপরি, আমি আশা করছি ওষুধগুলি তা করবে। তদুপরি, আমার আগেও ক্ষুধা কম থাকার সমস্যা ছিল, "&amp;"এবং আমি এমন কিছু গ্রহণ করতে আগ্রহী নই যার পার্শ্বপ্রতিক্রিয়াগুলি আবার ফিরে আসতে পারে? তিনি বলেছিলেন যে তিনি আমাকে এমন ওষুধ দিয়েছিলেন যা আত্মহত্যার চিন্তাভাবনার সম্ভাবনা বাড়ায় না, এবং যেগুলি অ্যান্টিডিপ্রেসেন্টও। (আমার আগেও বিষণ্ণতার সমস্যা ছিল, এবং আম"&amp;"ার মনে হয় এটি আবার ফিরে আসছে, তবে এটি ততটা খারাপ নয়, আমি আমার থেরাপিস্টকে এটি সম্পর্কে বলিনি, তিনি কেবল উদ্বেগের জন্য ওষুধগুলি পরামর্শ দিয়েছিলেন)। যারা এই ওষুধটি ব্যবহার করেছেন/করছেন তাদের জিজ্ঞাসা করছি, আপনারা যে ধরণের ওষুধ গ্রহণ করেছেন/করছেন তার কার্"&amp;"যকারিতা এবং পার্শ্বপ্রতিক্রিয়া সম্পর্কে আপনাদের অভিজ্ঞতা কেমন ছিল??")</f>
        <v>উদ্বেগের ওষুধ - কোন ধরণের এবং পার্শ্বপ্রতিক্রিয়া সম্পর্কে পরামর্শ?? (১৬F) (একটু লম্বা পোস্ট দুঃখিত) আমার থেরাপিস্ট সিদ্ধান্ত নিয়েছেন যে CBT-এর মাধ্যমে তার পরিবর্তনগুলি দ্রুত করার জন্য উদ্বেগের ওষুধ উপকারী হবে। আমার সঠিকভাবে রোগ নির্ণয় করা হয়নি, তবে অনেক জিপি, কাউন্সেলর এবং মনোবিজ্ঞানী বলেছেন যে আমার উচ্চ কার্যকারিতা Asperger আছে যা অবশ্যই সম্পর্কিত। আমি বহু বছর ধরে CBT করছি এবং মনে হচ্ছে আমার আসলে কোনও অগ্রগতি হয়নি। তদুপরি, আমি আশা করছি ওষুধগুলি তা করবে। তদুপরি, আমার আগেও ক্ষুধা কম থাকার সমস্যা ছিল, এবং আমি এমন কিছু গ্রহণ করতে আগ্রহী নই যার পার্শ্বপ্রতিক্রিয়াগুলি আবার ফিরে আসতে পারে? তিনি বলেছিলেন যে তিনি আমাকে এমন ওষুধ দিয়েছিলেন যা আত্মহত্যার চিন্তাভাবনার সম্ভাবনা বাড়ায় না, এবং যেগুলি অ্যান্টিডিপ্রেসেন্টও। (আমার আগেও বিষণ্ণতার সমস্যা ছিল, এবং আমার মনে হয় এটি আবার ফিরে আসছে, তবে এটি ততটা খারাপ নয়, আমি আমার থেরাপিস্টকে এটি সম্পর্কে বলিনি, তিনি কেবল উদ্বেগের জন্য ওষুধগুলি পরামর্শ দিয়েছিলেন)। যারা এই ওষুধটি ব্যবহার করেছেন/করছেন তাদের জিজ্ঞাসা করছি, আপনারা যে ধরণের ওষুধ গ্রহণ করেছেন/করছেন তার কার্যকারিতা এবং পার্শ্বপ্রতিক্রিয়া সম্পর্কে আপনাদের অভিজ্ঞতা কেমন ছিল??</v>
      </c>
    </row>
    <row r="2433" spans="1:3" ht="15" x14ac:dyDescent="0.25">
      <c r="A2433" s="3" t="s">
        <v>2426</v>
      </c>
      <c r="B2433" s="3" t="s">
        <v>1992</v>
      </c>
      <c r="C2433" s="4" t="str">
        <f ca="1">IFERROR(__xludf.DUMMYFUNCTION("GOOGLETRANSLATE(A2433, ""auto"", ""bn"")"),"মাত্র কয়েক সপ্তাহ আগে একটা নতুন চাকরি, আর আমি বুঝতে পারলাম যে আমার বেতন আলোচনায় গোলমাল হয়েছে। আমি জানি আমাদের আগের বেতন আলোচনায় প্রকাশ করা উচিত নয়, কিন্তু আমি ভেবেছিলাম আমি একটা ভালো চুক্তি পাচ্ছি। (এবং সাধারণ মানুষের কাছে এটা অনেক ভালো চুক্তি, কিন্তু আম"&amp;"ার যোগ্যতা এবং উচ্চশিক্ষার দিক দিয়ে এটা একটা ভালো কিন্তু কম দামের চুক্তি) আমি বুঝতে পারলাম যে আমি আরও বেশি পেতে পারতাম। ২০-৩০ শতাংশ বেশি। আমি এখনও তরুণ এবং আমার কোনও নির্ভরশীল নেই। কিন্তু এখন আমি এক অদ্ভুত ধরণের উদ্বেগ অনুভব করছি যে আমি আলোচনায় ভালো করতে "&amp;"পারিনি। আমার সবসময়ই এই প্রতারক সিন্ড্রোম ছিল এবং আমি মনে করি যে আমি আরও বেশি ক্ষতিপূরণ দাবি করার মতো যোগ্য নই, তা সে আর্থিক হোক বা কেবল সামাজিক মূলধন বা মর্যাদা। আমার মনে হয় আলোচনায় এটা সাহায্য করেনি।")</f>
        <v>মাত্র কয়েক সপ্তাহ আগে একটা নতুন চাকরি, আর আমি বুঝতে পারলাম যে আমার বেতন আলোচনায় গোলমাল হয়েছে। আমি জানি আমাদের আগের বেতন আলোচনায় প্রকাশ করা উচিত নয়, কিন্তু আমি ভেবেছিলাম আমি একটা ভালো চুক্তি পাচ্ছি। (এবং সাধারণ মানুষের কাছে এটা অনেক ভালো চুক্তি, কিন্তু আমার যোগ্যতা এবং উচ্চশিক্ষার দিক দিয়ে এটা একটা ভালো কিন্তু কম দামের চুক্তি) আমি বুঝতে পারলাম যে আমি আরও বেশি পেতে পারতাম। ২০-৩০ শতাংশ বেশি। আমি এখনও তরুণ এবং আমার কোনও নির্ভরশীল নেই। কিন্তু এখন আমি এক অদ্ভুত ধরণের উদ্বেগ অনুভব করছি যে আমি আলোচনায় ভালো করতে পারিনি। আমার সবসময়ই এই প্রতারক সিন্ড্রোম ছিল এবং আমি মনে করি যে আমি আরও বেশি ক্ষতিপূরণ দাবি করার মতো যোগ্য নই, তা সে আর্থিক হোক বা কেবল সামাজিক মূলধন বা মর্যাদা। আমার মনে হয় আলোচনায় এটা সাহায্য করেনি।</v>
      </c>
    </row>
    <row r="2434" spans="1:3" ht="15" x14ac:dyDescent="0.25">
      <c r="A2434" s="3" t="s">
        <v>2427</v>
      </c>
      <c r="B2434" s="3" t="s">
        <v>1992</v>
      </c>
      <c r="C2434" s="4" t="str">
        <f ca="1">IFERROR(__xludf.DUMMYFUNCTION("GOOGLETRANSLATE(A2434, ""auto"", ""bn"")"),"আর কেউ কি রাতকে ভালোবাসে? রাতের মধ্যে এমন কিছু আছে যা আমাকে খুব শান্ত বোধ করে। সেই সময় যখন বাড়ির সবাই ঘুমিয়ে থাকে, আর তুমিই একমাত্র জেগে থাকো। কোনও উদ্বেগ নেই, ভয় নেই, দুঃখ নেই, সবকিছুই অদৃশ্য হয়ে যায়।")</f>
        <v>আর কেউ কি রাতকে ভালোবাসে? রাতের মধ্যে এমন কিছু আছে যা আমাকে খুব শান্ত বোধ করে। সেই সময় যখন বাড়ির সবাই ঘুমিয়ে থাকে, আর তুমিই একমাত্র জেগে থাকো। কোনও উদ্বেগ নেই, ভয় নেই, দুঃখ নেই, সবকিছুই অদৃশ্য হয়ে যায়।</v>
      </c>
    </row>
    <row r="2435" spans="1:3" ht="15" x14ac:dyDescent="0.25">
      <c r="A2435" s="3" t="s">
        <v>2428</v>
      </c>
      <c r="B2435" s="3" t="s">
        <v>1992</v>
      </c>
      <c r="C2435" s="4" t="str">
        <f ca="1">IFERROR(__xludf.DUMMYFUNCTION("GOOGLETRANSLATE(A2435, ""auto"", ""bn"")"),"আমি শপথ করছি আমার একজন বহির্মুখী, মজার, সামাজিক ব্যক্তিত্ব আছে। কিন্তু আমার উদ্বেগ আমাকে পিছনে ফেলে দেয়; মিথ্যাভাবে আমাকে একজন অন্তর্মুখী অদ্ভুত অদ্ভুত ব্যক্তিতে পরিণত করে। আমি সবসময়ই এত অনিরাপদ ছিলাম যে অনিশ্চিত শিবিরে ছিলাম; বিশ্রী তবুও আমি সবসময় একজ"&amp;"ন গায়ক হওয়ার স্বপ্ন দেখেছিলাম, আমি গান গাইতে পারি না কিন্তু কারো সামনেও গান গাইতে চাই না, এমনকি বন্ধুদের সামনে বা প্রেমিকের সামনে গাড়িতে জ্যাম করার মতো কারণ আমি খুব চিন্তিত যে আমার বিচার করা হবে। আমি সবসময় ডান্স ফ্লোরে ছুটে যেতে চাই, গাড়িতে বোকা জ্যা"&amp;"ম করতে চাই অথবা এমনকি আমার প্রেমিককে ল্যাপ ড্যান্স দিতে চাই, কিন্তু আমি খুব অনিরাপদ এবং করব না। তাছাড়া, আমি সোশ্যাল মিডিয়ায় পোস্ট করাও বন্ধ করে দিয়েছি কারণ আমি ভয় পাই যে আমার বিচার করা হবে। তাছাড়া, আমি সাধারণত যাদের চিনি না তাদের সাথে কথা বলি না ক্য"&amp;"াম্প; অনেক সময় আমি যাদের চিনি তাদের সাথেও কথা বলি না কারণ আমি বিশ্রী নীরবতা ইত্যাদি নিয়ে চিন্তিত। উফ, এই ধরণের ঝামেলার মধ্যে।")</f>
        <v>আমি শপথ করছি আমার একজন বহির্মুখী, মজার, সামাজিক ব্যক্তিত্ব আছে। কিন্তু আমার উদ্বেগ আমাকে পিছনে ফেলে দেয়; মিথ্যাভাবে আমাকে একজন অন্তর্মুখী অদ্ভুত অদ্ভুত ব্যক্তিতে পরিণত করে। আমি সবসময়ই এত অনিরাপদ ছিলাম যে অনিশ্চিত শিবিরে ছিলাম; বিশ্রী তবুও আমি সবসময় একজন গায়ক হওয়ার স্বপ্ন দেখেছিলাম, আমি গান গাইতে পারি না কিন্তু কারো সামনেও গান গাইতে চাই না, এমনকি বন্ধুদের সামনে বা প্রেমিকের সামনে গাড়িতে জ্যাম করার মতো কারণ আমি খুব চিন্তিত যে আমার বিচার করা হবে। আমি সবসময় ডান্স ফ্লোরে ছুটে যেতে চাই, গাড়িতে বোকা জ্যাম করতে চাই অথবা এমনকি আমার প্রেমিককে ল্যাপ ড্যান্স দিতে চাই, কিন্তু আমি খুব অনিরাপদ এবং করব না। তাছাড়া, আমি সোশ্যাল মিডিয়ায় পোস্ট করাও বন্ধ করে দিয়েছি কারণ আমি ভয় পাই যে আমার বিচার করা হবে। তাছাড়া, আমি সাধারণত যাদের চিনি না তাদের সাথে কথা বলি না ক্যাম্প; অনেক সময় আমি যাদের চিনি তাদের সাথেও কথা বলি না কারণ আমি বিশ্রী নীরবতা ইত্যাদি নিয়ে চিন্তিত। উফ, এই ধরণের ঝামেলার মধ্যে।</v>
      </c>
    </row>
    <row r="2436" spans="1:3" ht="15" x14ac:dyDescent="0.25">
      <c r="A2436" s="3" t="s">
        <v>2429</v>
      </c>
      <c r="B2436" s="3" t="s">
        <v>1992</v>
      </c>
      <c r="C2436" s="4" t="str">
        <f ca="1">IFERROR(__xludf.DUMMYFUNCTION("GOOGLETRANSLATE(A2436, ""auto"", ""bn"")"),"যদি মানসিক রোগী বেজোসকে প্রত্যাখ্যান করে তাহলে কী করব? আমি সারা জীবন ভয়ঙ্কর প্যানিক অ্যাটাকে ভুগছি। সম্প্রতি এগুলো এতটাই খারাপ হয়েছে যে আমি রাতে ঘুমাতে পারি না যা দিনের বেলায় আমার কার্যকারিতা ব্যাহত করে। আমি বুঝতে পারি বেজোসের একটি স্টিগমা আছে এবং তারা"&amp;" আসক্ত, কিন্তু আমার মনে হয় আমি সবকিছু চেষ্টা করেছি কিন্তু কিছুই কাজ করে না। বিটা ব্লকার এমনকি ভিস্টারিল (একটি শক্তিশালী অ্যান্টিহিস্টামিন)ও কাজ করেনি। আমার সাধারণ উদ্বেগের জন্য কিছু আছে যা খুবই সহায়ক, কিন্তু এটি হঠাৎ প্যানিক অ্যাটাকের থামায় না। আমার থে"&amp;"রাপিস্ট, যার সাথে আমি বছরের পর বছর ধরে কাজ করছি, বিশ্বাস করি যে আমি Xanax বা Klonopin এর জন্য একজন ভালো প্রার্থী হব, কিন্তু আমার মনোরোগ বিশেষজ্ঞের অফিস Benzodiazepines সহ কিছু নির্দিষ্ট ওষুধ লিখে দেওয়ার বিরুদ্ধে দৃঢ়ভাবে। আমি কী করব? আমি উপশমের জন্য এতটা"&amp;"ই মরিয়া যে আমি ওষুধের জন্য রাস্তায় যাওয়ার কথা ভেবেছি, কিন্তু এটি কতটা অনিরাপদ হতে পারে তা নিয়ে আমার খুব বেশি উদ্বেগ রয়েছে।")</f>
        <v>যদি মানসিক রোগী বেজোসকে প্রত্যাখ্যান করে তাহলে কী করব? আমি সারা জীবন ভয়ঙ্কর প্যানিক অ্যাটাকে ভুগছি। সম্প্রতি এগুলো এতটাই খারাপ হয়েছে যে আমি রাতে ঘুমাতে পারি না যা দিনের বেলায় আমার কার্যকারিতা ব্যাহত করে। আমি বুঝতে পারি বেজোসের একটি স্টিগমা আছে এবং তারা আসক্ত, কিন্তু আমার মনে হয় আমি সবকিছু চেষ্টা করেছি কিন্তু কিছুই কাজ করে না। বিটা ব্লকার এমনকি ভিস্টারিল (একটি শক্তিশালী অ্যান্টিহিস্টামিন)ও কাজ করেনি। আমার সাধারণ উদ্বেগের জন্য কিছু আছে যা খুবই সহায়ক, কিন্তু এটি হঠাৎ প্যানিক অ্যাটাকের থামায় না। আমার থেরাপিস্ট, যার সাথে আমি বছরের পর বছর ধরে কাজ করছি, বিশ্বাস করি যে আমি Xanax বা Klonopin এর জন্য একজন ভালো প্রার্থী হব, কিন্তু আমার মনোরোগ বিশেষজ্ঞের অফিস Benzodiazepines সহ কিছু নির্দিষ্ট ওষুধ লিখে দেওয়ার বিরুদ্ধে দৃঢ়ভাবে। আমি কী করব? আমি উপশমের জন্য এতটাই মরিয়া যে আমি ওষুধের জন্য রাস্তায় যাওয়ার কথা ভেবেছি, কিন্তু এটি কতটা অনিরাপদ হতে পারে তা নিয়ে আমার খুব বেশি উদ্বেগ রয়েছে।</v>
      </c>
    </row>
    <row r="2437" spans="1:3" ht="15" x14ac:dyDescent="0.25">
      <c r="A2437" s="3" t="s">
        <v>2430</v>
      </c>
      <c r="B2437" s="3" t="s">
        <v>1992</v>
      </c>
      <c r="C2437" s="4" t="str">
        <f ca="1">IFERROR(__xludf.DUMMYFUNCTION("GOOGLETRANSLATE(A2437, ""auto"", ""bn"")"),"আমেরিকান স্কুল সিস্টেম আমার অনেক প্রেরণা ছিল এবং স্কুল আক্ষরিক অর্থেই তা অদৃশ্য করে দিয়েছে। আমি আগের চেয়ে সম্পূর্ণ ভিন্ন ব্যক্তি....আমেরিকান স্কুল সিস্টেমটি বিকৃত।")</f>
        <v>আমেরিকান স্কুল সিস্টেম আমার অনেক প্রেরণা ছিল এবং স্কুল আক্ষরিক অর্থেই তা অদৃশ্য করে দিয়েছে। আমি আগের চেয়ে সম্পূর্ণ ভিন্ন ব্যক্তি....আমেরিকান স্কুল সিস্টেমটি বিকৃত।</v>
      </c>
    </row>
    <row r="2438" spans="1:3" ht="15" x14ac:dyDescent="0.25">
      <c r="A2438" s="3" t="s">
        <v>2431</v>
      </c>
      <c r="B2438" s="3" t="s">
        <v>1992</v>
      </c>
      <c r="C2438" s="4" t="str">
        <f ca="1">IFERROR(__xludf.DUMMYFUNCTION("GOOGLETRANSLATE(A2438, ""auto"", ""bn"")"),"কাজের কথোপকথনের কারণে উদ্বেগ আমাকে এখানে অঙ্কটা করতে দাও: আমার ম্যানেজার আত্মবিশ্বাসের সমস্যা নিয়ে লড়াই করে এবং আমি চরম উদ্বেগের সাথে লড়াই করি। আমার ইতিমধ্যেই লোকেদের সাথে কথা বলতে খুব একটা সমস্যা হয় না কারণ আমি কথা বলতে খুব একটা ভালো নই, তবে আমার বসে"&amp;"র সাথে এটি বিশেষভাবে কঠিন কারণ তিনি সবকিছু খুব খারাপভাবে নেন। আমার মনে হয় আমার কথার সাথে আমাকে আঙুল মেলাতে হয়, তাই যোগাযোগ করা খুব কঠিন। আজ আমি তার সাথে এবং আরেকজন শিফট সুপারভাইজার, এভলিন (আমিও একজন শিফট সুপারভাইজার) এর সাথে শেষ করছিলাম, আমরা নতুন লোক ন"&amp;"িয়োগের বিষয়ে আলোচনা করেছি। আমি অনেক দিন ধরে একজন প্রশিক্ষক হতে চেয়েছিলাম এবং আমার ম্যানেজারের কাছে এটি অনেকবার বলেছি। সে আমাকে বলেছে যে সে আমাকে পদোন্নতি দিতে চায়, তাই আমি বলেছি আমি কি অবশেষে আমার বারিস্তা প্রশিক্ষক প্রশিক্ষণ নিতে যাচ্ছি? Â সে বলল না"&amp;"... আমি এভলিনকে প্রশিক্ষণ দিতে যাচ্ছি। Â (আমি বিশ্ববিদ্যালয়ে ছিলাম বলে সে আগে আমাকে প্রশিক্ষণ দেয়নি, কিন্তু এখন আমার কেবল একটি ক্লাস আছে) আমি এটা শুনে সত্যিই হতবাক হয়ে গিয়েছিলাম এবং বলেছিলাম, কিন্তু আমি এই পদোন্নতির জন্য দুই বছর অপেক্ষা করছিলাম! Â ম"&amp;"নে রাখবেন, এভলিন মাত্র কয়েক মাস ধরে কোম্পানিতে আছেন। আমার ম্যানেজার এবং আমার জীবনে একই রকম দৃষ্টিভঙ্গি এবং সম্পর্ক রয়েছে। আমি তাকে অনেকবার বলেছি যে আমি তাকে কতটা সম্মান করি এবং সে আমাকে কতটা শিখিয়েছে তা আমি স্বীকার করি। যাই হোক, সে আমার কথা ভাবেনি বলে "&amp;"খারাপ লেগেছে। আমার মনে হয় এভলিনের চেয়ে আমার পদোন্নতি হতে পারে, এবং এখানেই আমার উদ্বেগ শুরু হয়: আমার এক বন্ধুর পদোন্নতির জন্য আমি হয়তো কিছুটা ক্ষতিগ্রস্থ হয়েছি। আমি এখন বিছানায় শুয়ে কিছু বলার জন্য নিজেকে লাথি মারছি। আমি এইভাবে প্রতিক্রিয়া জানানোর এ"&amp;"কমাত্র কারণ ছিল কারণ আমি সত্যিই হতবাক হয়ে গিয়েছিলাম যে সে আমাকে পদোন্নতি দেবে না, এবং আমি যা মনে করি তা বলে ফেলি। আমার কি এভলিনের কাছে ক্ষমা চাওয়া উচিত? আমি সত্যিই এই পদোন্নতি চাই এবং এতদিন ধরে এটি চেয়েছিলাম, টাকার জন্য নয় বরং কারণ আমি মানুষকে শিক্ষা"&amp;" দিতে ভালোবাসি এবং আমি মনে করি আমি এই পদে সেরা হতে পারব। এখন আমার সত্যিই খারাপ লাগছে যে আমি ভাবছি আমার ম্যানেজারকে বলা উচিত এভলিনকে পদোন্নতি দিতে, তাই আমার আর অপরাধবোধ নেই।")</f>
        <v>কাজের কথোপকথনের কারণে উদ্বেগ আমাকে এখানে অঙ্কটা করতে দাও: আমার ম্যানেজার আত্মবিশ্বাসের সমস্যা নিয়ে লড়াই করে এবং আমি চরম উদ্বেগের সাথে লড়াই করি। আমার ইতিমধ্যেই লোকেদের সাথে কথা বলতে খুব একটা সমস্যা হয় না কারণ আমি কথা বলতে খুব একটা ভালো নই, তবে আমার বসের সাথে এটি বিশেষভাবে কঠিন কারণ তিনি সবকিছু খুব খারাপভাবে নেন। আমার মনে হয় আমার কথার সাথে আমাকে আঙুল মেলাতে হয়, তাই যোগাযোগ করা খুব কঠিন। আজ আমি তার সাথে এবং আরেকজন শিফট সুপারভাইজার, এভলিন (আমিও একজন শিফট সুপারভাইজার) এর সাথে শেষ করছিলাম, আমরা নতুন লোক নিয়োগের বিষয়ে আলোচনা করেছি। আমি অনেক দিন ধরে একজন প্রশিক্ষক হতে চেয়েছিলাম এবং আমার ম্যানেজারের কাছে এটি অনেকবার বলেছি। সে আমাকে বলেছে যে সে আমাকে পদোন্নতি দিতে চায়, তাই আমি বলেছি আমি কি অবশেষে আমার বারিস্তা প্রশিক্ষক প্রশিক্ষণ নিতে যাচ্ছি? Â সে বলল না... আমি এভলিনকে প্রশিক্ষণ দিতে যাচ্ছি। Â (আমি বিশ্ববিদ্যালয়ে ছিলাম বলে সে আগে আমাকে প্রশিক্ষণ দেয়নি, কিন্তু এখন আমার কেবল একটি ক্লাস আছে) আমি এটা শুনে সত্যিই হতবাক হয়ে গিয়েছিলাম এবং বলেছিলাম, কিন্তু আমি এই পদোন্নতির জন্য দুই বছর অপেক্ষা করছিলাম! Â মনে রাখবেন, এভলিন মাত্র কয়েক মাস ধরে কোম্পানিতে আছেন। আমার ম্যানেজার এবং আমার জীবনে একই রকম দৃষ্টিভঙ্গি এবং সম্পর্ক রয়েছে। আমি তাকে অনেকবার বলেছি যে আমি তাকে কতটা সম্মান করি এবং সে আমাকে কতটা শিখিয়েছে তা আমি স্বীকার করি। যাই হোক, সে আমার কথা ভাবেনি বলে খারাপ লেগেছে। আমার মনে হয় এভলিনের চেয়ে আমার পদোন্নতি হতে পারে, এবং এখানেই আমার উদ্বেগ শুরু হয়: আমার এক বন্ধুর পদোন্নতির জন্য আমি হয়তো কিছুটা ক্ষতিগ্রস্থ হয়েছি। আমি এখন বিছানায় শুয়ে কিছু বলার জন্য নিজেকে লাথি মারছি। আমি এইভাবে প্রতিক্রিয়া জানানোর একমাত্র কারণ ছিল কারণ আমি সত্যিই হতবাক হয়ে গিয়েছিলাম যে সে আমাকে পদোন্নতি দেবে না, এবং আমি যা মনে করি তা বলে ফেলি। আমার কি এভলিনের কাছে ক্ষমা চাওয়া উচিত? আমি সত্যিই এই পদোন্নতি চাই এবং এতদিন ধরে এটি চেয়েছিলাম, টাকার জন্য নয় বরং কারণ আমি মানুষকে শিক্ষা দিতে ভালোবাসি এবং আমি মনে করি আমি এই পদে সেরা হতে পারব। এখন আমার সত্যিই খারাপ লাগছে যে আমি ভাবছি আমার ম্যানেজারকে বলা উচিত এভলিনকে পদোন্নতি দিতে, তাই আমার আর অপরাধবোধ নেই।</v>
      </c>
    </row>
    <row r="2439" spans="1:3" ht="15" x14ac:dyDescent="0.25">
      <c r="A2439" s="3" t="s">
        <v>2432</v>
      </c>
      <c r="B2439" s="3" t="s">
        <v>1992</v>
      </c>
      <c r="C2439" s="4" t="str">
        <f ca="1">IFERROR(__xludf.DUMMYFUNCTION("GOOGLETRANSLATE(A2439, ""auto"", ""bn"")"),"এটা রাতে প্রায়ই ঘটে। এটা অযৌক্তিক এবং বোকামি, যেমনটা আমার বেশিরভাগ চিন্তাভাবনা। কিন্তু, আমার ক্রমাগত বরফ খাওয়ার সমস্যা আছে (দিনে ২-৪ কাপ)। আমি জানি আমার রক্তাল্পতা আছে কিনা তা দেখার জন্য আমার রক্ত ​​পরীক্ষা করাতে হবে (এটা কি এর সাথে সম্পর্কিত?) যা সমস্ত "&amp;"মাথা ঘোরার কারণ ব্যাখ্যা করবে। আমি গ্রীষ্মকালে ভ্রমণ করেছি এবং তখনই মাথা ঘোরা/সবকিছু শুরু হয়েছিল। কিন্তু, আমার অন্ত্রে পরজীবী এবং কৃমি ঘুরছে এই চিন্তাগুলো আমি সহ্য করতে পারছি না যা আমাকে মাথা ঘোরা এবং বমি বমি ভাবের অনুভূতি দেয়। আমি কার্যত আমার ভিতরে কিছ"&amp;"ু নড়াচড়া করছে এবং আমার অঙ্গগুলির বিরুদ্ধে ধাক্কা দিচ্ছে তা অনুভব করছি। কোনওভাবে তারা আমাকে অর্থহীনভাবে বরফের আকাঙ্ক্ষা করতে বাধ্য করছে। আমি জানি এটা বোকামি, কিন্তু গত এক ঘন্টা ধরে আমি কেবল এইটুকুই ভাবতে পেরেছি এবং আমার মনে হচ্ছে আমি ঘুমাতে পারব না। আমি "&amp;"আশা করি এটি কিছুটা যুক্তিসঙ্গত ছিল, তবে এই ধরণের জিনিসগুলি সাধারণত হওয়া উচিত নয়।")</f>
        <v>এটা রাতে প্রায়ই ঘটে। এটা অযৌক্তিক এবং বোকামি, যেমনটা আমার বেশিরভাগ চিন্তাভাবনা। কিন্তু, আমার ক্রমাগত বরফ খাওয়ার সমস্যা আছে (দিনে ২-৪ কাপ)। আমি জানি আমার রক্তাল্পতা আছে কিনা তা দেখার জন্য আমার রক্ত ​​পরীক্ষা করাতে হবে (এটা কি এর সাথে সম্পর্কিত?) যা সমস্ত মাথা ঘোরার কারণ ব্যাখ্যা করবে। আমি গ্রীষ্মকালে ভ্রমণ করেছি এবং তখনই মাথা ঘোরা/সবকিছু শুরু হয়েছিল। কিন্তু, আমার অন্ত্রে পরজীবী এবং কৃমি ঘুরছে এই চিন্তাগুলো আমি সহ্য করতে পারছি না যা আমাকে মাথা ঘোরা এবং বমি বমি ভাবের অনুভূতি দেয়। আমি কার্যত আমার ভিতরে কিছু নড়াচড়া করছে এবং আমার অঙ্গগুলির বিরুদ্ধে ধাক্কা দিচ্ছে তা অনুভব করছি। কোনওভাবে তারা আমাকে অর্থহীনভাবে বরফের আকাঙ্ক্ষা করতে বাধ্য করছে। আমি জানি এটা বোকামি, কিন্তু গত এক ঘন্টা ধরে আমি কেবল এইটুকুই ভাবতে পেরেছি এবং আমার মনে হচ্ছে আমি ঘুমাতে পারব না। আমি আশা করি এটি কিছুটা যুক্তিসঙ্গত ছিল, তবে এই ধরণের জিনিসগুলি সাধারণত হওয়া উচিত নয়।</v>
      </c>
    </row>
    <row r="2440" spans="1:3" ht="15" x14ac:dyDescent="0.25">
      <c r="A2440" s="3" t="s">
        <v>2433</v>
      </c>
      <c r="B2440" s="3" t="s">
        <v>1992</v>
      </c>
      <c r="C2440" s="4" t="str">
        <f ca="1">IFERROR(__xludf.DUMMYFUNCTION("GOOGLETRANSLATE(A2440, ""auto"", ""bn"")"),"কোনও ভালো কাজের পর আমার উপর বিশাল স্পটলাইট জ্বলতে চাইনি। প্রায় দেড় মাস আগে, আমার সহকর্মীর কাছে রক্তদানের জন্য একটি অভিযান হয়েছিল এবং আমি রক্তদান করার সিদ্ধান্ত নিয়েছিলাম। এটি ছিল প্রথমবারের মতো আমি রক্তদান করেছি, তাই এটি একটি ছোট ব্যাগ ছিল (আমার মনে হ"&amp;"য় তারা কেবল রক্তকণিকা নিচ্ছিল, তবে আমি নিশ্চিত নই)। রক্তদানের বিনিময়ে আমি একটি টি-শার্ট পেয়েছিলাম, যা পরে আমি আমার ব্যাকপ্যাকে লুকিয়ে রেখেছিলাম। দেখুন, আমার মা ক্যান্সার থেকে বেঁচে গেছেন, বিশেষ করে লিউকেমিয়া, তাই আমি জানতাম আমি যদি কিছু বলি তবে তিনি "&amp;"সম্ভবত খুব আবেগপ্রবণ হয়ে পড়বেন এবং তিনি সম্ভবত আরও লোককে এটি সম্পর্কে বলতেন। কয়েকজন লোক আমাকে এর জন্য প্রশংসা করলে আমি ঠিক ছিলাম না, তবে বিশাল স্পটলাইটে জোর করে আনার মতো অনুভূতি মোকাবেলা করার জন্য এমন একটি বিষয় যা আমি সক্রিয়ভাবে এড়াতে চেয়েছিলাম।")</f>
        <v>কোনও ভালো কাজের পর আমার উপর বিশাল স্পটলাইট জ্বলতে চাইনি। প্রায় দেড় মাস আগে, আমার সহকর্মীর কাছে রক্তদানের জন্য একটি অভিযান হয়েছিল এবং আমি রক্তদান করার সিদ্ধান্ত নিয়েছিলাম। এটি ছিল প্রথমবারের মতো আমি রক্তদান করেছি, তাই এটি একটি ছোট ব্যাগ ছিল (আমার মনে হয় তারা কেবল রক্তকণিকা নিচ্ছিল, তবে আমি নিশ্চিত নই)। রক্তদানের বিনিময়ে আমি একটি টি-শার্ট পেয়েছিলাম, যা পরে আমি আমার ব্যাকপ্যাকে লুকিয়ে রেখেছিলাম। দেখুন, আমার মা ক্যান্সার থেকে বেঁচে গেছেন, বিশেষ করে লিউকেমিয়া, তাই আমি জানতাম আমি যদি কিছু বলি তবে তিনি সম্ভবত খুব আবেগপ্রবণ হয়ে পড়বেন এবং তিনি সম্ভবত আরও লোককে এটি সম্পর্কে বলতেন। কয়েকজন লোক আমাকে এর জন্য প্রশংসা করলে আমি ঠিক ছিলাম না, তবে বিশাল স্পটলাইটে জোর করে আনার মতো অনুভূতি মোকাবেলা করার জন্য এমন একটি বিষয় যা আমি সক্রিয়ভাবে এড়াতে চেয়েছিলাম।</v>
      </c>
    </row>
    <row r="2441" spans="1:3" ht="15" x14ac:dyDescent="0.25">
      <c r="A2441" s="3" t="s">
        <v>2434</v>
      </c>
      <c r="B2441" s="3" t="s">
        <v>1992</v>
      </c>
      <c r="C2441" s="4" t="str">
        <f ca="1">IFERROR(__xludf.DUMMYFUNCTION("GOOGLETRANSLATE(A2441, ""auto"", ""bn"")"),"আমার পড়ার প্রতি ভালোবাসায় উদ্বেগ বাধাগ্রস্ত করছে? আমি প্রায় সারা জীবন ধরেই একজন আগ্রহী ফ্যান্টাসি পাঠক, কিন্তু গত কয়েক বছর ধরে আমার উদ্বেগ এবং নিখুঁততা বাধাগ্রস্ত হচ্ছে। কোনও কারণে আমার মস্তিষ্ক সিদ্ধান্ত নিয়েছে যে আমাকে প্রতিটি শব্দ সম্পূর্ণরূপে আত্মস"&amp;"্থ করতে হবে এবং প্রতিটি বিবরণ নিখুঁতভাবে কল্পনা করতে হবে। যদি আমি ভুল করি, তাহলে আমার মনে হয় আমাকে একই অনুচ্ছেদ আবার পড়তে হবে। এটি বারবার ঘটে, যতক্ষণ না আমি এত হতাশ হয়ে পড়ি যে আমি হাল ছেড়ে দেই। আমি সত্যিই আবার পড়া উপভোগ করতে চাই, কিন্তু এখন অভিজ্ঞতা"&amp;" এতটাই উদ্বেগে ভরা যে এটি কিছুটা অসম্ভব বলে মনে হচ্ছে। কোন পরামর্শ?")</f>
        <v>আমার পড়ার প্রতি ভালোবাসায় উদ্বেগ বাধাগ্রস্ত করছে? আমি প্রায় সারা জীবন ধরেই একজন আগ্রহী ফ্যান্টাসি পাঠক, কিন্তু গত কয়েক বছর ধরে আমার উদ্বেগ এবং নিখুঁততা বাধাগ্রস্ত হচ্ছে। কোনও কারণে আমার মস্তিষ্ক সিদ্ধান্ত নিয়েছে যে আমাকে প্রতিটি শব্দ সম্পূর্ণরূপে আত্মস্থ করতে হবে এবং প্রতিটি বিবরণ নিখুঁতভাবে কল্পনা করতে হবে। যদি আমি ভুল করি, তাহলে আমার মনে হয় আমাকে একই অনুচ্ছেদ আবার পড়তে হবে। এটি বারবার ঘটে, যতক্ষণ না আমি এত হতাশ হয়ে পড়ি যে আমি হাল ছেড়ে দেই। আমি সত্যিই আবার পড়া উপভোগ করতে চাই, কিন্তু এখন অভিজ্ঞতা এতটাই উদ্বেগে ভরা যে এটি কিছুটা অসম্ভব বলে মনে হচ্ছে। কোন পরামর্শ?</v>
      </c>
    </row>
    <row r="2442" spans="1:3" ht="15" x14ac:dyDescent="0.25">
      <c r="A2442" s="3" t="s">
        <v>2435</v>
      </c>
      <c r="B2442" s="3" t="s">
        <v>1992</v>
      </c>
      <c r="C2442" s="4" t="str">
        <f ca="1">IFERROR(__xludf.DUMMYFUNCTION("GOOGLETRANSLATE(A2442, ""auto"", ""bn"")"),"ক্রিসমাসের উৎকণ্ঠা শেষ। সত্যি বলতে, আগে কখনও এই অনুভূতি হয়নি। হ্যাঁ, যখন এটি শেষ হয়ে যায় তখন আমি দুঃখিত হই, কিন্তু গতকাল থেকে নতুন বছর শুরু হওয়ার সাথে সাথেই আমার এক অদ্ভুত অনুভূতি হচ্ছে, এতটাই যে আমি কাঁদতে শুরু করেছি। আমি আসলে জানি না এটা দুঃখের জন্য"&amp;" নাকি আনন্দের জন্য। তবে আজকের দিনটি খুব কঠিন ছিল, আমি বিষাক্ত মানুষদের ছেড়ে দিয়েছি এবং আমি এতে খুশি, তবে মনে হচ্ছে এটি আমাকে আরও অনেক বেশি উদ্বেগের কারণ করেছে। আমি জানি না এই পোস্টটি লিখে আমি কী পেতে চাইছি, তবে আমি কেবল চাই কেউ একজন কথা বলুক।")</f>
        <v>ক্রিসমাসের উৎকণ্ঠা শেষ। সত্যি বলতে, আগে কখনও এই অনুভূতি হয়নি। হ্যাঁ, যখন এটি শেষ হয়ে যায় তখন আমি দুঃখিত হই, কিন্তু গতকাল থেকে নতুন বছর শুরু হওয়ার সাথে সাথেই আমার এক অদ্ভুত অনুভূতি হচ্ছে, এতটাই যে আমি কাঁদতে শুরু করেছি। আমি আসলে জানি না এটা দুঃখের জন্য নাকি আনন্দের জন্য। তবে আজকের দিনটি খুব কঠিন ছিল, আমি বিষাক্ত মানুষদের ছেড়ে দিয়েছি এবং আমি এতে খুশি, তবে মনে হচ্ছে এটি আমাকে আরও অনেক বেশি উদ্বেগের কারণ করেছে। আমি জানি না এই পোস্টটি লিখে আমি কী পেতে চাইছি, তবে আমি কেবল চাই কেউ একজন কথা বলুক।</v>
      </c>
    </row>
    <row r="2443" spans="1:3" ht="15" x14ac:dyDescent="0.25">
      <c r="A2443" s="3" t="s">
        <v>2436</v>
      </c>
      <c r="B2443" s="3" t="s">
        <v>1992</v>
      </c>
      <c r="C2443" s="4" t="str">
        <f ca="1">IFERROR(__xludf.DUMMYFUNCTION("GOOGLETRANSLATE(A2443, ""auto"", ""bn"")"),"এটা কাটিয়ে ওঠার কোন উপায় আছে কি? গত কয়েক মাস ধরে আমি লক্ষ্য করেছি যে আমার উদ্বেগ আরও খারাপ হচ্ছে কিন্তু আমি জানি না কেন? এটা কেবল সামাজিকীকরণের জন্য। এখন আমি লাল আলোর সামনে বসে উদ্বেগ অনুভব করি, এমনকি গাড়িতে জোরে জোরে গান বাজালেও আমি ঘাবড়ে যাই যেন কে"&amp;"উ এটি শুনতেও এসেছে। আমি বুঝতে পারছি না কেন এই উদ্বেগ। আমি অনেক কিছু করতে চাই কিন্তু আমি এটিকে আমাকে কাবু করতে শুরু করেছি এবং প্রতিদিন আরও বেশি বিষণ্ণ হয়ে যাচ্ছি।")</f>
        <v>এটা কাটিয়ে ওঠার কোন উপায় আছে কি? গত কয়েক মাস ধরে আমি লক্ষ্য করেছি যে আমার উদ্বেগ আরও খারাপ হচ্ছে কিন্তু আমি জানি না কেন? এটা কেবল সামাজিকীকরণের জন্য। এখন আমি লাল আলোর সামনে বসে উদ্বেগ অনুভব করি, এমনকি গাড়িতে জোরে জোরে গান বাজালেও আমি ঘাবড়ে যাই যেন কেউ এটি শুনতেও এসেছে। আমি বুঝতে পারছি না কেন এই উদ্বেগ। আমি অনেক কিছু করতে চাই কিন্তু আমি এটিকে আমাকে কাবু করতে শুরু করেছি এবং প্রতিদিন আরও বেশি বিষণ্ণ হয়ে যাচ্ছি।</v>
      </c>
    </row>
    <row r="2444" spans="1:3" ht="15" x14ac:dyDescent="0.25">
      <c r="A2444" s="3" t="s">
        <v>2437</v>
      </c>
      <c r="B2444" s="3" t="s">
        <v>1992</v>
      </c>
      <c r="C2444" s="4" t="str">
        <f ca="1">IFERROR(__xludf.DUMMYFUNCTION("GOOGLETRANSLATE(A2444, ""auto"", ""bn"")"),"আগামীকাল নতুন চাকরি শুরু করছি... আগামীকাল নতুন চাকরি শুরু করছি। এই পরিবর্তনের অন্যতম প্রধান কারণ হল আমার মানসিক স্বাস্থ্য, কিন্তু আমার মন কয়েকদিন ধরেই দুশ্চিন্তায় ভুগছে। আমি কি আমার নতুন দায়িত্বগুলো সামলাতে পারব? আমি কি সম্পূর্ণ ব্যর্থ হব? আমি কি আমার "&amp;"নতুন কর্মস্থল এবং আমার পরিবারকে হতাশ করব? যুক্তিসঙ্গতভাবে, আমি জানি যে আমার পুরানো অফিস ছেড়ে যাওয়াই আমার পক্ষে সবচেয়ে ভালো কাজ ছিল। পরিবেশ বিষাক্ত ছিল এবং আমার প্রচুর আতঙ্কের আক্রমণ এবং মাঝে মাঝে আত্মহত্যার চিন্তাভাবনা তৈরি হয়েছিল। কিন্তু আমার শেষ চাক"&amp;"রিতে ৫.৫ বছর পর সম্পূর্ণ নতুন জায়গায় নতুন করে শুরু করা.... আমি অভিভূত বোধ করছি। প্রথম দিনটি পার করার জন্য কিছু উৎসাহ এবং সমর্থন প্রয়োজন। ধন্যবাদ!")</f>
        <v>আগামীকাল নতুন চাকরি শুরু করছি... আগামীকাল নতুন চাকরি শুরু করছি। এই পরিবর্তনের অন্যতম প্রধান কারণ হল আমার মানসিক স্বাস্থ্য, কিন্তু আমার মন কয়েকদিন ধরেই দুশ্চিন্তায় ভুগছে। আমি কি আমার নতুন দায়িত্বগুলো সামলাতে পারব? আমি কি সম্পূর্ণ ব্যর্থ হব? আমি কি আমার নতুন কর্মস্থল এবং আমার পরিবারকে হতাশ করব? যুক্তিসঙ্গতভাবে, আমি জানি যে আমার পুরানো অফিস ছেড়ে যাওয়াই আমার পক্ষে সবচেয়ে ভালো কাজ ছিল। পরিবেশ বিষাক্ত ছিল এবং আমার প্রচুর আতঙ্কের আক্রমণ এবং মাঝে মাঝে আত্মহত্যার চিন্তাভাবনা তৈরি হয়েছিল। কিন্তু আমার শেষ চাকরিতে ৫.৫ বছর পর সম্পূর্ণ নতুন জায়গায় নতুন করে শুরু করা.... আমি অভিভূত বোধ করছি। প্রথম দিনটি পার করার জন্য কিছু উৎসাহ এবং সমর্থন প্রয়োজন। ধন্যবাদ!</v>
      </c>
    </row>
    <row r="2445" spans="1:3" ht="15" x14ac:dyDescent="0.25">
      <c r="A2445" s="3" t="s">
        <v>2438</v>
      </c>
      <c r="B2445" s="3" t="s">
        <v>1992</v>
      </c>
      <c r="C2445" s="4" t="str">
        <f ca="1">IFERROR(__xludf.DUMMYFUNCTION("GOOGLETRANSLATE(A2445, ""auto"", ""bn"")"),"আমার উদ্বেগ আমার জীবন দখল করে নিচ্ছে। সবাইকে স্বাগতম! আমি বেশ কিছুদিন ধরেই উদ্বেগে ভুগছি। কিন্তু গত কয়েক মাস ধরে এটি আরও খারাপ হয়ে গেছে। অতীতের ঘটনাগুলো নিয়ে অতিরিক্ত চিন্তা করা এবং পুনরাবৃত্তি করা বন্ধ করতে পারছি না। আমার মন মনে হচ্ছে যেন বিস্ফোরিত হত"&amp;"ে চলেছে, এবং আমি কী করব তা ভেবে পাচ্ছি না। আমি আমার ভবিষ্যৎ নিয়ে চিন্তিত, যার ফলে আমার পেটে ব্যথা হয়। আমার উদ্বেগের কারণে আমি ক্রমাগত বিরক্ত বোধ করি। তাছাড়া, এই ধরনের অনুভূতিতে আমি এত ক্লান্ত। পরিস্থিতি এমন পর্যায়ে এসে পৌঁছেছে যে আমি স্কুলেও মনোযোগ দি"&amp;"তে পারছি না। আমি কী করতে পারি দয়া করে পরামর্শ দিন। অনেক ধন্যবাদ!")</f>
        <v>আমার উদ্বেগ আমার জীবন দখল করে নিচ্ছে। সবাইকে স্বাগতম! আমি বেশ কিছুদিন ধরেই উদ্বেগে ভুগছি। কিন্তু গত কয়েক মাস ধরে এটি আরও খারাপ হয়ে গেছে। অতীতের ঘটনাগুলো নিয়ে অতিরিক্ত চিন্তা করা এবং পুনরাবৃত্তি করা বন্ধ করতে পারছি না। আমার মন মনে হচ্ছে যেন বিস্ফোরিত হতে চলেছে, এবং আমি কী করব তা ভেবে পাচ্ছি না। আমি আমার ভবিষ্যৎ নিয়ে চিন্তিত, যার ফলে আমার পেটে ব্যথা হয়। আমার উদ্বেগের কারণে আমি ক্রমাগত বিরক্ত বোধ করি। তাছাড়া, এই ধরনের অনুভূতিতে আমি এত ক্লান্ত। পরিস্থিতি এমন পর্যায়ে এসে পৌঁছেছে যে আমি স্কুলেও মনোযোগ দিতে পারছি না। আমি কী করতে পারি দয়া করে পরামর্শ দিন। অনেক ধন্যবাদ!</v>
      </c>
    </row>
    <row r="2446" spans="1:3" ht="15" x14ac:dyDescent="0.25">
      <c r="A2446" s="3" t="s">
        <v>2439</v>
      </c>
      <c r="B2446" s="3" t="s">
        <v>1992</v>
      </c>
      <c r="C2446" s="4" t="str">
        <f ca="1">IFERROR(__xludf.DUMMYFUNCTION("GOOGLETRANSLATE(A2446, ""auto"", ""bn"")"),"বিমানের উদ্বেগে সাহায্য? আমি বিদেশ যেতে যাচ্ছি, এবং সেখানকার বিমান প্রায় ৭ ঘন্টা দীর্ঘ। আমি বিমানে ভ্রমণ করতে একেবারেই ঘৃণা করি এবং আমি কেবল একবার একা বিমানে ভ্রমণ করেছি, তবে বিমানটি মাত্র ১ ঘন্টা দীর্ঘ ছিল। তাছাড়া, ৭ ঘন্টার বিমানে একা বিমানে ভ্রমণ করতে "&amp;"আমার খুব নার্ভাস লাগে। তাছাড়া, আমি একবার একজন থেরাপিস্টের কাছে গিয়েছিলাম, কিন্তু তা কাজ করেনি, তাই আমি আর কাউকে খুঁজতে যাইনি। এর মানে হল আমাকে কখনও কোনও ওষুধ দেওয়া হয়নি। আমি শীঘ্রই চলে যাই এবং উদ্বেগের জন্য ওষুধ দেওয়ার জন্য মনোবিজ্ঞানীর কাছে যাওয়ার স"&amp;"ময় পাবো না। তুমি কি মনে করো আমার জেনারেল প্র্যাকটিশনার আমাকে ফ্লাইটটি শেষ করার জন্য একটি ছোট ডোজ লিখে দেবেন? আমি আগেও এরকম ঘটনার কথা শুনেছি, কিন্তু আমি নিশ্চিত ছিলাম না। যদি না হয়, তাহলে কি তোমার কাছে এমন কোনও নন-প্রেসক্রিপশন ঘুমের ওষুধ আছে যা কাজ করবে "&amp;"বলে তুমি মনে করো অথবা বিমানের উদ্বেগের জন্য কোনও সাধারণ টিপস আছে? টার্বুলেন্স হল যা আমাকে সবচেয়ে বেশি উদ্বেগ দেয় এবং আমি বেশিরভাগ ফ্লাইটের মধ্যে ঘুমাতে পছন্দ করি। ধন্যবাদ!")</f>
        <v>বিমানের উদ্বেগে সাহায্য? আমি বিদেশ যেতে যাচ্ছি, এবং সেখানকার বিমান প্রায় ৭ ঘন্টা দীর্ঘ। আমি বিমানে ভ্রমণ করতে একেবারেই ঘৃণা করি এবং আমি কেবল একবার একা বিমানে ভ্রমণ করেছি, তবে বিমানটি মাত্র ১ ঘন্টা দীর্ঘ ছিল। তাছাড়া, ৭ ঘন্টার বিমানে একা বিমানে ভ্রমণ করতে আমার খুব নার্ভাস লাগে। তাছাড়া, আমি একবার একজন থেরাপিস্টের কাছে গিয়েছিলাম, কিন্তু তা কাজ করেনি, তাই আমি আর কাউকে খুঁজতে যাইনি। এর মানে হল আমাকে কখনও কোনও ওষুধ দেওয়া হয়নি। আমি শীঘ্রই চলে যাই এবং উদ্বেগের জন্য ওষুধ দেওয়ার জন্য মনোবিজ্ঞানীর কাছে যাওয়ার সময় পাবো না। তুমি কি মনে করো আমার জেনারেল প্র্যাকটিশনার আমাকে ফ্লাইটটি শেষ করার জন্য একটি ছোট ডোজ লিখে দেবেন? আমি আগেও এরকম ঘটনার কথা শুনেছি, কিন্তু আমি নিশ্চিত ছিলাম না। যদি না হয়, তাহলে কি তোমার কাছে এমন কোনও নন-প্রেসক্রিপশন ঘুমের ওষুধ আছে যা কাজ করবে বলে তুমি মনে করো অথবা বিমানের উদ্বেগের জন্য কোনও সাধারণ টিপস আছে? টার্বুলেন্স হল যা আমাকে সবচেয়ে বেশি উদ্বেগ দেয় এবং আমি বেশিরভাগ ফ্লাইটের মধ্যে ঘুমাতে পছন্দ করি। ধন্যবাদ!</v>
      </c>
    </row>
    <row r="2447" spans="1:3" ht="15" x14ac:dyDescent="0.25">
      <c r="A2447" s="3" t="s">
        <v>2440</v>
      </c>
      <c r="B2447" s="3" t="s">
        <v>1992</v>
      </c>
      <c r="C2447" s="4" t="str">
        <f ca="1">IFERROR(__xludf.DUMMYFUNCTION("GOOGLETRANSLATE(A2447, ""auto"", ""bn"")"),"DAE বন্ধুদের টেক্সট করে তারপর ঘন্টার পর ঘন্টা এটা নিয়ে ভাবি গত ৩ বছর ধরে টেক্সট কথোপকথন নিয়ে অতিরিক্ত চিন্তা না করতে আমার সত্যিই সমস্যা হয়েছে... আর সাধারণভাবে আমি লম্বা লম্বা অনুচ্ছেদ টেক্সট করে তারপর মুছে ফেলি এবং আমার অনুভূতি কখনোই বলি না কারণ আমি ভয"&amp;"় পাই যে আমার বন্ধুরা আমাকে ছেড়ে চলে যাবে। আমার সবচেয়ে ভালো বন্ধু যখন তার অন্যান্য বন্ধুদের সাথে আড্ডা দিত তখন আমি নাইকে একা কাটিয়েছিলাম, এবং এটা আমাকে সত্যিই বিরক্ত করেছিল। প্রতিবার যখন আমি তাকে টেক্সট করি তখন আমরা কিছু না বলেই কথোপকথন শেষ করি, আমি কে"&amp;"বল এক বা দুই ঘন্টা বসে থাকি এবং ভাবি যে আমি কী ভুল করেছি। পরিস্থিতি এমন পর্যায়ে পৌঁছেছে যে আমরা এই বিষয়ে একাধিক আলোচনা করেছি, এবং এর কারণে আমি অন্যান্য বন্ধুদের হারিয়েছি, আমি অভাবী বলে মনে হতে চাই না, তবে আমি সবসময় এতটাই আঁকড়ে থাকি এবং উদ্বিগ্ন থাকি "&amp;"কারণ আমরা কখনও একে অপরকে দেখি না (আমি এক ঘন্টা দূরে থাকি) একবারের জন্যও ফোন বন্ধ রাখার জন্য কোন পরামর্শ?")</f>
        <v>DAE বন্ধুদের টেক্সট করে তারপর ঘন্টার পর ঘন্টা এটা নিয়ে ভাবি গত ৩ বছর ধরে টেক্সট কথোপকথন নিয়ে অতিরিক্ত চিন্তা না করতে আমার সত্যিই সমস্যা হয়েছে... আর সাধারণভাবে আমি লম্বা লম্বা অনুচ্ছেদ টেক্সট করে তারপর মুছে ফেলি এবং আমার অনুভূতি কখনোই বলি না কারণ আমি ভয় পাই যে আমার বন্ধুরা আমাকে ছেড়ে চলে যাবে। আমার সবচেয়ে ভালো বন্ধু যখন তার অন্যান্য বন্ধুদের সাথে আড্ডা দিত তখন আমি নাইকে একা কাটিয়েছিলাম, এবং এটা আমাকে সত্যিই বিরক্ত করেছিল। প্রতিবার যখন আমি তাকে টেক্সট করি তখন আমরা কিছু না বলেই কথোপকথন শেষ করি, আমি কেবল এক বা দুই ঘন্টা বসে থাকি এবং ভাবি যে আমি কী ভুল করেছি। পরিস্থিতি এমন পর্যায়ে পৌঁছেছে যে আমরা এই বিষয়ে একাধিক আলোচনা করেছি, এবং এর কারণে আমি অন্যান্য বন্ধুদের হারিয়েছি, আমি অভাবী বলে মনে হতে চাই না, তবে আমি সবসময় এতটাই আঁকড়ে থাকি এবং উদ্বিগ্ন থাকি কারণ আমরা কখনও একে অপরকে দেখি না (আমি এক ঘন্টা দূরে থাকি) একবারের জন্যও ফোন বন্ধ রাখার জন্য কোন পরামর্শ?</v>
      </c>
    </row>
    <row r="2448" spans="1:3" ht="15" x14ac:dyDescent="0.25">
      <c r="A2448" s="3" t="s">
        <v>2441</v>
      </c>
      <c r="B2448" s="3" t="s">
        <v>1992</v>
      </c>
      <c r="C2448" s="4" t="str">
        <f ca="1">IFERROR(__xludf.DUMMYFUNCTION("GOOGLETRANSLATE(A2448, ""auto"", ""bn"")"),"নতুন চাকরি শুরু করছি AGT;.Lt; আমাকে সাহায্য করুন। আমি একটি নতুন চাকরি শুরু করছি, এবং এটি আমাকে নানা ধরণের উদ্বেগ এবং আতঙ্কের আক্রমণের দিকে ঠেলে দিচ্ছে। মানুষজন ভালো, এবং আমি জানি যে আমিই এটিকে আরও কঠিন করে তুলছি। আমি সবসময় আমার মাথার ভিতরে থাকি, চিন্তিত "&amp;"থাকি যে আমি যথেষ্ট ভালো নই, পছন্দের নই, যথেষ্ট সুন্দর নই। আমি চাই তারা আমাকে একা ছেড়ে দিক কিন্তু যদি তারা তা করে তবে তা ঘৃণা করবে। তাছাড়া, আমি নিজেকে কথোপকথনে অন্তর্ভুক্ত করার চেষ্টা করেছি, কিন্তু এটি কখনই স্বাভাবিক মনে হয়নি, এবং শেষ পর্যন্ত আমি নিজেকে "&amp;"ঘৃণা করতে শুরু করেছি। এই নতুন চাকরিটি আমার আগের চাকরির চেয়ে অনেক ভালো এবং আমি ভাবতে পারছি না যে আমি সম্পূর্ণ ভাগ্যবান এবং আমি ইন্টারভিউয়ের সময় তাদের পুরোপুরি প্রতারণা করেছি যদিও আমার শেষ চাকরিতে আমি এই কাজটি নিয়ে স্বপ্ন দেখতাম। দয়া করে আমাকে আমার মাথ"&amp;"া থেকে নিজেকে বের করে আনতে সাহায্য করুন, উদ্বেগ আমাকে মেরে ফেলছে।")</f>
        <v>নতুন চাকরি শুরু করছি AGT;.Lt; আমাকে সাহায্য করুন। আমি একটি নতুন চাকরি শুরু করছি, এবং এটি আমাকে নানা ধরণের উদ্বেগ এবং আতঙ্কের আক্রমণের দিকে ঠেলে দিচ্ছে। মানুষজন ভালো, এবং আমি জানি যে আমিই এটিকে আরও কঠিন করে তুলছি। আমি সবসময় আমার মাথার ভিতরে থাকি, চিন্তিত থাকি যে আমি যথেষ্ট ভালো নই, পছন্দের নই, যথেষ্ট সুন্দর নই। আমি চাই তারা আমাকে একা ছেড়ে দিক কিন্তু যদি তারা তা করে তবে তা ঘৃণা করবে। তাছাড়া, আমি নিজেকে কথোপকথনে অন্তর্ভুক্ত করার চেষ্টা করেছি, কিন্তু এটি কখনই স্বাভাবিক মনে হয়নি, এবং শেষ পর্যন্ত আমি নিজেকে ঘৃণা করতে শুরু করেছি। এই নতুন চাকরিটি আমার আগের চাকরির চেয়ে অনেক ভালো এবং আমি ভাবতে পারছি না যে আমি সম্পূর্ণ ভাগ্যবান এবং আমি ইন্টারভিউয়ের সময় তাদের পুরোপুরি প্রতারণা করেছি যদিও আমার শেষ চাকরিতে আমি এই কাজটি নিয়ে স্বপ্ন দেখতাম। দয়া করে আমাকে আমার মাথা থেকে নিজেকে বের করে আনতে সাহায্য করুন, উদ্বেগ আমাকে মেরে ফেলছে।</v>
      </c>
    </row>
    <row r="2449" spans="1:3" ht="15" x14ac:dyDescent="0.25">
      <c r="A2449" s="3" t="s">
        <v>2442</v>
      </c>
      <c r="B2449" s="3" t="s">
        <v>1992</v>
      </c>
      <c r="C2449" s="4" t="str">
        <f ca="1">IFERROR(__xludf.DUMMYFUNCTION("GOOGLETRANSLATE(A2449, ""auto"", ""bn"")"),"ম্যাগনেসিয়াম গ্লাইসিন চেলেট এটি আমার জীবনকে আক্ষরিক অর্থেই বদলে দিয়েছে। আমি দুই সপ্তাহ আগে থেকে প্রতিদিন ১৫০ মিলিগ্রাম করে এটি খাওয়া শুরু করেছি। আমার সমস্ত শারীরিক উদ্বেগ দূর হয়ে গেছে। চরম পেশী টান, টেনশন মাথাব্যথা এবং এমনকি মানসিক লক্ষণগুলি থেকে। আমি"&amp;" ম্যাগনেসিয়ামের একটি ভাল রূপ চেষ্টা করার পরামর্শ দিচ্ছি,")</f>
        <v>ম্যাগনেসিয়াম গ্লাইসিন চেলেট এটি আমার জীবনকে আক্ষরিক অর্থেই বদলে দিয়েছে। আমি দুই সপ্তাহ আগে থেকে প্রতিদিন ১৫০ মিলিগ্রাম করে এটি খাওয়া শুরু করেছি। আমার সমস্ত শারীরিক উদ্বেগ দূর হয়ে গেছে। চরম পেশী টান, টেনশন মাথাব্যথা এবং এমনকি মানসিক লক্ষণগুলি থেকে। আমি ম্যাগনেসিয়ামের একটি ভাল রূপ চেষ্টা করার পরামর্শ দিচ্ছি,</v>
      </c>
    </row>
    <row r="2450" spans="1:3" ht="15" x14ac:dyDescent="0.25">
      <c r="A2450" s="3" t="s">
        <v>2443</v>
      </c>
      <c r="B2450" s="3" t="s">
        <v>1992</v>
      </c>
      <c r="C2450" s="4" t="str">
        <f ca="1">IFERROR(__xludf.DUMMYFUNCTION("GOOGLETRANSLATE(A2450, ""auto"", ""bn"")"),"দয়া করে কেউ আমাকে সাহায্য করুন। আমি একা দেরি করে ঘুম থেকে উঠেছি, আর আমি সত্যিই ভয় পাচ্ছি। আমার বুকে সত্যিই ব্যথা হচ্ছে এবং কিছুই থামাতে পারছে না। আতঙ্কের সময় শেষ হয়ে গেছে, কিন্তু আমি সত্যিই ভয় পাচ্ছি যে এটা আবার ফিরে আসবে, অথবা আমার হৃদস্পন্দন বন্ধ হয়ে য"&amp;"াবে এবং আমি মারা যাব। আমি উঠে দাঁত ব্রাশ করতে এবং জিনিসপত্র ব্রাশ করতে ভয় পাচ্ছি কারণ আমি ভয় পাচ্ছি যে আমার হৃদস্পন্দন আবার খুব দ্রুত স্পন্দিত হতে শুরু করবে। আমি জানি না কিভাবে মোকাবেলা করব আমি সত্যিই ভয় পাচ্ছি। দয়া করে কেউ কি আমাকে সাহায্য করতে পারেন? "&amp;"আমার মুখ এখনও কিছুটা অসাড় এবং আমি জানি না কেন আমার বুক এখনও অদ্ভুত লাগছে। আমার হৃদস্পন্দন কি অতিরিক্ত কাজ করছে? আমার কি হাসপাতালে যাওয়া উচিত? আমি বুঝতে পারছি না কী করব। কারো কি এমন কোন কৌশল আছে যা সাহায্য করতে পারে? আমি এত ভয় পাচ্ছি যে আমার হৃদস্পন্দন বন্"&amp;"ধ হয়ে যাবে অথবা অন্য কিছু।")</f>
        <v>দয়া করে কেউ আমাকে সাহায্য করুন। আমি একা দেরি করে ঘুম থেকে উঠেছি, আর আমি সত্যিই ভয় পাচ্ছি। আমার বুকে সত্যিই ব্যথা হচ্ছে এবং কিছুই থামাতে পারছে না। আতঙ্কের সময় শেষ হয়ে গেছে, কিন্তু আমি সত্যিই ভয় পাচ্ছি যে এটা আবার ফিরে আসবে, অথবা আমার হৃদস্পন্দন বন্ধ হয়ে যাবে এবং আমি মারা যাব। আমি উঠে দাঁত ব্রাশ করতে এবং জিনিসপত্র ব্রাশ করতে ভয় পাচ্ছি কারণ আমি ভয় পাচ্ছি যে আমার হৃদস্পন্দন আবার খুব দ্রুত স্পন্দিত হতে শুরু করবে। আমি জানি না কিভাবে মোকাবেলা করব আমি সত্যিই ভয় পাচ্ছি। দয়া করে কেউ কি আমাকে সাহায্য করতে পারেন? আমার মুখ এখনও কিছুটা অসাড় এবং আমি জানি না কেন আমার বুক এখনও অদ্ভুত লাগছে। আমার হৃদস্পন্দন কি অতিরিক্ত কাজ করছে? আমার কি হাসপাতালে যাওয়া উচিত? আমি বুঝতে পারছি না কী করব। কারো কি এমন কোন কৌশল আছে যা সাহায্য করতে পারে? আমি এত ভয় পাচ্ছি যে আমার হৃদস্পন্দন বন্ধ হয়ে যাবে অথবা অন্য কিছু।</v>
      </c>
    </row>
    <row r="2451" spans="1:3" ht="15" x14ac:dyDescent="0.25">
      <c r="A2451" s="3" t="s">
        <v>2444</v>
      </c>
      <c r="B2451" s="3" t="s">
        <v>1992</v>
      </c>
      <c r="C2451" s="4" t="str">
        <f ca="1">IFERROR(__xludf.DUMMYFUNCTION("GOOGLETRANSLATE(A2451, ""auto"", ""bn"")"),"আমার মনে হয় আমার উদ্বেগ আমার সম্পর্ক নষ্ট করে দিচ্ছে। চার মাস আগে আমার প্রেমিকের সাথে আমার দেখা হয়েছিল, আর আমি আর কারো সাথে এত সুখী হইনি। সে একটু ধৈর্যশীল, চিন্তাশীল এবং সবকিছু মিলিয়ে অসাধারণ। আমি তাকে একদিন বিয়ে করতে চাই। গত কয়েক মাস ধরে আমার বেশ কি"&amp;"ছু তীব্র চাপের সম্মুখীন হতে হয়েছে। আমার গাড়ি দুর্ঘটনায় পড়েছিল, আমার চাকরি চলে গিয়েছিল, তার সাথে ঘনিষ্ঠ হওয়ার জন্য আমি নতুন শহরে চলে এসেছি। আমি একটি নতুন চাকরি পেয়েছি, কিন্তু আগের মতো আর তেমন টাকা কামাই করছি না। আমার নিজেকে বোঝা মনে হচ্ছে। তাছাড়া, "&amp;"আমি সারাক্ষণই একজন আবেগপ্রবণ ব্যক্তি। তাছাড়া, আমি ক্রমাগত কাঁদি। আমি শুধু চিন্তা করি। আমার প্রেমিক চায় আমি তার সাথে ১০০% খোলামেলা এবং সৎ থাকি, কিন্তু গত এক মাস ধরে আমি যা ভাবছি তা নেতিবাচক। আমার আবেগপ্রবণতার সাথে মোকাবিলা করা তার পক্ষে অন্যায্য, এবং আমি"&amp;" বলতে পারি সে একটু ক্লান্ত হয়ে পড়ছে। আমিও তাই করব। আমি জানি সে আমাকে ভালোবাসে, কিন্তু এটি তার জন্য অতিরিক্ত হতে পারে। যদি কেউ সাহায্য করতে পারেন, তাহলে বলুন, আপনার সঙ্গীর উপর থেকে মানসিক চাপ কমাতে আপনি কীভাবে সাহায্য করেছেন? এই মুহূর্তে আমার পক্ষে একজন "&amp;"থেরাপিস্টের খরচ বহন করা সম্ভব নয়। TL;DR আমি চিন্তিত যে আমার উদ্বেগ আমার সম্পর্ক নষ্ট করে দেবে এবং আমি জানতে চাই কিভাবে তার উপর থেকে মানসিক চাপ কমানো যায়।")</f>
        <v>আমার মনে হয় আমার উদ্বেগ আমার সম্পর্ক নষ্ট করে দিচ্ছে। চার মাস আগে আমার প্রেমিকের সাথে আমার দেখা হয়েছিল, আর আমি আর কারো সাথে এত সুখী হইনি। সে একটু ধৈর্যশীল, চিন্তাশীল এবং সবকিছু মিলিয়ে অসাধারণ। আমি তাকে একদিন বিয়ে করতে চাই। গত কয়েক মাস ধরে আমার বেশ কিছু তীব্র চাপের সম্মুখীন হতে হয়েছে। আমার গাড়ি দুর্ঘটনায় পড়েছিল, আমার চাকরি চলে গিয়েছিল, তার সাথে ঘনিষ্ঠ হওয়ার জন্য আমি নতুন শহরে চলে এসেছি। আমি একটি নতুন চাকরি পেয়েছি, কিন্তু আগের মতো আর তেমন টাকা কামাই করছি না। আমার নিজেকে বোঝা মনে হচ্ছে। তাছাড়া, আমি সারাক্ষণই একজন আবেগপ্রবণ ব্যক্তি। তাছাড়া, আমি ক্রমাগত কাঁদি। আমি শুধু চিন্তা করি। আমার প্রেমিক চায় আমি তার সাথে ১০০% খোলামেলা এবং সৎ থাকি, কিন্তু গত এক মাস ধরে আমি যা ভাবছি তা নেতিবাচক। আমার আবেগপ্রবণতার সাথে মোকাবিলা করা তার পক্ষে অন্যায্য, এবং আমি বলতে পারি সে একটু ক্লান্ত হয়ে পড়ছে। আমিও তাই করব। আমি জানি সে আমাকে ভালোবাসে, কিন্তু এটি তার জন্য অতিরিক্ত হতে পারে। যদি কেউ সাহায্য করতে পারেন, তাহলে বলুন, আপনার সঙ্গীর উপর থেকে মানসিক চাপ কমাতে আপনি কীভাবে সাহায্য করেছেন? এই মুহূর্তে আমার পক্ষে একজন থেরাপিস্টের খরচ বহন করা সম্ভব নয়। TL;DR আমি চিন্তিত যে আমার উদ্বেগ আমার সম্পর্ক নষ্ট করে দেবে এবং আমি জানতে চাই কিভাবে তার উপর থেকে মানসিক চাপ কমানো যায়।</v>
      </c>
    </row>
    <row r="2452" spans="1:3" ht="15" x14ac:dyDescent="0.25">
      <c r="A2452" s="3" t="s">
        <v>2445</v>
      </c>
      <c r="B2452" s="3" t="s">
        <v>1992</v>
      </c>
      <c r="C2452" s="4" t="str">
        <f ca="1">IFERROR(__xludf.DUMMYFUNCTION("GOOGLETRANSLATE(A2452, ""auto"", ""bn"")"),"'প্রতিক্রিয়াশীল' উদ্বেগজনক অনুভূতি মোকাবেলা করার জন্য কোন পরামর্শ? চাকরির জন্য অন্য দেশে যাওয়ার আগে আমি একজন থেরাপিস্টের সাথে দেখা করছিলাম। অন্য থেরাপিস্টের সাথে দেখা এখনই সম্ভব নয়। আমার বেশিরভাগ উদ্বেগজনক অনুভূতি নির্দিষ্ট সামাজিক পরিস্থিতির চারপাশে ঘ"&amp;"োরে, তাই তারা আমার কাজ করার ক্ষমতাকে খুব বেশি প্রভাবিত করে না তবে বন্ধুত্ব করা বা ডেট করার চেষ্টা করা বেশ কঠিন। আমার থেরাপিস্টের সাথে আমি কখনও এমন কিছুর সমাধান করতে পারিনি যা হল কীভাবে উদ্বেগজনক অনুভূতিগুলির বিরুদ্ধে লড়াই করা যা অতিরিক্ত চিন্তাভাবনার চেয"&amp;"়ে প্রতিফলনের মতো মনে হয়। এটি ব্যাখ্যা করা একটু কঠিন, তাই ধৈর্য ধরুন। একটি সাধারণ উদাহরণ হিসেবে বলতে গেলে, সম্পূর্ণ সামাজিক পরিবেশে একজন অপরিচিত ব্যক্তির সাথে কথোপকথন শুরু করা। এটি অভদ্র মনে হয়, এবং যদি কোনও সম্ভাবনা থাকে যে তারা আমার ক্রিয়াকলাপকে রোমা"&amp;"ন্টিক বা যৌন আগ্রহ হিসাবে ব্যাখ্যা করতে পারে, তবে কিছুটা ভয়ঙ্কর। অনুভূতির পিছনে কোনও চিন্তাভাবনা নেই, হঠাৎ উদ্বেগ, যেন এই বিশেষ উপায়ে অভদ্র হওয়া দ্রুতগতিতে দেয়ালে ধাক্কা দেওয়ার মতোই। আমার এই প্রতিক্রিয়া কেন হচ্ছে তা জিজ্ঞাসা করা যেমন যুক্তিসঙ্গত মনে"&amp;" হয়, তেমনি মাশরুমের স্বাদ কেন পছন্দ হয় না তা জিজ্ঞাসা করাও যুক্তিসঙ্গত। আমি যুক্তিসঙ্গত অনুমান করতে পারি, কিন্তু তাতে কখনও অনুভূতি কমবে বলে মনে হয় না। আমি কয়েকবার চেষ্টা করেছি, এবং আমার স্পষ্ট অস্বস্তি জড়িত অন্যান্যদের কাছে অস্বস্তিকর বলে মনে হয়েছে।"&amp;" এই ধরনের অনুভূতি মোকাবেলা করার জন্য, অথবা স্পষ্টতই অস্বস্তিকর না হয়ে এগিয়ে যাওয়ার জন্য কোন পরামর্শ আছে?")</f>
        <v>'প্রতিক্রিয়াশীল' উদ্বেগজনক অনুভূতি মোকাবেলা করার জন্য কোন পরামর্শ? চাকরির জন্য অন্য দেশে যাওয়ার আগে আমি একজন থেরাপিস্টের সাথে দেখা করছিলাম। অন্য থেরাপিস্টের সাথে দেখা এখনই সম্ভব নয়। আমার বেশিরভাগ উদ্বেগজনক অনুভূতি নির্দিষ্ট সামাজিক পরিস্থিতির চারপাশে ঘোরে, তাই তারা আমার কাজ করার ক্ষমতাকে খুব বেশি প্রভাবিত করে না তবে বন্ধুত্ব করা বা ডেট করার চেষ্টা করা বেশ কঠিন। আমার থেরাপিস্টের সাথে আমি কখনও এমন কিছুর সমাধান করতে পারিনি যা হল কীভাবে উদ্বেগজনক অনুভূতিগুলির বিরুদ্ধে লড়াই করা যা অতিরিক্ত চিন্তাভাবনার চেয়ে প্রতিফলনের মতো মনে হয়। এটি ব্যাখ্যা করা একটু কঠিন, তাই ধৈর্য ধরুন। একটি সাধারণ উদাহরণ হিসেবে বলতে গেলে, সম্পূর্ণ সামাজিক পরিবেশে একজন অপরিচিত ব্যক্তির সাথে কথোপকথন শুরু করা। এটি অভদ্র মনে হয়, এবং যদি কোনও সম্ভাবনা থাকে যে তারা আমার ক্রিয়াকলাপকে রোমান্টিক বা যৌন আগ্রহ হিসাবে ব্যাখ্যা করতে পারে, তবে কিছুটা ভয়ঙ্কর। অনুভূতির পিছনে কোনও চিন্তাভাবনা নেই, হঠাৎ উদ্বেগ, যেন এই বিশেষ উপায়ে অভদ্র হওয়া দ্রুতগতিতে দেয়ালে ধাক্কা দেওয়ার মতোই। আমার এই প্রতিক্রিয়া কেন হচ্ছে তা জিজ্ঞাসা করা যেমন যুক্তিসঙ্গত মনে হয়, তেমনি মাশরুমের স্বাদ কেন পছন্দ হয় না তা জিজ্ঞাসা করাও যুক্তিসঙ্গত। আমি যুক্তিসঙ্গত অনুমান করতে পারি, কিন্তু তাতে কখনও অনুভূতি কমবে বলে মনে হয় না। আমি কয়েকবার চেষ্টা করেছি, এবং আমার স্পষ্ট অস্বস্তি জড়িত অন্যান্যদের কাছে অস্বস্তিকর বলে মনে হয়েছে। এই ধরনের অনুভূতি মোকাবেলা করার জন্য, অথবা স্পষ্টতই অস্বস্তিকর না হয়ে এগিয়ে যাওয়ার জন্য কোন পরামর্শ আছে?</v>
      </c>
    </row>
    <row r="2453" spans="1:3" ht="15" x14ac:dyDescent="0.25">
      <c r="A2453" s="3" t="s">
        <v>2446</v>
      </c>
      <c r="B2453" s="3" t="s">
        <v>1992</v>
      </c>
      <c r="C2453" s="4" t="str">
        <f ca="1">IFERROR(__xludf.DUMMYFUNCTION("GOOGLETRANSLATE(A2453, ""auto"", ""bn"")"),"প্রচণ্ড গর্ভাবস্থার উদ্বেগ??? হে!! তাহলে আমি যৌনভাবে সক্রিয় (২১°F) এবং GAD এবং OCD-তে আক্রান্ত। আমি গর্ভনিরোধক প্যাচ এবং প্রত্যাহার ব্যবহার করি (ত্বকের সংবেদনশীলতার কারণে কনডম ব্যবহার করতে পারি না) এবং Gd আমি সবসময় গর্ভবতী হওয়ার জন্য আচ্ছন্ন থাকি। আমি "&amp;"সবকিছু ধর্মীয়ভাবে পর্যবেক্ষণ করি, প্রতিটি ব্যথা, প্রতিটি লক্ষণ এবং আমার BC কে কারও ইচ্ছার মতো ব্যবহার করি না - এবং আমি একজন যৌন শিক্ষক। তাছাড়া, আমি আক্ষরিক অর্থেই সবসময় মনে করি যে আমি গর্ভবতী। নিঃসন্দেহে। এখন আমার ওষুধগুলি আমার মাথা ঠিক করার পর থেকেই এট"&amp;"িই একমাত্র জিনিস যা আমাকে উদ্বিগ্ন করে তোলে। কিন্তু ঘড়ির কাঁটার মতো, আমি মাসিক শুরু হওয়ার জন্য অপেক্ষা করি এবং কাঁদি। এটি আমার সঙ্গীর (২৪°F) সাথে আমার সম্পর্কের উপর চাপ সৃষ্টি করছে। কেউ কি এটি অনুভব করছেন বা মোকাবেলা করার উপায় আছে?")</f>
        <v>প্রচণ্ড গর্ভাবস্থার উদ্বেগ??? হে!! তাহলে আমি যৌনভাবে সক্রিয় (২১°F) এবং GAD এবং OCD-তে আক্রান্ত। আমি গর্ভনিরোধক প্যাচ এবং প্রত্যাহার ব্যবহার করি (ত্বকের সংবেদনশীলতার কারণে কনডম ব্যবহার করতে পারি না) এবং Gd আমি সবসময় গর্ভবতী হওয়ার জন্য আচ্ছন্ন থাকি। আমি সবকিছু ধর্মীয়ভাবে পর্যবেক্ষণ করি, প্রতিটি ব্যথা, প্রতিটি লক্ষণ এবং আমার BC কে কারও ইচ্ছার মতো ব্যবহার করি না - এবং আমি একজন যৌন শিক্ষক। তাছাড়া, আমি আক্ষরিক অর্থেই সবসময় মনে করি যে আমি গর্ভবতী। নিঃসন্দেহে। এখন আমার ওষুধগুলি আমার মাথা ঠিক করার পর থেকেই এটিই একমাত্র জিনিস যা আমাকে উদ্বিগ্ন করে তোলে। কিন্তু ঘড়ির কাঁটার মতো, আমি মাসিক শুরু হওয়ার জন্য অপেক্ষা করি এবং কাঁদি। এটি আমার সঙ্গীর (২৪°F) সাথে আমার সম্পর্কের উপর চাপ সৃষ্টি করছে। কেউ কি এটি অনুভব করছেন বা মোকাবেলা করার উপায় আছে?</v>
      </c>
    </row>
    <row r="2454" spans="1:3" ht="15" x14ac:dyDescent="0.25">
      <c r="A2454" s="3" t="s">
        <v>2447</v>
      </c>
      <c r="B2454" s="3" t="s">
        <v>1992</v>
      </c>
      <c r="C2454" s="4" t="str">
        <f ca="1">IFERROR(__xludf.DUMMYFUNCTION("GOOGLETRANSLATE(A2454, ""auto"", ""bn"")"),"উদ্বেগের পরামর্শ! আমি ছুটি কাটাতে অন্য রাজ্যে আমার বাবা-মায়ের সাথে দেখা করতে গিয়েছিলাম, তাই আমি আমার দুটি বিড়ালের জন্য একটি বিড়ালছানা রেখেছি (আসলে সে একজন সহকর্মী, তাই আমি তাকে একজন এলোমেলো বিড়ালছানা হিসেবে চেনে না)। কিন্তু আমার বিড়ালছানাদের সাথে দে"&amp;"খা করার সময় বিড়ালগুলো মারা/মৃত্যু/আহত হওয়ার বিষয়ে আমার আগে থেকেই চিন্তিত/আতঙ্কিত থাকার ইতিহাস রয়েছে (আমি তাকে বলেছিলাম অন্তত প্রতি 3 দিন অন্তর যেতে, অথবা সে চাইলে আরও বেশি সময়)। তাই আমি একটি নিরাপত্তা ক্যামেরা পেয়েছি যাতে আমি যখনই চাই বিড়ালগুলো দে"&amp;"খতে পারি! এতে একটি মোশন সেন্সর বৈশিষ্ট্য রয়েছে, তাই আমার সংযুক্ত অ্যাপটি যখনই বিড়ালগুলো হেঁটে যেত (অথবা হলওয়েতে আলো জ্বলত lol) তখনই আমাকে সতর্ক করত। এটি আমার উদ্বেগের জন্য খুবই সহায়ক ছিল! আমি যেকোনো উদ্বিগ্ন পোষা প্রাণীর মালিকদের এটি সুপারিশ করছি। শুধ"&amp;"ু একটি নিয়মিত নিরাপত্তা ক্যামেরা নিয়ে আসুন (আমারটি একটি YI ডোম ক্যামেরা), আপনার পোষা প্রাণী দেখার জন্য তৈরি অভিনব দামি ক্যামেরার প্রয়োজন নেই। এবং আমি এখন কর্মক্ষেত্রে বা অন্য কোথাও বিড়ালদের উপর নজর রাখতে পারি! 10/10 সুপারিশ করবে।")</f>
        <v>উদ্বেগের পরামর্শ! আমি ছুটি কাটাতে অন্য রাজ্যে আমার বাবা-মায়ের সাথে দেখা করতে গিয়েছিলাম, তাই আমি আমার দুটি বিড়ালের জন্য একটি বিড়ালছানা রেখেছি (আসলে সে একজন সহকর্মী, তাই আমি তাকে একজন এলোমেলো বিড়ালছানা হিসেবে চেনে না)। কিন্তু আমার বিড়ালছানাদের সাথে দেখা করার সময় বিড়ালগুলো মারা/মৃত্যু/আহত হওয়ার বিষয়ে আমার আগে থেকেই চিন্তিত/আতঙ্কিত থাকার ইতিহাস রয়েছে (আমি তাকে বলেছিলাম অন্তত প্রতি 3 দিন অন্তর যেতে, অথবা সে চাইলে আরও বেশি সময়)। তাই আমি একটি নিরাপত্তা ক্যামেরা পেয়েছি যাতে আমি যখনই চাই বিড়ালগুলো দেখতে পারি! এতে একটি মোশন সেন্সর বৈশিষ্ট্য রয়েছে, তাই আমার সংযুক্ত অ্যাপটি যখনই বিড়ালগুলো হেঁটে যেত (অথবা হলওয়েতে আলো জ্বলত lol) তখনই আমাকে সতর্ক করত। এটি আমার উদ্বেগের জন্য খুবই সহায়ক ছিল! আমি যেকোনো উদ্বিগ্ন পোষা প্রাণীর মালিকদের এটি সুপারিশ করছি। শুধু একটি নিয়মিত নিরাপত্তা ক্যামেরা নিয়ে আসুন (আমারটি একটি YI ডোম ক্যামেরা), আপনার পোষা প্রাণী দেখার জন্য তৈরি অভিনব দামি ক্যামেরার প্রয়োজন নেই। এবং আমি এখন কর্মক্ষেত্রে বা অন্য কোথাও বিড়ালদের উপর নজর রাখতে পারি! 10/10 সুপারিশ করবে।</v>
      </c>
    </row>
    <row r="2455" spans="1:3" ht="15" x14ac:dyDescent="0.25">
      <c r="A2455" s="3" t="s">
        <v>2448</v>
      </c>
      <c r="B2455" s="3" t="s">
        <v>1992</v>
      </c>
      <c r="C2455" s="4" t="str">
        <f ca="1">IFERROR(__xludf.DUMMYFUNCTION("GOOGLETRANSLATE(A2455, ""auto"", ""bn"")"),"প্রোপ্রানলল অস্ট্রেলিয়া প্রশ্ন আমি প্রোপ্রানলল সম্পর্কে সবেমাত্র শিখেছি, আমি বছরের পর বছর ধরে SSRI গ্রহণ করছি এবং এখন আবার অ্যালকোহল ছেড়ে দিচ্ছি যা আমাকে উদ্বেগের কারণ করে। আমি আমার ডাক্তারের কাছ থেকে সীমিত পরিমাণে গ্যালিয়াম পেতে পারি, কিন্তু তিনি পুনর"&amp;"াবৃত্তি করেন না এবং আমি প্রতি কয়েক মাসে মাত্র 30, 5mg ট্যাবলেট পাই। অস্ট্রেলিয়ায় কোনও ডাক্তার কি সহজেই আমাকে প্রোপ্রানলল লিখে দিতে পারবেন? এখানকার কারও কাছে তাদের ডাক্তারের কাছ থেকে এটি নেওয়ার অভিজ্ঞতা আছে? আমি সামাজিক পরিস্থিতিতে এবং কর্মক্ষেত্রে বেশ"&amp;" উদ্বিগ্ন থাকি, আমি আশা করছি এটি সাহায্য করবে এবং গ্যালিয়ামের আরও ভাল বিকল্প হতে পারে। ধন্যবাদ।")</f>
        <v>প্রোপ্রানলল অস্ট্রেলিয়া প্রশ্ন আমি প্রোপ্রানলল সম্পর্কে সবেমাত্র শিখেছি, আমি বছরের পর বছর ধরে SSRI গ্রহণ করছি এবং এখন আবার অ্যালকোহল ছেড়ে দিচ্ছি যা আমাকে উদ্বেগের কারণ করে। আমি আমার ডাক্তারের কাছ থেকে সীমিত পরিমাণে গ্যালিয়াম পেতে পারি, কিন্তু তিনি পুনরাবৃত্তি করেন না এবং আমি প্রতি কয়েক মাসে মাত্র 30, 5mg ট্যাবলেট পাই। অস্ট্রেলিয়ায় কোনও ডাক্তার কি সহজেই আমাকে প্রোপ্রানলল লিখে দিতে পারবেন? এখানকার কারও কাছে তাদের ডাক্তারের কাছ থেকে এটি নেওয়ার অভিজ্ঞতা আছে? আমি সামাজিক পরিস্থিতিতে এবং কর্মক্ষেত্রে বেশ উদ্বিগ্ন থাকি, আমি আশা করছি এটি সাহায্য করবে এবং গ্যালিয়ামের আরও ভাল বিকল্প হতে পারে। ধন্যবাদ।</v>
      </c>
    </row>
    <row r="2456" spans="1:3" ht="15" x14ac:dyDescent="0.25">
      <c r="A2456" s="3" t="s">
        <v>2449</v>
      </c>
      <c r="B2456" s="3" t="s">
        <v>1992</v>
      </c>
      <c r="C2456" s="4" t="str">
        <f ca="1">IFERROR(__xludf.DUMMYFUNCTION("GOOGLETRANSLATE(A2456, ""auto"", ""bn"")"),"তোমার উদ্বেগ কোথা থেকে আসে? আমার মনে হয় আমার বেশিরভাগ উদ্বেগ আমার চাকরির আর্থিক নিরাপত্তাহীনতা থেকে আসে, আমি যেখানেই কাজ করি এবং কত টাকা আয় করি না কেন। তোমার কী খবর?")</f>
        <v>তোমার উদ্বেগ কোথা থেকে আসে? আমার মনে হয় আমার বেশিরভাগ উদ্বেগ আমার চাকরির আর্থিক নিরাপত্তাহীনতা থেকে আসে, আমি যেখানেই কাজ করি এবং কত টাকা আয় করি না কেন। তোমার কী খবর?</v>
      </c>
    </row>
    <row r="2457" spans="1:3" ht="15" x14ac:dyDescent="0.25">
      <c r="A2457" s="3" t="s">
        <v>2450</v>
      </c>
      <c r="B2457" s="3" t="s">
        <v>1992</v>
      </c>
      <c r="C2457" s="4" t="str">
        <f ca="1">IFERROR(__xludf.DUMMYFUNCTION("GOOGLETRANSLATE(A2457, ""auto"", ""bn"")"),"সাহায্য! যাদের অ্যাংজাইটিভ অ্যাটাচমেন্ট আছে তাদের জন্য টিপস? আর তাদের SO-এর জন্য টিপস? আমার বেশ তীব্র অ্যাংজাইটিভ অ্যাটাচমেন্ট আছে (কাজ, আর্থিক বিষয় ইত্যাদির উপর নির্ভর করে আমি কতটা চাপে আছি তার উপর)। যদি আপনি নিশ্চিত না হন যে অ্যাংজাইটিভ অ্যাটাচমেন্ট ডি"&amp;"সঅর্ডার কী, তাহলে [দয়া করে এখানে ক্লিক করুন](https://verilymag.com/2017/09/attachment-style) উদ্বিগ্ন আক্রমণকারীরা কীসের সাথে লড়াই করে তার একটি দ্রুত ধারণা পেতে। যাদের হয় এই উদ্বিগ্ন অ্যাটাচমেন্ট আছে, অথবা যারা উদ্বিগ্নভাবে অ্যাটাচমেন্টে লিপ্ত ব্যক্তিদ"&amp;"ের সাথে ডেট/বিবাহ করেছেন, তাদের জন্য কি উদ্বিগ্ন ব্যক্তির জন্য আত্ম-প্রশান্তি এবং তাদের SO-এর জন্য, স্বাস্থ্যকর, উৎপাদনশীল উপায়ে তারা তাদের অ্যাংজাইটিভ অ্যাটাচমেন্ট পার্টনারকে সমর্থন করতে পারে সে সম্পর্কে আপনার কোন টিপস বা পরামর্শ আছে? আমার BF নিরাপদে অ্"&amp;"যাটাচমেন্টে লিপ্ত, তাই তার সাথে আমার মিথস্ক্রিয়ার ক্ষেত্রে আমাকে কোনও এড়িয়ে চলা ব্যক্তিত্বের বৈশিষ্ট্য নিয়ে চিন্তা করতে হবে না।")</f>
        <v>সাহায্য! যাদের অ্যাংজাইটিভ অ্যাটাচমেন্ট আছে তাদের জন্য টিপস? আর তাদের SO-এর জন্য টিপস? আমার বেশ তীব্র অ্যাংজাইটিভ অ্যাটাচমেন্ট আছে (কাজ, আর্থিক বিষয় ইত্যাদির উপর নির্ভর করে আমি কতটা চাপে আছি তার উপর)। যদি আপনি নিশ্চিত না হন যে অ্যাংজাইটিভ অ্যাটাচমেন্ট ডিসঅর্ডার কী, তাহলে [দয়া করে এখানে ক্লিক করুন](https://verilymag.com/2017/09/attachment-style) উদ্বিগ্ন আক্রমণকারীরা কীসের সাথে লড়াই করে তার একটি দ্রুত ধারণা পেতে। যাদের হয় এই উদ্বিগ্ন অ্যাটাচমেন্ট আছে, অথবা যারা উদ্বিগ্নভাবে অ্যাটাচমেন্টে লিপ্ত ব্যক্তিদের সাথে ডেট/বিবাহ করেছেন, তাদের জন্য কি উদ্বিগ্ন ব্যক্তির জন্য আত্ম-প্রশান্তি এবং তাদের SO-এর জন্য, স্বাস্থ্যকর, উৎপাদনশীল উপায়ে তারা তাদের অ্যাংজাইটিভ অ্যাটাচমেন্ট পার্টনারকে সমর্থন করতে পারে সে সম্পর্কে আপনার কোন টিপস বা পরামর্শ আছে? আমার BF নিরাপদে অ্যাটাচমেন্টে লিপ্ত, তাই তার সাথে আমার মিথস্ক্রিয়ার ক্ষেত্রে আমাকে কোনও এড়িয়ে চলা ব্যক্তিত্বের বৈশিষ্ট্য নিয়ে চিন্তা করতে হবে না।</v>
      </c>
    </row>
    <row r="2458" spans="1:3" ht="15" x14ac:dyDescent="0.25">
      <c r="A2458" s="3" t="s">
        <v>2451</v>
      </c>
      <c r="B2458" s="3" t="s">
        <v>1992</v>
      </c>
      <c r="C2458" s="4" t="str">
        <f ca="1">IFERROR(__xludf.DUMMYFUNCTION("GOOGLETRANSLATE(A2458, ""auto"", ""bn"")"),"স্বাভাবিক উদ্বেগের পরিমাণ কত? সহজ কথায়: আমি প্রায় ৭ বছর ধরে SSRI নিচ্ছি, এবং এখন ভাবতে শুরু করেছি যে এটি কি আর আগের মতো কার্যকর নেই। স্পষ্টতই আমি জানি যে ওষুধ কোনও জাদুকরী নিরাময় নয়, তবে ওষুধ খাওয়ার আগে যেমন প্যানিক অ্যাটাক হয়েছিল, আমিও তেমনই অনুভব ক"&amp;"রছি। কীভাবে বুঝবেন যখন আপনার ওষুধগুলি ঠিকভাবে কাজ করছে না?")</f>
        <v>স্বাভাবিক উদ্বেগের পরিমাণ কত? সহজ কথায়: আমি প্রায় ৭ বছর ধরে SSRI নিচ্ছি, এবং এখন ভাবতে শুরু করেছি যে এটি কি আর আগের মতো কার্যকর নেই। স্পষ্টতই আমি জানি যে ওষুধ কোনও জাদুকরী নিরাময় নয়, তবে ওষুধ খাওয়ার আগে যেমন প্যানিক অ্যাটাক হয়েছিল, আমিও তেমনই অনুভব করছি। কীভাবে বুঝবেন যখন আপনার ওষুধগুলি ঠিকভাবে কাজ করছে না?</v>
      </c>
    </row>
    <row r="2459" spans="1:3" ht="15" x14ac:dyDescent="0.25">
      <c r="A2459" s="3" t="s">
        <v>2452</v>
      </c>
      <c r="B2459" s="3" t="s">
        <v>1992</v>
      </c>
      <c r="C2459" s="4" t="str">
        <f ca="1">IFERROR(__xludf.DUMMYFUNCTION("GOOGLETRANSLATE(A2459, ""auto"", ""bn"")"),"নতুন চাকরির উদ্বেগ এবং সহায়তার প্রয়োজন সবাইকে হ্যালো, আগামীকাল সকালে আমি আমার নতুন চাকরি (আমার ক্যারিয়ার শুরু করার মতো আমার প্রথম অফিসিয়াল চাকরি) শুরু করছি, এবং আমি ভয় পাচ্ছি! এর জন্য অনেক কিছু শেখার প্রয়োজন হবে, যা আমি নিশ্চিত যে আমি সামলাতে পারব, "&amp;"কিন্তু এই ভয়গুলি আমার অন্যান্য উদ্বেগগুলিকে ট্রিগার করছে... যেমন আমার বিদেশীদের প্রতি ভয় এবং নিয়ন্ত্রণ হারানোর ভয়। দুঃখিত, এটি কিছুটা এলোমেলো মনে হতে পারে, আমি কেবল বিপদে আছি এবং আমার মুখ খোলার প্রয়োজন ছিল এবং আশা করছিলাম যে আমি অন্যদের কাছ থেকে কিছু"&amp;" সদয় কথা শুনতে পারব যারা উদ্বেগের সংগ্রাম বোঝেন লেফটেন্যান্ট;3")</f>
        <v>নতুন চাকরির উদ্বেগ এবং সহায়তার প্রয়োজন সবাইকে হ্যালো, আগামীকাল সকালে আমি আমার নতুন চাকরি (আমার ক্যারিয়ার শুরু করার মতো আমার প্রথম অফিসিয়াল চাকরি) শুরু করছি, এবং আমি ভয় পাচ্ছি! এর জন্য অনেক কিছু শেখার প্রয়োজন হবে, যা আমি নিশ্চিত যে আমি সামলাতে পারব, কিন্তু এই ভয়গুলি আমার অন্যান্য উদ্বেগগুলিকে ট্রিগার করছে... যেমন আমার বিদেশীদের প্রতি ভয় এবং নিয়ন্ত্রণ হারানোর ভয়। দুঃখিত, এটি কিছুটা এলোমেলো মনে হতে পারে, আমি কেবল বিপদে আছি এবং আমার মুখ খোলার প্রয়োজন ছিল এবং আশা করছিলাম যে আমি অন্যদের কাছ থেকে কিছু সদয় কথা শুনতে পারব যারা উদ্বেগের সংগ্রাম বোঝেন লেফটেন্যান্ট;3</v>
      </c>
    </row>
    <row r="2460" spans="1:3" ht="15" x14ac:dyDescent="0.25">
      <c r="A2460" s="3" t="s">
        <v>2453</v>
      </c>
      <c r="B2460" s="3" t="s">
        <v>1992</v>
      </c>
      <c r="C2460" s="4" t="str">
        <f ca="1">IFERROR(__xludf.DUMMYFUNCTION("GOOGLETRANSLATE(A2460, ""auto"", ""bn"")"),"দীর্ঘস্থায়ী উদ্বেগ আক্রমণ এখানে কি কেউ কখনও জীবনের কিছু নির্দিষ্ট ঘটনার সম্মুখীন হয়েছে এবং তারপর পরবর্তী কয়েক দিন থেকে এক সপ্তাহ আক্ষরিক অর্থেই প্যানিক অ্যাটাকের দ্বারপ্রান্তে কাটাচ্ছে? কারণ আমি আমার মানসিক স্বাস্থ্যের জন্য সত্যিই কঠোর পরিশ্রম করছি এবং"&amp;" সম্প্রতি এই জিনিসগুলি বড় নয় কিন্তু অগত্যা ছোটও নয়, ঘটছে, এবং এটি আমাকে এতটাই উদ্বেগিত করছে যে আমি ক্রমাগত প্যানিক অ্যাটাকের দ্বারপ্রান্তে অনুভব করছি।")</f>
        <v>দীর্ঘস্থায়ী উদ্বেগ আক্রমণ এখানে কি কেউ কখনও জীবনের কিছু নির্দিষ্ট ঘটনার সম্মুখীন হয়েছে এবং তারপর পরবর্তী কয়েক দিন থেকে এক সপ্তাহ আক্ষরিক অর্থেই প্যানিক অ্যাটাকের দ্বারপ্রান্তে কাটাচ্ছে? কারণ আমি আমার মানসিক স্বাস্থ্যের জন্য সত্যিই কঠোর পরিশ্রম করছি এবং সম্প্রতি এই জিনিসগুলি বড় নয় কিন্তু অগত্যা ছোটও নয়, ঘটছে, এবং এটি আমাকে এতটাই উদ্বেগিত করছে যে আমি ক্রমাগত প্যানিক অ্যাটাকের দ্বারপ্রান্তে অনুভব করছি।</v>
      </c>
    </row>
    <row r="2461" spans="1:3" ht="15" x14ac:dyDescent="0.25">
      <c r="A2461" s="3" t="s">
        <v>2454</v>
      </c>
      <c r="B2461" s="3" t="s">
        <v>1992</v>
      </c>
      <c r="C2461" s="4" t="str">
        <f ca="1">IFERROR(__xludf.DUMMYFUNCTION("GOOGLETRANSLATE(A2461, ""auto"", ""bn"")"),"নতুন সম্ভাব্য বন্ধুর সাথে দেখা করার সময় কী কী করণীয়? নিউ ইয়র্ক টাইমস-এর পরের সাহসের এক ঝলক হিসেবে আমি ৩ জন মহিলাকে টেক্সট করেছিলাম যাদের সাথে দেখা করার জন্য অনুরোধ করছি কারণ আমি নতুন বন্ধু তৈরি করতে মরিয়া। কয়েক ঘন্টার মধ্যে প্রথম বন্ধুর সাথে দেখা করত"&amp;"ে যাচ্ছি পানীয়ের জন্য, এবং আমি ভীষণ উদ্বিগ্ন! আমার তীব্র সামাজিক উদ্বেগ আছে, এবং আমি ভীত যে আমি এই পরিস্থিতিতে স্বাভাবিকভাবেই হিমায়িত হয়ে যাব। সন্দেহ এবং মনের ফাঁক থাকা সত্ত্বেও বন্ধুত্বপূর্ণ পরিচিতদের সাথে খোলামেলা কথা বলার জন্য কোন টিপস আছে?? ধন্যবাদ"&amp;"!!")</f>
        <v>নতুন সম্ভাব্য বন্ধুর সাথে দেখা করার সময় কী কী করণীয়? নিউ ইয়র্ক টাইমস-এর পরের সাহসের এক ঝলক হিসেবে আমি ৩ জন মহিলাকে টেক্সট করেছিলাম যাদের সাথে দেখা করার জন্য অনুরোধ করছি কারণ আমি নতুন বন্ধু তৈরি করতে মরিয়া। কয়েক ঘন্টার মধ্যে প্রথম বন্ধুর সাথে দেখা করতে যাচ্ছি পানীয়ের জন্য, এবং আমি ভীষণ উদ্বিগ্ন! আমার তীব্র সামাজিক উদ্বেগ আছে, এবং আমি ভীত যে আমি এই পরিস্থিতিতে স্বাভাবিকভাবেই হিমায়িত হয়ে যাব। সন্দেহ এবং মনের ফাঁক থাকা সত্ত্বেও বন্ধুত্বপূর্ণ পরিচিতদের সাথে খোলামেলা কথা বলার জন্য কোন টিপস আছে?? ধন্যবাদ!!</v>
      </c>
    </row>
    <row r="2462" spans="1:3" ht="15" x14ac:dyDescent="0.25">
      <c r="A2462" s="3" t="s">
        <v>2455</v>
      </c>
      <c r="B2462" s="3" t="s">
        <v>1992</v>
      </c>
      <c r="C2462" s="4" t="str">
        <f ca="1">IFERROR(__xludf.DUMMYFUNCTION("GOOGLETRANSLATE(A2462, ""auto"", ""bn"")"),"প্যানিক অ্যাটাকের রোগীরা - কখনও রক্তে শর্করার মাত্রা পরীক্ষা করেছেন? আমি কোনও চিকিৎসা পরামর্শ দেই না! আমি কেবল আমার গল্পটি শেয়ার করছি - অন্যদেরও একই রকম কিছু হয়েছে কিনা তা দেখার জন্য। যদি আপনার মনে হয় - আপনার ডাক্তারের কাছে যান! প্রায় ১০ বছর ধরে (আমার"&amp;" বয়স ২৮) আমি প্যানিক অ্যাটাকে ভুগছি। আমি মানুষের জানা প্রতিটি ওষুধ সেবন করেছি - আমি এমন পর্যায়গুলির মধ্য দিয়ে গিয়েছি যেখানে আমি বহু বছর ধরে মদ্যপ ছিলাম - আমি ডায়েট সেক্ট সহ অনেক কিছু চেষ্টা করেছি ... কিন্তু তারপর আমার মনে হল। আমি যতবারই কোনও উদ্বেগ ছ"&amp;"িল না - যতবার আমি প্রায়শই প্যানিক অ্যাটাকের শিকার হয়েছিলাম - ততবারই মনে করার চেষ্টা করেছি এবং আমার মনে হয় আমি অবশেষে একটি সিদ্ধান্তে পৌঁছেছি। আমার হাইপোগ্লাইসেমিয়া আছে। উদাহরণস্বরূপ - এটি আমার পরিবারে ঘটে। উদ্বেগের কারণে আমি মদ্যপ হওয়ার প্রবণতা ছিলাম"&amp;" - কিন্তু না - এটি ছিল আমার শরীর যে চিনি খুঁজছিল। যখন অ্যালকোহল কমে যাবে - তখন বড় 'প্যানিক অ্যাটাক' ঘটবে। আমি ভেবেছিলাম এটি হ্রাসকারী প্রভাবের কারণে হয়েছে - কিন্তু না - এটি ছিল রক্তে শর্করার মাত্রা কম। আমি ER-তে গিয়েছি জানি না কতবার ভেবেছিলাম আমি মারা য"&amp;"াচ্ছি - হার্ট অ্যাটাক, স্ট্রোক বা অন্য কিছু - কিন্তু না, রক্তে শর্করার পরিমাণ কমে গেছে। আর যখন আপনি ER-তে যান মনে করেন যে আপনার হার্ট অ্যাটাক হয়েছে, অনুমান করুন কী? তারা একটি EKG, বুকের এক্স-রে করে - ইত্যাদি - কিন্তু - তারা রক্তে শর্করা পরীক্ষা করে না, এ"&amp;"খন, তাই না? তারা আপনার উপর একজন এশিয়ানকে ছুঁড়ে মারে যা যেকোনো পরিস্থিতির জন্য ভালো বোধ করে। যখন আমি মদ্যপান ছেড়ে দিয়েছিলাম - আমি পুরো নয় গজ প্রত্যাহার করেছিলাম। সুস্থ হওয়ার পর - আমি ক্রমাগত খাচ্ছিলাম! এবং আমার উদ্বেগ চলে গেছে - আমি ভেবেছিলাম - তারা "&amp;"ঠিকই বলেছে - অ্যালকোহল উদ্বেগ সৃষ্টি করে - যা ঠিক - কিন্তু - যদি আপনি ক্রমাগত ছোট খাবার খান এবং অ্যালকোহল থেকে বিরত থাকেন তবে এটি আপনার রক্তে শর্করার ভারসাম্যকে স্বাভাবিক অবস্থায় ফিরিয়ে আনে। যখন আমি বড় হচ্ছিলাম - আমার কখনও প্যানিক অ্যাটাক হয়নি - কিন্ত"&amp;"ু অনুমান করুন কী? আমি স্বাভাবিকভাবেই সারা দিন ছোট খাবার খেতাম - অন্য কথায় - একটি হাইপোগ্লাইসেমিক ডায়েট। এটা সবই খুব বেশি যুক্তিসঙ্গত - তাই আমি এটি পরীক্ষা করে দেখছি - এবং নিশ্চিতভাবেই - যখন আমার 'প্যানিক অ্যাটাক' হয় - কারণ আমি খুব বেশি চিনিযুক্ত কিছু খ"&amp;"েয়েছিলাম এবং অনেক দিন ধরে কিছু খাইনি - এবং আরও চিনি খাওয়ার ফলে আক্রমণটি চলে যায়। জটিল কার্বোহাইড্রেট খাওয়া, পরিশোধিত চিনি না খাওয়া এবং সারা দিন ধরে অনেক খাবার আমার উদ্বেগকে সম্পূর্ণরূপে নির্মূল করে। হাইপোগ্লাইসেমিয়ায় প্যানিক অ্যাটাকের লক্ষণগুলি ঠিক"&amp;" একই রকম - অনিয়মিত হৃদস্পন্দন, ভয়, কাঁপুনি, মাথা ঘোরা, আসলে তালিকাটি আরও দীর্ঘ। এখন - আমি ইতিমধ্যে এটি যাচাই করার জন্য ডাক্তারের কাছে গিয়েছি - যদি আপনি মনে করেন এটি একটি সম্ভাব্য সমস্যা - দয়া করে আপনার ডাক্তারকে জিজ্ঞাসা করুন এবং আমার পোস্টটিকে চিকিৎস"&amp;"া পরামর্শ হিসাবে গ্রহণ করবেন না। আমি আরও শেয়ার করতে চাই যে আমি উত্তেজিত যে এই পুরো সময়টি আমার মাথায় ছিল না - এবং সত্যিই কিছু ভুল ছিল - কিন্তু - এটি অনেক লোকের ক্ষেত্রে হয় না - এবং আমি এমন কাউকে নিরুৎসাহিত করতে চাই না যারা প্যানিক অ্যাটাকে ভুগছেন এবং এ"&amp;"র জন্য আসলে কোনও চিকিৎসা সমস্যা নেই। আমার মনে হয়েছে কিছু মানুষ হয়তো আমার মতোই কিছু একটার মধ্য দিয়ে যাচ্ছে - এবং তাদের উদ্বেগের মধ্যে স্বস্তি খুঁজে পায়। তাছাড়া, অতীতে আমার অনেক স্বাস্থ্য উদ্বেগ ছিল - এবং অন্যদের মধ্যে স্বাস্থ্য উদ্বেগের উদ্রেক করতে চাই না"&amp;" - তাই - আমার গল্পটিকে একটু নুন দিয়ে নিন।")</f>
        <v>প্যানিক অ্যাটাকের রোগীরা - কখনও রক্তে শর্করার মাত্রা পরীক্ষা করেছেন? আমি কোনও চিকিৎসা পরামর্শ দেই না! আমি কেবল আমার গল্পটি শেয়ার করছি - অন্যদেরও একই রকম কিছু হয়েছে কিনা তা দেখার জন্য। যদি আপনার মনে হয় - আপনার ডাক্তারের কাছে যান! প্রায় ১০ বছর ধরে (আমার বয়স ২৮) আমি প্যানিক অ্যাটাকে ভুগছি। আমি মানুষের জানা প্রতিটি ওষুধ সেবন করেছি - আমি এমন পর্যায়গুলির মধ্য দিয়ে গিয়েছি যেখানে আমি বহু বছর ধরে মদ্যপ ছিলাম - আমি ডায়েট সেক্ট সহ অনেক কিছু চেষ্টা করেছি ... কিন্তু তারপর আমার মনে হল। আমি যতবারই কোনও উদ্বেগ ছিল না - যতবার আমি প্রায়শই প্যানিক অ্যাটাকের শিকার হয়েছিলাম - ততবারই মনে করার চেষ্টা করেছি এবং আমার মনে হয় আমি অবশেষে একটি সিদ্ধান্তে পৌঁছেছি। আমার হাইপোগ্লাইসেমিয়া আছে। উদাহরণস্বরূপ - এটি আমার পরিবারে ঘটে। উদ্বেগের কারণে আমি মদ্যপ হওয়ার প্রবণতা ছিলাম - কিন্তু না - এটি ছিল আমার শরীর যে চিনি খুঁজছিল। যখন অ্যালকোহল কমে যাবে - তখন বড় 'প্যানিক অ্যাটাক' ঘটবে। আমি ভেবেছিলাম এটি হ্রাসকারী প্রভাবের কারণে হয়েছে - কিন্তু না - এটি ছিল রক্তে শর্করার মাত্রা কম। আমি ER-তে গিয়েছি জানি না কতবার ভেবেছিলাম আমি মারা যাচ্ছি - হার্ট অ্যাটাক, স্ট্রোক বা অন্য কিছু - কিন্তু না, রক্তে শর্করার পরিমাণ কমে গেছে। আর যখন আপনি ER-তে যান মনে করেন যে আপনার হার্ট অ্যাটাক হয়েছে, অনুমান করুন কী? তারা একটি EKG, বুকের এক্স-রে করে - ইত্যাদি - কিন্তু - তারা রক্তে শর্করা পরীক্ষা করে না, এখন, তাই না? তারা আপনার উপর একজন এশিয়ানকে ছুঁড়ে মারে যা যেকোনো পরিস্থিতির জন্য ভালো বোধ করে। যখন আমি মদ্যপান ছেড়ে দিয়েছিলাম - আমি পুরো নয় গজ প্রত্যাহার করেছিলাম। সুস্থ হওয়ার পর - আমি ক্রমাগত খাচ্ছিলাম! এবং আমার উদ্বেগ চলে গেছে - আমি ভেবেছিলাম - তারা ঠিকই বলেছে - অ্যালকোহল উদ্বেগ সৃষ্টি করে - যা ঠিক - কিন্তু - যদি আপনি ক্রমাগত ছোট খাবার খান এবং অ্যালকোহল থেকে বিরত থাকেন তবে এটি আপনার রক্তে শর্করার ভারসাম্যকে স্বাভাবিক অবস্থায় ফিরিয়ে আনে। যখন আমি বড় হচ্ছিলাম - আমার কখনও প্যানিক অ্যাটাক হয়নি - কিন্তু অনুমান করুন কী? আমি স্বাভাবিকভাবেই সারা দিন ছোট খাবার খেতাম - অন্য কথায় - একটি হাইপোগ্লাইসেমিক ডায়েট। এটা সবই খুব বেশি যুক্তিসঙ্গত - তাই আমি এটি পরীক্ষা করে দেখছি - এবং নিশ্চিতভাবেই - যখন আমার 'প্যানিক অ্যাটাক' হয় - কারণ আমি খুব বেশি চিনিযুক্ত কিছু খেয়েছিলাম এবং অনেক দিন ধরে কিছু খাইনি - এবং আরও চিনি খাওয়ার ফলে আক্রমণটি চলে যায়। জটিল কার্বোহাইড্রেট খাওয়া, পরিশোধিত চিনি না খাওয়া এবং সারা দিন ধরে অনেক খাবার আমার উদ্বেগকে সম্পূর্ণরূপে নির্মূল করে। হাইপোগ্লাইসেমিয়ায় প্যানিক অ্যাটাকের লক্ষণগুলি ঠিক একই রকম - অনিয়মিত হৃদস্পন্দন, ভয়, কাঁপুনি, মাথা ঘোরা, আসলে তালিকাটি আরও দীর্ঘ। এখন - আমি ইতিমধ্যে এটি যাচাই করার জন্য ডাক্তারের কাছে গিয়েছি - যদি আপনি মনে করেন এটি একটি সম্ভাব্য সমস্যা - দয়া করে আপনার ডাক্তারকে জিজ্ঞাসা করুন এবং আমার পোস্টটিকে চিকিৎসা পরামর্শ হিসাবে গ্রহণ করবেন না। আমি আরও শেয়ার করতে চাই যে আমি উত্তেজিত যে এই পুরো সময়টি আমার মাথায় ছিল না - এবং সত্যিই কিছু ভুল ছিল - কিন্তু - এটি অনেক লোকের ক্ষেত্রে হয় না - এবং আমি এমন কাউকে নিরুৎসাহিত করতে চাই না যারা প্যানিক অ্যাটাকে ভুগছেন এবং এর জন্য আসলে কোনও চিকিৎসা সমস্যা নেই। আমার মনে হয়েছে কিছু মানুষ হয়তো আমার মতোই কিছু একটার মধ্য দিয়ে যাচ্ছে - এবং তাদের উদ্বেগের মধ্যে স্বস্তি খুঁজে পায়। তাছাড়া, অতীতে আমার অনেক স্বাস্থ্য উদ্বেগ ছিল - এবং অন্যদের মধ্যে স্বাস্থ্য উদ্বেগের উদ্রেক করতে চাই না - তাই - আমার গল্পটিকে একটু নুন দিয়ে নিন।</v>
      </c>
    </row>
    <row r="2463" spans="1:3" ht="15" x14ac:dyDescent="0.25">
      <c r="A2463" s="3" t="s">
        <v>2456</v>
      </c>
      <c r="B2463" s="3" t="s">
        <v>1992</v>
      </c>
      <c r="C2463" s="4" t="str">
        <f ca="1">IFERROR(__xludf.DUMMYFUNCTION("GOOGLETRANSLATE(A2463, ""auto"", ""bn"")"),"আমি একজন কিশোরী, আমার আসলে কী করা উচিত তা আমি জানি না। আমার খুব একটা উদ্বেগ আছে। আমি খুব একটা মাথা ঘামাতে চাই না, কিন্তু কখনোই পেছনের গল্পটা বের করতে চাই না। কয়েক সপ্তাহ আগে আমি একটা মেয়েকে টেক্সট করছিলাম, যাকে আমি ঠিকমতো চিনি না। তার একটা Dm ছিল, কথা বল"&amp;"ার জন্য। আমি নতুন লোকের সাথে কথা বলতে ভালোবাসি। তাই আমি বলি কেন নয়। তারপর তাকে টেক্সট করা শুরু করি। যাই হোক, আমরা টেক্সট করা শুরু করি এবং UK। এক পর্যায়ে কথোপকথনটি খুব বাজে হয়ে ওঠে, এবং আমি বলি ""এত শুষ্ক কেন"" কারণ UK। আমি রসিকতা করতে পছন্দ করি, যাই হোক"&amp;", সে আমাকে কী বলা উচিত জিজ্ঞাসা করে, এবং আমি আবার মজা করে বলি, ""আমাকে জিজ্ঞাসা করো, আমি এত হট কেমন""। তারপর কথোপকথন এগোয়, এবং অবশেষে সে আমাকে ছেড়ে দেয়। কোন বড় কথা না, এটা কখনও কখনও এরকম হয়। এখন আমার ক্লাসের একটি ছেলে আমাকে ঘৃণা করে, কারণ আমি এমনকি জ"&amp;"ানি না। সে উপরে উল্লিখিত কনভোর স্ক্রিনশট পেয়েছে এবং এটি সবার কাছে পাঠাতে শুরু করে। চলো ওকে H বলে ডাকি, সে আমাকে ফাঁস করে দেওয়ার হুমকিও দেয়, যা আমার কাছে খুবই খারাপ লাগে, তাই আমি স্কুলে গিয়ে বলি কী হয়েছে। এখন লোকেরা আমাকে চোর বলার আগে, ১. আমি H সহ আরও"&amp;" ৩ জনের সাথে একটি টেবিলে বসে থাকি, সেই ৩ জন লোক আমি আসার দিন থেকেই কোনও কারণ ছাড়াই আমার উপর আক্রমণ করছে। স্বাভাবিকভাবেই আমি তোমার মাকে চুদছি এবং যাই হোক না কেন মজা করছি। কিন্তু যখনই তুমি আমার ডিএমএস পেয়েছ এবং সেগুলো ছড়িয়ে দিতে শুরু করেছ, আমি মূলত এটি "&amp;"হারিয়ে ফেলেছি এবং স্কুলকে জানিয়েছি। তাই স্কুল তাদের দুজনের সাথে কথা বলে, আমি বুঝতে পারছি না কেন তৃতীয়জনকে নয়, তবে যাই হোক না কেন এবং মূলত H কে তার ফোন আনতে দেওয়া হয় না, এবং তারা আমার কাছে ক্ষমা চায়। তারা এখনও আমার সাথে চুরি এবং খারাপ ব্যবহার নিয়ে "&amp;"রসিকতা করে, কিন্তু তারা আমার সাথে যা-ই হোক না কেন এবং সত্যি বলতে, আমি এতেই খুশি। যাই হোক গতকাল আমি ভুল করে একটা ছেলের Dm-এ হ্যাঁ ক্লিক করে কিছু কথা বলি, আর সে Dms করে, আর আমি হালকা, আমি অভদ্র হব না। আমি একটা কথোপকথন শুরু করব। তারপর সে আমার আর মেয়েটার সাথ"&amp;"ে Dms নিয়ে আসে এবং বলে যে H আর আমার খুব কাছাকাছি। তাই আমি তার গাধা ব্লক করে দেই। এখন মূলত আমি ইনস্টাগ্রামে কারো সাথে কথা বলতে ভয় পাচ্ছি এবং এই Dms আমার পরিচিত সকলের কাছে পাঠানো হতে পারে এই ভেবে আমি উন্মাদ হয়ে যাচ্ছি। কিন্তু আমি এটা করতে পারছি না। আমি প"&amp;"ুরো স্কুলের হাসির পাত্র হতে চাই না। সত্যি বলতে, মেয়েটি কেন স্ক্রিনশট নেবে এবং H কেন এত খারাপভাবে এগুলো ছড়িয়ে দেবে, আমি কখনই জানতে পারব না। কিন্তু ঠিক আছে, আমার সবচেয়ে বড় ভয় হল যে যখন আমি সোমবার স্কুলে ফিরে যাব তখন সবাই এটা সম্পর্কে জানবে এবং আমাকে জ"&amp;"্বালাতন করবে, যা আবার নভেম্বরে ঘটেছিল বলে ঘটতে পারে না, কিন্তু আমি খুব ভয় পাচ্ছি। আমার কথা শোনার জন্য ধন্যবাদ, যদি তুমি এতদূর এসেছো, তাহলে আমার একমাত্র পরামর্শ আরএন।")</f>
        <v>আমি একজন কিশোরী, আমার আসলে কী করা উচিত তা আমি জানি না। আমার খুব একটা উদ্বেগ আছে। আমি খুব একটা মাথা ঘামাতে চাই না, কিন্তু কখনোই পেছনের গল্পটা বের করতে চাই না। কয়েক সপ্তাহ আগে আমি একটা মেয়েকে টেক্সট করছিলাম, যাকে আমি ঠিকমতো চিনি না। তার একটা Dm ছিল, কথা বলার জন্য। আমি নতুন লোকের সাথে কথা বলতে ভালোবাসি। তাই আমি বলি কেন নয়। তারপর তাকে টেক্সট করা শুরু করি। যাই হোক, আমরা টেক্সট করা শুরু করি এবং UK। এক পর্যায়ে কথোপকথনটি খুব বাজে হয়ে ওঠে, এবং আমি বলি "এত শুষ্ক কেন" কারণ UK। আমি রসিকতা করতে পছন্দ করি, যাই হোক, সে আমাকে কী বলা উচিত জিজ্ঞাসা করে, এবং আমি আবার মজা করে বলি, "আমাকে জিজ্ঞাসা করো, আমি এত হট কেমন"। তারপর কথোপকথন এগোয়, এবং অবশেষে সে আমাকে ছেড়ে দেয়। কোন বড় কথা না, এটা কখনও কখনও এরকম হয়। এখন আমার ক্লাসের একটি ছেলে আমাকে ঘৃণা করে, কারণ আমি এমনকি জানি না। সে উপরে উল্লিখিত কনভোর স্ক্রিনশট পেয়েছে এবং এটি সবার কাছে পাঠাতে শুরু করে। চলো ওকে H বলে ডাকি, সে আমাকে ফাঁস করে দেওয়ার হুমকিও দেয়, যা আমার কাছে খুবই খারাপ লাগে, তাই আমি স্কুলে গিয়ে বলি কী হয়েছে। এখন লোকেরা আমাকে চোর বলার আগে, ১. আমি H সহ আরও ৩ জনের সাথে একটি টেবিলে বসে থাকি, সেই ৩ জন লোক আমি আসার দিন থেকেই কোনও কারণ ছাড়াই আমার উপর আক্রমণ করছে। স্বাভাবিকভাবেই আমি তোমার মাকে চুদছি এবং যাই হোক না কেন মজা করছি। কিন্তু যখনই তুমি আমার ডিএমএস পেয়েছ এবং সেগুলো ছড়িয়ে দিতে শুরু করেছ, আমি মূলত এটি হারিয়ে ফেলেছি এবং স্কুলকে জানিয়েছি। তাই স্কুল তাদের দুজনের সাথে কথা বলে, আমি বুঝতে পারছি না কেন তৃতীয়জনকে নয়, তবে যাই হোক না কেন এবং মূলত H কে তার ফোন আনতে দেওয়া হয় না, এবং তারা আমার কাছে ক্ষমা চায়। তারা এখনও আমার সাথে চুরি এবং খারাপ ব্যবহার নিয়ে রসিকতা করে, কিন্তু তারা আমার সাথে যা-ই হোক না কেন এবং সত্যি বলতে, আমি এতেই খুশি। যাই হোক গতকাল আমি ভুল করে একটা ছেলের Dm-এ হ্যাঁ ক্লিক করে কিছু কথা বলি, আর সে Dms করে, আর আমি হালকা, আমি অভদ্র হব না। আমি একটা কথোপকথন শুরু করব। তারপর সে আমার আর মেয়েটার সাথে Dms নিয়ে আসে এবং বলে যে H আর আমার খুব কাছাকাছি। তাই আমি তার গাধা ব্লক করে দেই। এখন মূলত আমি ইনস্টাগ্রামে কারো সাথে কথা বলতে ভয় পাচ্ছি এবং এই Dms আমার পরিচিত সকলের কাছে পাঠানো হতে পারে এই ভেবে আমি উন্মাদ হয়ে যাচ্ছি। কিন্তু আমি এটা করতে পারছি না। আমি পুরো স্কুলের হাসির পাত্র হতে চাই না। সত্যি বলতে, মেয়েটি কেন স্ক্রিনশট নেবে এবং H কেন এত খারাপভাবে এগুলো ছড়িয়ে দেবে, আমি কখনই জানতে পারব না। কিন্তু ঠিক আছে, আমার সবচেয়ে বড় ভয় হল যে যখন আমি সোমবার স্কুলে ফিরে যাব তখন সবাই এটা সম্পর্কে জানবে এবং আমাকে জ্বালাতন করবে, যা আবার নভেম্বরে ঘটেছিল বলে ঘটতে পারে না, কিন্তু আমি খুব ভয় পাচ্ছি। আমার কথা শোনার জন্য ধন্যবাদ, যদি তুমি এতদূর এসেছো, তাহলে আমার একমাত্র পরামর্শ আরএন।</v>
      </c>
    </row>
    <row r="2464" spans="1:3" ht="15" x14ac:dyDescent="0.25">
      <c r="A2464" s="3" t="s">
        <v>2457</v>
      </c>
      <c r="B2464" s="3" t="s">
        <v>1992</v>
      </c>
      <c r="C2464" s="4" t="str">
        <f ca="1">IFERROR(__xludf.DUMMYFUNCTION("GOOGLETRANSLATE(A2464, ""auto"", ""bn"")"),"কোন ডাক্তার কখন?? চিকিৎসার ব্যাপারে পরামর্শ খুঁজছি। চিকিৎসার এই খণ্ডিত রূপ দেখে আমি একটু হতাশ/হারিয়ে/অভিভূত বোধ করছি। আমাদের থেরাপিস্ট আছে, আবেগগত/কথা বলার জন্য, মনোরোগ বিশেষজ্ঞ আছে, চিকিৎসা এবং মস্তিষ্কের রসায়নের জন্য, এবং আমাদের নিয়মিত বয়স্ক ডাক্তার"&amp;" আছে, শরীরের জন্য। কিন্তু এই জিনিসগুলো এতটাই সম্পর্কিত যে, একে অপরের সাথে কথা না বলে তিনজন ভিন্ন ব্যক্তির দ্বারা তিনটি পৃথক ক্ষেত্র হিসেবে বিবেচনা করা অসম্ভব বলে মনে হচ্ছে। আমি আসলে কী জিজ্ঞাসা করছি তা আমি নিশ্চিত নই হা হা। (এই সাবরেডিটে নতুন... হাই!) আমি"&amp;" শুধু এই বিষয়ে উদ্বিগ্ন। আমি প্রতি এক বা দুই মাসে একজন থেরাপিস্ট এবং একজন মনোরোগ বিশেষজ্ঞের সাথে দেখা করি, কিন্তু আমার অনেক শারীরিক সমস্যা আছে যা আমার মনে হয় আমার মানসিক অসুস্থতার সাথে সম্পর্কিত (দীর্ঘস্থায়ী ব্যথা, দীর্ঘস্থায়ী ক্লান্তি, পেটের সমস্যা ই"&amp;"ত্যাদি) এবং তাদের কেউই এতে সাহায্য করার জন্য প্রস্তুত বলে মনে হচ্ছে না। পরের সপ্তাহে একজন নিয়মিত ডাক্তারের সাথে দেখা করছি, এবং নিশ্চিত নই যে আমি আশা করতে পারি যে তারা এটিতে সাহায্য করবে কিনা, যদি এটি একটি মানসিক সমস্যা হয়?? আমার সম্প্রতি ADHD ধরা পড়েছে"&amp;", যা আমি জানি ট্রমা এবং বিষণ্ণতার সাথে সম্পর্কিত হতে পারে, তাই আমি জানি না যে আমার ADHD এবং অন্যান্য বিষয়গুলিকে আলাদা সমস্যা হিসেবে নয় বরং সম্পর্কিত বিষয় হিসেবে বিবেচনা করা উচিত কিনা.... আমি জানি না। আমি কার কাছে কখন এবং কীভাবে চিকিৎসা নেব তা নির্ধারণ "&amp;"করার জন্য চাপে আছি কারণ আমি মনে করি প্রতিটি সমস্যাকে এমনভাবে সমাধান করতে হবে যেন এর স্বতন্ত্র এবং স্বাধীন কোনও অর্থ হয় না বা কাজ করবে না বা এমন কিছু। কারও কি এই বিষয়ে কোনও জ্ঞানের কথা আছে? (এটা সম্ভব যে আমি কেবল ভীত যে এইভাবে খণ্ডিত হলে চিকিৎসা ব্যর্থ হ"&amp;"বে। এটি পুরোপুরি ঠিক হতে পারে। যদি তাই হয়, তাহলে আমার কেবল পরামর্শের প্রয়োজন যে কে কোনও নির্দিষ্ট সমস্যায় সাহায্য করতে পারে তা কীভাবে খুঁজে বের করা যায়।)")</f>
        <v>কোন ডাক্তার কখন?? চিকিৎসার ব্যাপারে পরামর্শ খুঁজছি। চিকিৎসার এই খণ্ডিত রূপ দেখে আমি একটু হতাশ/হারিয়ে/অভিভূত বোধ করছি। আমাদের থেরাপিস্ট আছে, আবেগগত/কথা বলার জন্য, মনোরোগ বিশেষজ্ঞ আছে, চিকিৎসা এবং মস্তিষ্কের রসায়নের জন্য, এবং আমাদের নিয়মিত বয়স্ক ডাক্তার আছে, শরীরের জন্য। কিন্তু এই জিনিসগুলো এতটাই সম্পর্কিত যে, একে অপরের সাথে কথা না বলে তিনজন ভিন্ন ব্যক্তির দ্বারা তিনটি পৃথক ক্ষেত্র হিসেবে বিবেচনা করা অসম্ভব বলে মনে হচ্ছে। আমি আসলে কী জিজ্ঞাসা করছি তা আমি নিশ্চিত নই হা হা। (এই সাবরেডিটে নতুন... হাই!) আমি শুধু এই বিষয়ে উদ্বিগ্ন। আমি প্রতি এক বা দুই মাসে একজন থেরাপিস্ট এবং একজন মনোরোগ বিশেষজ্ঞের সাথে দেখা করি, কিন্তু আমার অনেক শারীরিক সমস্যা আছে যা আমার মনে হয় আমার মানসিক অসুস্থতার সাথে সম্পর্কিত (দীর্ঘস্থায়ী ব্যথা, দীর্ঘস্থায়ী ক্লান্তি, পেটের সমস্যা ইত্যাদি) এবং তাদের কেউই এতে সাহায্য করার জন্য প্রস্তুত বলে মনে হচ্ছে না। পরের সপ্তাহে একজন নিয়মিত ডাক্তারের সাথে দেখা করছি, এবং নিশ্চিত নই যে আমি আশা করতে পারি যে তারা এটিতে সাহায্য করবে কিনা, যদি এটি একটি মানসিক সমস্যা হয়?? আমার সম্প্রতি ADHD ধরা পড়েছে, যা আমি জানি ট্রমা এবং বিষণ্ণতার সাথে সম্পর্কিত হতে পারে, তাই আমি জানি না যে আমার ADHD এবং অন্যান্য বিষয়গুলিকে আলাদা সমস্যা হিসেবে নয় বরং সম্পর্কিত বিষয় হিসেবে বিবেচনা করা উচিত কিনা.... আমি জানি না। আমি কার কাছে কখন এবং কীভাবে চিকিৎসা নেব তা নির্ধারণ করার জন্য চাপে আছি কারণ আমি মনে করি প্রতিটি সমস্যাকে এমনভাবে সমাধান করতে হবে যেন এর স্বতন্ত্র এবং স্বাধীন কোনও অর্থ হয় না বা কাজ করবে না বা এমন কিছু। কারও কি এই বিষয়ে কোনও জ্ঞানের কথা আছে? (এটা সম্ভব যে আমি কেবল ভীত যে এইভাবে খণ্ডিত হলে চিকিৎসা ব্যর্থ হবে। এটি পুরোপুরি ঠিক হতে পারে। যদি তাই হয়, তাহলে আমার কেবল পরামর্শের প্রয়োজন যে কে কোনও নির্দিষ্ট সমস্যায় সাহায্য করতে পারে তা কীভাবে খুঁজে বের করা যায়।)</v>
      </c>
    </row>
    <row r="2465" spans="1:3" ht="15" x14ac:dyDescent="0.25">
      <c r="A2465" s="3" t="s">
        <v>2458</v>
      </c>
      <c r="B2465" s="3" t="s">
        <v>1992</v>
      </c>
      <c r="C2465" s="4" t="str">
        <f ca="1">IFERROR(__xludf.DUMMYFUNCTION("GOOGLETRANSLATE(A2465, ""auto"", ""bn"")"),"তিন সেমিস্টারের পর কলেজে ফিরে যাচ্ছি সোমবার, আমি তিন সেমিস্টারের মধ্যে ক্লাসে যোগদান না করার পর আবার স্কুলে যাচ্ছি। ক্যাম্পাসে এবং অনেক অন্যান্য ব্যক্তির সাথে ক্লাসরুমে থাকার, না আসার এবং তারপর হতাশার কারণে। আমি মূলত নিজেকে একটি গর্তে ফেলে দিয়েছিলাম, এবং"&amp;" এখন আমি সফল হওয়ার এবং স্নাতক হওয়ার জন্য কাজ করছি। আমার জিপিএ অনেক ক্ষতিগ্রস্ত হয়েছে, এবং আমি এখন আর্থিক সহায়তা ফিরে পাওয়ার জন্য কাজ করছি। আমি এই সেমিস্টারটি মাত্র দুটি ক্লাস দিয়ে শুরু করছি নিজেকে প্রতিষ্ঠিত করার জন্য, কিন্তু এখন আমার উপর (নিজের) চা"&amp;"প রয়েছে যে এখান থেকে সমস্ত A অর্জন করতে হবে কারণ আমি এখন পকেট থেকে প্রচুর অর্থ ব্যয় করছি। আমি এখন ওষুধ খেয়েছি এবং যেতে প্রস্তুত, তাই সমস্যাগুলি সেখানেই নেই। আমার উদ্বেগ হল আমি আবার সবকিছু এলোমেলো করে দেব। যদি আমি ব্যর্থ হই? যদি আমি হাল ছেড়ে দেই? আমি এ"&amp;"তটাই ভয় পাই যে আমি বিশ্বাসের বাইরে। আমি জানি যে আমার অনেক ভয় অযৌক্তিক, কিন্তু আমি সত্যিই এটিকে থামাতে পারছি না। এটা আমার মানসিক স্বাস্থ্যের বিরুদ্ধে হবে, এবং আমি ভীত যে আমি জিততে পারব না। স্কুলে তীব্র উদ্বেগ/বিষণ্ণতা মোকাবেলা করার জন্য কোন পরামর্শ বা টি"&amp;"পস আছে? আমি সত্যিই, সত্যিই সফল হতে চাই। ধন্যবাদ!")</f>
        <v>তিন সেমিস্টারের পর কলেজে ফিরে যাচ্ছি সোমবার, আমি তিন সেমিস্টারের মধ্যে ক্লাসে যোগদান না করার পর আবার স্কুলে যাচ্ছি। ক্যাম্পাসে এবং অনেক অন্যান্য ব্যক্তির সাথে ক্লাসরুমে থাকার, না আসার এবং তারপর হতাশার কারণে। আমি মূলত নিজেকে একটি গর্তে ফেলে দিয়েছিলাম, এবং এখন আমি সফল হওয়ার এবং স্নাতক হওয়ার জন্য কাজ করছি। আমার জিপিএ অনেক ক্ষতিগ্রস্ত হয়েছে, এবং আমি এখন আর্থিক সহায়তা ফিরে পাওয়ার জন্য কাজ করছি। আমি এই সেমিস্টারটি মাত্র দুটি ক্লাস দিয়ে শুরু করছি নিজেকে প্রতিষ্ঠিত করার জন্য, কিন্তু এখন আমার উপর (নিজের) চাপ রয়েছে যে এখান থেকে সমস্ত A অর্জন করতে হবে কারণ আমি এখন পকেট থেকে প্রচুর অর্থ ব্যয় করছি। আমি এখন ওষুধ খেয়েছি এবং যেতে প্রস্তুত, তাই সমস্যাগুলি সেখানেই নেই। আমার উদ্বেগ হল আমি আবার সবকিছু এলোমেলো করে দেব। যদি আমি ব্যর্থ হই? যদি আমি হাল ছেড়ে দেই? আমি এতটাই ভয় পাই যে আমি বিশ্বাসের বাইরে। আমি জানি যে আমার অনেক ভয় অযৌক্তিক, কিন্তু আমি সত্যিই এটিকে থামাতে পারছি না। এটা আমার মানসিক স্বাস্থ্যের বিরুদ্ধে হবে, এবং আমি ভীত যে আমি জিততে পারব না। স্কুলে তীব্র উদ্বেগ/বিষণ্ণতা মোকাবেলা করার জন্য কোন পরামর্শ বা টিপস আছে? আমি সত্যিই, সত্যিই সফল হতে চাই। ধন্যবাদ!</v>
      </c>
    </row>
    <row r="2466" spans="1:3" ht="15" x14ac:dyDescent="0.25">
      <c r="A2466" s="3" t="s">
        <v>2459</v>
      </c>
      <c r="B2466" s="3" t="s">
        <v>1992</v>
      </c>
      <c r="C2466" s="4" t="str">
        <f ca="1">IFERROR(__xludf.DUMMYFUNCTION("GOOGLETRANSLATE(A2466, ""auto"", ""bn"")"),"প্রয়োজন না হলে বা প্রয়োজন না হলে অতিরিক্ত উদ্বিগ্ন হওয়া আমার এমন একটি সমস্যা আছে যা সবসময় আমার মাথায় আসে যেখানে আমি এমন বিষয় নিয়ে চিন্তিত থাকি যেগুলো নিয়ে আমার চিন্তা করার কোনও জায়গা নেই, যেমন এখন আমার পরিবারের বাড়ির কিছু বৈদ্যুতিক সমস্যা (আউটলেট কাজ করছে"&amp;" না, একজন ইলেকট্রিশিয়ানকে ফোন করে দেখে নেওয়া) নিয়ে আমি একটু চাপে আছি। এখানে আমার উদ্বেগগুলি এমন কিছু বিষয়ের দিকেই বিস্তৃত, যেখানে সবকিছু ঠিক হয়ে যাবে, এমনকি যখন আমাকে বলা হয় চিন্তা করো না এবং সবকিছু ঠিক হয়ে যাবে। আমি ঠিক নিশ্চিত নই যে এখানে আমার সাথে কী "&amp;"ঘটছে যখন আমি কোনও ভুলের সামান্যতম লক্ষণেই চাপে পড়ি, তবে আমি জানি যে এটি নিজেই আমাকে চাপে ফেলে, এবং এটি অবশ্যই সবকিছু সহজ করে না।")</f>
        <v>প্রয়োজন না হলে বা প্রয়োজন না হলে অতিরিক্ত উদ্বিগ্ন হওয়া আমার এমন একটি সমস্যা আছে যা সবসময় আমার মাথায় আসে যেখানে আমি এমন বিষয় নিয়ে চিন্তিত থাকি যেগুলো নিয়ে আমার চিন্তা করার কোনও জায়গা নেই, যেমন এখন আমার পরিবারের বাড়ির কিছু বৈদ্যুতিক সমস্যা (আউটলেট কাজ করছে না, একজন ইলেকট্রিশিয়ানকে ফোন করে দেখে নেওয়া) নিয়ে আমি একটু চাপে আছি। এখানে আমার উদ্বেগগুলি এমন কিছু বিষয়ের দিকেই বিস্তৃত, যেখানে সবকিছু ঠিক হয়ে যাবে, এমনকি যখন আমাকে বলা হয় চিন্তা করো না এবং সবকিছু ঠিক হয়ে যাবে। আমি ঠিক নিশ্চিত নই যে এখানে আমার সাথে কী ঘটছে যখন আমি কোনও ভুলের সামান্যতম লক্ষণেই চাপে পড়ি, তবে আমি জানি যে এটি নিজেই আমাকে চাপে ফেলে, এবং এটি অবশ্যই সবকিছু সহজ করে না।</v>
      </c>
    </row>
    <row r="2467" spans="1:3" ht="15" x14ac:dyDescent="0.25">
      <c r="A2467" s="3" t="s">
        <v>2460</v>
      </c>
      <c r="B2467" s="3" t="s">
        <v>1992</v>
      </c>
      <c r="C2467" s="4" t="str">
        <f ca="1">IFERROR(__xludf.DUMMYFUNCTION("GOOGLETRANSLATE(A2467, ""auto"", ""bn"")"),"আমার বন্ধু কেন আমাকে এই কথা বলবে? আমার বন্ধু আমাকে বলল, ওহ ভগবান, তুমি কি দেখতে পাচ্ছ না যে তোমার স্বামী তোমাকে ফাঁদে ফেলার চেষ্টা করছে? Â আর সে আমাকে চিৎকার করে বলছিল।")</f>
        <v>আমার বন্ধু কেন আমাকে এই কথা বলবে? আমার বন্ধু আমাকে বলল, ওহ ভগবান, তুমি কি দেখতে পাচ্ছ না যে তোমার স্বামী তোমাকে ফাঁদে ফেলার চেষ্টা করছে? Â আর সে আমাকে চিৎকার করে বলছিল।</v>
      </c>
    </row>
    <row r="2468" spans="1:3" ht="15" x14ac:dyDescent="0.25">
      <c r="A2468" s="3" t="s">
        <v>2461</v>
      </c>
      <c r="B2468" s="3" t="s">
        <v>1992</v>
      </c>
      <c r="C2468" s="4" t="str">
        <f ca="1">IFERROR(__xludf.DUMMYFUNCTION("GOOGLETRANSLATE(A2468, ""auto"", ""bn"")"),"মানুষের সাথে দেখা করতে আমার খুব কষ্ট হয়। আমি একা থাকতে চাই। আমি সবসময় মানুষের সাথে দেখা করতে খুব উদ্বিগ্ন থাকি। চোখের যোগাযোগ এড়িয়ে চলা, বিশ্রী হাসি, মুখের কুঁচকানো ভাব, বেশি কথা না বলা। আমি নিজেকে অনিরাপদ মনে না করে থাকতে পারি না। আমার অনিরাপদ বোধের "&amp;"প্রধান কারণ হল চাকরি বা গার্লফ্রেন্ড না থাকা, এবং আমার চেহারার কারণে। আমারও মারাত্মক আইবিএস আছে যা আমার চাকরি বা গার্লফ্রেন্ড না থাকার একটি কারণ। এটি আমার জীবনকে ধ্বংস করে দিয়েছে। আমার মনে হয় লোকেরা আমাকে বিচার করে এবং আমি উদ্বিগ্ন হতে ঘৃণা করি যে লোকের"&amp;"া আমাকে জিজ্ঞাসা করবে, তাহলে তুমি কী করো? Â এবং আমার বলার কিছু নেই, এই মুহূর্তে কিছুই নেই। তারপর তারা সবাই বিভ্রান্ত হয় যে কেন কেউ কাজ করছে না বা সক্রিয়ভাবে চাকরি খুঁজছে না। আমি মানুষের সাথে দেখা করতেও অধৈর্য বোধ করি। আমার মনে হয় আমি যত বেশি সময় মানু"&amp;"ষের সাথে কাটাই, আমি যত বেশি বিব্রতকর কিছু করব বা বলব, তত বেশি মনোযোগ আমার উপর থাকবে। তাছাড়া, আমি যখন শুধুই খারাপ খেলি, তখনও মানুষ মজা করতে এবং সামাজিকীকরণে দুর্দান্ত থাকতে পারে, এটা দেখে আমার ঈর্ষা হয়। তাছাড়া, মানুষের সাথে থাকতে আমার খুব ক্লান্তি লাগে, খু"&amp;"ব সহজে। তাছাড়া, আমার প্রায়ই ইচ্ছা হয় যখন আমি রাতের খাবারের সময় লোকজনের সাথে থাকি এবং এরকম কিছু করি, তখন আমি এখান থেকে বেরিয়ে আসতে পারতাম। আমি কীভাবে আরাম করব?")</f>
        <v>মানুষের সাথে দেখা করতে আমার খুব কষ্ট হয়। আমি একা থাকতে চাই। আমি সবসময় মানুষের সাথে দেখা করতে খুব উদ্বিগ্ন থাকি। চোখের যোগাযোগ এড়িয়ে চলা, বিশ্রী হাসি, মুখের কুঁচকানো ভাব, বেশি কথা না বলা। আমি নিজেকে অনিরাপদ মনে না করে থাকতে পারি না। আমার অনিরাপদ বোধের প্রধান কারণ হল চাকরি বা গার্লফ্রেন্ড না থাকা, এবং আমার চেহারার কারণে। আমারও মারাত্মক আইবিএস আছে যা আমার চাকরি বা গার্লফ্রেন্ড না থাকার একটি কারণ। এটি আমার জীবনকে ধ্বংস করে দিয়েছে। আমার মনে হয় লোকেরা আমাকে বিচার করে এবং আমি উদ্বিগ্ন হতে ঘৃণা করি যে লোকেরা আমাকে জিজ্ঞাসা করবে, তাহলে তুমি কী করো? Â এবং আমার বলার কিছু নেই, এই মুহূর্তে কিছুই নেই। তারপর তারা সবাই বিভ্রান্ত হয় যে কেন কেউ কাজ করছে না বা সক্রিয়ভাবে চাকরি খুঁজছে না। আমি মানুষের সাথে দেখা করতেও অধৈর্য বোধ করি। আমার মনে হয় আমি যত বেশি সময় মানুষের সাথে কাটাই, আমি যত বেশি বিব্রতকর কিছু করব বা বলব, তত বেশি মনোযোগ আমার উপর থাকবে। তাছাড়া, আমি যখন শুধুই খারাপ খেলি, তখনও মানুষ মজা করতে এবং সামাজিকীকরণে দুর্দান্ত থাকতে পারে, এটা দেখে আমার ঈর্ষা হয়। তাছাড়া, মানুষের সাথে থাকতে আমার খুব ক্লান্তি লাগে, খুব সহজে। তাছাড়া, আমার প্রায়ই ইচ্ছা হয় যখন আমি রাতের খাবারের সময় লোকজনের সাথে থাকি এবং এরকম কিছু করি, তখন আমি এখান থেকে বেরিয়ে আসতে পারতাম। আমি কীভাবে আরাম করব?</v>
      </c>
    </row>
    <row r="2469" spans="1:3" ht="15" x14ac:dyDescent="0.25">
      <c r="A2469" s="3" t="s">
        <v>2462</v>
      </c>
      <c r="B2469" s="3" t="s">
        <v>1992</v>
      </c>
      <c r="C2469" s="4" t="str">
        <f ca="1">IFERROR(__xludf.DUMMYFUNCTION("GOOGLETRANSLATE(A2469, ""auto"", ""bn"")"),"আমি একটা পার্টিতে আছি আর কাউকে চিনি না। এটা একটা অত্যাচার। আমার বন্ধু কলেজে যাচ্ছে, আর সে আমাকে তার বাড়িতে বিদায় পার্টিতে আসতে বলে। আমি প্রায়ই এই ধরণের জিনিস থেকে বেরিয়ে আসার জন্য অজুহাত খুঁজি, কিন্তু এবার ভেবেছিলাম ওর আসাটা আমার কর্তব্য। যাইহোক, যখন "&amp;"আমি এখানে আসি তখন পরিস্থিতি আমার ধারণার চেয়েও অনেক খারাপ ছিল। এখানে অনেক লোক আছে, কিন্তু আমি তাদের মধ্যে মাত্র ৩ জনকে চিনি এবং বছরের পর বছর ধরে আমি তাদের সাথে কথা বলিনি। এটা এতটাই বিব্রতকর যে কষ্ট দেয়। আমি যা চাই তার চেয়েও বেশি, কিন্তু আমি জানি যদি যাই"&amp;" তাহলে আমি সেই ব্যক্তির মতো দেখাবো যে কোনও কারণ ছাড়াই প্রথমে চলে গেছে। তাই মূলত আমি এখানে আরও ৪ ঘন্টা ধরে আটকে আছি, আর কিছুই করার নেই।")</f>
        <v>আমি একটা পার্টিতে আছি আর কাউকে চিনি না। এটা একটা অত্যাচার। আমার বন্ধু কলেজে যাচ্ছে, আর সে আমাকে তার বাড়িতে বিদায় পার্টিতে আসতে বলে। আমি প্রায়ই এই ধরণের জিনিস থেকে বেরিয়ে আসার জন্য অজুহাত খুঁজি, কিন্তু এবার ভেবেছিলাম ওর আসাটা আমার কর্তব্য। যাইহোক, যখন আমি এখানে আসি তখন পরিস্থিতি আমার ধারণার চেয়েও অনেক খারাপ ছিল। এখানে অনেক লোক আছে, কিন্তু আমি তাদের মধ্যে মাত্র ৩ জনকে চিনি এবং বছরের পর বছর ধরে আমি তাদের সাথে কথা বলিনি। এটা এতটাই বিব্রতকর যে কষ্ট দেয়। আমি যা চাই তার চেয়েও বেশি, কিন্তু আমি জানি যদি যাই তাহলে আমি সেই ব্যক্তির মতো দেখাবো যে কোনও কারণ ছাড়াই প্রথমে চলে গেছে। তাই মূলত আমি এখানে আরও ৪ ঘন্টা ধরে আটকে আছি, আর কিছুই করার নেই।</v>
      </c>
    </row>
    <row r="2470" spans="1:3" ht="15" x14ac:dyDescent="0.25">
      <c r="A2470" s="3" t="s">
        <v>2463</v>
      </c>
      <c r="B2470" s="3" t="s">
        <v>1992</v>
      </c>
      <c r="C2470" s="4" t="str">
        <f ca="1">IFERROR(__xludf.DUMMYFUNCTION("GOOGLETRANSLATE(A2470, ""auto"", ""bn"")"),"আমার উদ্বেগ আমাকে আটকে রেখেছে, এবং আমার পরামর্শের প্রয়োজন। হ্যালো! অনেকদিন ধরে লুকিয়ে থাকা কিন্তু আমি পোস্ট করার সিদ্ধান্ত নিয়েছি কারণ আমার কিছু পরামর্শের প্রয়োজন ছিল এবং আমি ভেবেছিলাম এখানে কারও একই সমস্যা হতে পারে। আমি সত্যিই কোনও ধরণের কাজ করার সময"&amp;"় লোকেদের নজরদারিতে রাখা নিয়ে সমস্যায় পড়ছি কারণ তারা আমাকে বোকা বা অযোগ্য ভাববে, এবং এটি আমার নতুন জিনিস চেষ্টা করার ক্ষমতাকে প্রভাবিত করছে। আমার বাবা এমন একটি ব্যবসা পরিচালনা করেন যা সম্পর্কে আমি আরও জানতে চাই, কিন্তু আমি সেখানে কাজ করতে নিজেকে বাধ্য "&amp;"করতে পারি না কারণ আমি বোকাদের মতো দেখতে ভয় পাই এবং আমি এটি নিয়ে খুব উদ্বিগ্ন। আমি জানি সবাই বুঝতে পারবে কারণ আমি শিখছি, কিন্তু আমি এখনও উদ্বিগ্ন। আমি একটি কাজও সামলাতে না পারার জন্য ব্যর্থ বোধ করছি। তাছাড়া, আমি কিছু আশ্চর্যজনক জিনিস শেখার জন্য উপযুক্ত "&amp;"অবস্থানে আছি, কিন্তু আমি আতঙ্কিত। আমি কীভাবে এই পরিস্থিতি কাটিয়ে উঠতে পারি সে সম্পর্কে কারও কি কোন ধারণা আছে? আমার বাবা সেখানে কাজ করার বিষয়ে আমার উদ্বেগ সম্পর্কে পুরোপুরি বুঝতে পেরেছেন তাই তিনি আমাকে মোটেও চাপ দিচ্ছেন না। আমি খুব হতাশ যে আমি সেখানে কাজ"&amp;" করতে এবং শিখতে চাই, কিন্তু আমার মস্তিষ্ক আমার জন্য এটি নষ্ট করে দিচ্ছে। আমি ভয় পাচ্ছি যে এই উদ্বেগ আমার বাকি জীবন ধরে আমাকে অনুসরণ করবে, কিন্তু আমি খুব ছোট, এবং আমি একটি ত্রুটিপূর্ণ মস্তিষ্কের দ্বারা আটকে থাকতে চাই না।")</f>
        <v>আমার উদ্বেগ আমাকে আটকে রেখেছে, এবং আমার পরামর্শের প্রয়োজন। হ্যালো! অনেকদিন ধরে লুকিয়ে থাকা কিন্তু আমি পোস্ট করার সিদ্ধান্ত নিয়েছি কারণ আমার কিছু পরামর্শের প্রয়োজন ছিল এবং আমি ভেবেছিলাম এখানে কারও একই সমস্যা হতে পারে। আমি সত্যিই কোনও ধরণের কাজ করার সময় লোকেদের নজরদারিতে রাখা নিয়ে সমস্যায় পড়ছি কারণ তারা আমাকে বোকা বা অযোগ্য ভাববে, এবং এটি আমার নতুন জিনিস চেষ্টা করার ক্ষমতাকে প্রভাবিত করছে। আমার বাবা এমন একটি ব্যবসা পরিচালনা করেন যা সম্পর্কে আমি আরও জানতে চাই, কিন্তু আমি সেখানে কাজ করতে নিজেকে বাধ্য করতে পারি না কারণ আমি বোকাদের মতো দেখতে ভয় পাই এবং আমি এটি নিয়ে খুব উদ্বিগ্ন। আমি জানি সবাই বুঝতে পারবে কারণ আমি শিখছি, কিন্তু আমি এখনও উদ্বিগ্ন। আমি একটি কাজও সামলাতে না পারার জন্য ব্যর্থ বোধ করছি। তাছাড়া, আমি কিছু আশ্চর্যজনক জিনিস শেখার জন্য উপযুক্ত অবস্থানে আছি, কিন্তু আমি আতঙ্কিত। আমি কীভাবে এই পরিস্থিতি কাটিয়ে উঠতে পারি সে সম্পর্কে কারও কি কোন ধারণা আছে? আমার বাবা সেখানে কাজ করার বিষয়ে আমার উদ্বেগ সম্পর্কে পুরোপুরি বুঝতে পেরেছেন তাই তিনি আমাকে মোটেও চাপ দিচ্ছেন না। আমি খুব হতাশ যে আমি সেখানে কাজ করতে এবং শিখতে চাই, কিন্তু আমার মস্তিষ্ক আমার জন্য এটি নষ্ট করে দিচ্ছে। আমি ভয় পাচ্ছি যে এই উদ্বেগ আমার বাকি জীবন ধরে আমাকে অনুসরণ করবে, কিন্তু আমি খুব ছোট, এবং আমি একটি ত্রুটিপূর্ণ মস্তিষ্কের দ্বারা আটকে থাকতে চাই না।</v>
      </c>
    </row>
    <row r="2471" spans="1:3" ht="15" x14ac:dyDescent="0.25">
      <c r="A2471" s="3" t="s">
        <v>2464</v>
      </c>
      <c r="B2471" s="3" t="s">
        <v>1992</v>
      </c>
      <c r="C2471" s="4" t="str">
        <f ca="1">IFERROR(__xludf.DUMMYFUNCTION("GOOGLETRANSLATE(A2471, ""auto"", ""bn"")"),"উদ্বেগ নিয়ন্ত্রণে কি ওষুধের প্রয়োজন? আমি বেশ কিছুদিন ধরেই উদ্বেগের সাথে মোকাবিলা করছি এবং আমার মা চাকরি হারানোর পর থেকে আমার কাছে ডাক্তারের কাছে যাওয়ার বা ওষুধের জন্য টাকা নেই। যেকোনো প্রতিক্রিয়ার জন্য ধন্যবাদ।")</f>
        <v>উদ্বেগ নিয়ন্ত্রণে কি ওষুধের প্রয়োজন? আমি বেশ কিছুদিন ধরেই উদ্বেগের সাথে মোকাবিলা করছি এবং আমার মা চাকরি হারানোর পর থেকে আমার কাছে ডাক্তারের কাছে যাওয়ার বা ওষুধের জন্য টাকা নেই। যেকোনো প্রতিক্রিয়ার জন্য ধন্যবাদ।</v>
      </c>
    </row>
    <row r="2472" spans="1:3" ht="15" x14ac:dyDescent="0.25">
      <c r="A2472" s="3" t="s">
        <v>2465</v>
      </c>
      <c r="B2472" s="3" t="s">
        <v>1992</v>
      </c>
      <c r="C2472" s="4" t="str">
        <f ca="1">IFERROR(__xludf.DUMMYFUNCTION("GOOGLETRANSLATE(A2472, ""auto"", ""bn"")"),"(১৬ মি) আমার মনে হয় যখন আমি আমার সমবয়সীদের সাথে থাকি তখনও আমি উপস্থিত থাকি না। এমনকি যখন আমি কোনও কাজে জড়িত থাকি তখনও আমি বাদ পড়ে যাই। আমার সাহায্যের প্রয়োজন। আমি সামাজিক হতে এবং নতুন লোকেদের সাথে দেখা করার চেষ্টা করার সময় থামার কথা ভাবছি। মনে হচ্ছে"&amp;" সামাজিকীকরণের ক্ষেত্রে সবাই আমার চেয়ে অনেক ভালো এবং তারা আমার চেয়ে বেশি পছন্দের।")</f>
        <v>(১৬ মি) আমার মনে হয় যখন আমি আমার সমবয়সীদের সাথে থাকি তখনও আমি উপস্থিত থাকি না। এমনকি যখন আমি কোনও কাজে জড়িত থাকি তখনও আমি বাদ পড়ে যাই। আমার সাহায্যের প্রয়োজন। আমি সামাজিক হতে এবং নতুন লোকেদের সাথে দেখা করার চেষ্টা করার সময় থামার কথা ভাবছি। মনে হচ্ছে সামাজিকীকরণের ক্ষেত্রে সবাই আমার চেয়ে অনেক ভালো এবং তারা আমার চেয়ে বেশি পছন্দের।</v>
      </c>
    </row>
    <row r="2473" spans="1:3" ht="15" x14ac:dyDescent="0.25">
      <c r="A2473" s="3" t="s">
        <v>2466</v>
      </c>
      <c r="B2473" s="3" t="s">
        <v>1992</v>
      </c>
      <c r="C2473" s="4" t="str">
        <f ca="1">IFERROR(__xludf.DUMMYFUNCTION("GOOGLETRANSLATE(A2473, ""auto"", ""bn"")"),"এটা কি উদ্বেগ? আমার সবসময় একটা প্রচণ্ড অনুভূতি থাকে যে আমি কখনোই আমার বা সমাজের উপকারের জন্য কার্যকর কিছু করব না, আমি আমার ভবিষ্যৎ দেখতে পাই না। যতবারই আমি এটা নিয়ে ভাবি, (যা প্রায়শই হয়) আমি হতাশ এবং দুঃখী বোধ না করে পারি না।")</f>
        <v>এটা কি উদ্বেগ? আমার সবসময় একটা প্রচণ্ড অনুভূতি থাকে যে আমি কখনোই আমার বা সমাজের উপকারের জন্য কার্যকর কিছু করব না, আমি আমার ভবিষ্যৎ দেখতে পাই না। যতবারই আমি এটা নিয়ে ভাবি, (যা প্রায়শই হয়) আমি হতাশ এবং দুঃখী বোধ না করে পারি না।</v>
      </c>
    </row>
    <row r="2474" spans="1:3" ht="15" x14ac:dyDescent="0.25">
      <c r="A2474" s="3" t="s">
        <v>2467</v>
      </c>
      <c r="B2474" s="3" t="s">
        <v>1992</v>
      </c>
      <c r="C2474" s="4" t="str">
        <f ca="1">IFERROR(__xludf.DUMMYFUNCTION("GOOGLETRANSLATE(A2474, ""auto"", ""bn"")"),"আমার চিরস্থায়ী অবস্থা, আমার যেখানে থাকার কথা, সেখানে নেই, সম্ভবত আমি কেবল মুখ খুলছি, কিন্তু বিছানায় শুয়ে থাকায় উদ্বেগ অতিমাত্রায় পৌঁছে যাচ্ছে। আমি এই অবিরাম অবস্থায় বাস করছি যে, আমি যেখানে থাকার কথা, সেখানে নেই। এই অপ্রতিরোধ্য অনুভূতি যে যাই হোক না কেন, "&amp;"আমি বক্ররেখার পিছনে আছি। আমি জানি আমি বক্ররেখার চেয়ে এগিয়ে আছি, আমি জানি আমি যথাসাধ্য চেষ্টা করছি। যাইহোক, আমার পাঁজরের ঠিক ভেতরে একটা অদ্ভুত অনুভূতি আছে যা আমাকে চিৎকার করে বলছে। আমি কী করব? আমি কী করব? আমি ধ্বংসপ্রাপ্ত বোধ করছি।")</f>
        <v>আমার চিরস্থায়ী অবস্থা, আমার যেখানে থাকার কথা, সেখানে নেই, সম্ভবত আমি কেবল মুখ খুলছি, কিন্তু বিছানায় শুয়ে থাকায় উদ্বেগ অতিমাত্রায় পৌঁছে যাচ্ছে। আমি এই অবিরাম অবস্থায় বাস করছি যে, আমি যেখানে থাকার কথা, সেখানে নেই। এই অপ্রতিরোধ্য অনুভূতি যে যাই হোক না কেন, আমি বক্ররেখার পিছনে আছি। আমি জানি আমি বক্ররেখার চেয়ে এগিয়ে আছি, আমি জানি আমি যথাসাধ্য চেষ্টা করছি। যাইহোক, আমার পাঁজরের ঠিক ভেতরে একটা অদ্ভুত অনুভূতি আছে যা আমাকে চিৎকার করে বলছে। আমি কী করব? আমি কী করব? আমি ধ্বংসপ্রাপ্ত বোধ করছি।</v>
      </c>
    </row>
    <row r="2475" spans="1:3" ht="15" x14ac:dyDescent="0.25">
      <c r="A2475" s="3" t="s">
        <v>2468</v>
      </c>
      <c r="B2475" s="3" t="s">
        <v>1992</v>
      </c>
      <c r="C2475" s="4" t="str">
        <f ca="1">IFERROR(__xludf.DUMMYFUNCTION("GOOGLETRANSLATE(A2475, ""auto"", ""bn"")"),"কেউ কি কখনও মনে করে যে তারা একটি ভয়াবহ পরিণতি থেকে পালিয়ে যাচ্ছে? আমি নিশ্চিত যে আমি একটি নির্দিষ্ট মৃত্যুর জন্য 'নিশ্চিহ্ন' এবং অভিজ্ঞতাগুলি এই অনিবার্য পরিণতির 'অন্তর্দৃষ্টির পোর্টাল'। ১৪ বছর বয়স থেকেই আমার বাদুড় এবং জলাতঙ্কের ভয় ছিল। তারপর থেকে, ব"&amp;"াদুড়ের সাথে আমার বেশ কয়েকটি সাধারণ সংঘর্ষ হয়েছে। গত গ্রীষ্মে, আমি আমার কর্মক্ষেত্রে একটি মৃত বাদুড়ের মুখোমুখি হয়েছিলাম এবং মনে হয়েছিল যে আমি এটি হারিয়ে ফেলব। এক মাস আগে, আমার এক ভবিষ্যৎ রুমমেট হঠাৎ করে বলেছিল যে তাদের জায়গা (আমার ভবিষ্যৎ রুম) বাদু"&amp;"ড়ের সমস্যা আছে। এই খবর শোনার পর থেকে, আমি নিশ্চিত যে সেখানে থাকা আমার মৃত্যুদণ্ড হতে চলেছে। আমি গুরুতরভাবে চিন্তিত এবং ইতিমধ্যেই বিষয়টি নিয়ে অসুস্থ বোধ করছি। আমি জানি এটি অযৌক্তিক (যদিও আমি সম্পূর্ণ ভিত্তিহীন বলতে চাইছি না), এবং আমি জানি না কিভাবে নিজে"&amp;"কে শান্ত করব। তদুপরি, আমার ভবিষ্যৎ রুমমেটদের সাথে বিষয়টি সম্পর্কে কথা বলা দরকার এবং সম্ভবত আমার ভবিষ্যৎ বাড়িওয়ালার সাথে। তদুপরি, আমার মনে হচ্ছে আমি এটি হারাতে যাচ্ছি। মনে হচ্ছে আমার মুখ থেকে সবচেয়ে বেশি কিছু বের করে আনা দরকার ছিল।")</f>
        <v>কেউ কি কখনও মনে করে যে তারা একটি ভয়াবহ পরিণতি থেকে পালিয়ে যাচ্ছে? আমি নিশ্চিত যে আমি একটি নির্দিষ্ট মৃত্যুর জন্য 'নিশ্চিহ্ন' এবং অভিজ্ঞতাগুলি এই অনিবার্য পরিণতির 'অন্তর্দৃষ্টির পোর্টাল'। ১৪ বছর বয়স থেকেই আমার বাদুড় এবং জলাতঙ্কের ভয় ছিল। তারপর থেকে, বাদুড়ের সাথে আমার বেশ কয়েকটি সাধারণ সংঘর্ষ হয়েছে। গত গ্রীষ্মে, আমি আমার কর্মক্ষেত্রে একটি মৃত বাদুড়ের মুখোমুখি হয়েছিলাম এবং মনে হয়েছিল যে আমি এটি হারিয়ে ফেলব। এক মাস আগে, আমার এক ভবিষ্যৎ রুমমেট হঠাৎ করে বলেছিল যে তাদের জায়গা (আমার ভবিষ্যৎ রুম) বাদুড়ের সমস্যা আছে। এই খবর শোনার পর থেকে, আমি নিশ্চিত যে সেখানে থাকা আমার মৃত্যুদণ্ড হতে চলেছে। আমি গুরুতরভাবে চিন্তিত এবং ইতিমধ্যেই বিষয়টি নিয়ে অসুস্থ বোধ করছি। আমি জানি এটি অযৌক্তিক (যদিও আমি সম্পূর্ণ ভিত্তিহীন বলতে চাইছি না), এবং আমি জানি না কিভাবে নিজেকে শান্ত করব। তদুপরি, আমার ভবিষ্যৎ রুমমেটদের সাথে বিষয়টি সম্পর্কে কথা বলা দরকার এবং সম্ভবত আমার ভবিষ্যৎ বাড়িওয়ালার সাথে। তদুপরি, আমার মনে হচ্ছে আমি এটি হারাতে যাচ্ছি। মনে হচ্ছে আমার মুখ থেকে সবচেয়ে বেশি কিছু বের করে আনা দরকার ছিল।</v>
      </c>
    </row>
    <row r="2476" spans="1:3" ht="15" x14ac:dyDescent="0.25">
      <c r="A2476" s="3" t="s">
        <v>2469</v>
      </c>
      <c r="B2476" s="3" t="s">
        <v>1992</v>
      </c>
      <c r="C2476" s="4" t="str">
        <f ca="1">IFERROR(__xludf.DUMMYFUNCTION("GOOGLETRANSLATE(A2476, ""auto"", ""bn"")"),"২৪f আমি কি একা বোধ করছি? আমি এখন কষ্ট পাচ্ছি এবং একা বোধ করছি। আগস্ট মাসে আমার সম্পর্ক শেষ হয়ে গেছে এবং সবাইকে খুশি করার জন্য আমি কেবল উদ্বিগ্ন। অন্য কেউ কি এই সমস্যায় ভুগছে বা আমার জন্য কিছু টিপস আছে? বন্ধুবান্ধবরা কি খুশি?")</f>
        <v>২৪f আমি কি একা বোধ করছি? আমি এখন কষ্ট পাচ্ছি এবং একা বোধ করছি। আগস্ট মাসে আমার সম্পর্ক শেষ হয়ে গেছে এবং সবাইকে খুশি করার জন্য আমি কেবল উদ্বিগ্ন। অন্য কেউ কি এই সমস্যায় ভুগছে বা আমার জন্য কিছু টিপস আছে? বন্ধুবান্ধবরা কি খুশি?</v>
      </c>
    </row>
    <row r="2477" spans="1:3" ht="15" x14ac:dyDescent="0.25">
      <c r="A2477" s="3" t="s">
        <v>2470</v>
      </c>
      <c r="B2477" s="3" t="s">
        <v>1992</v>
      </c>
      <c r="C2477" s="4" t="str">
        <f ca="1">IFERROR(__xludf.DUMMYFUNCTION("GOOGLETRANSLATE(A2477, ""auto"", ""bn"")"),"যখন শ্বাস নিতে কষ্ট হচ্ছে তখন কি আপনি এর মোকাবিলা করার পদ্ধতি পছন্দ করেন? হাই রেডিট! আমার বয়স ১১ বছর (এখন ২৫ বছর) থেকে GAD আছে। আমি বেশ ভালোই আছি, কিন্তু গত সপ্তাহের মতো রাতের বেলায় আমার মনে হচ্ছে আমি শ্বাস নিতে পারছি না। তাছাড়া, আমার গলায় একটা পিণ্ড/গল"&amp;"ায় টান অনুভব হচ্ছে। যখন আমি ক্লোনোপিন খাই, এবং এটি শুরু হয়, তখন আমার ভালো লাগে...কিন্তু আমি আগের মতো প্রতিদিন স্পিন নিতে চাই না। এই অনুভূতি থেকে মুক্তি পেতে এবং আবার শ্বাস নিতে তোমরা কী করো?")</f>
        <v>যখন শ্বাস নিতে কষ্ট হচ্ছে তখন কি আপনি এর মোকাবিলা করার পদ্ধতি পছন্দ করেন? হাই রেডিট! আমার বয়স ১১ বছর (এখন ২৫ বছর) থেকে GAD আছে। আমি বেশ ভালোই আছি, কিন্তু গত সপ্তাহের মতো রাতের বেলায় আমার মনে হচ্ছে আমি শ্বাস নিতে পারছি না। তাছাড়া, আমার গলায় একটা পিণ্ড/গলায় টান অনুভব হচ্ছে। যখন আমি ক্লোনোপিন খাই, এবং এটি শুরু হয়, তখন আমার ভালো লাগে...কিন্তু আমি আগের মতো প্রতিদিন স্পিন নিতে চাই না। এই অনুভূতি থেকে মুক্তি পেতে এবং আবার শ্বাস নিতে তোমরা কী করো?</v>
      </c>
    </row>
    <row r="2478" spans="1:3" ht="15" x14ac:dyDescent="0.25">
      <c r="A2478" s="3" t="s">
        <v>2471</v>
      </c>
      <c r="B2478" s="3" t="s">
        <v>1992</v>
      </c>
      <c r="C2478" s="4" t="str">
        <f ca="1">IFERROR(__xludf.DUMMYFUNCTION("GOOGLETRANSLATE(A2478, ""auto"", ""bn"")"),"উদ্বেগের আক্রমণ, লক্ষণ? কারো কি চোয়ালে ব্যথা এবং কানে ব্যথা হয় যা কয়েক সেকেন্ডের জন্য আসে এবং চলে যায়????? নাকি এটা অন্য কিছু?")</f>
        <v>উদ্বেগের আক্রমণ, লক্ষণ? কারো কি চোয়ালে ব্যথা এবং কানে ব্যথা হয় যা কয়েক সেকেন্ডের জন্য আসে এবং চলে যায়????? নাকি এটা অন্য কিছু?</v>
      </c>
    </row>
    <row r="2479" spans="1:3" ht="15" x14ac:dyDescent="0.25">
      <c r="A2479" s="3" t="s">
        <v>2472</v>
      </c>
      <c r="B2479" s="3" t="s">
        <v>1992</v>
      </c>
      <c r="C2479" s="4" t="str">
        <f ca="1">IFERROR(__xludf.DUMMYFUNCTION("GOOGLETRANSLATE(A2479, ""auto"", ""bn"")"),"আমি কিভাবে আমার মাকে সাহায্য করতে পারি? আমি আশা করছি এটি পোস্ট করার জন্য এটিই সঠিক জায়গা! আমার মা (৬০sF) আমার সারা জীবন ধরেই একজন উদ্বিগ্ন ব্যক্তি ছিলেন, কিন্তু আমার শৈশবে রোগ নির্ণয়ের জন্য এটি কখনও যথেষ্ট গুরুতর ছিল না। প্রায় ১৫ বছর আগে আমার বাবা সত্য"&amp;"িই অসুস্থ হয়ে পড়েন (এর বিবরণ অপ্রাসঙ্গিক) এবং তাকে তার ব্যবসা বিক্রি করতে হয়েছিল। এর ফলে কয়েকটি চিকিৎসা বিল আসে, আমার বাবা তাদের আর্থিক পরিস্থিতি গোপন রেখেছিলেন, এবং দেখা গেল যে তারা তাদের ধারণার চেয়ে অনেক বেশি ঋণে ডুবে আছেন। এর ফলে মূলত আমার মায়ের "&amp;"উদ্বেগ আরও খারাপ হয়ে ওঠে এবং তারপর থেকে এটি ক্রমশ আরও খারাপ হচ্ছে। তিনিও মারাত্মকভাবে হতাশাগ্রস্ত। গত ১৫ বছরে আমার বাবা-মা কেউই কাজ করেননি এবং তাদের ঋণ আরও খারাপ হচ্ছে (আমি $300,000 এর বেশি বলছি)। আমার বাবা কেবল তার জীবন শেষ করে দেন এবং আমার মা দুঃখী। তি"&amp;"নি নিজেকে সাহায্য পান না কারণ এটির ধারণা তাকে খুব উদ্বিগ্ন করে তোলে। সে টিভি দেখে দিন কাটায় এবং অসহায় বোধ করে, আর আমার ভাগ্নি ও ভাগ্নেদের সাথে সময় কাটালে সে কিছুটা খুশি হয়। যখন আমি আর আমার বোনেরা তার সাথে বিনামূল্যে কাউন্সেলিং সম্পর্কে কথা বলি, তখন সে"&amp;" বলে যে অপেক্ষা করার কোন মানে নেই কারণ অপেক্ষা করা অনেক দীর্ঘ। সে ইংরেজি পড়ায় এবং তার একজন ছাত্র আছে, কিন্তু সপ্তাহে মাত্র ৫০ ডলার এবং তার ছাত্রী ক্রমাগত ভ্রমণ করে, তাই চাকরিটি সামঞ্জস্যপূর্ণ নয়। সে বছরের পর বছর ধরে আরও ছাত্রের প্রয়োজনের কথা বলে আসছে,"&amp;" কিন্তু সে নিজেকে এগিয়ে নিতে খুব ভয় পায়। আমি তাকে আমার সাথে কাজ করা ছাত্রদের সাথে পরিচয় করিয়ে দেওয়ার চেষ্টা করেছি, কিন্তু তা কার্যকর হয়নি। আমরা তাকে স্বেচ্ছাসেবক হিসেবে কাজ করার পরামর্শ দিয়েছি যাতে মনে হয় সে কোনওভাবে অবদান রাখছে, কিন্তু সে বলে যে"&amp;" তার স্বেচ্ছাসেবক হিসেবে কাজ করার সময় নেই কারণ সে বরং টাকার জন্য কাজ করতে চায়... কিন্তু তারপর তার উদ্বেগ তাকে চাকরি খুঁজে পেতে বাধা দেয়। আমার বাবা-মাকে তাদের ঋণ থেকে মুক্তি পেতে তাদের বাড়ি বিক্রি করে ছোট কোথাও চলে যেতে হবে। কিন্তু সে জিনিসপত্র গুছিয়ে"&amp;" নিতে বা জঞ্জাল থেকে মুক্তি পেতে খুব উদ্বিগ্ন। আজ সকালেই সে আমাকে মেসেজ করে বলেছে যে সে মানুষের সাথে যোগাযোগ মিস করে। আমি তাকে কুকুরটিকে ব্লকে ঘুরতে নিয়ে যাওয়ার পরামর্শ দিয়েছিলাম, এবং সে বলল যে সে তা করতে চায় না। এটা আমার হৃদয় ভেঙে দেয় যে সে এত কষ্ট"&amp;"ের মধ্যে বাস করছে। সে শুধু তাদের ঋণের পরিমাণ, সে কতটা দুঃখী, এবং সে আমার বাবার সম্পর্কে ক্রমাগত অভিযোগ করে। এই সমস্ত নেতিবাচকতা আমার এবং আমার বোনদের উপর মারাত্মক প্রভাব ফেলছে, কিন্তু আমরা জানি না কী করব। সাহায্য পেতে খুব বেশি উদ্বিগ্ন এমন কাউকে আপনি কীভাব"&amp;"ে সাহায্য করতে পারেন? আমি তাকে কাউন্সেলিং পেতে চাই কারণ আমার মনে হয় একজন পেশাদার তাকে বাড়ি গুছিয়ে বিক্রি করার কঠিন প্রক্রিয়াটি অতিক্রম করতে সাহায্য করতে সক্ষম হবেন। আমরা অস্ট্রেলিয়ায় থাকি তাই মেডিকেয়ারের অধীনে সে বছরে 6টি বিনামূল্যে কাউন্সেলিং সেশন"&amp;"ের অধিকারী। আমি কীভাবে তাকে সাহায্য করতে পারি সে সম্পর্কে কারও যদি কোনও চিন্তা বা পরামর্শ থাকে, তাহলে আমি কৃতজ্ঞ থাকব। ধন্যবাদ, Reddit Lt;3")</f>
        <v>আমি কিভাবে আমার মাকে সাহায্য করতে পারি? আমি আশা করছি এটি পোস্ট করার জন্য এটিই সঠিক জায়গা! আমার মা (৬০sF) আমার সারা জীবন ধরেই একজন উদ্বিগ্ন ব্যক্তি ছিলেন, কিন্তু আমার শৈশবে রোগ নির্ণয়ের জন্য এটি কখনও যথেষ্ট গুরুতর ছিল না। প্রায় ১৫ বছর আগে আমার বাবা সত্যিই অসুস্থ হয়ে পড়েন (এর বিবরণ অপ্রাসঙ্গিক) এবং তাকে তার ব্যবসা বিক্রি করতে হয়েছিল। এর ফলে কয়েকটি চিকিৎসা বিল আসে, আমার বাবা তাদের আর্থিক পরিস্থিতি গোপন রেখেছিলেন, এবং দেখা গেল যে তারা তাদের ধারণার চেয়ে অনেক বেশি ঋণে ডুবে আছেন। এর ফলে মূলত আমার মায়ের উদ্বেগ আরও খারাপ হয়ে ওঠে এবং তারপর থেকে এটি ক্রমশ আরও খারাপ হচ্ছে। তিনিও মারাত্মকভাবে হতাশাগ্রস্ত। গত ১৫ বছরে আমার বাবা-মা কেউই কাজ করেননি এবং তাদের ঋণ আরও খারাপ হচ্ছে (আমি $300,000 এর বেশি বলছি)। আমার বাবা কেবল তার জীবন শেষ করে দেন এবং আমার মা দুঃখী। তিনি নিজেকে সাহায্য পান না কারণ এটির ধারণা তাকে খুব উদ্বিগ্ন করে তোলে। সে টিভি দেখে দিন কাটায় এবং অসহায় বোধ করে, আর আমার ভাগ্নি ও ভাগ্নেদের সাথে সময় কাটালে সে কিছুটা খুশি হয়। যখন আমি আর আমার বোনেরা তার সাথে বিনামূল্যে কাউন্সেলিং সম্পর্কে কথা বলি, তখন সে বলে যে অপেক্ষা করার কোন মানে নেই কারণ অপেক্ষা করা অনেক দীর্ঘ। সে ইংরেজি পড়ায় এবং তার একজন ছাত্র আছে, কিন্তু সপ্তাহে মাত্র ৫০ ডলার এবং তার ছাত্রী ক্রমাগত ভ্রমণ করে, তাই চাকরিটি সামঞ্জস্যপূর্ণ নয়। সে বছরের পর বছর ধরে আরও ছাত্রের প্রয়োজনের কথা বলে আসছে, কিন্তু সে নিজেকে এগিয়ে নিতে খুব ভয় পায়। আমি তাকে আমার সাথে কাজ করা ছাত্রদের সাথে পরিচয় করিয়ে দেওয়ার চেষ্টা করেছি, কিন্তু তা কার্যকর হয়নি। আমরা তাকে স্বেচ্ছাসেবক হিসেবে কাজ করার পরামর্শ দিয়েছি যাতে মনে হয় সে কোনওভাবে অবদান রাখছে, কিন্তু সে বলে যে তার স্বেচ্ছাসেবক হিসেবে কাজ করার সময় নেই কারণ সে বরং টাকার জন্য কাজ করতে চায়... কিন্তু তারপর তার উদ্বেগ তাকে চাকরি খুঁজে পেতে বাধা দেয়। আমার বাবা-মাকে তাদের ঋণ থেকে মুক্তি পেতে তাদের বাড়ি বিক্রি করে ছোট কোথাও চলে যেতে হবে। কিন্তু সে জিনিসপত্র গুছিয়ে নিতে বা জঞ্জাল থেকে মুক্তি পেতে খুব উদ্বিগ্ন। আজ সকালেই সে আমাকে মেসেজ করে বলেছে যে সে মানুষের সাথে যোগাযোগ মিস করে। আমি তাকে কুকুরটিকে ব্লকে ঘুরতে নিয়ে যাওয়ার পরামর্শ দিয়েছিলাম, এবং সে বলল যে সে তা করতে চায় না। এটা আমার হৃদয় ভেঙে দেয় যে সে এত কষ্টের মধ্যে বাস করছে। সে শুধু তাদের ঋণের পরিমাণ, সে কতটা দুঃখী, এবং সে আমার বাবার সম্পর্কে ক্রমাগত অভিযোগ করে। এই সমস্ত নেতিবাচকতা আমার এবং আমার বোনদের উপর মারাত্মক প্রভাব ফেলছে, কিন্তু আমরা জানি না কী করব। সাহায্য পেতে খুব বেশি উদ্বিগ্ন এমন কাউকে আপনি কীভাবে সাহায্য করতে পারেন? আমি তাকে কাউন্সেলিং পেতে চাই কারণ আমার মনে হয় একজন পেশাদার তাকে বাড়ি গুছিয়ে বিক্রি করার কঠিন প্রক্রিয়াটি অতিক্রম করতে সাহায্য করতে সক্ষম হবেন। আমরা অস্ট্রেলিয়ায় থাকি তাই মেডিকেয়ারের অধীনে সে বছরে 6টি বিনামূল্যে কাউন্সেলিং সেশনের অধিকারী। আমি কীভাবে তাকে সাহায্য করতে পারি সে সম্পর্কে কারও যদি কোনও চিন্তা বা পরামর্শ থাকে, তাহলে আমি কৃতজ্ঞ থাকব। ধন্যবাদ, Reddit Lt;3</v>
      </c>
    </row>
    <row r="2480" spans="1:3" ht="15" x14ac:dyDescent="0.25">
      <c r="A2480" s="3" t="s">
        <v>2473</v>
      </c>
      <c r="B2480" s="3" t="s">
        <v>1992</v>
      </c>
      <c r="C2480" s="4" t="str">
        <f ca="1">IFERROR(__xludf.DUMMYFUNCTION("GOOGLETRANSLATE(A2480, ""auto"", ""bn"")"),"আমার টেক্সটিং উদ্বেগ। কোনও কারণে যখনই আমি কাউকে টেক্সট করি, তখন দাঁত তোলার মতো লাগে। আমার কিছু ঘনিষ্ঠ বন্ধু আছে যাদের সাথে আমি আড্ডা দেই এবং আমি তাদের টেক্সট করতে বা ফোন করতেও পারি না, তাদের জীবনে হস্তক্ষেপ করার অনুভূতি না থাকলে, এবং তারা বিরক্ত হবে। এই স"&amp;"ব শুরু হয়েছিল দুই বছর আগে যখন আমি প্রায় ৪ মাস ধরে ভয়াবহ বিষণ্ণতায় ভুগছিলাম, এবং আমি সারাদিন কথা বলতে এবং অন্যদের টেক্সট করতে পারার আগেও। কেউ কি আমার জন্য কোন পরামর্শ দিতে পারেন?")</f>
        <v>আমার টেক্সটিং উদ্বেগ। কোনও কারণে যখনই আমি কাউকে টেক্সট করি, তখন দাঁত তোলার মতো লাগে। আমার কিছু ঘনিষ্ঠ বন্ধু আছে যাদের সাথে আমি আড্ডা দেই এবং আমি তাদের টেক্সট করতে বা ফোন করতেও পারি না, তাদের জীবনে হস্তক্ষেপ করার অনুভূতি না থাকলে, এবং তারা বিরক্ত হবে। এই সব শুরু হয়েছিল দুই বছর আগে যখন আমি প্রায় ৪ মাস ধরে ভয়াবহ বিষণ্ণতায় ভুগছিলাম, এবং আমি সারাদিন কথা বলতে এবং অন্যদের টেক্সট করতে পারার আগেও। কেউ কি আমার জন্য কোন পরামর্শ দিতে পারেন?</v>
      </c>
    </row>
    <row r="2481" spans="1:3" ht="15" x14ac:dyDescent="0.25">
      <c r="A2481" s="3" t="s">
        <v>2474</v>
      </c>
      <c r="B2481" s="3" t="s">
        <v>1992</v>
      </c>
      <c r="C2481" s="4" t="str">
        <f ca="1">IFERROR(__xludf.DUMMYFUNCTION("GOOGLETRANSLATE(A2481, ""auto"", ""bn"")"),"১২ বছরের মধ্যে প্রথমবারের মতো আমার প্রথম পূর্ণাঙ্গ উদ্বেগ/আতঙ্কের আক্রমণ হয়েছিল এবং আমি ভুলেই গিয়েছিলাম যে এগুলি আসলে কতটা নিষ্ঠুর। আমার বয়স ৩৩ বছর, যখন আমি ২১ বছর বয়সে এবং প্রচণ্ড হতাশাগ্রস্ত ছিলাম, তখন থেকেই আমার প্রথম উদ্বেগ/আতঙ্কের আক্রমণ হয়েছিল।"&amp;" কোনও কারণে চুল কাটা সবসময়ই আমাকে কিছুটা উদ্বেগ দেয় এবং একজন লোক হিসেবে যে তার চুলের বিবর্ণ চেহারা পছন্দ করে, এটি একটি সমস্যা। যখন সে আমার চুল কাটতে শুরু করল, তখন আমি অনুভব করতে পারলাম যে এটি একটি মালবাহী ট্রেনের মতো আসছে, আমার চোখ ফোকাস করতে পারছিল না,"&amp;" আলো এত উজ্জ্বল ছিল যে আমার মনে হচ্ছিল আমি কোনও অস্ত্রোপচার কক্ষে আছি, আমার মুখ এতটাই লাল হয়ে গিয়েছিল যে মনে হচ্ছিল আমার অ্যালার্জির প্রতিক্রিয়া হচ্ছে এবং আমার বুক থেকে হৃদস্পন্দন বেরিয়ে আসছে। আমি যা করতে চেয়েছিলাম তা হল উঠে চলে যাওয়া, কিন্তু সে শুর"&amp;"ুর মাত্র এক-চতুর্থাংশ পথ ছিল এবং যদি আমি চলে যেতাম তবে আমি এটি ঠিক করতে পারতাম না এবং সম্ভবত আমার মাথা কামিয়ে ফেলতে হত। তারপর সে আমাকে প্রশ্ন জিজ্ঞাসা করতে থাকে এবং নিজের সাথে দীর্ঘক্ষণ কথা বলতে থাকে এবং এটি করার সময় আমার চুল কাটে না এবং উদ্বেগ/আতঙ্ক বা"&amp;"ড়তে থাকে। আমার মুখ এত লালচে ছিল যে আমি শুধু ঝাপসা করে ফেললাম, আমার মনে হচ্ছে আমার কোনও কিছুতে অ্যালার্জির প্রতিক্রিয়া হচ্ছে এবং আমার সম্ভবত অ্যালার্জির ওষুধ খাওয়া উচিত, তুমি কি ফেইড শেষ করতে পারো এবং উপরের অংশ কেটে ফেলার চিন্তা করো না? আমি সম্ভবত খুব ব"&amp;"োকা বা পাগলের মতো লাগছিলাম। এটা বোকা শোনাতে পারে কিন্তু দশ মিনিটের জন্য সেই চুলের চুল আমার নিজের নরক ছিল, চিন্তার কারণ!")</f>
        <v>১২ বছরের মধ্যে প্রথমবারের মতো আমার প্রথম পূর্ণাঙ্গ উদ্বেগ/আতঙ্কের আক্রমণ হয়েছিল এবং আমি ভুলেই গিয়েছিলাম যে এগুলি আসলে কতটা নিষ্ঠুর। আমার বয়স ৩৩ বছর, যখন আমি ২১ বছর বয়সে এবং প্রচণ্ড হতাশাগ্রস্ত ছিলাম, তখন থেকেই আমার প্রথম উদ্বেগ/আতঙ্কের আক্রমণ হয়েছিল। কোনও কারণে চুল কাটা সবসময়ই আমাকে কিছুটা উদ্বেগ দেয় এবং একজন লোক হিসেবে যে তার চুলের বিবর্ণ চেহারা পছন্দ করে, এটি একটি সমস্যা। যখন সে আমার চুল কাটতে শুরু করল, তখন আমি অনুভব করতে পারলাম যে এটি একটি মালবাহী ট্রেনের মতো আসছে, আমার চোখ ফোকাস করতে পারছিল না, আলো এত উজ্জ্বল ছিল যে আমার মনে হচ্ছিল আমি কোনও অস্ত্রোপচার কক্ষে আছি, আমার মুখ এতটাই লাল হয়ে গিয়েছিল যে মনে হচ্ছিল আমার অ্যালার্জির প্রতিক্রিয়া হচ্ছে এবং আমার বুক থেকে হৃদস্পন্দন বেরিয়ে আসছে। আমি যা করতে চেয়েছিলাম তা হল উঠে চলে যাওয়া, কিন্তু সে শুরুর মাত্র এক-চতুর্থাংশ পথ ছিল এবং যদি আমি চলে যেতাম তবে আমি এটি ঠিক করতে পারতাম না এবং সম্ভবত আমার মাথা কামিয়ে ফেলতে হত। তারপর সে আমাকে প্রশ্ন জিজ্ঞাসা করতে থাকে এবং নিজের সাথে দীর্ঘক্ষণ কথা বলতে থাকে এবং এটি করার সময় আমার চুল কাটে না এবং উদ্বেগ/আতঙ্ক বাড়তে থাকে। আমার মুখ এত লালচে ছিল যে আমি শুধু ঝাপসা করে ফেললাম, আমার মনে হচ্ছে আমার কোনও কিছুতে অ্যালার্জির প্রতিক্রিয়া হচ্ছে এবং আমার সম্ভবত অ্যালার্জির ওষুধ খাওয়া উচিত, তুমি কি ফেইড শেষ করতে পারো এবং উপরের অংশ কেটে ফেলার চিন্তা করো না? আমি সম্ভবত খুব বোকা বা পাগলের মতো লাগছিলাম। এটা বোকা শোনাতে পারে কিন্তু দশ মিনিটের জন্য সেই চুলের চুল আমার নিজের নরক ছিল, চিন্তার কারণ!</v>
      </c>
    </row>
    <row r="2482" spans="1:3" ht="15" x14ac:dyDescent="0.25">
      <c r="A2482" s="3" t="s">
        <v>2475</v>
      </c>
      <c r="B2482" s="3" t="s">
        <v>1992</v>
      </c>
      <c r="C2482" s="4" t="str">
        <f ca="1">IFERROR(__xludf.DUMMYFUNCTION("GOOGLETRANSLATE(A2482, ""auto"", ""bn"")"),"আজ রাতের শেষের দিকে আমার ভালোবাসার কথা স্বীকার করার পরিকল্পনা করছি, একটু উৎসাহের প্রয়োজন। শিরোনামে যেমন বলা আছে, আজ রাতে আমি আমার অনলাইন বন্ধুর কাছে স্বীকার করতে চাইছি যে গত কয়েক মাস ধরে আমার ভালোবাসার উপর একটা ক্রাশ তৈরি হয়েছে। যদিও আমাদের বন্ধুত্বের সাথ"&amp;"ে কোনও ঝুঁকি নেওয়ার ধারণাটা আমার পছন্দ নয়, তবুও এখন যে উদ্বেগটা আমার মনে হচ্ছে তা এতটাই খারাপ যে আমার খেতেও কষ্ট হচ্ছে, এবং আমার মনে হয় যে, দ্রুত শান্ত হওয়ার একমাত্র উপায় হলো তাদের কথা বলা এবং আমার শরীর থেকে তা বের করে দেওয়া। আমি নিজেকে আশ্বস্ত করার জন্য "&amp;"এবং অতিরিক্ত চাপ এড়াতে আমার প্রত্যাশা কম রাখার জন্য যথাসাধ্য চেষ্টা করছি, কিন্তু আমি কেবল এটুকু বলতে পারি যে আমার উদ্বেগ আগে থেকেই বেড়ে যেতে পারে এবং আমার মন পরিবর্তন করতে পারে, এবং আমি যদি তা না করি তবেও এটি সম্ভবত আমাকে অসুস্থ করে তুলবে। ইন্টারনেট অপর"&amp;"িচিতদের কাছে এটি জিজ্ঞাসা করা যতই বোকামি মনে হোক না কেন, আমি কিছু সহায়তা চাইতে চাই, এমনকি যদি এটি কেবল একটি সহজ শুভকামনাও হয়, কারণ আমার মনে হয় এখনই আমার যে কোনও উৎসাহের প্রয়োজন।")</f>
        <v>আজ রাতের শেষের দিকে আমার ভালোবাসার কথা স্বীকার করার পরিকল্পনা করছি, একটু উৎসাহের প্রয়োজন। শিরোনামে যেমন বলা আছে, আজ রাতে আমি আমার অনলাইন বন্ধুর কাছে স্বীকার করতে চাইছি যে গত কয়েক মাস ধরে আমার ভালোবাসার উপর একটা ক্রাশ তৈরি হয়েছে। যদিও আমাদের বন্ধুত্বের সাথে কোনও ঝুঁকি নেওয়ার ধারণাটা আমার পছন্দ নয়, তবুও এখন যে উদ্বেগটা আমার মনে হচ্ছে তা এতটাই খারাপ যে আমার খেতেও কষ্ট হচ্ছে, এবং আমার মনে হয় যে, দ্রুত শান্ত হওয়ার একমাত্র উপায় হলো তাদের কথা বলা এবং আমার শরীর থেকে তা বের করে দেওয়া। আমি নিজেকে আশ্বস্ত করার জন্য এবং অতিরিক্ত চাপ এড়াতে আমার প্রত্যাশা কম রাখার জন্য যথাসাধ্য চেষ্টা করছি, কিন্তু আমি কেবল এটুকু বলতে পারি যে আমার উদ্বেগ আগে থেকেই বেড়ে যেতে পারে এবং আমার মন পরিবর্তন করতে পারে, এবং আমি যদি তা না করি তবেও এটি সম্ভবত আমাকে অসুস্থ করে তুলবে। ইন্টারনেট অপরিচিতদের কাছে এটি জিজ্ঞাসা করা যতই বোকামি মনে হোক না কেন, আমি কিছু সহায়তা চাইতে চাই, এমনকি যদি এটি কেবল একটি সহজ শুভকামনাও হয়, কারণ আমার মনে হয় এখনই আমার যে কোনও উৎসাহের প্রয়োজন।</v>
      </c>
    </row>
    <row r="2483" spans="1:3" ht="15" x14ac:dyDescent="0.25">
      <c r="A2483" s="3" t="s">
        <v>2476</v>
      </c>
      <c r="B2483" s="3" t="s">
        <v>1992</v>
      </c>
      <c r="C2483" s="4" t="str">
        <f ca="1">IFERROR(__xludf.DUMMYFUNCTION("GOOGLETRANSLATE(A2483, ""auto"", ""bn"")"),"আমার মনে হয় আমার শিক্ষক আমার উপর বিরক্ত হচ্ছেন। তাই আমার নবম ঘন্টাকে রিসোর্স বলা হয়, এবং এটি মূলত কেবল একটি স্টাডি হল এবং আপনি যদি অন্য ক্লাসরুমে যেতে চান, তাহলে আপনাকে প্রথমে আপনার শিক্ষককে জিজ্ঞাসা করতে হবে, এবং আমি প্রতিদিন একই জায়গায় যাই এবং আমার "&amp;"মনে হয় আমি আমার রিসোর্স শিক্ষককে প্রতিদিন একই প্রশ্ন জিজ্ঞাসা করে বিরক্ত করছি। আমার কী করা উচিত?")</f>
        <v>আমার মনে হয় আমার শিক্ষক আমার উপর বিরক্ত হচ্ছেন। তাই আমার নবম ঘন্টাকে রিসোর্স বলা হয়, এবং এটি মূলত কেবল একটি স্টাডি হল এবং আপনি যদি অন্য ক্লাসরুমে যেতে চান, তাহলে আপনাকে প্রথমে আপনার শিক্ষককে জিজ্ঞাসা করতে হবে, এবং আমি প্রতিদিন একই জায়গায় যাই এবং আমার মনে হয় আমি আমার রিসোর্স শিক্ষককে প্রতিদিন একই প্রশ্ন জিজ্ঞাসা করে বিরক্ত করছি। আমার কী করা উচিত?</v>
      </c>
    </row>
    <row r="2484" spans="1:3" ht="15" x14ac:dyDescent="0.25">
      <c r="A2484" s="3" t="s">
        <v>2477</v>
      </c>
      <c r="B2484" s="3" t="s">
        <v>1992</v>
      </c>
      <c r="C2484" s="4" t="str">
        <f ca="1">IFERROR(__xludf.DUMMYFUNCTION("GOOGLETRANSLATE(A2484, ""auto"", ""bn"")"),"DAE আসলে চাপপূর্ণ পরিস্থিতি খুঁজে বের করে তাদের উদ্বেগকে সাহায্য করে। আমি কিছুদিন আগে আমার চাকরি হারানোর বিষয়ে পোস্ট করেছিলাম এবং চাকরির চাপের কারণে কীভাবে এটি আমার উদ্বেগকে অনেকটা শান্ত করেছিল, কিন্তু এখন আমি প্রায় এটি মিস করি। এখন আমি অবশ্যই আমার পুরা"&amp;"নো চাকরি ফিরে পেতে চাই না, তবে একটি নির্দিষ্ট সময়সীমা বা চাকরির মতো চাপপূর্ণ কিছু থাকা, চাপমুক্ত থাকার চেয়ে ভালো বলে মনে হয়, কোনও চাপমুক্ত কাজ না করেও উদ্বিগ্ন থাকার চেয়ে। Atm-এ আমি রাতে বিছানায় শুয়ে থাকি, জেনেও যে পরের দিন আমার কোনও দায়িত্ব নেই এব"&amp;"ং এখনও উদ্বিগ্ন থাকি, যেখানে আগে যদি আমি রাতে উদ্বিগ্ন থাকতাম, তাহলে আমি অন্তত পরের দিন কাজের জন্য এটি দায়ী করতে পারতাম এবং যুক্তিসঙ্গতভাবে চিন্তা করার চেষ্টা করে নিজেকে শান্ত করতে পারতাম। আমার জন্য অন্তত ""আগামীকাল কাজের জন্য আমি চাপমুক্ত"" ভাবা অনেক কম"&amp;" অস্বস্তিকর বলে মনে হয়, ""আগামীকাল পার্ক এবং রেক দেখার জন্য আমি চাপমুক্ত"" ভাবার চেয়ে।")</f>
        <v>DAE আসলে চাপপূর্ণ পরিস্থিতি খুঁজে বের করে তাদের উদ্বেগকে সাহায্য করে। আমি কিছুদিন আগে আমার চাকরি হারানোর বিষয়ে পোস্ট করেছিলাম এবং চাকরির চাপের কারণে কীভাবে এটি আমার উদ্বেগকে অনেকটা শান্ত করেছিল, কিন্তু এখন আমি প্রায় এটি মিস করি। এখন আমি অবশ্যই আমার পুরানো চাকরি ফিরে পেতে চাই না, তবে একটি নির্দিষ্ট সময়সীমা বা চাকরির মতো চাপপূর্ণ কিছু থাকা, চাপমুক্ত থাকার চেয়ে ভালো বলে মনে হয়, কোনও চাপমুক্ত কাজ না করেও উদ্বিগ্ন থাকার চেয়ে। Atm-এ আমি রাতে বিছানায় শুয়ে থাকি, জেনেও যে পরের দিন আমার কোনও দায়িত্ব নেই এবং এখনও উদ্বিগ্ন থাকি, যেখানে আগে যদি আমি রাতে উদ্বিগ্ন থাকতাম, তাহলে আমি অন্তত পরের দিন কাজের জন্য এটি দায়ী করতে পারতাম এবং যুক্তিসঙ্গতভাবে চিন্তা করার চেষ্টা করে নিজেকে শান্ত করতে পারতাম। আমার জন্য অন্তত "আগামীকাল কাজের জন্য আমি চাপমুক্ত" ভাবা অনেক কম অস্বস্তিকর বলে মনে হয়, "আগামীকাল পার্ক এবং রেক দেখার জন্য আমি চাপমুক্ত" ভাবার চেয়ে।</v>
      </c>
    </row>
    <row r="2485" spans="1:3" ht="15" x14ac:dyDescent="0.25">
      <c r="A2485" s="3" t="s">
        <v>2478</v>
      </c>
      <c r="B2485" s="3" t="s">
        <v>1992</v>
      </c>
      <c r="C2485" s="4" t="str">
        <f ca="1">IFERROR(__xludf.DUMMYFUNCTION("GOOGLETRANSLATE(A2485, ""auto"", ""bn"")"),"ব্যয় উদ্বেগ যখনই আমি নিজের জন্য কিছু কিনতে চেষ্টা করি, তখন আমি চিন্তিত হই যে আমি আমার টাকা নষ্ট করছি এবং এর পরিবর্তে কলেজের জন্য সঞ্চয় করা উচিত। আমি খণ্ডকালীন কাজ করি, তাই মাঝে মাঝে নিজের চিকিৎসা করার জন্য আমার কাছে পর্যাপ্ত টাকা থাকে, কিন্তু আমি নিজেক"&amp;"ে সামলাতে পারি না... আমার মনে হয় আমি অনেক অসুবিধার কারণ হয়ে দাঁড়িয়েছি কারণ আমি বলি যে আমি কিছু কিনতে চাই, কিন্তু উদ্বেগের কারণে সাথে সাথেই পিছিয়ে যাই।")</f>
        <v>ব্যয় উদ্বেগ যখনই আমি নিজের জন্য কিছু কিনতে চেষ্টা করি, তখন আমি চিন্তিত হই যে আমি আমার টাকা নষ্ট করছি এবং এর পরিবর্তে কলেজের জন্য সঞ্চয় করা উচিত। আমি খণ্ডকালীন কাজ করি, তাই মাঝে মাঝে নিজের চিকিৎসা করার জন্য আমার কাছে পর্যাপ্ত টাকা থাকে, কিন্তু আমি নিজেকে সামলাতে পারি না... আমার মনে হয় আমি অনেক অসুবিধার কারণ হয়ে দাঁড়িয়েছি কারণ আমি বলি যে আমি কিছু কিনতে চাই, কিন্তু উদ্বেগের কারণে সাথে সাথেই পিছিয়ে যাই।</v>
      </c>
    </row>
    <row r="2486" spans="1:3" ht="15" x14ac:dyDescent="0.25">
      <c r="A2486" s="3" t="s">
        <v>2479</v>
      </c>
      <c r="B2486" s="3" t="s">
        <v>1992</v>
      </c>
      <c r="C2486" s="4" t="str">
        <f ca="1">IFERROR(__xludf.DUMMYFUNCTION("GOOGLETRANSLATE(A2486, ""auto"", ""bn"")"),"""আজ আমি করবো"" আমি আগে পোস্ট করেছিলাম যে নববর্ষের ঠিক আগে আমার খারাপ সম্পর্ক আরও খারাপ এবং অপমানজনক মোড় নিচ্ছে। আমার ঘুম থেকে উঠতে কষ্ট হচ্ছে কারণ সে ফিরে আসার আগে সময় ফুরিয়ে আসছে, এবং আমার মনে হচ্ছে আমি নিঃশ্বাস নিতে পারছি না। গতকাল আমি আমার মায়ের স"&amp;"াথে কথা বলেছিলাম, এবং সে আমাকে বলেছিল যে সে আমার রাশিফল ​​পড়েছে, এবং তাতে লেখা ছিল ""তুমি স্তরে স্তরে বুঝতে শুরু করবে"" এবং এটি সত্যিই আমার মনে আটকে গেছে। তাছাড়া, আমি বলেছিলাম যে এটি আমাকে ""ফ্রেন্ডস"" এর সেই পর্বের কথা মনে করিয়ে দিয়েছে যেখানে চ্যান্ড"&amp;"লার বিয়ে করতে ভয় পেয়েছিলেন, তাই রস বলেছিলেন ""এটা নিয়ে ভাববেন না, শুধু বাড়িতে গিয়ে গোসল করুন, তারপর শার্ট পরুন... ইত্যাদি।"" তাই আমি ""আজ আমি করবো"" নামে আমার নিজস্ব সংস্করণটি শুরু করেছি। আমার একটি ইনডেক্স কার্ড আছে এবং আমি তারিখটি লিখে রাখি যে আমি "&amp;"সেদিন যা করব তা দিয়ে আমাকে এখান থেকে বের করে আনতে হবে যাতে আমি হতাশ না হই। উদাহরণস্বরূপ: 1/3/19 আজ আমি 4টি বাক্স কিনব এবং সেগুলি প্যাক করব এবং 1/4/19 আজ আমি আমার শেষ চেকটি তুলে 4টি বাক্স পাঠাব। এভাবে দেখলে আমার ভালো লাগছে, কিন্তু আমি এখনও ভীত এবং অভিভূত।"&amp;" আমি বর্তমানে খুব ছোট একটি শহরে থাকি এবং দেড় ঘন্টা দূরে অবস্থিত বড় বিমানবন্দরে যাওয়ার জন্য কোনও ট্যাক্সি নেই, তবে আজ আমি এটি নিয়ে চিন্তিত নই।")</f>
        <v>"আজ আমি করবো" আমি আগে পোস্ট করেছিলাম যে নববর্ষের ঠিক আগে আমার খারাপ সম্পর্ক আরও খারাপ এবং অপমানজনক মোড় নিচ্ছে। আমার ঘুম থেকে উঠতে কষ্ট হচ্ছে কারণ সে ফিরে আসার আগে সময় ফুরিয়ে আসছে, এবং আমার মনে হচ্ছে আমি নিঃশ্বাস নিতে পারছি না। গতকাল আমি আমার মায়ের সাথে কথা বলেছিলাম, এবং সে আমাকে বলেছিল যে সে আমার রাশিফল ​​পড়েছে, এবং তাতে লেখা ছিল "তুমি স্তরে স্তরে বুঝতে শুরু করবে" এবং এটি সত্যিই আমার মনে আটকে গেছে। তাছাড়া, আমি বলেছিলাম যে এটি আমাকে "ফ্রেন্ডস" এর সেই পর্বের কথা মনে করিয়ে দিয়েছে যেখানে চ্যান্ডলার বিয়ে করতে ভয় পেয়েছিলেন, তাই রস বলেছিলেন "এটা নিয়ে ভাববেন না, শুধু বাড়িতে গিয়ে গোসল করুন, তারপর শার্ট পরুন... ইত্যাদি।" তাই আমি "আজ আমি করবো" নামে আমার নিজস্ব সংস্করণটি শুরু করেছি। আমার একটি ইনডেক্স কার্ড আছে এবং আমি তারিখটি লিখে রাখি যে আমি সেদিন যা করব তা দিয়ে আমাকে এখান থেকে বের করে আনতে হবে যাতে আমি হতাশ না হই। উদাহরণস্বরূপ: 1/3/19 আজ আমি 4টি বাক্স কিনব এবং সেগুলি প্যাক করব এবং 1/4/19 আজ আমি আমার শেষ চেকটি তুলে 4টি বাক্স পাঠাব। এভাবে দেখলে আমার ভালো লাগছে, কিন্তু আমি এখনও ভীত এবং অভিভূত। আমি বর্তমানে খুব ছোট একটি শহরে থাকি এবং দেড় ঘন্টা দূরে অবস্থিত বড় বিমানবন্দরে যাওয়ার জন্য কোনও ট্যাক্সি নেই, তবে আজ আমি এটি নিয়ে চিন্তিত নই।</v>
      </c>
    </row>
    <row r="2487" spans="1:3" ht="15" x14ac:dyDescent="0.25">
      <c r="A2487" s="3" t="s">
        <v>2480</v>
      </c>
      <c r="B2487" s="3" t="s">
        <v>1992</v>
      </c>
      <c r="C2487" s="4" t="str">
        <f ca="1">IFERROR(__xludf.DUMMYFUNCTION("GOOGLETRANSLATE(A2487, ""auto"", ""bn"")"),"তুমি কীভাবে প্রত্যাশা সামলাও এবং উদ্বেগের উৎসের পরিকল্পনা করো? যেমনটা আমি আগেও বলেছি, আমি খেলাধুলা (যার প্রতি আমার আগ্রহ কম) ব্যবহার করি আত্মসম্মানবোধ জাগানোর জন্য, এবং ফলাফলের প্রতি খুব বেশি আবেগপ্রবণ হয়ে পড়ি, বিশেষ করে যখন আমি এমন লোকদের আশেপাশে থাকি "&amp;"যারা সত্যিই যত্নশীল। এর ফলে নিকট এবং সুদূর অতীতে কিছু তুচ্ছ উদ্বেগ তৈরি হয়েছে। এখন, আমার কাজিন ডিনারের পরিকল্পনা করেছে যে সে আমাকে এমন একটি অনুষ্ঠানের সময় আমন্ত্রণ জানিয়েছে। পরিবার এবং অন্যান্য অতিথিরা প্রায় নিশ্চিতভাবেই দেখতে আগ্রহী হবে। এটি জেনেও, আ"&amp;"মি যাই হোক না কেন, কারণ এটি আমাকে এমন কিছু করতে বাধা দিতে দেওয়া উচিত নয় যা আমি অন্যথায় করতে চাই। কিন্তু আমি কীভাবে নিজেকে প্রস্তুত করব? আমি কীভাবে আমার হৃদয়কে আমার বুকে ধাক্কা দেওয়া থেকে বিরত রাখব, সন্দেহের মধ্যে, স্কোর দিয়ে বারবার ওয়েবসাইটগুলি পুন"&amp;"রায় লোড করতে চাই না (তারা সম্ভবত রাতের খাবারের জন্য খেলাটি বমি করবে এবং পরে আবার ফিরে আসবে) এবং আমার কাজিন, তাদের বাচ্চাদের এবং অন্যান্য দূরবর্তী আত্মীয়দের সাথে যতটা সম্ভব আনন্দদায়ক সময় কাটাবো? আমি আগের চেয়ে ভালো আছি, তবুও কিছু পরামর্শ এবং আশ্বাসের প্"&amp;"রয়োজন। আগাম ধন্যবাদ।")</f>
        <v>তুমি কীভাবে প্রত্যাশা সামলাও এবং উদ্বেগের উৎসের পরিকল্পনা করো? যেমনটা আমি আগেও বলেছি, আমি খেলাধুলা (যার প্রতি আমার আগ্রহ কম) ব্যবহার করি আত্মসম্মানবোধ জাগানোর জন্য, এবং ফলাফলের প্রতি খুব বেশি আবেগপ্রবণ হয়ে পড়ি, বিশেষ করে যখন আমি এমন লোকদের আশেপাশে থাকি যারা সত্যিই যত্নশীল। এর ফলে নিকট এবং সুদূর অতীতে কিছু তুচ্ছ উদ্বেগ তৈরি হয়েছে। এখন, আমার কাজিন ডিনারের পরিকল্পনা করেছে যে সে আমাকে এমন একটি অনুষ্ঠানের সময় আমন্ত্রণ জানিয়েছে। পরিবার এবং অন্যান্য অতিথিরা প্রায় নিশ্চিতভাবেই দেখতে আগ্রহী হবে। এটি জেনেও, আমি যাই হোক না কেন, কারণ এটি আমাকে এমন কিছু করতে বাধা দিতে দেওয়া উচিত নয় যা আমি অন্যথায় করতে চাই। কিন্তু আমি কীভাবে নিজেকে প্রস্তুত করব? আমি কীভাবে আমার হৃদয়কে আমার বুকে ধাক্কা দেওয়া থেকে বিরত রাখব, সন্দেহের মধ্যে, স্কোর দিয়ে বারবার ওয়েবসাইটগুলি পুনরায় লোড করতে চাই না (তারা সম্ভবত রাতের খাবারের জন্য খেলাটি বমি করবে এবং পরে আবার ফিরে আসবে) এবং আমার কাজিন, তাদের বাচ্চাদের এবং অন্যান্য দূরবর্তী আত্মীয়দের সাথে যতটা সম্ভব আনন্দদায়ক সময় কাটাবো? আমি আগের চেয়ে ভালো আছি, তবুও কিছু পরামর্শ এবং আশ্বাসের প্রয়োজন। আগাম ধন্যবাদ।</v>
      </c>
    </row>
    <row r="2488" spans="1:3" ht="15" x14ac:dyDescent="0.25">
      <c r="A2488" s="3" t="s">
        <v>2481</v>
      </c>
      <c r="B2488" s="3" t="s">
        <v>1992</v>
      </c>
      <c r="C2488" s="4" t="str">
        <f ca="1">IFERROR(__xludf.DUMMYFUNCTION("GOOGLETRANSLATE(A2488, ""auto"", ""bn"")"),"আমার উদ্বেগ ক্রমশ বেড়েই চলেছে, আর আমি জানি না কেন? গত এক সপ্তাহ ধরে আমার উদ্বেগ তুঙ্গে উঠেছে এবং কেন তা আমার কোনও ধারণা নেই। কয়েক ঘন্টা ধরে ঘুম থেকে ওঠার পরও যখন আমি কোনও উদ্বেগজনক বিষয় নিয়ে ভাবি না, তখন আমার মনে এই অনুভূতি জাগে। এখন আমার মায়ের সাথেও"&amp;" একই ঘটনা ঘটছে কারণ আমরা একে অপরের কাছ থেকে খাবার খাই, তাই এটি মূলত আমার বাড়িতে উদ্বেগের একটি বড় চক্র। আমি ভাবছি যে হয়তো এটি হতে পারে কারণ আমি এখন স্কুলে নেই এবং সপ্তাহে বেশ কয়েকবার আমার সতীর্থদের সাথে দেখা করতে অভ্যস্ত হয়ে পড়েছি এবং বেশ কিছুদিন ধরে"&amp;" কোনও বাস্তব সামাজিক যোগাযোগ করিনি? আমার সাথে আগে কখনও এমনটি ঘটেনি। আর কেউ কি এমন হয়? যদি তাই হয়, তাহলে তুমি কি জানো কেন?")</f>
        <v>আমার উদ্বেগ ক্রমশ বেড়েই চলেছে, আর আমি জানি না কেন? গত এক সপ্তাহ ধরে আমার উদ্বেগ তুঙ্গে উঠেছে এবং কেন তা আমার কোনও ধারণা নেই। কয়েক ঘন্টা ধরে ঘুম থেকে ওঠার পরও যখন আমি কোনও উদ্বেগজনক বিষয় নিয়ে ভাবি না, তখন আমার মনে এই অনুভূতি জাগে। এখন আমার মায়ের সাথেও একই ঘটনা ঘটছে কারণ আমরা একে অপরের কাছ থেকে খাবার খাই, তাই এটি মূলত আমার বাড়িতে উদ্বেগের একটি বড় চক্র। আমি ভাবছি যে হয়তো এটি হতে পারে কারণ আমি এখন স্কুলে নেই এবং সপ্তাহে বেশ কয়েকবার আমার সতীর্থদের সাথে দেখা করতে অভ্যস্ত হয়ে পড়েছি এবং বেশ কিছুদিন ধরে কোনও বাস্তব সামাজিক যোগাযোগ করিনি? আমার সাথে আগে কখনও এমনটি ঘটেনি। আর কেউ কি এমন হয়? যদি তাই হয়, তাহলে তুমি কি জানো কেন?</v>
      </c>
    </row>
    <row r="2489" spans="1:3" ht="15" x14ac:dyDescent="0.25">
      <c r="A2489" s="3" t="s">
        <v>2482</v>
      </c>
      <c r="B2489" s="3" t="s">
        <v>1992</v>
      </c>
      <c r="C2489" s="4" t="str">
        <f ca="1">IFERROR(__xludf.DUMMYFUNCTION("GOOGLETRANSLATE(A2489, ""auto"", ""bn"")"),"কঠিন রাত আজ রাতে দুশ্চিন্তা আমাকে ভীষণভাবে তাড়া করছে। এমন একটা সিনেমা দেখেছি যা স্পষ্টতই আমাকে ট্রিগার করেছিল। আমার বয়স প্রায় ৪০, আর আমি বাড়ি ছুটে যেতে চাই। আমিও সবকিছু থেকে পালিয়ে যেতে চাই, কিন্তু জানি এটা আমাকে অনুসরণ করবে। তাছাড়া, আমি কাজের জন্য "&amp;"ভ্রমণ করছি এবং একাকী বোধ করছি। তাছাড়া, আমি এই অনুভূতিগুলিকে ঘৃণা করি।")</f>
        <v>কঠিন রাত আজ রাতে দুশ্চিন্তা আমাকে ভীষণভাবে তাড়া করছে। এমন একটা সিনেমা দেখেছি যা স্পষ্টতই আমাকে ট্রিগার করেছিল। আমার বয়স প্রায় ৪০, আর আমি বাড়ি ছুটে যেতে চাই। আমিও সবকিছু থেকে পালিয়ে যেতে চাই, কিন্তু জানি এটা আমাকে অনুসরণ করবে। তাছাড়া, আমি কাজের জন্য ভ্রমণ করছি এবং একাকী বোধ করছি। তাছাড়া, আমি এই অনুভূতিগুলিকে ঘৃণা করি।</v>
      </c>
    </row>
    <row r="2490" spans="1:3" ht="15" x14ac:dyDescent="0.25">
      <c r="A2490" s="3" t="s">
        <v>2483</v>
      </c>
      <c r="B2490" s="3" t="s">
        <v>1992</v>
      </c>
      <c r="C2490" s="4" t="str">
        <f ca="1">IFERROR(__xludf.DUMMYFUNCTION("GOOGLETRANSLATE(A2490, ""auto"", ""bn"")"),"কারো মাথাব্যথা / মাথা ঘোরা? (স্বাস্থ্য উদ্বেগ) আমার ভয়াবহ স্বাস্থ্য উদ্বেগ আছে। এর ফলে বাস্তবতার সাথে আমার যোগাযোগ নষ্ট হয়ে যাচ্ছে। আমি আর কী করব জানি না। আমার ক্রমাগত পেশীতে টান / মাথার চাপ / টিএমজে সমস্যা / হৃদস্পন্দন। এবং আমি ওষুধ খাওয়া পছন্দ করি না"&amp;"। আমি যতটা সম্ভব স্বাভাবিকভাবেই এটি করার চেষ্টা করছি। আমার সমস্যা হল মাঝে মাঝে, বিশেষ করে যখন আমি প্রথম ঘুম থেকে উঠি তখন বিছানা থেকে উঠি এবং আমার মাথায় তাড়াহুড়ো হয় এবং আমি কানে রক্তের শব্দ শুনতে পাই। এটা কি স্বাভাবিক??? নাকি উদ্বেগ? ভাবছি অন্য কেউ কি "&amp;"এটা অনুভব করছে, নাকি আমি পাগল হা হা")</f>
        <v>কারো মাথাব্যথা / মাথা ঘোরা? (স্বাস্থ্য উদ্বেগ) আমার ভয়াবহ স্বাস্থ্য উদ্বেগ আছে। এর ফলে বাস্তবতার সাথে আমার যোগাযোগ নষ্ট হয়ে যাচ্ছে। আমি আর কী করব জানি না। আমার ক্রমাগত পেশীতে টান / মাথার চাপ / টিএমজে সমস্যা / হৃদস্পন্দন। এবং আমি ওষুধ খাওয়া পছন্দ করি না। আমি যতটা সম্ভব স্বাভাবিকভাবেই এটি করার চেষ্টা করছি। আমার সমস্যা হল মাঝে মাঝে, বিশেষ করে যখন আমি প্রথম ঘুম থেকে উঠি তখন বিছানা থেকে উঠি এবং আমার মাথায় তাড়াহুড়ো হয় এবং আমি কানে রক্তের শব্দ শুনতে পাই। এটা কি স্বাভাবিক??? নাকি উদ্বেগ? ভাবছি অন্য কেউ কি এটা অনুভব করছে, নাকি আমি পাগল হা হা</v>
      </c>
    </row>
    <row r="2491" spans="1:3" ht="15" x14ac:dyDescent="0.25">
      <c r="A2491" s="3" t="s">
        <v>2484</v>
      </c>
      <c r="B2491" s="3" t="s">
        <v>1992</v>
      </c>
      <c r="C2491" s="4" t="str">
        <f ca="1">IFERROR(__xludf.DUMMYFUNCTION("GOOGLETRANSLATE(A2491, ""auto"", ""bn"")"),"কারো কি সবসময় ""ভয়ের অনুভূতি"" থাকে যে খারাপ কিছু ঘটবে? তাই আমি সবসময় লোকেদের ""ভয়ের অনুভূতি"" এই বাক্যাংশটি ব্যবহার করতে শুনি, কিন্তু আমার মনে হয় উদ্বেগ আসলেই সেই সহজাত অনুভূতির পথে বাধা হয়ে দাঁড়াতে পারে। যদি আমি সবসময় আমার অন্তরের উপর আস্থা রাখতাম, তা"&amp;"হলে সম্ভবত কখনও কিছু করতে পারতাম না। মাঝে মাঝে আমার অদ্ভুত অযৌক্তিক উড়ন্ত অনুভূতি হয় যা আমাকে উপেক্ষা করে আমার দিনটি কাটাতে হয়। আমার সহজাত প্রবৃত্তি হল পালিয়ে যাওয়া কারণ মাঝে মাঝে আমি ভাবি যে কিছু ভুল হতে চলেছে। অথবা উদাহরণস্বরূপ, মাঝে মাঝে আমার অন্তর"&amp;"ের অনুভূতি হয় যে আমার বন্ধুরা সবাই আমার প্রতি যত্ন নেওয়া বন্ধ করে দিয়েছে এবং আমার বিরুদ্ধে চলে গেছে, এবং যদি আমি সেই অনুভূতি শুনি, তাহলে আমি সঠিকভাবে যোগাযোগ করতে এবং যোগাযোগ করতে পারি না এবং পরিবর্তে আমি সরে যাই। এই বাক্যাংশটি আপনার ক্ষেত্রে কীভাবে প্"&amp;"রযোজ্য? এই অন্তরের অনুভূতিগুলি কি, নাকি আপনি অন্তরের অনুভূতিগুলিকে অন্য কিছু বলে মনে করবেন? আপনার কি অন্তরের অনুভূতি রয়েছে এবং আপনি তাদের অনুসরণ করছেন নাকি আপনার উদ্বেগ পথে বাধা হয়ে দাঁড়াচ্ছে? TL;DR: আপনি কি আপনার অন্তরের উপর আস্থা রাখতে পারেন নাকি আপন"&amp;"ার উদ্বেগের কারণে আপনি এটিকে উপেক্ষা করতে পারেন?")</f>
        <v>কারো কি সবসময় "ভয়ের অনুভূতি" থাকে যে খারাপ কিছু ঘটবে? তাই আমি সবসময় লোকেদের "ভয়ের অনুভূতি" এই বাক্যাংশটি ব্যবহার করতে শুনি, কিন্তু আমার মনে হয় উদ্বেগ আসলেই সেই সহজাত অনুভূতির পথে বাধা হয়ে দাঁড়াতে পারে। যদি আমি সবসময় আমার অন্তরের উপর আস্থা রাখতাম, তাহলে সম্ভবত কখনও কিছু করতে পারতাম না। মাঝে মাঝে আমার অদ্ভুত অযৌক্তিক উড়ন্ত অনুভূতি হয় যা আমাকে উপেক্ষা করে আমার দিনটি কাটাতে হয়। আমার সহজাত প্রবৃত্তি হল পালিয়ে যাওয়া কারণ মাঝে মাঝে আমি ভাবি যে কিছু ভুল হতে চলেছে। অথবা উদাহরণস্বরূপ, মাঝে মাঝে আমার অন্তরের অনুভূতি হয় যে আমার বন্ধুরা সবাই আমার প্রতি যত্ন নেওয়া বন্ধ করে দিয়েছে এবং আমার বিরুদ্ধে চলে গেছে, এবং যদি আমি সেই অনুভূতি শুনি, তাহলে আমি সঠিকভাবে যোগাযোগ করতে এবং যোগাযোগ করতে পারি না এবং পরিবর্তে আমি সরে যাই। এই বাক্যাংশটি আপনার ক্ষেত্রে কীভাবে প্রযোজ্য? এই অন্তরের অনুভূতিগুলি কি, নাকি আপনি অন্তরের অনুভূতিগুলিকে অন্য কিছু বলে মনে করবেন? আপনার কি অন্তরের অনুভূতি রয়েছে এবং আপনি তাদের অনুসরণ করছেন নাকি আপনার উদ্বেগ পথে বাধা হয়ে দাঁড়াচ্ছে? TL;DR: আপনি কি আপনার অন্তরের উপর আস্থা রাখতে পারেন নাকি আপনার উদ্বেগের কারণে আপনি এটিকে উপেক্ষা করতে পারেন?</v>
      </c>
    </row>
    <row r="2492" spans="1:3" ht="15" x14ac:dyDescent="0.25">
      <c r="A2492" s="3" t="s">
        <v>2485</v>
      </c>
      <c r="B2492" s="3" t="s">
        <v>1992</v>
      </c>
      <c r="C2492" s="4" t="str">
        <f ca="1">IFERROR(__xludf.DUMMYFUNCTION("GOOGLETRANSLATE(A2492, ""auto"", ""bn"")"),"আমার নাক/সাইনাসে এক অদ্ভুত এবং ভয়াবহ ধরণের উদ্বেগ অনুভব করছি। মনে হচ্ছে আমার সাইনাসের স্নায়ুগুলো যেন ক্ষতবিক্ষত হয়ে যাচ্ছে এবং আতঙ্ক ও ভয়ের ঢেউ তুলছে। এটা কি কারো কাছে বোধগম্য? আমি জানি এটা অদ্ভুত শোনাচ্ছে। আমার মাথার পেছনেও আমি খুব অস্বস্তি বোধ করি, "&amp;"এবং মাঝে মাঝে সেই অস্বস্তি আমার পিঠের গোড়ায় চলে যায়। এটা ভয়াবহ, এবং কয়েকদিন ধরে স্থায়ী হতে পারে। এটি মোকাবেলা করতে অক্ষম করে তোলে। যদি আমি ভেঙে পড়ি এবং ক্লোনাজেপাম (যা আমি এর আসক্তির কারণে গ্রহণ করতে ঘৃণা করি) গ্রহণ করি, তাহলে সবকিছু চলে যায় এবং আ"&amp;"মার প্রায় ১০০% আরাম হয়। দুর্ভাগ্যবশত এটি দীর্ঘমেয়াদী সমাধান নয়। আমার মনে হয় এই অদ্ভুত লক্ষণগুলির জন্য আমার শারীরিকভাবে কিছু সমস্যা আছে। এটি আমার কাজে যাওয়ার ক্ষমতাকে প্রভাবিত করছে, এবং এটি প্রতিদিনকে নরক করে তুলছে।")</f>
        <v>আমার নাক/সাইনাসে এক অদ্ভুত এবং ভয়াবহ ধরণের উদ্বেগ অনুভব করছি। মনে হচ্ছে আমার সাইনাসের স্নায়ুগুলো যেন ক্ষতবিক্ষত হয়ে যাচ্ছে এবং আতঙ্ক ও ভয়ের ঢেউ তুলছে। এটা কি কারো কাছে বোধগম্য? আমি জানি এটা অদ্ভুত শোনাচ্ছে। আমার মাথার পেছনেও আমি খুব অস্বস্তি বোধ করি, এবং মাঝে মাঝে সেই অস্বস্তি আমার পিঠের গোড়ায় চলে যায়। এটা ভয়াবহ, এবং কয়েকদিন ধরে স্থায়ী হতে পারে। এটি মোকাবেলা করতে অক্ষম করে তোলে। যদি আমি ভেঙে পড়ি এবং ক্লোনাজেপাম (যা আমি এর আসক্তির কারণে গ্রহণ করতে ঘৃণা করি) গ্রহণ করি, তাহলে সবকিছু চলে যায় এবং আমার প্রায় ১০০% আরাম হয়। দুর্ভাগ্যবশত এটি দীর্ঘমেয়াদী সমাধান নয়। আমার মনে হয় এই অদ্ভুত লক্ষণগুলির জন্য আমার শারীরিকভাবে কিছু সমস্যা আছে। এটি আমার কাজে যাওয়ার ক্ষমতাকে প্রভাবিত করছে, এবং এটি প্রতিদিনকে নরক করে তুলছে।</v>
      </c>
    </row>
    <row r="2493" spans="1:3" ht="15" x14ac:dyDescent="0.25">
      <c r="A2493" s="3" t="s">
        <v>2486</v>
      </c>
      <c r="B2493" s="3" t="s">
        <v>1992</v>
      </c>
      <c r="C2493" s="4" t="str">
        <f ca="1">IFERROR(__xludf.DUMMYFUNCTION("GOOGLETRANSLATE(A2493, ""auto"", ""bn"")"),"আমি জানি না কীভাবে ডেট করতে হয় এবং অনিবার্যভাবে উদ্বেগের আক্রমণ হয় না। আমার সাথে প্রতারণা করা হয়েছে। এর ফলে কিছু সমস্যা তৈরি হয়েছে। থেরাপির খরচ বহন করতে পারছি না, কিন্তু আমি এখানে-সেখানে এমন কিছু লোকের সাথে পরিচিত না হয়ে থাকতে পারি যারা আমার নজর কাড়ে। এটা"&amp;" ধীরে ধীরে শুরু হয়, এবং তারপর হঠাৎ করেই আমার উপর আঘাত হানে। আমি এত গভীরভাবে মোহিত হতে চাই না, কিন্তু এটা সবসময় আমার নিয়ন্ত্রণ না করেই ঘটে বলে মনে হয়। সাধারণত সবকিছু ঠিকঠাক থাকে যতক্ষণ না তারা আপাতদৃষ্টিতে কোনও কারণ ছাড়াই উত্তর দেওয়া বন্ধ করে দেয়। এক "&amp;"সেকেন্ডের মধ্যেই সবকিছু স্বাভাবিক, পরের মুহূর্তে তার কাছ থেকে কিছুই আসে না। আমি এই মিথ্যা নিরাপত্তার অনুভূতিতে ডুবে যাই যেখানে আমি মনে করি 'ওহ না, তারা আমার সাথে এমন করবে না, কোনও সতর্কবার্তা নেই' এবং এটা ঘটে। আমি অনিশ্চয়তা সহ্য করতে পারি না... কিন্তু ডে"&amp;"টিং কি অনিশ্চয়তার জন্য নয়? এটা খুবই খারাপ যখন আপনি সত্যিই কাউকে পছন্দ করতে শুরু করেন কিন্তু জানেন না যে আপনি উদ্বেগের কারণে অতিরিক্ত প্রতিক্রিয়া দেখাচ্ছেন কিনা এবং সবকিছু ঠিক আছে কিনা।")</f>
        <v>আমি জানি না কীভাবে ডেট করতে হয় এবং অনিবার্যভাবে উদ্বেগের আক্রমণ হয় না। আমার সাথে প্রতারণা করা হয়েছে। এর ফলে কিছু সমস্যা তৈরি হয়েছে। থেরাপির খরচ বহন করতে পারছি না, কিন্তু আমি এখানে-সেখানে এমন কিছু লোকের সাথে পরিচিত না হয়ে থাকতে পারি যারা আমার নজর কাড়ে। এটা ধীরে ধীরে শুরু হয়, এবং তারপর হঠাৎ করেই আমার উপর আঘাত হানে। আমি এত গভীরভাবে মোহিত হতে চাই না, কিন্তু এটা সবসময় আমার নিয়ন্ত্রণ না করেই ঘটে বলে মনে হয়। সাধারণত সবকিছু ঠিকঠাক থাকে যতক্ষণ না তারা আপাতদৃষ্টিতে কোনও কারণ ছাড়াই উত্তর দেওয়া বন্ধ করে দেয়। এক সেকেন্ডের মধ্যেই সবকিছু স্বাভাবিক, পরের মুহূর্তে তার কাছ থেকে কিছুই আসে না। আমি এই মিথ্যা নিরাপত্তার অনুভূতিতে ডুবে যাই যেখানে আমি মনে করি 'ওহ না, তারা আমার সাথে এমন করবে না, কোনও সতর্কবার্তা নেই' এবং এটা ঘটে। আমি অনিশ্চয়তা সহ্য করতে পারি না... কিন্তু ডেটিং কি অনিশ্চয়তার জন্য নয়? এটা খুবই খারাপ যখন আপনি সত্যিই কাউকে পছন্দ করতে শুরু করেন কিন্তু জানেন না যে আপনি উদ্বেগের কারণে অতিরিক্ত প্রতিক্রিয়া দেখাচ্ছেন কিনা এবং সবকিছু ঠিক আছে কিনা।</v>
      </c>
    </row>
    <row r="2494" spans="1:3" ht="15" x14ac:dyDescent="0.25">
      <c r="A2494" s="3" t="s">
        <v>2487</v>
      </c>
      <c r="B2494" s="3" t="s">
        <v>1992</v>
      </c>
      <c r="C2494" s="4" t="str">
        <f ca="1">IFERROR(__xludf.DUMMYFUNCTION("GOOGLETRANSLATE(A2494, ""auto"", ""bn"")"),"শিশুর কান্না শুনলেই আমি কীভাবে ভেঙে পড়া বন্ধ করব? *সতর্কীকরণ: শিশুদের উপর সহিংসতা* যখন আমি ১০ বছর বয়সী ছিলাম, তখন ২ বছরের একটি ছোট্ট ছেলের চারপাশে একটা চেইন মেইল ​​ঘুরছিল, যে তার মায়ের কাছ থেকে প্রলুব্ধ হয়ে সত্যিই সহিংসভাবে মারা গিয়েছিল। যখনই আমি কোন"&amp;"ও ছোট বাচ্চা বা ছোট বাচ্চার কান্না শুনি, তখনই আমার মস্তিষ্ক ভাবে, ""হে ভগবান, যদি এই শিশুটি এত জোরে চিৎকার করে, যদিও তারা নিরাপদ এবং সুস্থ, আমি কল্পনাও করতে পারি না যে এই ছোট্ট ছেলেটি কতটা ভীত এবং কতটা কাঁদছে।"" প্রায় ২০ বছর হয়ে গেছে, সেই চেইন মেইলটি দে"&amp;"খার পর। এটি একটি সত্য ঘটনা। প্রতি বছর তার মৃত্যুবার্ষিকীতে আমার ফেসবুক নিউজ ফিডে এটি আবার দেখা যায় এবং গত বছর, আমি প্রথমবারের মতো তার ছবি দেখেছিলাম। এখন যখনই আমি একটি ছোট বাচ্চার আশেপাশে থাকি (এবং এটি প্রায়শই হয়) এবং শিশুটি কাঁদে, তখন আমার পুরো শরীর আত"&amp;"ঙ্কিত হয়ে পড়ে এবং আমি ভেবে থাকি যে এই ছোট্ট ছেলেটি কতটা ভয় পেয়েছে, এবং আমি যে কোনও শিশুর জন্য ভয়ঙ্কর ভয় পাই। আমি জানি আমি পৃথিবীকে বাঁচাতে পারব না এবং আমি জানি আমি এই পৃথিবীর খারাপ লোকদের কাজ নিয়ন্ত্রণ করতে পারব না, কিন্তু যখনই আমি একটি শিশুর কান্ন"&amp;"া শুনতে পাই তখন এই চিন্তাভাবনাগুলি আমাকে পঙ্গু করে দেওয়া এবং আমার মেজাজ নষ্ট করা থেকে কীভাবে আমি থামাতে পারি?")</f>
        <v>শিশুর কান্না শুনলেই আমি কীভাবে ভেঙে পড়া বন্ধ করব? *সতর্কীকরণ: শিশুদের উপর সহিংসতা* যখন আমি ১০ বছর বয়সী ছিলাম, তখন ২ বছরের একটি ছোট্ট ছেলের চারপাশে একটা চেইন মেইল ​​ঘুরছিল, যে তার মায়ের কাছ থেকে প্রলুব্ধ হয়ে সত্যিই সহিংসভাবে মারা গিয়েছিল। যখনই আমি কোনও ছোট বাচ্চা বা ছোট বাচ্চার কান্না শুনি, তখনই আমার মস্তিষ্ক ভাবে, "হে ভগবান, যদি এই শিশুটি এত জোরে চিৎকার করে, যদিও তারা নিরাপদ এবং সুস্থ, আমি কল্পনাও করতে পারি না যে এই ছোট্ট ছেলেটি কতটা ভীত এবং কতটা কাঁদছে।" প্রায় ২০ বছর হয়ে গেছে, সেই চেইন মেইলটি দেখার পর। এটি একটি সত্য ঘটনা। প্রতি বছর তার মৃত্যুবার্ষিকীতে আমার ফেসবুক নিউজ ফিডে এটি আবার দেখা যায় এবং গত বছর, আমি প্রথমবারের মতো তার ছবি দেখেছিলাম। এখন যখনই আমি একটি ছোট বাচ্চার আশেপাশে থাকি (এবং এটি প্রায়শই হয়) এবং শিশুটি কাঁদে, তখন আমার পুরো শরীর আতঙ্কিত হয়ে পড়ে এবং আমি ভেবে থাকি যে এই ছোট্ট ছেলেটি কতটা ভয় পেয়েছে, এবং আমি যে কোনও শিশুর জন্য ভয়ঙ্কর ভয় পাই। আমি জানি আমি পৃথিবীকে বাঁচাতে পারব না এবং আমি জানি আমি এই পৃথিবীর খারাপ লোকদের কাজ নিয়ন্ত্রণ করতে পারব না, কিন্তু যখনই আমি একটি শিশুর কান্না শুনতে পাই তখন এই চিন্তাভাবনাগুলি আমাকে পঙ্গু করে দেওয়া এবং আমার মেজাজ নষ্ট করা থেকে কীভাবে আমি থামাতে পারি?</v>
      </c>
    </row>
    <row r="2495" spans="1:3" ht="15" x14ac:dyDescent="0.25">
      <c r="A2495" s="3" t="s">
        <v>2488</v>
      </c>
      <c r="B2495" s="3" t="s">
        <v>1992</v>
      </c>
      <c r="C2495" s="4" t="str">
        <f ca="1">IFERROR(__xludf.DUMMYFUNCTION("GOOGLETRANSLATE(A2495, ""auto"", ""bn"")"),"সত্যি বলতে, আমার মনে হচ্ছে আমি এখন আমার ভঙ্গুর পর্যায়ে পৌঁছে গেছি এবং আমার কেবল সাময়িকভাবে এই পরিস্থিতি মোকাবেলা করার উপায় দরকার। সেপ্টেম্বরে আমার উদ্বেগ ধরা পড়ে এবং কিছু সময়ের জন্য ওষুধ খাওয়া শুরু করেছিলাম, কিন্তু আমার মনে হয় এর প্রভাব আর ভালো হচ্"&amp;"ছে না। আমি ক্রমাগত হালকা থেকে মাঝারি আতঙ্কের মধ্যে থাকি এবং আজ সকালে আমার এত তীব্র বুক জ্বালাপোড়া এবং দ্রুত হৃদস্পন্দন হচ্ছিল যে আমার মনে হচ্ছিল আমার হার্ট অ্যাটাক হবে। তাছাড়া, আমি নিষ্ক্রিয়ভাবে আত্মহত্যা করছি, আমি একটি বিশাল বোঝার মতো অনুভব করছি, এবং আ"&amp;"মার জীবনের মানুষদের পক্ষে বুঝতে অসুবিধা হচ্ছে যে আমি কতটা সংগ্রাম করছি, যদিও তারা সত্যিই চেষ্টা করছে। তাছাড়া, আমি আগামীকাল প্রথমেই আমার ডাক্তারের সাথে যোগাযোগ করব যাতে আমি আমার ডোজ বাড়ানো বা ওষুধ পরিবর্তন করার বিষয়ে আলোচনা করতে পারি, তবে ততক্ষণ পর্যন্ত "&amp;"আমাকে মোকাবেলা করতে সাহায্য করার জন্য আমার কিছু দরকার। এমন কিছু যা আমাকে অনুভব করবে যে জীবন বেঁচে থাকার যোগ্য :(")</f>
        <v>সত্যি বলতে, আমার মনে হচ্ছে আমি এখন আমার ভঙ্গুর পর্যায়ে পৌঁছে গেছি এবং আমার কেবল সাময়িকভাবে এই পরিস্থিতি মোকাবেলা করার উপায় দরকার। সেপ্টেম্বরে আমার উদ্বেগ ধরা পড়ে এবং কিছু সময়ের জন্য ওষুধ খাওয়া শুরু করেছিলাম, কিন্তু আমার মনে হয় এর প্রভাব আর ভালো হচ্ছে না। আমি ক্রমাগত হালকা থেকে মাঝারি আতঙ্কের মধ্যে থাকি এবং আজ সকালে আমার এত তীব্র বুক জ্বালাপোড়া এবং দ্রুত হৃদস্পন্দন হচ্ছিল যে আমার মনে হচ্ছিল আমার হার্ট অ্যাটাক হবে। তাছাড়া, আমি নিষ্ক্রিয়ভাবে আত্মহত্যা করছি, আমি একটি বিশাল বোঝার মতো অনুভব করছি, এবং আমার জীবনের মানুষদের পক্ষে বুঝতে অসুবিধা হচ্ছে যে আমি কতটা সংগ্রাম করছি, যদিও তারা সত্যিই চেষ্টা করছে। তাছাড়া, আমি আগামীকাল প্রথমেই আমার ডাক্তারের সাথে যোগাযোগ করব যাতে আমি আমার ডোজ বাড়ানো বা ওষুধ পরিবর্তন করার বিষয়ে আলোচনা করতে পারি, তবে ততক্ষণ পর্যন্ত আমাকে মোকাবেলা করতে সাহায্য করার জন্য আমার কিছু দরকার। এমন কিছু যা আমাকে অনুভব করবে যে জীবন বেঁচে থাকার যোগ্য :(</v>
      </c>
    </row>
    <row r="2496" spans="1:3" ht="15" x14ac:dyDescent="0.25">
      <c r="A2496" s="3" t="s">
        <v>2489</v>
      </c>
      <c r="B2496" s="3" t="s">
        <v>1992</v>
      </c>
      <c r="C2496" s="4" t="str">
        <f ca="1">IFERROR(__xludf.DUMMYFUNCTION("GOOGLETRANSLATE(A2496, ""auto"", ""bn"")"),"SSRI নেওয়ার সময় কি কেউ পেটে অস্বস্তি অনুভব করেছেন বা কমিয়ে ফেলেছেন? আমি Lexa pro কমিয়ে নিয়েছি, আর প্রতিদিন ১ মিলিগ্রাম করে নিচ্ছি। প্রথমে খুব তাড়াতাড়ি করেছিলাম, তাই আবার প্রতি দিন খুব কম ডোজ নিচ্ছি, কিন্তু আমার পেটের সমস্যা হচ্ছে, আর মনে হচ্ছে আমার IBS আছ"&amp;"ে। পেট ফাঁপা, পেট ফাঁপা, কোষ্ঠকাঠিন্য, ডায়রিয়া, বমি বমি ভাব। মনে হচ্ছে প্রতিদিনই নতুন কিছু হচ্ছে। এমনকি ১০ মিলিগ্রাম পূর্ণ মাত্রায় নেওয়ার সময়ও আমার পেটের সমস্যা হয়েছে। অন্য কেউ কি এই অভিজ্ঞতা পেয়েছেন?")</f>
        <v>SSRI নেওয়ার সময় কি কেউ পেটে অস্বস্তি অনুভব করেছেন বা কমিয়ে ফেলেছেন? আমি Lexa pro কমিয়ে নিয়েছি, আর প্রতিদিন ১ মিলিগ্রাম করে নিচ্ছি। প্রথমে খুব তাড়াতাড়ি করেছিলাম, তাই আবার প্রতি দিন খুব কম ডোজ নিচ্ছি, কিন্তু আমার পেটের সমস্যা হচ্ছে, আর মনে হচ্ছে আমার IBS আছে। পেট ফাঁপা, পেট ফাঁপা, কোষ্ঠকাঠিন্য, ডায়রিয়া, বমি বমি ভাব। মনে হচ্ছে প্রতিদিনই নতুন কিছু হচ্ছে। এমনকি ১০ মিলিগ্রাম পূর্ণ মাত্রায় নেওয়ার সময়ও আমার পেটের সমস্যা হয়েছে। অন্য কেউ কি এই অভিজ্ঞতা পেয়েছেন?</v>
      </c>
    </row>
    <row r="2497" spans="1:3" ht="15" x14ac:dyDescent="0.25">
      <c r="A2497" s="3" t="s">
        <v>2490</v>
      </c>
      <c r="B2497" s="3" t="s">
        <v>1992</v>
      </c>
      <c r="C2497" s="4" t="str">
        <f ca="1">IFERROR(__xludf.DUMMYFUNCTION("GOOGLETRANSLATE(A2497, ""auto"", ""bn"")"),"নির্দিষ্ট পরিবেশে উদ্বেগ সবাইকে স্বাগতম! তাহলে একটা সংক্ষিপ্ত পটভূমি দেওয়ার জন্য, আমি গত দশ মাস ধরে (ওজন কমানো এবং অন্যান্য উন্নতির সাথে) আমার উদ্বেগের উপর আন্তরিকভাবে কাজ করছি। বেশিরভাগ ক্ষেত্রেই, আমার উদ্বেগ নিজেকে দূরে রাখে। যাইহোক, আমি দেখেছি যে এমন এ"&amp;"কটি পরিবেশ আছে যেখানে এটি ক্রমাগত ঘুম থেকে উঠতে শুরু করে, এবং তা হল হ্যাপি আওয়ারের সময় কোলাহলপূর্ণ বারগুলিতে। এই সময়গুলিতে, আমি কেবল চুপ করে থাকি এবং সত্যিই শান্ত এবং বিচ্ছিন্ন হয়ে পড়ি, বিশেষ করে যদি আমি এমন একদল লোকের সাথে দাঁড়িয়ে থাকি যারা কথোপকথ"&amp;"ন করছে। যতদূর আমি মনে করি, এটিই একমাত্র পরিবেশ যেখানে আমার উদ্বেগ সত্যিই উচ্চ গিয়ারে পৌঁছে যায়। কেউ কি এর সাথে সম্পর্কিত হতে পারেন, এবং এমন কোন পরামর্শ আছে যা আপনাকে মোকাবেলা করতে সাহায্য করেছে? ধন্যবাদ!")</f>
        <v>নির্দিষ্ট পরিবেশে উদ্বেগ সবাইকে স্বাগতম! তাহলে একটা সংক্ষিপ্ত পটভূমি দেওয়ার জন্য, আমি গত দশ মাস ধরে (ওজন কমানো এবং অন্যান্য উন্নতির সাথে) আমার উদ্বেগের উপর আন্তরিকভাবে কাজ করছি। বেশিরভাগ ক্ষেত্রেই, আমার উদ্বেগ নিজেকে দূরে রাখে। যাইহোক, আমি দেখেছি যে এমন একটি পরিবেশ আছে যেখানে এটি ক্রমাগত ঘুম থেকে উঠতে শুরু করে, এবং তা হল হ্যাপি আওয়ারের সময় কোলাহলপূর্ণ বারগুলিতে। এই সময়গুলিতে, আমি কেবল চুপ করে থাকি এবং সত্যিই শান্ত এবং বিচ্ছিন্ন হয়ে পড়ি, বিশেষ করে যদি আমি এমন একদল লোকের সাথে দাঁড়িয়ে থাকি যারা কথোপকথন করছে। যতদূর আমি মনে করি, এটিই একমাত্র পরিবেশ যেখানে আমার উদ্বেগ সত্যিই উচ্চ গিয়ারে পৌঁছে যায়। কেউ কি এর সাথে সম্পর্কিত হতে পারেন, এবং এমন কোন পরামর্শ আছে যা আপনাকে মোকাবেলা করতে সাহায্য করেছে? ধন্যবাদ!</v>
      </c>
    </row>
    <row r="2498" spans="1:3" ht="15" x14ac:dyDescent="0.25">
      <c r="A2498" s="3" t="s">
        <v>2491</v>
      </c>
      <c r="B2498" s="3" t="s">
        <v>1992</v>
      </c>
      <c r="C2498" s="4" t="str">
        <f ca="1">IFERROR(__xludf.DUMMYFUNCTION("GOOGLETRANSLATE(A2498, ""auto"", ""bn"")"),"আমার প্যানিক অ্যাটাক হয়েছে। গত রাতে আমি অনলাইনে গিয়ে আমার দীর্ঘস্থায়ী অসুস্থতার চিকিৎসার অগ্রগতি খোঁজার সিদ্ধান্ত নিয়েছিলাম। আমি দেখলাম যে আমার ওষুধগুলি নানা ধরণের জীবন-হুমকির কারণ হতে পারে, এবং এটি আমার উদ্বেগের কারণ হয়ে ওঠে এবং আমার ভয়াবহ প্যানিক অ্যাটা"&amp;"ক হয়। মৃত্যুর আগে আমি কষ্ট পাবো এবং আমার পরিবারকে বড় হওয়ার সাথে সাথে দেখতে পাবো না এই চিন্তা আমাকে ভয় পাই। এছাড়াও, আমার প্রিয়জনকে হারানো বা অসুস্থতার কারণে কষ্ট পাওয়া দেখা আমাকে ভয় পাই। আমি কখনই মুহূর্তগুলো উপভোগ করতে পারি না কারণ আমার মন সর্বদা সবচেয়"&amp;"ে খারাপের কথা ভাবছে। আমি কেবল জীবনযাপন করতে চাই এবং নেতিবাচক বিষয়গুলো নিয়ে চিন্তা করি না। এটি আমার জন্য অনেক কিছু নষ্ট করে দেয় এবং আমি কেবল সুখী হতে চাই।")</f>
        <v>আমার প্যানিক অ্যাটাক হয়েছে। গত রাতে আমি অনলাইনে গিয়ে আমার দীর্ঘস্থায়ী অসুস্থতার চিকিৎসার অগ্রগতি খোঁজার সিদ্ধান্ত নিয়েছিলাম। আমি দেখলাম যে আমার ওষুধগুলি নানা ধরণের জীবন-হুমকির কারণ হতে পারে, এবং এটি আমার উদ্বেগের কারণ হয়ে ওঠে এবং আমার ভয়াবহ প্যানিক অ্যাটাক হয়। মৃত্যুর আগে আমি কষ্ট পাবো এবং আমার পরিবারকে বড় হওয়ার সাথে সাথে দেখতে পাবো না এই চিন্তা আমাকে ভয় পাই। এছাড়াও, আমার প্রিয়জনকে হারানো বা অসুস্থতার কারণে কষ্ট পাওয়া দেখা আমাকে ভয় পাই। আমি কখনই মুহূর্তগুলো উপভোগ করতে পারি না কারণ আমার মন সর্বদা সবচেয়ে খারাপের কথা ভাবছে। আমি কেবল জীবনযাপন করতে চাই এবং নেতিবাচক বিষয়গুলো নিয়ে চিন্তা করি না। এটি আমার জন্য অনেক কিছু নষ্ট করে দেয় এবং আমি কেবল সুখী হতে চাই।</v>
      </c>
    </row>
    <row r="2499" spans="1:3" ht="15" x14ac:dyDescent="0.25">
      <c r="A2499" s="3" t="s">
        <v>2492</v>
      </c>
      <c r="B2499" s="3" t="s">
        <v>1992</v>
      </c>
      <c r="C2499" s="4" t="str">
        <f ca="1">IFERROR(__xludf.DUMMYFUNCTION("GOOGLETRANSLATE(A2499, ""auto"", ""bn"")"),"আমার সমস্যাগুলির চিকিৎসার প্রয়োজন আছে কিনা তা আমি নিশ্চিত নই, আমি নিয়মগুলি পড়েছি, এবং আমি ভয় পাচ্ছি যে আমি সেগুলি ভাঙব, তাই এখানে আমার ট্রিগার সতর্কতা দেওয়া হল। ২০১৮ সালের শুরুতে, আমি কিছু জিনিস (অর্থ, আমার সম্পর্ক, ইত্যাদি) নিয়ে অনেক চিন্তিত ছিলাম,"&amp;" কিন্তু এটি আমার জীবনে কখনও হস্তক্ষেপ করেনি। কিন্তু গত কয়েক মাস ধরে আমার অযৌক্তিক উদ্বেগ এবং ভয় থেকে আমার মনোযোগ সরিয়ে নেওয়া কঠিন হয়ে পড়েছে। আমি কখনও উদ্বেগজনিত ব্যাধি হওয়ার সম্ভাবনা নিয়ে ভাবিনি, তবে আমি ভাবতে শুরু করেছি যে আমারও আছে। সম্প্রতি এটি"&amp;" এমন পর্যায়ে পৌঁছেছে যেখানে আমার এই উদ্বেগের বিস্ফোরণ ঘটে এবং আমি কেবল বুঝতে পারছি না যে এর কারণ কী। এটি আমার কাজের নীতিতে হস্তক্ষেপ করছে এবং এটি আমার বান্ধবীকে চিন্তিত করছে। আমি বিতর্ক করছি যে আমার থেরাপি নেওয়া উচিত কিনা, কারণ আমি একজন দুর্বল কলেজ ছাত্"&amp;"র, এবং আমি ফি নিয়ে ভয় পাই। অতীতে আমি বেশিরভাগ শারীরিক এবং মানসিক সমস্যা চিকিৎসা ছাড়াই সমাধান করতে সক্ষম হয়েছি, তবে মনে হচ্ছে এটি ভিন্ন হতে পারে। থেরাপি কি মূল্যবান?")</f>
        <v>আমার সমস্যাগুলির চিকিৎসার প্রয়োজন আছে কিনা তা আমি নিশ্চিত নই, আমি নিয়মগুলি পড়েছি, এবং আমি ভয় পাচ্ছি যে আমি সেগুলি ভাঙব, তাই এখানে আমার ট্রিগার সতর্কতা দেওয়া হল। ২০১৮ সালের শুরুতে, আমি কিছু জিনিস (অর্থ, আমার সম্পর্ক, ইত্যাদি) নিয়ে অনেক চিন্তিত ছিলাম, কিন্তু এটি আমার জীবনে কখনও হস্তক্ষেপ করেনি। কিন্তু গত কয়েক মাস ধরে আমার অযৌক্তিক উদ্বেগ এবং ভয় থেকে আমার মনোযোগ সরিয়ে নেওয়া কঠিন হয়ে পড়েছে। আমি কখনও উদ্বেগজনিত ব্যাধি হওয়ার সম্ভাবনা নিয়ে ভাবিনি, তবে আমি ভাবতে শুরু করেছি যে আমারও আছে। সম্প্রতি এটি এমন পর্যায়ে পৌঁছেছে যেখানে আমার এই উদ্বেগের বিস্ফোরণ ঘটে এবং আমি কেবল বুঝতে পারছি না যে এর কারণ কী। এটি আমার কাজের নীতিতে হস্তক্ষেপ করছে এবং এটি আমার বান্ধবীকে চিন্তিত করছে। আমি বিতর্ক করছি যে আমার থেরাপি নেওয়া উচিত কিনা, কারণ আমি একজন দুর্বল কলেজ ছাত্র, এবং আমি ফি নিয়ে ভয় পাই। অতীতে আমি বেশিরভাগ শারীরিক এবং মানসিক সমস্যা চিকিৎসা ছাড়াই সমাধান করতে সক্ষম হয়েছি, তবে মনে হচ্ছে এটি ভিন্ন হতে পারে। থেরাপি কি মূল্যবান?</v>
      </c>
    </row>
    <row r="2500" spans="1:3" ht="15" x14ac:dyDescent="0.25">
      <c r="A2500" s="3" t="s">
        <v>2493</v>
      </c>
      <c r="B2500" s="3" t="s">
        <v>1992</v>
      </c>
      <c r="C2500" s="4" t="str">
        <f ca="1">IFERROR(__xludf.DUMMYFUNCTION("GOOGLETRANSLATE(A2500, ""auto"", ""bn"")"),"গত কয়েকদিন ধরে উদ্বেগের সৃষ্টি হওয়ায় কয়েক বছর ধরে আমার বিষণ্ণতা এবং উদ্বেগের সমস্যা ছিল। প্রায় এক বছর ধরে আমার কোনও সমস্যা হয়নি, ছয় মাস আগে ওষুধ ছেড়ে দিয়েছিলাম, গ্রীষ্মে এক বা দুই সপ্তাহ ধরে কিছুটা খারাপ লাগছিল, এবং তারপর আবার অক্টোবরে, কিন্তু সবকিছু কেট"&amp;"ে গেছে, এবং আমি বলব তখন থেকে আমি বেশিরভাগ ক্ষেত্রেই ঠিক বোধ করছি। কর্মক্ষেত্রে চাপের ঘটনা ঘটেছে, তবে সেগুলি মোকাবেলা করা মোটামুটি স্বাভাবিক। এই সপ্তাহে আমি কিছু উদ্বেগের সাথে মোকাবিলা করছি যা আমি বাড়তে অনুভব করতে পারি। এটি পরের সপ্তাহে একটি চাপপূর্ণ চাকর"&amp;"িতে ফিরে যাওয়ার চিন্তা হতে পারে, দুই সপ্তাহ ধরে জিমে যাইনি, গত সপ্তাহান্তে খুব বেশি মদ্যপান করেছি, বন্ধুদের সাথে সম্পর্কের বিষয়ে অতিরিক্ত চিন্তা করেছি এবং তারা আমার সম্পর্কে কী ভাবছে তা ভাবছি। গত সপ্তাহান্তে একটি রাতে আমার সাথে কিছুটা ঝগড়া হয়েছিল যেখা"&amp;"নে একজন লোক আমাকে বিনা প্ররোচনায় ধাক্কা দিয়ে মুখের উপর ঘুষি মেরেছিল। আমি কিছু সাধারণ আত্মরক্ষা ব্যবহার করেছি এবং কেউ আঘাত না পেয়ে পরিস্থিতি থেকে বেরিয়ে এসেছি। তাছাড়া, যখন আমি এটির কথা ভাবি তখনও আমি এটি নিয়ে কিছুটা রেগে যাই। মূলত, আমি কেবল এটি লিখতে চ"&amp;"েয়েছিলাম এবং এটি আমার বুক থেকে সরিয়ে দিতে চেয়েছিলাম। গত সপ্তাহ ধরে আমি ঠিকমতো ঘুমাতে বা খাচ্ছি না। যদি কারও কাছে তাদের প্রতিরক্ষা কীভাবে বজায় রাখা যায় সে সম্পর্কে টিপস থাকে, দয়া করে তা আমার সাথে শেয়ার করুন।")</f>
        <v>গত কয়েকদিন ধরে উদ্বেগের সৃষ্টি হওয়ায় কয়েক বছর ধরে আমার বিষণ্ণতা এবং উদ্বেগের সমস্যা ছিল। প্রায় এক বছর ধরে আমার কোনও সমস্যা হয়নি, ছয় মাস আগে ওষুধ ছেড়ে দিয়েছিলাম, গ্রীষ্মে এক বা দুই সপ্তাহ ধরে কিছুটা খারাপ লাগছিল, এবং তারপর আবার অক্টোবরে, কিন্তু সবকিছু কেটে গেছে, এবং আমি বলব তখন থেকে আমি বেশিরভাগ ক্ষেত্রেই ঠিক বোধ করছি। কর্মক্ষেত্রে চাপের ঘটনা ঘটেছে, তবে সেগুলি মোকাবেলা করা মোটামুটি স্বাভাবিক। এই সপ্তাহে আমি কিছু উদ্বেগের সাথে মোকাবিলা করছি যা আমি বাড়তে অনুভব করতে পারি। এটি পরের সপ্তাহে একটি চাপপূর্ণ চাকরিতে ফিরে যাওয়ার চিন্তা হতে পারে, দুই সপ্তাহ ধরে জিমে যাইনি, গত সপ্তাহান্তে খুব বেশি মদ্যপান করেছি, বন্ধুদের সাথে সম্পর্কের বিষয়ে অতিরিক্ত চিন্তা করেছি এবং তারা আমার সম্পর্কে কী ভাবছে তা ভাবছি। গত সপ্তাহান্তে একটি রাতে আমার সাথে কিছুটা ঝগড়া হয়েছিল যেখানে একজন লোক আমাকে বিনা প্ররোচনায় ধাক্কা দিয়ে মুখের উপর ঘুষি মেরেছিল। আমি কিছু সাধারণ আত্মরক্ষা ব্যবহার করেছি এবং কেউ আঘাত না পেয়ে পরিস্থিতি থেকে বেরিয়ে এসেছি। তাছাড়া, যখন আমি এটির কথা ভাবি তখনও আমি এটি নিয়ে কিছুটা রেগে যাই। মূলত, আমি কেবল এটি লিখতে চেয়েছিলাম এবং এটি আমার বুক থেকে সরিয়ে দিতে চেয়েছিলাম। গত সপ্তাহ ধরে আমি ঠিকমতো ঘুমাতে বা খাচ্ছি না। যদি কারও কাছে তাদের প্রতিরক্ষা কীভাবে বজায় রাখা যায় সে সম্পর্কে টিপস থাকে, দয়া করে তা আমার সাথে শেয়ার করুন।</v>
      </c>
    </row>
    <row r="2501" spans="1:3" ht="15" x14ac:dyDescent="0.25">
      <c r="A2501" s="3" t="s">
        <v>2494</v>
      </c>
      <c r="B2501" s="3" t="s">
        <v>1992</v>
      </c>
      <c r="C2501" s="4" t="str">
        <f ca="1">IFERROR(__xludf.DUMMYFUNCTION("GOOGLETRANSLATE(A2501, ""auto"", ""bn"")"),"আজ, আমার স্বামী আমার সাথে কর্মক্ষেত্রে চলমান কিছু চাপপূর্ণ বিষয় নিয়ে কথা বলতে শুরু করলেন। আর যখন তিনি আমাকে বলার কথা বলতে শুরু করলেন, তখন আমি হঠাৎ করেই কাঁদতে শুরু করলাম। আমি ঠিক ব্যাখ্যা করতে পারছি না কেন। আমার মনে হচ্ছিল না যে তার কথার কোনও প্রভাব আমা"&amp;"দের জীবনে পড়বে। তাছাড়া, আমার মনে হচ্ছিল না যে তার কোনও কথাই আমার দিকে নির্দেশিত। তাছাড়া, আমি আমার চোখের জল দেখার আগেই রুমে চলে গেলাম যাতে আমি কেবল শ্বাস নিতে পারি। মাঝে মাঝে স্বাভাবিক অবস্থায় ফিরে আসতে আমার এক মিনিট একা থাকতে হয়। আমার উদ্বেগ সম্প্রতি"&amp;" বেশ বেড়ে গেছে, কিন্তু শীতকালে আমার জন্য এটা বেশ স্বাভাবিক। এটা এতটাই অদ্ভুত ছিল যে আমি নিজেকে ধরে রাখতে পারিনি এবং বুঝতে পারিনি কেন আমি এত আবেগপ্রবণ হয়ে পড়েছিলাম। যাই হোক, আমি রেডিটে বেশ নতুন এবং সবসময় মনে হয় আমার উদ্বেগ বা বিষণ্ণতার সাথে সম্পর্কিত "&amp;"কেউ নেই, তাই আমি আশা করছি যে আমি এই অনুভূতিতে একা নই তা জানার চেয়ে বেশি উত্তর পাব।")</f>
        <v>আজ, আমার স্বামী আমার সাথে কর্মক্ষেত্রে চলমান কিছু চাপপূর্ণ বিষয় নিয়ে কথা বলতে শুরু করলেন। আর যখন তিনি আমাকে বলার কথা বলতে শুরু করলেন, তখন আমি হঠাৎ করেই কাঁদতে শুরু করলাম। আমি ঠিক ব্যাখ্যা করতে পারছি না কেন। আমার মনে হচ্ছিল না যে তার কথার কোনও প্রভাব আমাদের জীবনে পড়বে। তাছাড়া, আমার মনে হচ্ছিল না যে তার কোনও কথাই আমার দিকে নির্দেশিত। তাছাড়া, আমি আমার চোখের জল দেখার আগেই রুমে চলে গেলাম যাতে আমি কেবল শ্বাস নিতে পারি। মাঝে মাঝে স্বাভাবিক অবস্থায় ফিরে আসতে আমার এক মিনিট একা থাকতে হয়। আমার উদ্বেগ সম্প্রতি বেশ বেড়ে গেছে, কিন্তু শীতকালে আমার জন্য এটা বেশ স্বাভাবিক। এটা এতটাই অদ্ভুত ছিল যে আমি নিজেকে ধরে রাখতে পারিনি এবং বুঝতে পারিনি কেন আমি এত আবেগপ্রবণ হয়ে পড়েছিলাম। যাই হোক, আমি রেডিটে বেশ নতুন এবং সবসময় মনে হয় আমার উদ্বেগ বা বিষণ্ণতার সাথে সম্পর্কিত কেউ নেই, তাই আমি আশা করছি যে আমি এই অনুভূতিতে একা নই তা জানার চেয়ে বেশি উত্তর পাব।</v>
      </c>
    </row>
    <row r="2502" spans="1:3" ht="15" x14ac:dyDescent="0.25">
      <c r="A2502" s="3" t="s">
        <v>2495</v>
      </c>
      <c r="B2502" s="3" t="s">
        <v>1992</v>
      </c>
      <c r="C2502" s="4" t="str">
        <f ca="1">IFERROR(__xludf.DUMMYFUNCTION("GOOGLETRANSLATE(A2502, ""auto"", ""bn"")"),"ব্যায়ামের জন্য উদ্বিগ্ন, আর কারোও কি একই রকম অনুভূতি হয়? বন্ধুরা, আমি ভাবছিলাম আমার মতো কারো কি একই অভিজ্ঞতা হয়েছে, আর ভাবছিলাম কেউ কি এটা শেয়ার করতে চান। যখন আমি ছোট ছিলাম, আমার মনে আছে আমি কখনো জিম পছন্দ করতাম না কারণ ব্যায়াম করার সময় আমার চেহারা কেমন হ"&amp;"বে তা নিয়ে আমি খুব বেশি অনিশ্চিত ছিলাম: আমি খুব বেশি স্পোর্টি ছিলাম না, তাই আমি এই বিষয়ে অত্যন্ত অনিশ্চিত ছিলাম। বিশ্ববিদ্যালয়ের আগ পর্যন্ত আমি ব্যায়াম করা এড়িয়ে চলেছি (যেমন দৌড়ানো বা জিমে যাওয়া বা কোনও খেলাধুলা শুরু করা) কিন্তু যখন আমি নাম নথিভুক্ত করি, "&amp;"তখন ভেবেছিলাম রাগবি দলে নাম লেখানোটা একটা ভালো ধারণা হবে। আমি দলটি পছন্দ করেছি কিন্তু যদিও আমি উৎসাহী ছিলাম, তবুও আমি কখনও নিজের উপর সত্যিই স্বাচ্ছন্দ্য এবং আত্মবিশ্বাসী বোধ করিনি। আমি লক্ষ্য করেছি যে আমি মানসিকভাবে খুব কঠিন সময় কাটাচ্ছিলাম এবং আমার মাথা "&amp;"থেকে বেরিয়ে আসতে পারছি না। তাছাড়া, প্রশিক্ষণের সময় বা দৌড়ানোর সময় আমার বেশ কয়েকবার প্যানিক অ্যাটাক হয়েছে, যদিও আমি নিজেকে সীমার দিকে ঠেলে দিচ্ছিলাম না বা দূর থেকেও এরকম কিছু করছিলাম না। আমার শরীর আমার উপর হাল ছেড়ে দিত এবং আমি আমার মাথার মধ্যে এই ভয়াবহ জ"&amp;"ায়গায় চলে যেতাম। আমি আবার ব্যায়াম শুরু করতে চাই কিন্তু যখনই আমি এটা নিয়ে ভাবি, তখনই আমার মাথায় দুশ্চিন্তা ঢুকে পড়ে এবং ভেতর থেকে নিজেকে ক্ষিপ্ত করে (অন্যরা আমাকে কীভাবে দেখবে, তারা কী ভাববে, আমি কীভাবে করব, অন্যরা কীভাবে এটি আরও ভালোভাবে করবে)। কারো কি এক"&amp;"ই অভিজ্ঞতা হয়েছে? আর যদি তাই হয়: এর মধ্য দিয়ে তোমাকে কী সাহায্য করেছে? আমি জানতে চাই! TLTR: ব্যায়াম করার সময় উদ্বেগ, মানসিকভাবে কষ্ট, আমার মাথা থেকে বের হতে পারে না। কোন পরামর্শ?")</f>
        <v>ব্যায়ামের জন্য উদ্বিগ্ন, আর কারোও কি একই রকম অনুভূতি হয়? বন্ধুরা, আমি ভাবছিলাম আমার মতো কারো কি একই অভিজ্ঞতা হয়েছে, আর ভাবছিলাম কেউ কি এটা শেয়ার করতে চান। যখন আমি ছোট ছিলাম, আমার মনে আছে আমি কখনো জিম পছন্দ করতাম না কারণ ব্যায়াম করার সময় আমার চেহারা কেমন হবে তা নিয়ে আমি খুব বেশি অনিশ্চিত ছিলাম: আমি খুব বেশি স্পোর্টি ছিলাম না, তাই আমি এই বিষয়ে অত্যন্ত অনিশ্চিত ছিলাম। বিশ্ববিদ্যালয়ের আগ পর্যন্ত আমি ব্যায়াম করা এড়িয়ে চলেছি (যেমন দৌড়ানো বা জিমে যাওয়া বা কোনও খেলাধুলা শুরু করা) কিন্তু যখন আমি নাম নথিভুক্ত করি, তখন ভেবেছিলাম রাগবি দলে নাম লেখানোটা একটা ভালো ধারণা হবে। আমি দলটি পছন্দ করেছি কিন্তু যদিও আমি উৎসাহী ছিলাম, তবুও আমি কখনও নিজের উপর সত্যিই স্বাচ্ছন্দ্য এবং আত্মবিশ্বাসী বোধ করিনি। আমি লক্ষ্য করেছি যে আমি মানসিকভাবে খুব কঠিন সময় কাটাচ্ছিলাম এবং আমার মাথা থেকে বেরিয়ে আসতে পারছি না। তাছাড়া, প্রশিক্ষণের সময় বা দৌড়ানোর সময় আমার বেশ কয়েকবার প্যানিক অ্যাটাক হয়েছে, যদিও আমি নিজেকে সীমার দিকে ঠেলে দিচ্ছিলাম না বা দূর থেকেও এরকম কিছু করছিলাম না। আমার শরীর আমার উপর হাল ছেড়ে দিত এবং আমি আমার মাথার মধ্যে এই ভয়াবহ জায়গায় চলে যেতাম। আমি আবার ব্যায়াম শুরু করতে চাই কিন্তু যখনই আমি এটা নিয়ে ভাবি, তখনই আমার মাথায় দুশ্চিন্তা ঢুকে পড়ে এবং ভেতর থেকে নিজেকে ক্ষিপ্ত করে (অন্যরা আমাকে কীভাবে দেখবে, তারা কী ভাববে, আমি কীভাবে করব, অন্যরা কীভাবে এটি আরও ভালোভাবে করবে)। কারো কি একই অভিজ্ঞতা হয়েছে? আর যদি তাই হয়: এর মধ্য দিয়ে তোমাকে কী সাহায্য করেছে? আমি জানতে চাই! TLTR: ব্যায়াম করার সময় উদ্বেগ, মানসিকভাবে কষ্ট, আমার মাথা থেকে বের হতে পারে না। কোন পরামর্শ?</v>
      </c>
    </row>
    <row r="2503" spans="1:3" ht="15" x14ac:dyDescent="0.25">
      <c r="A2503" s="3" t="s">
        <v>2496</v>
      </c>
      <c r="B2503" s="3" t="s">
        <v>1992</v>
      </c>
      <c r="C2503" s="4" t="str">
        <f ca="1">IFERROR(__xludf.DUMMYFUNCTION("GOOGLETRANSLATE(A2503, ""auto"", ""bn"")"),"বয়স্কদের সাথে কথা বলতে আমার ভীষণ ভয় লাগে কারণ আমি যখন ফোনে কথা বলি তখন তারা আমাকে একজন সাধারণ মানুষ হিসেবে দেখবে বলে আমার মনে হয় যেন সবাই আমার দিকে তাকিয়ে আছে এবং আমাকে একজন বোকা মানুষ হিসেবে চিহ্নিত করছে। যখন আমি আমার চেয়ে বয়স্কদের বলি যে আমি উভকাম"&amp;"ী, তখন আমার মনে হয় তারা আমাকে অপরিণত এবং করুণ বলে আখ্যা দিচ্ছে। আমি বিশ্বাস করতে পারছি না যে আমার উদ্বেগ রাজনৈতিক/সামাজিক বিষয়গুলিকে এগিয়ে নিয়ে যাওয়ার উপায় হিসেবে ব্যবহার করছে। আমি কীভাবে এই অনুভূতি বন্ধ করব?")</f>
        <v>বয়স্কদের সাথে কথা বলতে আমার ভীষণ ভয় লাগে কারণ আমি যখন ফোনে কথা বলি তখন তারা আমাকে একজন সাধারণ মানুষ হিসেবে দেখবে বলে আমার মনে হয় যেন সবাই আমার দিকে তাকিয়ে আছে এবং আমাকে একজন বোকা মানুষ হিসেবে চিহ্নিত করছে। যখন আমি আমার চেয়ে বয়স্কদের বলি যে আমি উভকামী, তখন আমার মনে হয় তারা আমাকে অপরিণত এবং করুণ বলে আখ্যা দিচ্ছে। আমি বিশ্বাস করতে পারছি না যে আমার উদ্বেগ রাজনৈতিক/সামাজিক বিষয়গুলিকে এগিয়ে নিয়ে যাওয়ার উপায় হিসেবে ব্যবহার করছে। আমি কীভাবে এই অনুভূতি বন্ধ করব?</v>
      </c>
    </row>
    <row r="2504" spans="1:3" ht="15" x14ac:dyDescent="0.25">
      <c r="A2504" s="3" t="s">
        <v>2497</v>
      </c>
      <c r="B2504" s="3" t="s">
        <v>1992</v>
      </c>
      <c r="C2504" s="4" t="str">
        <f ca="1">IFERROR(__xludf.DUMMYFUNCTION("GOOGLETRANSLATE(A2504, ""auto"", ""bn"")"),"হ্যালো, সাহায্যকারী বন্ধুরা! সম্প্রতি আমার কিছু বিচ্ছিন্নতার পর্ব হচ্ছে, এবং আমি ভাবছি কেউ কি আমাকে এগুলো মোকাবেলা করার জন্য কিছু টিপস দিতে পারবেন? হ্যালো! শিরোনামে যেমন বলা হয়েছে। আমার উদ্বেগ সম্পর্কিত সমস্যাগুলির একটি সুন্দর মিশ্রণ আছে, কিন্তু বিচ্ছিন্"&amp;"নতা বেশ নতুন। এই পর্বগুলি ভেঙে আমার দিনটি এগিয়ে নেওয়া কখনও কখনও কঠিন হয়ে পড়ে। এটি বেশ ভালো থেকে তুলনামূলকভাবে গুরুতর পর্যন্ত হতে পারে এবং যখন এটি খারাপ হয়ে যায়, তখন আমি বেশ হতাশ বোধ করি। আমি ঘুম থেকে উঠে মনে করি যে আমি মাঝে মাঝে বাইরে থেকে আমার জীবন"&amp;" দেখছি: সেগুলি সবচেয়ে খারাপ। তারপর, যখন এটি সহজ হয়ে যায়, তখন আমার একটি সত্যিই উদ্বেগহীন সময় ছিল যেখানে আমি অনুভব করতাম যে আমি একটি ভিডিও গেম খেলছি। প্যানিক অ্যাটাক এবং খারাপ উদ্বেগের দিনগুলির সাথে, আমার কাছে এমন কিছু আছে যা সাধারণত কাজ করে। আমি এখনও এ"&amp;"মন কিছু খুঁজে পাইনি যা সত্যিই এই পর্বগুলিকে সাহায্য করে এবং কিছু উপাখ্যানমূলক পরামর্শ খুব প্রশংসা করা হবে!")</f>
        <v>হ্যালো, সাহায্যকারী বন্ধুরা! সম্প্রতি আমার কিছু বিচ্ছিন্নতার পর্ব হচ্ছে, এবং আমি ভাবছি কেউ কি আমাকে এগুলো মোকাবেলা করার জন্য কিছু টিপস দিতে পারবেন? হ্যালো! শিরোনামে যেমন বলা হয়েছে। আমার উদ্বেগ সম্পর্কিত সমস্যাগুলির একটি সুন্দর মিশ্রণ আছে, কিন্তু বিচ্ছিন্নতা বেশ নতুন। এই পর্বগুলি ভেঙে আমার দিনটি এগিয়ে নেওয়া কখনও কখনও কঠিন হয়ে পড়ে। এটি বেশ ভালো থেকে তুলনামূলকভাবে গুরুতর পর্যন্ত হতে পারে এবং যখন এটি খারাপ হয়ে যায়, তখন আমি বেশ হতাশ বোধ করি। আমি ঘুম থেকে উঠে মনে করি যে আমি মাঝে মাঝে বাইরে থেকে আমার জীবন দেখছি: সেগুলি সবচেয়ে খারাপ। তারপর, যখন এটি সহজ হয়ে যায়, তখন আমার একটি সত্যিই উদ্বেগহীন সময় ছিল যেখানে আমি অনুভব করতাম যে আমি একটি ভিডিও গেম খেলছি। প্যানিক অ্যাটাক এবং খারাপ উদ্বেগের দিনগুলির সাথে, আমার কাছে এমন কিছু আছে যা সাধারণত কাজ করে। আমি এখনও এমন কিছু খুঁজে পাইনি যা সত্যিই এই পর্বগুলিকে সাহায্য করে এবং কিছু উপাখ্যানমূলক পরামর্শ খুব প্রশংসা করা হবে!</v>
      </c>
    </row>
    <row r="2505" spans="1:3" ht="15" x14ac:dyDescent="0.25">
      <c r="A2505" s="3" t="s">
        <v>2498</v>
      </c>
      <c r="B2505" s="3" t="s">
        <v>1992</v>
      </c>
      <c r="C2505" s="4" t="str">
        <f ca="1">IFERROR(__xludf.DUMMYFUNCTION("GOOGLETRANSLATE(A2505, ""auto"", ""bn"")"),"আমার উদ্বেগের সাথে মানিয়ে নিতে, হাই, প্রথমবারের মতো পোস্টারটি এখানে। আশা করি ঠিক আছে, আমার শুধু একটু মুখ খুলে কারো সাথে কথা বলা দরকার। আমার সারা জীবন আমি তীব্র উদ্বেগে ভুগছি। মানে, যতদূর মনে পড়ে। আমি সবসময় ভেবেছি যে এটি কোনও বড় সমস্যা নয়। ছোটবেলায় "&amp;"আমার মা আমাকে কাউন্সেলিং করিয়েছিলেন এবং তারপর থেকে আমি আর করিনি। আমি ভেবেছিলাম যে আমার উদ্বেগ এমন একটি বিষয় যা সবাই অনুভব করে, আমার মতোই... আজ অবধি। আমার মনে হচ্ছে আমার সত্যিই সাহায্যের প্রয়োজন। তাছাড়া, আমার সবসময় উদ্বেগ এবং বিষণ্ণতার সমস্যা ছিল, এবং "&amp;"ছুটির দিনগুলিতে আমি খুব ভালোভাবেই কাজ করে যাচ্ছিলাম, সিদ্ধান্ত নিচ্ছি... হঠাৎ আজ রাতে যখন আমি রাতের খাবার রান্না করছিলাম তখন আমি বুঝতে পারলাম যে আমার প্যানিক অ্যাটাক শুরু হয়েছে এবং সেই মুহূর্তে আমার খুব চুলকানি শুরু হয়েছিল। সবসময় ভাবতাম চুলকানি এমন কিছ"&amp;"ু ত্বকের সমস্যা যা ডাক্তাররা বুঝতে পারেননি, এখন আমি বুঝতে পারছি এটি আমার উদ্বেগের কারণে। আমার বুক এখনও শক্ত, আমি এখনও ঠিকভাবে শ্বাস নিতে পারছি না, এবং এই উপলব্ধি পেয়ে আমি বেশ ভীত যে আমার উদ্বেগ /এই/ তীব্র। যদি আপনি এটি পড়ে থাকেন, ধন্যবাদ। যদি এটি পোস্ট "&amp;"করার জন্য সঠিক জায়গা না হয় তবে আমি দুঃখিত। দয়া করে আমাকে জানান।")</f>
        <v>আমার উদ্বেগের সাথে মানিয়ে নিতে, হাই, প্রথমবারের মতো পোস্টারটি এখানে। আশা করি ঠিক আছে, আমার শুধু একটু মুখ খুলে কারো সাথে কথা বলা দরকার। আমার সারা জীবন আমি তীব্র উদ্বেগে ভুগছি। মানে, যতদূর মনে পড়ে। আমি সবসময় ভেবেছি যে এটি কোনও বড় সমস্যা নয়। ছোটবেলায় আমার মা আমাকে কাউন্সেলিং করিয়েছিলেন এবং তারপর থেকে আমি আর করিনি। আমি ভেবেছিলাম যে আমার উদ্বেগ এমন একটি বিষয় যা সবাই অনুভব করে, আমার মতোই... আজ অবধি। আমার মনে হচ্ছে আমার সত্যিই সাহায্যের প্রয়োজন। তাছাড়া, আমার সবসময় উদ্বেগ এবং বিষণ্ণতার সমস্যা ছিল, এবং ছুটির দিনগুলিতে আমি খুব ভালোভাবেই কাজ করে যাচ্ছিলাম, সিদ্ধান্ত নিচ্ছি... হঠাৎ আজ রাতে যখন আমি রাতের খাবার রান্না করছিলাম তখন আমি বুঝতে পারলাম যে আমার প্যানিক অ্যাটাক শুরু হয়েছে এবং সেই মুহূর্তে আমার খুব চুলকানি শুরু হয়েছিল। সবসময় ভাবতাম চুলকানি এমন কিছু ত্বকের সমস্যা যা ডাক্তাররা বুঝতে পারেননি, এখন আমি বুঝতে পারছি এটি আমার উদ্বেগের কারণে। আমার বুক এখনও শক্ত, আমি এখনও ঠিকভাবে শ্বাস নিতে পারছি না, এবং এই উপলব্ধি পেয়ে আমি বেশ ভীত যে আমার উদ্বেগ /এই/ তীব্র। যদি আপনি এটি পড়ে থাকেন, ধন্যবাদ। যদি এটি পোস্ট করার জন্য সঠিক জায়গা না হয় তবে আমি দুঃখিত। দয়া করে আমাকে জানান।</v>
      </c>
    </row>
    <row r="2506" spans="1:3" ht="15" x14ac:dyDescent="0.25">
      <c r="A2506" s="3" t="s">
        <v>2499</v>
      </c>
      <c r="B2506" s="3" t="s">
        <v>1992</v>
      </c>
      <c r="C2506" s="4" t="str">
        <f ca="1">IFERROR(__xludf.DUMMYFUNCTION("GOOGLETRANSLATE(A2506, ""auto"", ""bn"")"),"২৪ সপ্তাহের গর্ভবতী এবং আমার সাহায্যের প্রয়োজন অনেক দিন ধরেই গোপন, ব্যক্তিগত নিরাপত্তাহীনতার কারণে প্রথমবারের মতো পোস্টার। আমার সাথে থাকুন, কারণ উদ্বেগের সাথে আমার লড়াই সম্পর্কে কথা বলতে আমার খুব কষ্ট হচ্ছে। যারা এটি পড়ছেন তাদের আমি কৃতজ্ঞ। আমার উদ্বেগ "&amp;"পরিচালনা করার জন্য আমি কিছু টিপস ব্যবহার করতে পারি, যা আমি গর্ভবতী হওয়ার পর থেকে দ্রুততর হয়ে উঠেছে। তাছাড়া, আমি প্রায় প্রতিদিন ১ মিলিগ্রাম ক্লোনোপিন খেতাম, কিন্তু আমার পেটের ভেতরে এই বিকাশমান মানুষের জন্য এটি একেবারেই অসম্ভব। ক্লোনোপিন না নেওয়ার সাথে খা"&amp;"প খাইয়ে নেওয়া অত্যন্ত কঠিন ছিল, এবং যদিও আমি এটা বলতে লজ্জা পাচ্ছি, আমি বুঝতে পারছি যে এখন আমি কতটা নির্ভরশীল হয়ে পড়েছি কারণ আমি আর এটি গ্রহণ করছি না। আমার উদ্বেগ এটি গ্রহণ শুরু করার আগে থেকেও খারাপ। আমি নড়বড়ে, বিপদগ্রস্ত এবং সর্বদা অস্বস্তিকর বোধ করি"&amp;"। আমি এখনও একটি SSRI গ্রহণ করি, এবং আমার OB আমাকে Bu spar লিখে দেন, যা কিছুই করে না বলে মনে হয়। প্রতিদিন একটি নতুন পাহাড়ের মতো চড়ার মতো মনে হয়, যদিও যুক্তিসঙ্গতভাবে আমার জীবন যতটা কঠিন হওয়া উচিত। মাঝে মাঝে বিছানা থেকে উঠতে আমার সমস্যা হয়, আর কাজের স"&amp;"াথে সাথে আমার সমস্যা হয়। সম্প্রতি আমি চাকরি পরিবর্তন করেছি এবং আগের মতো তেমন টাকা আয় করতে পারছি না (আমি একজন থেরাপিস্ট, পরিহাসের বিষয়)। আমার স্বামী গত কয়েক মাস ধরে আমাদের সহায়তা করে আসছেন, কিন্তু এটা টেকসই নয়। এছাড়াও, গর্ভবতী হওয়া শারীরিক ও মানসিকভাবে খ"&amp;"ুবই খারাপ। আমি ইতিমধ্যেই আমার উদ্বেগের কারণে পঙ্গু বোধ করছি এবং গর্ভবতী হওয়া আমাকে আরও বেশি অকেজো করে তোলে। যদিও আমি আমার মেয়ের সাথে দেখা করার জন্য উত্তেজিত, তবুও আমি এই ভেবে ভয় পাই যে আমি তার ভরণপোষণ করতে পারব না, অথবা আমি বাবা-মা হওয়ার চাপ সামলাতে পারব "&amp;"না। এটা সবই মাঝে মাঝে খুব বেশি মনে হয়, এবং আমি জানি না এই সমস্ত অস্বস্তিকর অনুভূতির সাথে কী করব। এটা মজার কারণ যদি আমার কোনও ক্লায়েন্টের সাথে এমনটা ঘটত, তাহলে আমি এটা সামলাতে পারতাম, কিন্তু যখন আমার ক্ষেত্রে আসে, তখন কোথা থেকে শুরু করব তা আমার কোনও ধারণা"&amp;" নেই। রাগ করার জন্য দুঃখিত। যদি আপনি এতদূর এসে থাকেন, তাহলে এটি পড়ার জন্য ধন্যবাদ।")</f>
        <v>২৪ সপ্তাহের গর্ভবতী এবং আমার সাহায্যের প্রয়োজন অনেক দিন ধরেই গোপন, ব্যক্তিগত নিরাপত্তাহীনতার কারণে প্রথমবারের মতো পোস্টার। আমার সাথে থাকুন, কারণ উদ্বেগের সাথে আমার লড়াই সম্পর্কে কথা বলতে আমার খুব কষ্ট হচ্ছে। যারা এটি পড়ছেন তাদের আমি কৃতজ্ঞ। আমার উদ্বেগ পরিচালনা করার জন্য আমি কিছু টিপস ব্যবহার করতে পারি, যা আমি গর্ভবতী হওয়ার পর থেকে দ্রুততর হয়ে উঠেছে। তাছাড়া, আমি প্রায় প্রতিদিন ১ মিলিগ্রাম ক্লোনোপিন খেতাম, কিন্তু আমার পেটের ভেতরে এই বিকাশমান মানুষের জন্য এটি একেবারেই অসম্ভব। ক্লোনোপিন না নেওয়ার সাথে খাপ খাইয়ে নেওয়া অত্যন্ত কঠিন ছিল, এবং যদিও আমি এটা বলতে লজ্জা পাচ্ছি, আমি বুঝতে পারছি যে এখন আমি কতটা নির্ভরশীল হয়ে পড়েছি কারণ আমি আর এটি গ্রহণ করছি না। আমার উদ্বেগ এটি গ্রহণ শুরু করার আগে থেকেও খারাপ। আমি নড়বড়ে, বিপদগ্রস্ত এবং সর্বদা অস্বস্তিকর বোধ করি। আমি এখনও একটি SSRI গ্রহণ করি, এবং আমার OB আমাকে Bu spar লিখে দেন, যা কিছুই করে না বলে মনে হয়। প্রতিদিন একটি নতুন পাহাড়ের মতো চড়ার মতো মনে হয়, যদিও যুক্তিসঙ্গতভাবে আমার জীবন যতটা কঠিন হওয়া উচিত। মাঝে মাঝে বিছানা থেকে উঠতে আমার সমস্যা হয়, আর কাজের সাথে সাথে আমার সমস্যা হয়। সম্প্রতি আমি চাকরি পরিবর্তন করেছি এবং আগের মতো তেমন টাকা আয় করতে পারছি না (আমি একজন থেরাপিস্ট, পরিহাসের বিষয়)। আমার স্বামী গত কয়েক মাস ধরে আমাদের সহায়তা করে আসছেন, কিন্তু এটা টেকসই নয়। এছাড়াও, গর্ভবতী হওয়া শারীরিক ও মানসিকভাবে খুবই খারাপ। আমি ইতিমধ্যেই আমার উদ্বেগের কারণে পঙ্গু বোধ করছি এবং গর্ভবতী হওয়া আমাকে আরও বেশি অকেজো করে তোলে। যদিও আমি আমার মেয়ের সাথে দেখা করার জন্য উত্তেজিত, তবুও আমি এই ভেবে ভয় পাই যে আমি তার ভরণপোষণ করতে পারব না, অথবা আমি বাবা-মা হওয়ার চাপ সামলাতে পারব না। এটা সবই মাঝে মাঝে খুব বেশি মনে হয়, এবং আমি জানি না এই সমস্ত অস্বস্তিকর অনুভূতির সাথে কী করব। এটা মজার কারণ যদি আমার কোনও ক্লায়েন্টের সাথে এমনটা ঘটত, তাহলে আমি এটা সামলাতে পারতাম, কিন্তু যখন আমার ক্ষেত্রে আসে, তখন কোথা থেকে শুরু করব তা আমার কোনও ধারণা নেই। রাগ করার জন্য দুঃখিত। যদি আপনি এতদূর এসে থাকেন, তাহলে এটি পড়ার জন্য ধন্যবাদ।</v>
      </c>
    </row>
    <row r="2507" spans="1:3" ht="15" x14ac:dyDescent="0.25">
      <c r="A2507" s="3" t="s">
        <v>2500</v>
      </c>
      <c r="B2507" s="3" t="s">
        <v>1992</v>
      </c>
      <c r="C2507" s="4" t="str">
        <f ca="1">IFERROR(__xludf.DUMMYFUNCTION("GOOGLETRANSLATE(A2507, ""auto"", ""bn"")"),"কারো উদ্বেগের কিছু স্পষ্ট লক্ষণ কী কী? আমি জানি না আমার উদ্বেগ আছে, কিন্তু প্রায় সবকিছুর আগে আমি নার্ভাস হয়ে যাই, যেমন কর্মক্ষেত্রে/স্কুলে যাওয়া, বন্ধুদের সাথে দেখা করা, কেনাকাটা করা। এটা কি উদ্বেগ নাকি আমি শুধুই নার্ভাস?")</f>
        <v>কারো উদ্বেগের কিছু স্পষ্ট লক্ষণ কী কী? আমি জানি না আমার উদ্বেগ আছে, কিন্তু প্রায় সবকিছুর আগে আমি নার্ভাস হয়ে যাই, যেমন কর্মক্ষেত্রে/স্কুলে যাওয়া, বন্ধুদের সাথে দেখা করা, কেনাকাটা করা। এটা কি উদ্বেগ নাকি আমি শুধুই নার্ভাস?</v>
      </c>
    </row>
    <row r="2508" spans="1:3" ht="15" x14ac:dyDescent="0.25">
      <c r="A2508" s="3" t="s">
        <v>2501</v>
      </c>
      <c r="B2508" s="3" t="s">
        <v>1992</v>
      </c>
      <c r="C2508" s="4" t="str">
        <f ca="1">IFERROR(__xludf.DUMMYFUNCTION("GOOGLETRANSLATE(A2508, ""auto"", ""bn"")"),"নতুন পিসিপি নির্ধারিত ওষুধ... প্রথমত: আমি একটি ওষুধ চেষ্টা করেছিলাম, এবং এটি আমার জন্য খারাপ ছিল, তার মানে এই নয় যে এটি আপনার জন্য খারাপ হবে! এরপর: দুই সপ্তাহ আগে আমি আমার পিসিপির প্রেসক্রিপশন অনুসারে সিটালোপ্রাম খাওয়া শুরু করেছিলাম। দুটি ডোজ পরে পার্শ্"&amp;"ব প্রতিক্রিয়া এতটাই দুর্বল হয়ে পড়েছিল যে আমাকে থামাতে হয়েছিল। আমার পিসিপি আমাকে দুটি ডোজ পরে থামাতে অসুবিধা করেছিল এবং আজ জোর দিয়েছিল যে আমি হয় সিটালোপ্রামকে দ্বিতীয় সুযোগ দেব অথবা নতুন কিছু চেষ্টা করব। যখন আমি বললাম যে আমার টক থেরাপি শুরু হওয়ার প"&amp;"রে আমি কোনও নতুন ওষুধ শুরু করতে পছন্দ করি (১৮ জানুয়ারী), তখন আমার পিসিপি বলেছিল যে আমার উদ্বেগ/বিষণ্ণতা বজায় রাখার জন্য এখনই একটি ওষুধ নেওয়া দরকার। তিনি বলেছিলেন যে টক থেরাপি শুরু করা এবং এর কার্যকারিতার মধ্যে অপেক্ষা অনেক দীর্ঘ হবে। তিনি বলেছেন যে তিন"&amp;"ি আমার উপর ওষুধ চাপিয়ে দিতে চান না তবে আমার এখনই এটি প্রয়োজন। তদুপরি, তিনি ভেনলাফ্যাক্সিন ইআর লিখেছিলেন, কিন্তু আমি সত্যিই এটি শুরু করতে চাই না। সিটালোপ্রামের খারাপ অভিজ্ঞতার পর আমি সত্যিই আরও বেশি উদ্বিগ্ন এবং আমার মনে হচ্ছে না যে আমার পিসিপি আমাকে এতট"&amp;"া ভালোভাবে চেনেন যে দীর্ঘমেয়াদী প্রভাব এবং তীব্র প্রত্যাহারের ওষুধ লিখে দেওয়া শুরু করতে পারি। আমি বলেছিলাম যে আমি একটি প্রাকৃতিক পদ্ধতি পছন্দ করি, এবং সে বলে যে সে রাজি... কিন্তু তবুও আমাকে চাপ দিয়েছিল (দয়া এবং হাস্যরসের সাথে, কিন্তু তবুও চাপ দিয়ে) দ"&amp;"ুই সপ্তাহের জন্য ভেনলাফ্যাক্সিন ইআর নিতে রাজি হওয়ার জন্য। তাছাড়া, আমি জানি না কী করব।")</f>
        <v>নতুন পিসিপি নির্ধারিত ওষুধ... প্রথমত: আমি একটি ওষুধ চেষ্টা করেছিলাম, এবং এটি আমার জন্য খারাপ ছিল, তার মানে এই নয় যে এটি আপনার জন্য খারাপ হবে! এরপর: দুই সপ্তাহ আগে আমি আমার পিসিপির প্রেসক্রিপশন অনুসারে সিটালোপ্রাম খাওয়া শুরু করেছিলাম। দুটি ডোজ পরে পার্শ্ব প্রতিক্রিয়া এতটাই দুর্বল হয়ে পড়েছিল যে আমাকে থামাতে হয়েছিল। আমার পিসিপি আমাকে দুটি ডোজ পরে থামাতে অসুবিধা করেছিল এবং আজ জোর দিয়েছিল যে আমি হয় সিটালোপ্রামকে দ্বিতীয় সুযোগ দেব অথবা নতুন কিছু চেষ্টা করব। যখন আমি বললাম যে আমার টক থেরাপি শুরু হওয়ার পরে আমি কোনও নতুন ওষুধ শুরু করতে পছন্দ করি (১৮ জানুয়ারী), তখন আমার পিসিপি বলেছিল যে আমার উদ্বেগ/বিষণ্ণতা বজায় রাখার জন্য এখনই একটি ওষুধ নেওয়া দরকার। তিনি বলেছিলেন যে টক থেরাপি শুরু করা এবং এর কার্যকারিতার মধ্যে অপেক্ষা অনেক দীর্ঘ হবে। তিনি বলেছেন যে তিনি আমার উপর ওষুধ চাপিয়ে দিতে চান না তবে আমার এখনই এটি প্রয়োজন। তদুপরি, তিনি ভেনলাফ্যাক্সিন ইআর লিখেছিলেন, কিন্তু আমি সত্যিই এটি শুরু করতে চাই না। সিটালোপ্রামের খারাপ অভিজ্ঞতার পর আমি সত্যিই আরও বেশি উদ্বিগ্ন এবং আমার মনে হচ্ছে না যে আমার পিসিপি আমাকে এতটা ভালোভাবে চেনেন যে দীর্ঘমেয়াদী প্রভাব এবং তীব্র প্রত্যাহারের ওষুধ লিখে দেওয়া শুরু করতে পারি। আমি বলেছিলাম যে আমি একটি প্রাকৃতিক পদ্ধতি পছন্দ করি, এবং সে বলে যে সে রাজি... কিন্তু তবুও আমাকে চাপ দিয়েছিল (দয়া এবং হাস্যরসের সাথে, কিন্তু তবুও চাপ দিয়ে) দুই সপ্তাহের জন্য ভেনলাফ্যাক্সিন ইআর নিতে রাজি হওয়ার জন্য। তাছাড়া, আমি জানি না কী করব।</v>
      </c>
    </row>
    <row r="2509" spans="1:3" ht="15" x14ac:dyDescent="0.25">
      <c r="A2509" s="3" t="s">
        <v>2502</v>
      </c>
      <c r="B2509" s="3" t="s">
        <v>1992</v>
      </c>
      <c r="C2509" s="4" t="str">
        <f ca="1">IFERROR(__xludf.DUMMYFUNCTION("GOOGLETRANSLATE(A2509, ""auto"", ""bn"")"),"কী সমস্যা? আমার পরিচিত কাউকে দেখলে আমার কেন লালচে ভাব আসে? আমি আমার শহরের একটি স্থানীয় খুচরা দোকানে গ্রাহক সেবায় কাজ করি। আমি সাধারণত খুব স্বভাবসুলভ এবং কথাবার্তা বলি এবং কখনও অস্বস্তিকর হই না। যতক্ষণ না আমার কাজে এমন কেউ আসে যাকে আমি ব্যক্তিগতভাবে চিনি"&amp;" (হাই স্কুলের সহপাঠী, বন্ধুবান্ধব, বাবা-মা ইত্যাদি) ততক্ষণ আমার মুখ তাৎক্ষণিকভাবে লাল হয়ে যায়, আমি ঘামতে শুরু করি, আমার কণ্ঠস্বর কাঁপানো ছাড়া আমি কথা বলতে পারি না এবং আমি সম্পূর্ণরূপে হতবাক হয়ে যাই। এটি বিশ্বের সবচেয়ে অপমানজনক জিনিস এবং আমি বুঝতে পার"&amp;"ছি না কেন। আমি উদ্বেগের ওষুধ খাচ্ছি, কিন্তু তাতে কোনও লাভ হয়নি বলে মনে হচ্ছে। আমার চাকরি ছেড়ে দিতে ইচ্ছে করছে! এর অর্থ কী হতে পারে বা কী সাহায্য করতে পারে?")</f>
        <v>কী সমস্যা? আমার পরিচিত কাউকে দেখলে আমার কেন লালচে ভাব আসে? আমি আমার শহরের একটি স্থানীয় খুচরা দোকানে গ্রাহক সেবায় কাজ করি। আমি সাধারণত খুব স্বভাবসুলভ এবং কথাবার্তা বলি এবং কখনও অস্বস্তিকর হই না। যতক্ষণ না আমার কাজে এমন কেউ আসে যাকে আমি ব্যক্তিগতভাবে চিনি (হাই স্কুলের সহপাঠী, বন্ধুবান্ধব, বাবা-মা ইত্যাদি) ততক্ষণ আমার মুখ তাৎক্ষণিকভাবে লাল হয়ে যায়, আমি ঘামতে শুরু করি, আমার কণ্ঠস্বর কাঁপানো ছাড়া আমি কথা বলতে পারি না এবং আমি সম্পূর্ণরূপে হতবাক হয়ে যাই। এটি বিশ্বের সবচেয়ে অপমানজনক জিনিস এবং আমি বুঝতে পারছি না কেন। আমি উদ্বেগের ওষুধ খাচ্ছি, কিন্তু তাতে কোনও লাভ হয়নি বলে মনে হচ্ছে। আমার চাকরি ছেড়ে দিতে ইচ্ছে করছে! এর অর্থ কী হতে পারে বা কী সাহায্য করতে পারে?</v>
      </c>
    </row>
    <row r="2510" spans="1:3" ht="15" x14ac:dyDescent="0.25">
      <c r="A2510" s="3" t="s">
        <v>2503</v>
      </c>
      <c r="B2510" s="3" t="s">
        <v>1992</v>
      </c>
      <c r="C2510" s="4" t="str">
        <f ca="1">IFERROR(__xludf.DUMMYFUNCTION("GOOGLETRANSLATE(A2510, ""auto"", ""bn"")"),"ক্রমাগত উদ্বেগ নাকি অন্য কিছু? আমার প্রায় সবসময় বুকে টানটান ভাব অনুভব হয়, এবং আমি সত্যিই অনিশ্চিত এবং কিছুটা কাঁপতে থাকি। আমার সামাজিক উদ্বেগ ধরা পড়েছে, কিন্তু আমি বেশিরভাগ সময়ই এই চিন্তাভাবনা কাটিয়ে উঠেছি (খুব হঠাৎ করে, যখন আমি প্রায় 2 মাস আগে এইর"&amp;"কম অনুভব করতে শুরু করেছিলাম)। তাছাড়া, আমার মনে হয় আমার আত্মবিশ্বাস বেড়েছে, এবং আমি আমার মতামত এবং জিনিসপত্র সম্পর্কে আরও নিশ্চিত, কিন্তু একই সাথে আমি শারীরিক এবং মানসিকভাবে আরও খারাপ বোধ করি। আমার মাথা সাধারণত কিছুটা পরিষ্কার থাকে, তবে আমি মনে করি বিষণ"&amp;"্ণতার কারণে কুয়াশাচ্ছন্ন, এবং কখনও কখনও আমি কোনও ঘটনা বা আসন্ন কিছু সম্পর্কে চিন্তা করি, তবে আমার মনে হয় না যে আমি এটি নিয়ে চিন্তিত। কখনও কখনও আমার পেট খারাপ হবে, এবং আমি কাঁপতে থাকব, তবে আমার মাথা পরিষ্কার থাকবে। এটা কি উদ্বেগ, এটি আমার মাথায় যা আগে "&amp;"উদ্বিগ্ন বোধ করত তার অনুরূপ জিনিস দ্বারা উদ্ভূত।")</f>
        <v>ক্রমাগত উদ্বেগ নাকি অন্য কিছু? আমার প্রায় সবসময় বুকে টানটান ভাব অনুভব হয়, এবং আমি সত্যিই অনিশ্চিত এবং কিছুটা কাঁপতে থাকি। আমার সামাজিক উদ্বেগ ধরা পড়েছে, কিন্তু আমি বেশিরভাগ সময়ই এই চিন্তাভাবনা কাটিয়ে উঠেছি (খুব হঠাৎ করে, যখন আমি প্রায় 2 মাস আগে এইরকম অনুভব করতে শুরু করেছিলাম)। তাছাড়া, আমার মনে হয় আমার আত্মবিশ্বাস বেড়েছে, এবং আমি আমার মতামত এবং জিনিসপত্র সম্পর্কে আরও নিশ্চিত, কিন্তু একই সাথে আমি শারীরিক এবং মানসিকভাবে আরও খারাপ বোধ করি। আমার মাথা সাধারণত কিছুটা পরিষ্কার থাকে, তবে আমি মনে করি বিষণ্ণতার কারণে কুয়াশাচ্ছন্ন, এবং কখনও কখনও আমি কোনও ঘটনা বা আসন্ন কিছু সম্পর্কে চিন্তা করি, তবে আমার মনে হয় না যে আমি এটি নিয়ে চিন্তিত। কখনও কখনও আমার পেট খারাপ হবে, এবং আমি কাঁপতে থাকব, তবে আমার মাথা পরিষ্কার থাকবে। এটা কি উদ্বেগ, এটি আমার মাথায় যা আগে উদ্বিগ্ন বোধ করত তার অনুরূপ জিনিস দ্বারা উদ্ভূত।</v>
      </c>
    </row>
    <row r="2511" spans="1:3" ht="15" x14ac:dyDescent="0.25">
      <c r="A2511" s="3" t="s">
        <v>2504</v>
      </c>
      <c r="B2511" s="3" t="s">
        <v>1992</v>
      </c>
      <c r="C2511" s="4" t="str">
        <f ca="1">IFERROR(__xludf.DUMMYFUNCTION("GOOGLETRANSLATE(A2511, ""auto"", ""bn"")"),"ফোনে সাক্ষাৎকার নিলেই আমি হাসি থামাতে পারছি না। ফোনের দুশ্চিন্তা খারাপ। তিন বছর আগেও তুমি আমাকে কখনো ফোন তুলতে দেখোনি। আর বিরল মুহূর্তের মধ্যে, আমি হয় আমার পরিবারের কাছে ফোনটা তুলে দিতাম, নইলে তোতলাতে থাকতাম এবং ফোন কলের সবকিছু ঘৃণা করে শেষ করতাম। সহজতম "&amp;"প্রশ্নগুলোও আমি ভুলে যেতাম, অথবা নীরবতার প্রতি সেকেন্ডে অতিরিক্ত চিন্তা করতাম। আমার ফোন বেজে উঠলেই আমার চোখ ঝিমিয়ে যেত। আর তারপর আমি এমন এক পর্যায়ে পৌঁছে যেতাম যেখানে আমি ক্লান্ত হয়ে পড়তাম। আমি বিশ্ববিদ্যালয়ে ভর্তি হচ্ছিলাম এবং নিজের জন্য একটা ফোনও ক"&amp;"রতে পারছিলাম না, আমার ভালোটা নেওয়ার দুশ্চিন্তা না থাকলে। তারপর আমি আমার বন্ধুবান্ধব এবং পরিবারের কাছে সাহায্য চাইলাম। আমি ধাপে ধাপে এটি গ্রহণ করলাম, এবং কয়েক সেকেন্ডের জন্য তাদের ফোন করলাম। তারা আমাকে এত শান্ত করতে সাহায্য করতো যে আমি ভাবতে পারবো। এবং তা"&amp;"রপর যখন আমি একটু আত্মবিশ্বাস পেতে শুরু করলাম, তখন আমি নিজেকে অন্যদের সাথে ফোন করার জন্য উৎসাহিত করলাম। অবশ্যই আমাকে প্রতিটি কলের জন্য স্ক্রিপ্ট লিখতে হত, এবং উত্তরগুলি আগে থেকেই অনুমান করতে হত যাতে আমি স্ক্রিপ্টগুলি লিখতে পারি, কিন্তু তবুও এটি আমাকে সেখান"&amp;"ে নিয়ে এসেছিল। আমি ফোন করতে শুরু করেছিলাম। ডাক্তারের অ্যাপয়েন্টমেন্ট বুক করা থেকে শুরু করে রেস্তোরাঁয় খাবার সম্পর্কে জিজ্ঞাসা করার জন্য ফোন করা পর্যন্ত, আমি এটি করেছি, এবং কল করার পরে প্রতিবার যে গর্ব অনুভব করতাম তা ব্যাখ্যাতীত ছিল। তবুও আমার মনে সেই চ"&amp;"িন্তাভাবনা ছিল, আমি আরও ভালভাবে কী বলতে পারতাম, কীভাবে আমি আমার সুর পরিবর্তন করতে পারতাম। কিন্তু অবশেষে প্রতিটি ফোন কলের পরে আমি নিজেকে মনে করিয়ে দিলাম যে আমি কী অর্জন করেছি। আমি আজ একটি নির্ধারিত ফোন সাক্ষাৎকার থেকে ফোন কেটে দিয়েছি। আমি এর জন্য একটি স্"&amp;"ক্রিপ্ট লিখিনি। পরিবর্তে, আমি কেবল একটি সাধারণ চাকরির সাক্ষাৎকারের জন্য যা করার ছিল তা করেছি, যতটা সম্ভব প্রস্তুতি এবং গবেষণা করেছি। এবং তারপরে আমি কেবল ফোন কলের উত্তর দিয়েছি এবং কথোপকথন করেছি। কিছু সময়ে আমার কণ্ঠস্বর কাঁপছিল, কিন্তু আমি জানি যে আমার এখ"&amp;"নও বড় হওয়া বাকি আছে। আমি আবার একটি সাক্ষাৎকার পেয়েছি - ব্যক্তিগতভাবে! যা আমার কাছে, ফোনের চেয়ে অনেক সহজ, তাই আমি আশা করি এটি ভালভাবে শেষ হবে। আমি বুঝতে পারছি ফোনের উদ্বেগ কতটা অস্থির হতে পারে, কিন্তু অনুশীলন এবং সঠিক সহায়তার মাধ্যমে আমি আপনাকে শপথ কর"&amp;"ছি যে এটি সত্যিই আরও ভালো হতে পারে। যদি কারও কখনও প্রয়োজন হয়, আমি এখানে কলিং অনুশীলন অফার করতে এসেছি, কারণ এটি আমাকে অনেক সাহায্য করেছে। আমরা এটা করতে পারি!!")</f>
        <v>ফোনে সাক্ষাৎকার নিলেই আমি হাসি থামাতে পারছি না। ফোনের দুশ্চিন্তা খারাপ। তিন বছর আগেও তুমি আমাকে কখনো ফোন তুলতে দেখোনি। আর বিরল মুহূর্তের মধ্যে, আমি হয় আমার পরিবারের কাছে ফোনটা তুলে দিতাম, নইলে তোতলাতে থাকতাম এবং ফোন কলের সবকিছু ঘৃণা করে শেষ করতাম। সহজতম প্রশ্নগুলোও আমি ভুলে যেতাম, অথবা নীরবতার প্রতি সেকেন্ডে অতিরিক্ত চিন্তা করতাম। আমার ফোন বেজে উঠলেই আমার চোখ ঝিমিয়ে যেত। আর তারপর আমি এমন এক পর্যায়ে পৌঁছে যেতাম যেখানে আমি ক্লান্ত হয়ে পড়তাম। আমি বিশ্ববিদ্যালয়ে ভর্তি হচ্ছিলাম এবং নিজের জন্য একটা ফোনও করতে পারছিলাম না, আমার ভালোটা নেওয়ার দুশ্চিন্তা না থাকলে। তারপর আমি আমার বন্ধুবান্ধব এবং পরিবারের কাছে সাহায্য চাইলাম। আমি ধাপে ধাপে এটি গ্রহণ করলাম, এবং কয়েক সেকেন্ডের জন্য তাদের ফোন করলাম। তারা আমাকে এত শান্ত করতে সাহায্য করতো যে আমি ভাবতে পারবো। এবং তারপর যখন আমি একটু আত্মবিশ্বাস পেতে শুরু করলাম, তখন আমি নিজেকে অন্যদের সাথে ফোন করার জন্য উৎসাহিত করলাম। অবশ্যই আমাকে প্রতিটি কলের জন্য স্ক্রিপ্ট লিখতে হত, এবং উত্তরগুলি আগে থেকেই অনুমান করতে হত যাতে আমি স্ক্রিপ্টগুলি লিখতে পারি, কিন্তু তবুও এটি আমাকে সেখানে নিয়ে এসেছিল। আমি ফোন করতে শুরু করেছিলাম। ডাক্তারের অ্যাপয়েন্টমেন্ট বুক করা থেকে শুরু করে রেস্তোরাঁয় খাবার সম্পর্কে জিজ্ঞাসা করার জন্য ফোন করা পর্যন্ত, আমি এটি করেছি, এবং কল করার পরে প্রতিবার যে গর্ব অনুভব করতাম তা ব্যাখ্যাতীত ছিল। তবুও আমার মনে সেই চিন্তাভাবনা ছিল, আমি আরও ভালভাবে কী বলতে পারতাম, কীভাবে আমি আমার সুর পরিবর্তন করতে পারতাম। কিন্তু অবশেষে প্রতিটি ফোন কলের পরে আমি নিজেকে মনে করিয়ে দিলাম যে আমি কী অর্জন করেছি। আমি আজ একটি নির্ধারিত ফোন সাক্ষাৎকার থেকে ফোন কেটে দিয়েছি। আমি এর জন্য একটি স্ক্রিপ্ট লিখিনি। পরিবর্তে, আমি কেবল একটি সাধারণ চাকরির সাক্ষাৎকারের জন্য যা করার ছিল তা করেছি, যতটা সম্ভব প্রস্তুতি এবং গবেষণা করেছি। এবং তারপরে আমি কেবল ফোন কলের উত্তর দিয়েছি এবং কথোপকথন করেছি। কিছু সময়ে আমার কণ্ঠস্বর কাঁপছিল, কিন্তু আমি জানি যে আমার এখনও বড় হওয়া বাকি আছে। আমি আবার একটি সাক্ষাৎকার পেয়েছি - ব্যক্তিগতভাবে! যা আমার কাছে, ফোনের চেয়ে অনেক সহজ, তাই আমি আশা করি এটি ভালভাবে শেষ হবে। আমি বুঝতে পারছি ফোনের উদ্বেগ কতটা অস্থির হতে পারে, কিন্তু অনুশীলন এবং সঠিক সহায়তার মাধ্যমে আমি আপনাকে শপথ করছি যে এটি সত্যিই আরও ভালো হতে পারে। যদি কারও কখনও প্রয়োজন হয়, আমি এখানে কলিং অনুশীলন অফার করতে এসেছি, কারণ এটি আমাকে অনেক সাহায্য করেছে। আমরা এটা করতে পারি!!</v>
      </c>
    </row>
    <row r="2512" spans="1:3" ht="15" x14ac:dyDescent="0.25">
      <c r="A2512" s="3" t="s">
        <v>2505</v>
      </c>
      <c r="B2512" s="3" t="s">
        <v>1992</v>
      </c>
      <c r="C2512" s="4" t="str">
        <f ca="1">IFERROR(__xludf.DUMMYFUNCTION("GOOGLETRANSLATE(A2512, ""auto"", ""bn"")"),"আমার বয়স ১৮ এবং আমার জীবনে ঘটে যাওয়া পরিস্থিতিগুলো খুব বেশি ভাবা বন্ধ করার জন্য কিছু টিপস প্রয়োজন, যা সবসময়ই আমার জীবনে ঘটে যাওয়া পরিস্থিতিগুলোকে সবচেয়ে খারাপ পরিণতির দিকে নিয়ে যায়, যখন আসলে তা ঘটেই না। গল্পটা সংক্ষেপে বলতে গেলে, ২ দিন আগে আমি একটি রুটস স"&amp;"্টোর থেকে একটি হুড কিনেছিলাম এবং দোকান থেকে বেরোনোর ​​সময় কাউন্টারে আমার ডেবিট কার্ডটি একেবারে ভুলে গিয়েছিলাম। ভাগ্যক্রমে দোকান থেকে বেরোনোর ​​২ মিনিট পর ক্যাশিয়ার আমাকে খুঁজে পেয়ে কার্ডটি আমাকে ফিরিয়ে দিয়েছিল। সেদিন বাড়ি ফিরে আসার পর আমার মাথাটা পাগল হ"&amp;"য়ে যাচ্ছিল, ভাবছিল কেউ যদি আমার কার্ড নম্বরের ছবি তুলে নেয় এবং আমি কতটা বোকা হয়ে এমন কাজ করি। অথবা যে কার্ডটি ফেরত দেওয়া হয়েছিল তা কীভাবে জাল ছিল। কিন্তু বাস্তবে এর কিছুই ঘটেনি কারণ আমার ব্যাংক স্টেটমেন্ট ২ দিন পরেও পরিষ্কার ছিল। আমি সম্ভবত খুব ক্লান্ত ছি"&amp;"লাম এবং আমার মস্তিষ্ক পাদ দেওয়া শুরু করেছিলাম কারণ আমি সেদিন ৫ ঘন্টারও বেশি সময় ধরে মলে ছিলাম। আর যখন আমি অসুস্থ থাকি তখন আমি গুগলে খোঁজা শুরু করি। আর আমার অসুস্থতা কীভাবে আরও খারাপ হচ্ছে তা অতিরিক্ত ভাবি। অবশেষে, আমি বর্তমানে আমার আক্কেল দাঁত নিয়ে অতির"&amp;"িক্ত চিন্তা করছি। আমার বাবা-মা ইঙ্গিত দিয়েছিলেন যে তারা কীভাবে আমার আক্কেল দাঁত অপসারণ করতে চান এবং তারপর থেকে আমি অন্যদের ইউটিউব ভিডিও দেখছি যেখানে তাদের অভিজ্ঞতা সম্পর্কে আলোচনা করা হয়েছে, কিন্তু অস্ত্রোপচারের ফলাফল নিয়েও অতিরিক্ত চিন্তা করছি কারণ আম"&amp;"ি এটি খুব বেশি পছন্দ করিনি। যে কোনও টিপস দেওয়ার জন্য ধন্যবাদ কারণ আমি সত্যিই এটি কাটিয়ে উঠতে চাই।")</f>
        <v>আমার বয়স ১৮ এবং আমার জীবনে ঘটে যাওয়া পরিস্থিতিগুলো খুব বেশি ভাবা বন্ধ করার জন্য কিছু টিপস প্রয়োজন, যা সবসময়ই আমার জীবনে ঘটে যাওয়া পরিস্থিতিগুলোকে সবচেয়ে খারাপ পরিণতির দিকে নিয়ে যায়, যখন আসলে তা ঘটেই না। গল্পটা সংক্ষেপে বলতে গেলে, ২ দিন আগে আমি একটি রুটস স্টোর থেকে একটি হুড কিনেছিলাম এবং দোকান থেকে বেরোনোর ​​সময় কাউন্টারে আমার ডেবিট কার্ডটি একেবারে ভুলে গিয়েছিলাম। ভাগ্যক্রমে দোকান থেকে বেরোনোর ​​২ মিনিট পর ক্যাশিয়ার আমাকে খুঁজে পেয়ে কার্ডটি আমাকে ফিরিয়ে দিয়েছিল। সেদিন বাড়ি ফিরে আসার পর আমার মাথাটা পাগল হয়ে যাচ্ছিল, ভাবছিল কেউ যদি আমার কার্ড নম্বরের ছবি তুলে নেয় এবং আমি কতটা বোকা হয়ে এমন কাজ করি। অথবা যে কার্ডটি ফেরত দেওয়া হয়েছিল তা কীভাবে জাল ছিল। কিন্তু বাস্তবে এর কিছুই ঘটেনি কারণ আমার ব্যাংক স্টেটমেন্ট ২ দিন পরেও পরিষ্কার ছিল। আমি সম্ভবত খুব ক্লান্ত ছিলাম এবং আমার মস্তিষ্ক পাদ দেওয়া শুরু করেছিলাম কারণ আমি সেদিন ৫ ঘন্টারও বেশি সময় ধরে মলে ছিলাম। আর যখন আমি অসুস্থ থাকি তখন আমি গুগলে খোঁজা শুরু করি। আর আমার অসুস্থতা কীভাবে আরও খারাপ হচ্ছে তা অতিরিক্ত ভাবি। অবশেষে, আমি বর্তমানে আমার আক্কেল দাঁত নিয়ে অতিরিক্ত চিন্তা করছি। আমার বাবা-মা ইঙ্গিত দিয়েছিলেন যে তারা কীভাবে আমার আক্কেল দাঁত অপসারণ করতে চান এবং তারপর থেকে আমি অন্যদের ইউটিউব ভিডিও দেখছি যেখানে তাদের অভিজ্ঞতা সম্পর্কে আলোচনা করা হয়েছে, কিন্তু অস্ত্রোপচারের ফলাফল নিয়েও অতিরিক্ত চিন্তা করছি কারণ আমি এটি খুব বেশি পছন্দ করিনি। যে কোনও টিপস দেওয়ার জন্য ধন্যবাদ কারণ আমি সত্যিই এটি কাটিয়ে উঠতে চাই।</v>
      </c>
    </row>
    <row r="2513" spans="1:3" ht="15" x14ac:dyDescent="0.25">
      <c r="A2513" s="3" t="s">
        <v>2506</v>
      </c>
      <c r="B2513" s="3" t="s">
        <v>1992</v>
      </c>
      <c r="C2513" s="4" t="str">
        <f ca="1">IFERROR(__xludf.DUMMYFUNCTION("GOOGLETRANSLATE(A2513, ""auto"", ""bn"")"),"সঙ্গীতের প্রতিকূল। শুধু দেখতে চাই আমি কি একা এই পরিস্থিতিতে আছি কি না - কিন্তু সঙ্গীত সবসময় আমার উদ্বেগকে জাগিয়ে তোলে। আমি জানি উদ্বেগ শান্ত করার একটি বড় উপায় হল সঙ্গীত শোনা, কিন্তু আমি মনে করি এর বিপরীত প্রভাব রয়েছে। আমি খুব কম ব্যান্ড/গান শুনতে পার"&amp;"ি। আমি কি এখানে একাই? আমি যাকে বলি সে যেন পাগলের মতো আচরণ করে।")</f>
        <v>সঙ্গীতের প্রতিকূল। শুধু দেখতে চাই আমি কি একা এই পরিস্থিতিতে আছি কি না - কিন্তু সঙ্গীত সবসময় আমার উদ্বেগকে জাগিয়ে তোলে। আমি জানি উদ্বেগ শান্ত করার একটি বড় উপায় হল সঙ্গীত শোনা, কিন্তু আমি মনে করি এর বিপরীত প্রভাব রয়েছে। আমি খুব কম ব্যান্ড/গান শুনতে পারি। আমি কি এখানে একাই? আমি যাকে বলি সে যেন পাগলের মতো আচরণ করে।</v>
      </c>
    </row>
    <row r="2514" spans="1:3" ht="15" x14ac:dyDescent="0.25">
      <c r="A2514" s="3" t="s">
        <v>2507</v>
      </c>
      <c r="B2514" s="3" t="s">
        <v>1992</v>
      </c>
      <c r="C2514" s="4" t="str">
        <f ca="1">IFERROR(__xludf.DUMMYFUNCTION("GOOGLETRANSLATE(A2514, ""auto"", ""bn"")"),"আমার স্বামী সিদ্ধান্ত নিয়েছে যে তারা আমার বন্ধুদের সাথে দেখা করতে বাইরে যাওয়ার জন্য একটা ছোট ভ্রমণে যাবে। সে ৩ ঘন্টা আগে চলে গেছে এবং আজ সন্ধ্যায় দেরি করে ফিরে আসবে। সে চলে যাওয়ার প্রায় এক ঘন্টা পর আমার দুশ্চিন্তা শুরু হয়ে গেল। আমি অস্বস্তি (উদ্বেগ) অনুভব"&amp;" করতে শুরু করলাম এবং আমার মাথা ঘুরপাক খেতে লাগলো, যদি আমি অসুস্থ হই? আমি একা বাচ্চাদের যত্ন নেব কীভাবে? যদি সে কোনও বিপদে পড়ে? আমি একা এটা করতে পারব না। Â এই সব হাস্যকর। আমি একজন শক্তিশালী স্বাধীন মহিলা যে তার জিনিসপত্র সামলাতে পারে। আমি বিরক্ত যে আমার উ"&amp;"দ্বেগ হচ্ছে এবং আমি দুর্বল বোধ করতে ঘৃণা করি। অবশ্যই, আমি ঠিক থাকব। আমি অসুস্থ নই। আমার বাচ্চাদের খাওয়ানো হবে এবং তাদের যত্ন নেওয়া হবে কারণ আমি একজন লাজুক মা। আমার চেতনার ধারা পড়ার জন্য আপনাকে ধন্যবাদ, কারণ আমি একটি জোড়া বড় করার এবং আজকের বাকি দিনটি "&amp;"কাঁপানোর সিদ্ধান্ত নিচ্ছি। চালিয়ে যান।")</f>
        <v>আমার স্বামী সিদ্ধান্ত নিয়েছে যে তারা আমার বন্ধুদের সাথে দেখা করতে বাইরে যাওয়ার জন্য একটা ছোট ভ্রমণে যাবে। সে ৩ ঘন্টা আগে চলে গেছে এবং আজ সন্ধ্যায় দেরি করে ফিরে আসবে। সে চলে যাওয়ার প্রায় এক ঘন্টা পর আমার দুশ্চিন্তা শুরু হয়ে গেল। আমি অস্বস্তি (উদ্বেগ) অনুভব করতে শুরু করলাম এবং আমার মাথা ঘুরপাক খেতে লাগলো, যদি আমি অসুস্থ হই? আমি একা বাচ্চাদের যত্ন নেব কীভাবে? যদি সে কোনও বিপদে পড়ে? আমি একা এটা করতে পারব না। Â এই সব হাস্যকর। আমি একজন শক্তিশালী স্বাধীন মহিলা যে তার জিনিসপত্র সামলাতে পারে। আমি বিরক্ত যে আমার উদ্বেগ হচ্ছে এবং আমি দুর্বল বোধ করতে ঘৃণা করি। অবশ্যই, আমি ঠিক থাকব। আমি অসুস্থ নই। আমার বাচ্চাদের খাওয়ানো হবে এবং তাদের যত্ন নেওয়া হবে কারণ আমি একজন লাজুক মা। আমার চেতনার ধারা পড়ার জন্য আপনাকে ধন্যবাদ, কারণ আমি একটি জোড়া বড় করার এবং আজকের বাকি দিনটি কাঁপানোর সিদ্ধান্ত নিচ্ছি। চালিয়ে যান।</v>
      </c>
    </row>
    <row r="2515" spans="1:3" ht="15" x14ac:dyDescent="0.25">
      <c r="A2515" s="3" t="s">
        <v>2508</v>
      </c>
      <c r="B2515" s="3" t="s">
        <v>1992</v>
      </c>
      <c r="C2515" s="4" t="str">
        <f ca="1">IFERROR(__xludf.DUMMYFUNCTION("GOOGLETRANSLATE(A2515, ""auto"", ""bn"")"),"৭ বার স্কুলে ফেল করার পর এবং জীবনে কোথাও না পাওয়ার পর, ৫ বছরের বিরতির পর আমি আবার স্কুল শুরু করছি, এবং আমি খুব ভয় পাচ্ছি নতুন সদস্য, তাই এটা কীভাবে কাজ করে তা নিশ্চিত নই, তবে আশা করি এটা ঠিক হয়ে যাবে। মোবাইলেও, ফর্ম্যাটিং সমস্যার জন্য দুঃখিত। আমার বয়স ২"&amp;"২ এবং ১৭ বছর বয়স থেকেই ছোট ছোট চাকরি/ইন্টার্নশিপে কাজ করছি কারণ আমি কখনও স্কুল শেষ করতে পারিনি। আমি প্রতিবারই আমার সর্বোচ্চ চেষ্টা করেছি এবং কেন এটি কখনও কাজ করেনি তা নিশ্চিত ছিলাম না, কিন্তু প্রতিটি ব্যর্থতার মুহূর্ত স্কুলে যাওয়ার ভয়কে আরও গভীর করে তু"&amp;"লেছে এবং এখন আমি এমন একটি মানসিক অবস্থায় আছি যেখানে স্কুল ভবনের ভেতরে পা রাখলে আমার উদ্বেগের আক্রমণ হয়। তদুপরি, আমি মেনে নিয়েছিলাম যে আমার বাকি জীবন স্বল্পমেয়াদী ন্যূনতম মজুরির চাকরি করা উচিত, কিন্তু সময়ের সাথে সাথে এটি আমার উদ্বেগকেও আরও গভীর করেছে "&amp;"কারণ আমি কখনও নিরাপদ বোধ করি না বা কোনও স্বাভাবিক রুটিনও পাই না। তদুপরি, আমি অবশেষে এমন একটি সর্পিল অবস্থায় আটকে গেলাম যেখানে বিভিন্ন ইন্টার্নশিপ আমাকে বলেছিল যে আমার সম্ভাবনা এবং প্রচুর কাজের নীতি আছে কিন্তু কোনও কোম্পানিতে থাকার জন্য আমার কোনও শিক্ষা ন"&amp;"েই। এটা হাস্যকর শোনাচ্ছে কিন্তু নিজেকে শিক্ষিত করার জন্য উৎসাহিত করার পরিবর্তে এটি মানসিকভাবে খুব খারাপ অবস্থানে ফেলেছে, এবং আমি কোনও চাকরির জন্য আবেদন করতে খুব ভয় পেয়েছিলাম। এটা ব্যাখ্যা করা কঠিন, কিন্তু এটি স্কুলে যাওয়ার ভয়ের সাথে খুব মিল। জীবনকে শে"&amp;"ষবারের মতো উৎসর্গ করার সিদ্ধান্ত নিয়ে আমি চাকরি খোঁজার চেষ্টা করি এবং 6 মাসের ইন্টার্নশিপ শুরু করি। আমি তিন মাস ধরে সেখানে আছি এবং আগের মতোই আমাকে বলা হয়েছে যে আমার সম্ভাবনা এবং দুর্দান্ত কাজের নীতি আছে কিন্তু দুঃখের বিষয় হল কোনও শিক্ষা নেই। যাইহোক, বস"&amp;" অবিশ্বাস্যভাবে মিষ্টি এবং বাকি 3 মাস পড়াশোনার সাথে একত্রিত করার জন্য একটি অবিশ্বাস্যরকম সদয় প্রস্তাব দিয়েছিলেন। আমি আনন্দের সাথে রাজি হয়েছিলাম এবং কয়েকটি স্কুল পরিদর্শন করেছি। পরিদর্শনগুলি ভয়াবহ ছিল, এবং সেগুলি সবই আতঙ্কের আক্রমণে শেষ হয়েছিল। আমি "&amp;"যদিও আবেদন করেছিলাম এবং কয়েক সপ্তাহের মধ্যে শুরু হওয়া একটি কোর্সে গৃহীত হয়েছিলাম। যদিও এটি দুর্দান্ত, আমি কাজ করতে পারি না। যখনই এটির কথা বলা হয় তখন আমি সত্যিই খুব খারাপ হয়ে যাই, এবং আমি নিশ্চিত নই যে আমি কীভাবে শারীরিকভাবে ক্লাসে যোগ দিতে পারব যখন আ"&amp;"মি ভেঙে না পড়ে এটি সম্পর্কে কথা বলতেও পারি না। যদিও আমি কখনো মৃত্যুকে ভয় পাইনি এবং সত্যি বলতে, এই পরিস্থিতির একমাত্র সম্ভাব্য পরিণতি হিসেবে এটিকেই দেখি, তবুও আমি একবারের জন্য হলেও এই কাজটি করার উপায় খুঁজে বের করতে মরিয়া। যদি আপনারও একই রকম পরিস্থিতির সম"&amp;"্মুখীন হয়ে থাকেন এবং/অথবা আপনার কোন পরামর্শ থাকে, তাহলে দয়া করে আমাকে সাহায্য করুন।")</f>
        <v>৭ বার স্কুলে ফেল করার পর এবং জীবনে কোথাও না পাওয়ার পর, ৫ বছরের বিরতির পর আমি আবার স্কুল শুরু করছি, এবং আমি খুব ভয় পাচ্ছি নতুন সদস্য, তাই এটা কীভাবে কাজ করে তা নিশ্চিত নই, তবে আশা করি এটা ঠিক হয়ে যাবে। মোবাইলেও, ফর্ম্যাটিং সমস্যার জন্য দুঃখিত। আমার বয়স ২২ এবং ১৭ বছর বয়স থেকেই ছোট ছোট চাকরি/ইন্টার্নশিপে কাজ করছি কারণ আমি কখনও স্কুল শেষ করতে পারিনি। আমি প্রতিবারই আমার সর্বোচ্চ চেষ্টা করেছি এবং কেন এটি কখনও কাজ করেনি তা নিশ্চিত ছিলাম না, কিন্তু প্রতিটি ব্যর্থতার মুহূর্ত স্কুলে যাওয়ার ভয়কে আরও গভীর করে তুলেছে এবং এখন আমি এমন একটি মানসিক অবস্থায় আছি যেখানে স্কুল ভবনের ভেতরে পা রাখলে আমার উদ্বেগের আক্রমণ হয়। তদুপরি, আমি মেনে নিয়েছিলাম যে আমার বাকি জীবন স্বল্পমেয়াদী ন্যূনতম মজুরির চাকরি করা উচিত, কিন্তু সময়ের সাথে সাথে এটি আমার উদ্বেগকেও আরও গভীর করেছে কারণ আমি কখনও নিরাপদ বোধ করি না বা কোনও স্বাভাবিক রুটিনও পাই না। তদুপরি, আমি অবশেষে এমন একটি সর্পিল অবস্থায় আটকে গেলাম যেখানে বিভিন্ন ইন্টার্নশিপ আমাকে বলেছিল যে আমার সম্ভাবনা এবং প্রচুর কাজের নীতি আছে কিন্তু কোনও কোম্পানিতে থাকার জন্য আমার কোনও শিক্ষা নেই। এটা হাস্যকর শোনাচ্ছে কিন্তু নিজেকে শিক্ষিত করার জন্য উৎসাহিত করার পরিবর্তে এটি মানসিকভাবে খুব খারাপ অবস্থানে ফেলেছে, এবং আমি কোনও চাকরির জন্য আবেদন করতে খুব ভয় পেয়েছিলাম। এটা ব্যাখ্যা করা কঠিন, কিন্তু এটি স্কুলে যাওয়ার ভয়ের সাথে খুব মিল। জীবনকে শেষবারের মতো উৎসর্গ করার সিদ্ধান্ত নিয়ে আমি চাকরি খোঁজার চেষ্টা করি এবং 6 মাসের ইন্টার্নশিপ শুরু করি। আমি তিন মাস ধরে সেখানে আছি এবং আগের মতোই আমাকে বলা হয়েছে যে আমার সম্ভাবনা এবং দুর্দান্ত কাজের নীতি আছে কিন্তু দুঃখের বিষয় হল কোনও শিক্ষা নেই। যাইহোক, বস অবিশ্বাস্যভাবে মিষ্টি এবং বাকি 3 মাস পড়াশোনার সাথে একত্রিত করার জন্য একটি অবিশ্বাস্যরকম সদয় প্রস্তাব দিয়েছিলেন। আমি আনন্দের সাথে রাজি হয়েছিলাম এবং কয়েকটি স্কুল পরিদর্শন করেছি। পরিদর্শনগুলি ভয়াবহ ছিল, এবং সেগুলি সবই আতঙ্কের আক্রমণে শেষ হয়েছিল। আমি যদিও আবেদন করেছিলাম এবং কয়েক সপ্তাহের মধ্যে শুরু হওয়া একটি কোর্সে গৃহীত হয়েছিলাম। যদিও এটি দুর্দান্ত, আমি কাজ করতে পারি না। যখনই এটির কথা বলা হয় তখন আমি সত্যিই খুব খারাপ হয়ে যাই, এবং আমি নিশ্চিত নই যে আমি কীভাবে শারীরিকভাবে ক্লাসে যোগ দিতে পারব যখন আমি ভেঙে না পড়ে এটি সম্পর্কে কথা বলতেও পারি না। যদিও আমি কখনো মৃত্যুকে ভয় পাইনি এবং সত্যি বলতে, এই পরিস্থিতির একমাত্র সম্ভাব্য পরিণতি হিসেবে এটিকেই দেখি, তবুও আমি একবারের জন্য হলেও এই কাজটি করার উপায় খুঁজে বের করতে মরিয়া। যদি আপনারও একই রকম পরিস্থিতির সম্মুখীন হয়ে থাকেন এবং/অথবা আপনার কোন পরামর্শ থাকে, তাহলে দয়া করে আমাকে সাহায্য করুন।</v>
      </c>
    </row>
    <row r="2516" spans="1:3" ht="15" x14ac:dyDescent="0.25">
      <c r="A2516" s="3" t="s">
        <v>2509</v>
      </c>
      <c r="B2516" s="3" t="s">
        <v>1992</v>
      </c>
      <c r="C2516" s="4" t="str">
        <f ca="1">IFERROR(__xludf.DUMMYFUNCTION("GOOGLETRANSLATE(A2516, ""auto"", ""bn"")"),"কেন একজন পুরুষকে শিশু করে তোলে? সিনেমার কিছু চরিত্রকে কেন বোবা বলা হয় অথবা কিছু চরিত্রকে অপছন্দনীয় বলা হয়? যেমন কেন কিছু মানুষ ব্যাটম্যানকে পছন্দ করে কিন্তু আমার মনে হয় তার কোন রসবোধ নেই এবং বেশিরভাগই তাকে পুরুষালি মনে করে। পুরুষ হতে হলে কি আমাকে তার "&amp;"মতো হতে হবে? আমার প্রশ্ন হল, কাউকে মানুষ করে তোলে কী?? হয়তো আমি ""নিখুঁত"" হওয়ার চেষ্টা করে অতিরিক্ত চিন্তা করি এবং সেই অতিরিক্ত চিন্তাভাবনা আমাকে পাগল করে তোলে এবং উন্নতির জন্য কিছুই করতে পারে না। আর সারাদিন FAP। আমি বন্ধুত্বও করতে পারি না। আমি পছন্দের"&amp;" জন্য যথাসাধ্য চেষ্টা করি। আসলে আমার বিষণ্ণতা আমাকে ভাবায় যে কেউ আমার সম্পর্কে এতটাও চিন্তা করে না যে আমি আছি। হয়তো আমার ইন্ডিয়ানা জোন্সের মতো হওয়া উচিত... তার শান্ত, শান্ত স্বভাব আছে। কিন্তু আমি জানি না কিভাবে। ধন্যবাদ।")</f>
        <v>কেন একজন পুরুষকে শিশু করে তোলে? সিনেমার কিছু চরিত্রকে কেন বোবা বলা হয় অথবা কিছু চরিত্রকে অপছন্দনীয় বলা হয়? যেমন কেন কিছু মানুষ ব্যাটম্যানকে পছন্দ করে কিন্তু আমার মনে হয় তার কোন রসবোধ নেই এবং বেশিরভাগই তাকে পুরুষালি মনে করে। পুরুষ হতে হলে কি আমাকে তার মতো হতে হবে? আমার প্রশ্ন হল, কাউকে মানুষ করে তোলে কী?? হয়তো আমি "নিখুঁত" হওয়ার চেষ্টা করে অতিরিক্ত চিন্তা করি এবং সেই অতিরিক্ত চিন্তাভাবনা আমাকে পাগল করে তোলে এবং উন্নতির জন্য কিছুই করতে পারে না। আর সারাদিন FAP। আমি বন্ধুত্বও করতে পারি না। আমি পছন্দের জন্য যথাসাধ্য চেষ্টা করি। আসলে আমার বিষণ্ণতা আমাকে ভাবায় যে কেউ আমার সম্পর্কে এতটাও চিন্তা করে না যে আমি আছি। হয়তো আমার ইন্ডিয়ানা জোন্সের মতো হওয়া উচিত... তার শান্ত, শান্ত স্বভাব আছে। কিন্তু আমি জানি না কিভাবে। ধন্যবাদ।</v>
      </c>
    </row>
    <row r="2517" spans="1:3" ht="15" x14ac:dyDescent="0.25">
      <c r="A2517" s="3" t="s">
        <v>2510</v>
      </c>
      <c r="B2517" s="3" t="s">
        <v>1992</v>
      </c>
      <c r="C2517" s="4" t="str">
        <f ca="1">IFERROR(__xludf.DUMMYFUNCTION("GOOGLETRANSLATE(A2517, ""auto"", ""bn"")"),"গ্রেডের জন্য নিজেকে ছোট করা যখন আমি স্কুল-কলেজে পড়তাম, তখন ভালো ফলাফল না করার দুশ্চিন্তার কারণে আমি কখনোই ভালো ফলাফল পাওয়ার কথা ভাবতে দিতাম না। নিজেকে বলতাম ""__ গ্রেড আশা করো"" যাতে আমি এতে বিরক্ত, হতাশ বা হতাশ না হই। অন্য কেউ কি এই পরিস্থিতির মধ্য দিয"&amp;"়ে গেছে?")</f>
        <v>গ্রেডের জন্য নিজেকে ছোট করা যখন আমি স্কুল-কলেজে পড়তাম, তখন ভালো ফলাফল না করার দুশ্চিন্তার কারণে আমি কখনোই ভালো ফলাফল পাওয়ার কথা ভাবতে দিতাম না। নিজেকে বলতাম "__ গ্রেড আশা করো" যাতে আমি এতে বিরক্ত, হতাশ বা হতাশ না হই। অন্য কেউ কি এই পরিস্থিতির মধ্য দিয়ে গেছে?</v>
      </c>
    </row>
    <row r="2518" spans="1:3" ht="15" x14ac:dyDescent="0.25">
      <c r="A2518" s="3" t="s">
        <v>2511</v>
      </c>
      <c r="B2518" s="3" t="s">
        <v>1992</v>
      </c>
      <c r="C2518" s="4" t="str">
        <f ca="1">IFERROR(__xludf.DUMMYFUNCTION("GOOGLETRANSLATE(A2518, ""auto"", ""bn"")"),"আমার মায়ের সাথে দেখা করতে খুব উদ্বিগ্ন, যাকে আমি সত্যিই ঘৃণা করি। আমার বয়স ২২ এবং আমি আমার মায়ের সাথে থাকি না। আমরা বিভিন্ন রাজ্যে থাকি এবং ১১ বছর বয়স থেকে আমি তার সাথে থাকিনি। আমাদের কখনোই ভালো সম্পর্ক ছিল না কারণ সে বিষাক্ত, বস্তুবাদী এবং আত্মকেন্দ্রিক।"&amp;" আমার পুরো শৈশব জুড়ে সে সেরা মা ছিল না, এবং আমি সত্যিই তার জন্য তাকে বিরক্ত করি। সত্যি বলতে আমি তাকে ঘৃণা করি এবং কোনও যোগাযোগই করতে চাই না, অন্তত যতক্ষণ না আমি তার সম্পর্কে আমার নিজের মানসিক সমস্যাগুলি সমাধান করি। তবুও, আগামীকাল আমি তার নিজের রাজ্যে ৩ দ"&amp;"িনের জন্য উড়ে যাব এবং তার সাথে দেখা করতে যাব। এর বেশিরভাগ কারণ সে আমাকে অপরাধবোধে ভুগছিল এবং কয়েক মাস ধরে আমাকে দেখা করতে চাইছিল এবং আমি চাই সে ফিরে আসুক, আমার বড় বোন এবং তার দুই বাচ্চাও তার সাথে থাকে এবং আমি আমার ভাগ্নী এবং ভাগ্নেকে দেখতে চাই। আমি জান"&amp;"ি পুরো ভ্রমণের সময় আমি খুব আবেগপ্রবণ এবং উদ্বিগ্ন থাকব। আমার প্রেমিক আমার সাথে সাহায্যের জন্য আসছে, কিন্তু এই ধরণের পরিস্থিতি মোকাবেলা করার জন্য কারও কাছে কি কিছু টিপস আছে? আমি ৩ দিন ধরে আমার মায়ের সাথে খারাপ ব্যবহার করার জন্য উদ্বিগ্ন, এবং তার প্রতি আমা"&amp;"র কতটা ঘৃণা তা প্রকাশ করতে না পারার জন্য আমি উদ্বিগ্ন কারণ সে জানে না সে কী ভুল করেছে বা আমার উপর কতটা প্রভাব ফেলেছে। এই সপ্তাহান্তে আমি কীভাবে বাঁচব? আমি জানি বাচ্চারা সাহায্য করবে কারণ আমি তাদের সাথে ঘনিষ্ঠভাবে যুক্ত থাকব, কিন্তু আমি জানি না কিভাবে আমার"&amp;" মায়ের উপর রাগ করা থেকে নিজেকে বিরত রাখব। যেকোনো পরামর্শের জন্য ধন্যবাদ।")</f>
        <v>আমার মায়ের সাথে দেখা করতে খুব উদ্বিগ্ন, যাকে আমি সত্যিই ঘৃণা করি। আমার বয়স ২২ এবং আমি আমার মায়ের সাথে থাকি না। আমরা বিভিন্ন রাজ্যে থাকি এবং ১১ বছর বয়স থেকে আমি তার সাথে থাকিনি। আমাদের কখনোই ভালো সম্পর্ক ছিল না কারণ সে বিষাক্ত, বস্তুবাদী এবং আত্মকেন্দ্রিক। আমার পুরো শৈশব জুড়ে সে সেরা মা ছিল না, এবং আমি সত্যিই তার জন্য তাকে বিরক্ত করি। সত্যি বলতে আমি তাকে ঘৃণা করি এবং কোনও যোগাযোগই করতে চাই না, অন্তত যতক্ষণ না আমি তার সম্পর্কে আমার নিজের মানসিক সমস্যাগুলি সমাধান করি। তবুও, আগামীকাল আমি তার নিজের রাজ্যে ৩ দিনের জন্য উড়ে যাব এবং তার সাথে দেখা করতে যাব। এর বেশিরভাগ কারণ সে আমাকে অপরাধবোধে ভুগছিল এবং কয়েক মাস ধরে আমাকে দেখা করতে চাইছিল এবং আমি চাই সে ফিরে আসুক, আমার বড় বোন এবং তার দুই বাচ্চাও তার সাথে থাকে এবং আমি আমার ভাগ্নী এবং ভাগ্নেকে দেখতে চাই। আমি জানি পুরো ভ্রমণের সময় আমি খুব আবেগপ্রবণ এবং উদ্বিগ্ন থাকব। আমার প্রেমিক আমার সাথে সাহায্যের জন্য আসছে, কিন্তু এই ধরণের পরিস্থিতি মোকাবেলা করার জন্য কারও কাছে কি কিছু টিপস আছে? আমি ৩ দিন ধরে আমার মায়ের সাথে খারাপ ব্যবহার করার জন্য উদ্বিগ্ন, এবং তার প্রতি আমার কতটা ঘৃণা তা প্রকাশ করতে না পারার জন্য আমি উদ্বিগ্ন কারণ সে জানে না সে কী ভুল করেছে বা আমার উপর কতটা প্রভাব ফেলেছে। এই সপ্তাহান্তে আমি কীভাবে বাঁচব? আমি জানি বাচ্চারা সাহায্য করবে কারণ আমি তাদের সাথে ঘনিষ্ঠভাবে যুক্ত থাকব, কিন্তু আমি জানি না কিভাবে আমার মায়ের উপর রাগ করা থেকে নিজেকে বিরত রাখব। যেকোনো পরামর্শের জন্য ধন্যবাদ।</v>
      </c>
    </row>
    <row r="2519" spans="1:3" ht="15" x14ac:dyDescent="0.25">
      <c r="A2519" s="3" t="s">
        <v>2512</v>
      </c>
      <c r="B2519" s="3" t="s">
        <v>1992</v>
      </c>
      <c r="C2519" s="4" t="str">
        <f ca="1">IFERROR(__xludf.DUMMYFUNCTION("GOOGLETRANSLATE(A2519, ""auto"", ""bn"")"),"একটা সুপারমার্কেটে কাজ করছি আর আমি চলে যেতে চাই। এটা আসলে অনেক বেশি চাপের। কেউ প্রশিক্ষণ নেয় না, আর তারপর আমার কাছ থেকে আশা করা হয় যে আমি দোকানটা ঠিকঠাক রাখব, যদিও আমি সপ্তাহে মাত্র ৯ ঘন্টা কাজ করি। সুপারমার্কেটের মতো কম পরিশ্রম এবং মাঝারি বেতনের আর কোন"&amp;" চাকরি আমি করতে পারি? বর্তমানে কলেজে পূর্ণকালীন (১৪ ক্রেডিট) কিন্তু আমি আর সুপারমার্কেটের পরিবেশে থাকতে চাই না। এটা খুবই খারাপ।")</f>
        <v>একটা সুপারমার্কেটে কাজ করছি আর আমি চলে যেতে চাই। এটা আসলে অনেক বেশি চাপের। কেউ প্রশিক্ষণ নেয় না, আর তারপর আমার কাছ থেকে আশা করা হয় যে আমি দোকানটা ঠিকঠাক রাখব, যদিও আমি সপ্তাহে মাত্র ৯ ঘন্টা কাজ করি। সুপারমার্কেটের মতো কম পরিশ্রম এবং মাঝারি বেতনের আর কোন চাকরি আমি করতে পারি? বর্তমানে কলেজে পূর্ণকালীন (১৪ ক্রেডিট) কিন্তু আমি আর সুপারমার্কেটের পরিবেশে থাকতে চাই না। এটা খুবই খারাপ।</v>
      </c>
    </row>
    <row r="2520" spans="1:3" ht="15" x14ac:dyDescent="0.25">
      <c r="A2520" s="3" t="s">
        <v>2513</v>
      </c>
      <c r="B2520" s="3" t="s">
        <v>1992</v>
      </c>
      <c r="C2520" s="4" t="str">
        <f ca="1">IFERROR(__xludf.DUMMYFUNCTION("GOOGLETRANSLATE(A2520, ""auto"", ""bn"")"),"ব্যর্থ ড্রাইভার পরীক্ষা আমি পার্কিং নিয়ে আমার ড্রাইভিং পরীক্ষায় প্রায় সাথে সাথেই ফেল করেছিলাম, এবং আমি খুব চাপে আছি কারণ আমি সম্ভবত পরের বার এটি পাস করব না এবং আমার পরিচিত সবাই প্রথমে চেষ্টা করে এটি পাস করেছে।")</f>
        <v>ব্যর্থ ড্রাইভার পরীক্ষা আমি পার্কিং নিয়ে আমার ড্রাইভিং পরীক্ষায় প্রায় সাথে সাথেই ফেল করেছিলাম, এবং আমি খুব চাপে আছি কারণ আমি সম্ভবত পরের বার এটি পাস করব না এবং আমার পরিচিত সবাই প্রথমে চেষ্টা করে এটি পাস করেছে।</v>
      </c>
    </row>
    <row r="2521" spans="1:3" ht="15" x14ac:dyDescent="0.25">
      <c r="A2521" s="3" t="s">
        <v>2514</v>
      </c>
      <c r="B2521" s="3" t="s">
        <v>1992</v>
      </c>
      <c r="C2521" s="4" t="str">
        <f ca="1">IFERROR(__xludf.DUMMYFUNCTION("GOOGLETRANSLATE(A2521, ""auto"", ""bn"")"),"৫ দিন ধরে ওষুধ বন্ধ... গত গ্রীষ্মে আমার সাধারণ উদ্বেগজনিত ব্যাধি এবং বিষণ্ণতা ধরা পড়ে এবং তখন থেকেই আমি লেক্সা প্রো নিচ্ছি। কয়েক মাস আগে আমি রাজ্যের বাইরে চলে গিয়েছিলাম এবং এখন পর্যন্ত আমাকে কয়েকটি রিফিল করতে হয়েছে। তাছাড়া, আমি একজন নতুন ডাক্তারের সা"&amp;"থে অ্যাপয়েন্টমেন্ট করেছি যা কয়েক সপ্তাহের মধ্যে, কিন্তু আমার লেক্সা প্রো আগামী সপ্তাহের শেষের দিকে সম্পন্ন হতে চলেছে এবং যদি আমি রিফিল না পাই তবে আমাকে ৫ দিন এটি ছাড়াই থাকতে হবে। আমার আগের ডাক্তারের অফিস আমার অ্যাপয়েন্টমেন্ট পর্যন্ত আরও একটি রিফিল পেত"&amp;"ে আমাকে কঠিন সময় দিচ্ছে। আমি আশা করি না যে এই ৫ দিনের মধ্যে খুব বেশি কিছু ঘটবে, তবে আমি ভাবছি যে কেউ কি জানেন যে আমি কি এই অল্প সময়ের মধ্যে আবার ""খারাপ"" হতে পারি? আমি নিজেই রাজ্যের বাইরে চলে এসেছি, তাই আমি মনে করি আমি অতিরিক্ত সতর্ক থাকছি। তাছাড়া, আম"&amp;"ি তোমাদের সকলের প্রশংসা করি!")</f>
        <v>৫ দিন ধরে ওষুধ বন্ধ... গত গ্রীষ্মে আমার সাধারণ উদ্বেগজনিত ব্যাধি এবং বিষণ্ণতা ধরা পড়ে এবং তখন থেকেই আমি লেক্সা প্রো নিচ্ছি। কয়েক মাস আগে আমি রাজ্যের বাইরে চলে গিয়েছিলাম এবং এখন পর্যন্ত আমাকে কয়েকটি রিফিল করতে হয়েছে। তাছাড়া, আমি একজন নতুন ডাক্তারের সাথে অ্যাপয়েন্টমেন্ট করেছি যা কয়েক সপ্তাহের মধ্যে, কিন্তু আমার লেক্সা প্রো আগামী সপ্তাহের শেষের দিকে সম্পন্ন হতে চলেছে এবং যদি আমি রিফিল না পাই তবে আমাকে ৫ দিন এটি ছাড়াই থাকতে হবে। আমার আগের ডাক্তারের অফিস আমার অ্যাপয়েন্টমেন্ট পর্যন্ত আরও একটি রিফিল পেতে আমাকে কঠিন সময় দিচ্ছে। আমি আশা করি না যে এই ৫ দিনের মধ্যে খুব বেশি কিছু ঘটবে, তবে আমি ভাবছি যে কেউ কি জানেন যে আমি কি এই অল্প সময়ের মধ্যে আবার "খারাপ" হতে পারি? আমি নিজেই রাজ্যের বাইরে চলে এসেছি, তাই আমি মনে করি আমি অতিরিক্ত সতর্ক থাকছি। তাছাড়া, আমি তোমাদের সকলের প্রশংসা করি!</v>
      </c>
    </row>
    <row r="2522" spans="1:3" ht="15" x14ac:dyDescent="0.25">
      <c r="A2522" s="3" t="s">
        <v>2515</v>
      </c>
      <c r="B2522" s="3" t="s">
        <v>1992</v>
      </c>
      <c r="C2522" s="4" t="str">
        <f ca="1">IFERROR(__xludf.DUMMYFUNCTION("GOOGLETRANSLATE(A2522, ""auto"", ""bn"")"),"ডাক্তার আমার উদ্বেগকে গুরুত্বের সাথে নেন না। হ্যালো, আমি প্রাইভেট অ্যাক্টে আছি, আমি প্রায় এক বছর ধরে আমার নিয়মিত অ্যাক্টে লুকিয়ে আছি। যাই হোক, ৭ বছর আগে (আমার বয়স ২৯) আমার মেয়ের জন্মের পর থেকে, সময়ের সাথে সাথে আমার উদ্বেগ ক্রমশ আরও খারাপ হচ্ছে। প্রত"&amp;"ি বছর আমি আমার উদ্বেগের কারণে ডাক্তারের কাছে ফিরে যাই, এবং আমার মনে হয় তিনি আমাকে গুরুত্বের সাথে নেন না, তিনি কেবল আমার ব্যবহৃত পেলের মিলিগ্রাম বাড়িয়ে দেন (৩ বছর ধরে এটি গ্রহণের পরে ৩০ মিলিগ্রাম পর্যন্ত)। আমার মনে হয় কেউ বুঝতে পারে না। আমি ঘর থেকে বের"&amp;" হতে ভয় পাই, আমি আমার ঘরে নিরাপদে থাকতে পছন্দ করি। তাছাড়া, আমি পূর্ণকালীন কাজ করি, এবং এটি একটি দুর্দান্ত বেতনের চাকরি, কিন্তু আমার উদ্বেগ বাধা হয়ে দাঁড়ায়, এবং আমি ছেড়ে দেওয়ার বিষয়ে বিতর্ক করছি যদিও আমার এটির প্রয়োজন, কিন্তু আমি খুব ভয় পাচ্ছি। ত"&amp;"াছাড়া, আমি বাইরে যেতে মোটেও পছন্দ করি না, এবং অবশ্যই যেহেতু কেউ এটা বোঝে না বা ভাবে না যে এটা কেবল একটা পর্যায়, তাই যখন আমার চারপাশে এই খারাপ অনুভূতি থাকে তখন আমাকে অলস বলে অভিযুক্ত করা হয়। তাছাড়া, আমি খেতে পারি না, আমি ঘুমাতে পারি না যদিও আমি সবসময়"&amp;" ক্লান্ত থাকি। আমার মেয়ের এত ভালোর যোগ্য। আমি কীভাবে আমার ডাক্তারকে আমার উদ্বেগের তীব্রতা বোঝাতে পারি?? আমি আগেও তাকে এই কথাগুলো বলার চেষ্টা করেছি কিন্তু অবশ্যই সে আমার ডোজ বাড়িয়ে দিয়েছে। আক্রমণের সূত্রপাতের জন্য আমাকে কোনও বেনজোডিয়াজেপাইন প্রেসক্রাই"&amp;"ব করা হয়নি, সে তা করতে অস্বীকার করে। এছাড়াও, একটি এলোমেলো প্রশ্ন - কেউ কি তীব্র উদ্বেগের জন্য প্রতিবন্ধী হওয়ার কথা শুনেছেন?? আমি নিশ্চিত যে এটি খুব বোকামি শোনাচ্ছে, তবে আমি সবসময় এটি নিয়ে ভাবি। আমি দুঃখিত যদি এটি সর্বত্র ঘটে, তবে আমি শীঘ্রই আমার 30 ত"&amp;"ম জন্মদিনে আসছি এবং এত একা এবং ভয় বোধ করছি, কিছু দেওয়ার আছে।")</f>
        <v>ডাক্তার আমার উদ্বেগকে গুরুত্বের সাথে নেন না। হ্যালো, আমি প্রাইভেট অ্যাক্টে আছি, আমি প্রায় এক বছর ধরে আমার নিয়মিত অ্যাক্টে লুকিয়ে আছি। যাই হোক, ৭ বছর আগে (আমার বয়স ২৯) আমার মেয়ের জন্মের পর থেকে, সময়ের সাথে সাথে আমার উদ্বেগ ক্রমশ আরও খারাপ হচ্ছে। প্রতি বছর আমি আমার উদ্বেগের কারণে ডাক্তারের কাছে ফিরে যাই, এবং আমার মনে হয় তিনি আমাকে গুরুত্বের সাথে নেন না, তিনি কেবল আমার ব্যবহৃত পেলের মিলিগ্রাম বাড়িয়ে দেন (৩ বছর ধরে এটি গ্রহণের পরে ৩০ মিলিগ্রাম পর্যন্ত)। আমার মনে হয় কেউ বুঝতে পারে না। আমি ঘর থেকে বের হতে ভয় পাই, আমি আমার ঘরে নিরাপদে থাকতে পছন্দ করি। তাছাড়া, আমি পূর্ণকালীন কাজ করি, এবং এটি একটি দুর্দান্ত বেতনের চাকরি, কিন্তু আমার উদ্বেগ বাধা হয়ে দাঁড়ায়, এবং আমি ছেড়ে দেওয়ার বিষয়ে বিতর্ক করছি যদিও আমার এটির প্রয়োজন, কিন্তু আমি খুব ভয় পাচ্ছি। তাছাড়া, আমি বাইরে যেতে মোটেও পছন্দ করি না, এবং অবশ্যই যেহেতু কেউ এটা বোঝে না বা ভাবে না যে এটা কেবল একটা পর্যায়, তাই যখন আমার চারপাশে এই খারাপ অনুভূতি থাকে তখন আমাকে অলস বলে অভিযুক্ত করা হয়। তাছাড়া, আমি খেতে পারি না, আমি ঘুমাতে পারি না যদিও আমি সবসময় ক্লান্ত থাকি। আমার মেয়ের এত ভালোর যোগ্য। আমি কীভাবে আমার ডাক্তারকে আমার উদ্বেগের তীব্রতা বোঝাতে পারি?? আমি আগেও তাকে এই কথাগুলো বলার চেষ্টা করেছি কিন্তু অবশ্যই সে আমার ডোজ বাড়িয়ে দিয়েছে। আক্রমণের সূত্রপাতের জন্য আমাকে কোনও বেনজোডিয়াজেপাইন প্রেসক্রাইব করা হয়নি, সে তা করতে অস্বীকার করে। এছাড়াও, একটি এলোমেলো প্রশ্ন - কেউ কি তীব্র উদ্বেগের জন্য প্রতিবন্ধী হওয়ার কথা শুনেছেন?? আমি নিশ্চিত যে এটি খুব বোকামি শোনাচ্ছে, তবে আমি সবসময় এটি নিয়ে ভাবি। আমি দুঃখিত যদি এটি সর্বত্র ঘটে, তবে আমি শীঘ্রই আমার 30 তম জন্মদিনে আসছি এবং এত একা এবং ভয় বোধ করছি, কিছু দেওয়ার আছে।</v>
      </c>
    </row>
    <row r="2523" spans="1:3" ht="15" x14ac:dyDescent="0.25">
      <c r="A2523" s="3" t="s">
        <v>2516</v>
      </c>
      <c r="B2523" s="3" t="s">
        <v>1992</v>
      </c>
      <c r="C2523" s="4" t="str">
        <f ca="1">IFERROR(__xludf.DUMMYFUNCTION("GOOGLETRANSLATE(A2523, ""auto"", ""bn"")"),"আমার ব্যাংকে প্রায় ৯,০০০ ডলার আছে, কিন্তু টাকা খরচ করার ফলে আমার মনে এত উদ্বেগ তৈরি হয় যে আমি ক্যাটফিশ ছেলেদের অ্যাপ থেকে টাকা ক্যাশ করার চেষ্টা করছি। কেন জানি না। আমার মনে হচ্ছে এখন আরও বেশি কিছু দরকার। তাছাড়া, আমি এক মাসেরও বেশি সময় ধরে বেকার এবং খাবা"&amp;"র এবং ক্রিসমাসের জন্য ৯০০ ডলার খরচ করেছি। যদি আমার বয়ফ্রেন্ড না থাকত, তাহলে সম্ভবত আমি কেবল একজন ক্যাম গার্ল হতাম। কিন্তু যদি আমি ক্যাম গার্ল না হতে পারি, তাহলে আমি পুরুষদের অন্যদের নগ্ন ছবি দিয়ে টাকা পাঠানোর জন্য প্রতারণা করার চেষ্টা করব। এখন পর্যন্ত, এ"&amp;"টি কাজ করছে না। মাসের শেষে আমার জন্য একটি চাকরি অপেক্ষা করছে, কিন্তু বেতন পাওয়ার আগে অনেক সময় হয়ে গেছে। আমি জানি না কেন আমি এমন। আমার ব্যাংক অ্যাকাউন্ট নম্বর কমে যাওয়া দেখে আমি ভীত হয়ে পড়ি এবং আমার মনে হয় এটি আগের অবস্থায় ফিরিয়ে আনা উচিত, এবং এখন"&amp;"ই।")</f>
        <v>আমার ব্যাংকে প্রায় ৯,০০০ ডলার আছে, কিন্তু টাকা খরচ করার ফলে আমার মনে এত উদ্বেগ তৈরি হয় যে আমি ক্যাটফিশ ছেলেদের অ্যাপ থেকে টাকা ক্যাশ করার চেষ্টা করছি। কেন জানি না। আমার মনে হচ্ছে এখন আরও বেশি কিছু দরকার। তাছাড়া, আমি এক মাসেরও বেশি সময় ধরে বেকার এবং খাবার এবং ক্রিসমাসের জন্য ৯০০ ডলার খরচ করেছি। যদি আমার বয়ফ্রেন্ড না থাকত, তাহলে সম্ভবত আমি কেবল একজন ক্যাম গার্ল হতাম। কিন্তু যদি আমি ক্যাম গার্ল না হতে পারি, তাহলে আমি পুরুষদের অন্যদের নগ্ন ছবি দিয়ে টাকা পাঠানোর জন্য প্রতারণা করার চেষ্টা করব। এখন পর্যন্ত, এটি কাজ করছে না। মাসের শেষে আমার জন্য একটি চাকরি অপেক্ষা করছে, কিন্তু বেতন পাওয়ার আগে অনেক সময় হয়ে গেছে। আমি জানি না কেন আমি এমন। আমার ব্যাংক অ্যাকাউন্ট নম্বর কমে যাওয়া দেখে আমি ভীত হয়ে পড়ি এবং আমার মনে হয় এটি আগের অবস্থায় ফিরিয়ে আনা উচিত, এবং এখনই।</v>
      </c>
    </row>
    <row r="2524" spans="1:3" ht="15" x14ac:dyDescent="0.25">
      <c r="A2524" s="3" t="s">
        <v>2517</v>
      </c>
      <c r="B2524" s="3" t="s">
        <v>1992</v>
      </c>
      <c r="C2524" s="4" t="str">
        <f ca="1">IFERROR(__xludf.DUMMYFUNCTION("GOOGLETRANSLATE(A2524, ""auto"", ""bn"")"),"কেউ কি সাহায্য করতে পারবেন? আজ দুপুর ২:৩০ টা থেকে আমার বেশ তীব্র উদ্বেগের আক্রমণ হচ্ছে এবং আমার সমস্ত সহায়তা ব্যবস্থা অনুপলব্ধ। কেউ কি আমার সাথে কথা বলে আমাকে সাহায্য করতে পারবেন?")</f>
        <v>কেউ কি সাহায্য করতে পারবেন? আজ দুপুর ২:৩০ টা থেকে আমার বেশ তীব্র উদ্বেগের আক্রমণ হচ্ছে এবং আমার সমস্ত সহায়তা ব্যবস্থা অনুপলব্ধ। কেউ কি আমার সাথে কথা বলে আমাকে সাহায্য করতে পারবেন?</v>
      </c>
    </row>
    <row r="2525" spans="1:3" ht="15" x14ac:dyDescent="0.25">
      <c r="A2525" s="3" t="s">
        <v>2518</v>
      </c>
      <c r="B2525" s="3" t="s">
        <v>1992</v>
      </c>
      <c r="C2525" s="4" t="str">
        <f ca="1">IFERROR(__xludf.DUMMYFUNCTION("GOOGLETRANSLATE(A2525, ""auto"", ""bn"")"),"উদ্বেগ এবং যৌন জীবন ২০১৮ সালে অবশেষে আমি বুঝতে পারলাম যে আমার উদ্বেগ আছে এবং আমি একজন থেরাপিস্টের সাথে দেখা করতে এবং ওষুধ খেতে শুরু করেছি। আমার উদ্বেগের কারণে আমার বাগদত্তার সাথে শোবার ঘরে মনোযোগ দেওয়া কঠিন হয়ে পড়েছিল?? আমার উত্থান ধরে রাখতে আমার অনেক "&amp;"কষ্ট হচ্ছিল। আমি আরও ভালো হতে শুরু করি, এবং এক মাস ধরে যৌন মিলন দুর্দান্ত ছিল। তাছাড়া, আমি আমার বাগদত্তাকে বলেছিলাম?? আগে দৌড়ানো এবং সঠিক খাবার খাওয়া কতটা সাহায্য করেছে, এবং আমি এটি করতে যাচ্ছিলাম, আমার ওষুধ খেতে যাচ্ছিলাম এবং নিয়মিত আমার থেরাপিস্টের "&amp;"সাথে দেখা করতে যাচ্ছিলাম। ঠিক আছে, আমি করিনি, একমাত্র যে অংশটিতে আমি সত্য ছিলাম তা হল আমার ওষুধ খাওয়া এবং একটি মাসিকের সময় আমার শেষ হয়ে গিয়েছিল এবং তিন দিন ধরে তা ছিল না। আমাদের যৌন জীবনের অভাব এবং আমি যা বলেছিলাম তা করার জন্য আমার অনুপ্রেরণার অভাবের "&amp;"কারণে এটি আমাদের মধ্যে বিশাল ফাটল তৈরি করেছে। আমি মিথ্যা বলেছিলাম বলে সে হতাশ। আমি তাকে এত আকর্ষণীয় মনে করি এবং আমি তাকে ভালোবাসি, কিন্তু শোবার ঘরে আমার সমস্যাগুলি খুঁজে বের করার জন্য আমার সাহায্যের প্রয়োজন। কোন পরামর্শ?")</f>
        <v>উদ্বেগ এবং যৌন জীবন ২০১৮ সালে অবশেষে আমি বুঝতে পারলাম যে আমার উদ্বেগ আছে এবং আমি একজন থেরাপিস্টের সাথে দেখা করতে এবং ওষুধ খেতে শুরু করেছি। আমার উদ্বেগের কারণে আমার বাগদত্তার সাথে শোবার ঘরে মনোযোগ দেওয়া কঠিন হয়ে পড়েছিল?? আমার উত্থান ধরে রাখতে আমার অনেক কষ্ট হচ্ছিল। আমি আরও ভালো হতে শুরু করি, এবং এক মাস ধরে যৌন মিলন দুর্দান্ত ছিল। তাছাড়া, আমি আমার বাগদত্তাকে বলেছিলাম?? আগে দৌড়ানো এবং সঠিক খাবার খাওয়া কতটা সাহায্য করেছে, এবং আমি এটি করতে যাচ্ছিলাম, আমার ওষুধ খেতে যাচ্ছিলাম এবং নিয়মিত আমার থেরাপিস্টের সাথে দেখা করতে যাচ্ছিলাম। ঠিক আছে, আমি করিনি, একমাত্র যে অংশটিতে আমি সত্য ছিলাম তা হল আমার ওষুধ খাওয়া এবং একটি মাসিকের সময় আমার শেষ হয়ে গিয়েছিল এবং তিন দিন ধরে তা ছিল না। আমাদের যৌন জীবনের অভাব এবং আমি যা বলেছিলাম তা করার জন্য আমার অনুপ্রেরণার অভাবের কারণে এটি আমাদের মধ্যে বিশাল ফাটল তৈরি করেছে। আমি মিথ্যা বলেছিলাম বলে সে হতাশ। আমি তাকে এত আকর্ষণীয় মনে করি এবং আমি তাকে ভালোবাসি, কিন্তু শোবার ঘরে আমার সমস্যাগুলি খুঁজে বের করার জন্য আমার সাহায্যের প্রয়োজন। কোন পরামর্শ?</v>
      </c>
    </row>
    <row r="2526" spans="1:3" ht="15" x14ac:dyDescent="0.25">
      <c r="A2526" s="3" t="s">
        <v>2519</v>
      </c>
      <c r="B2526" s="3" t="s">
        <v>1992</v>
      </c>
      <c r="C2526" s="4" t="str">
        <f ca="1">IFERROR(__xludf.DUMMYFUNCTION("GOOGLETRANSLATE(A2526, ""auto"", ""bn"")"),"উদ্বেগের জন্য সবচেয়ে ভালো ওষুধ কী - এর উপকারিতা কী কী? আমি এমন একটি ওষুধের জন্য যথেষ্ট পরিমাণ অর্থ ব্যয় করতে ইচ্ছুক যা আমার উদ্বেগ কমাবে, কিন্তু প্রতিবার এটি গ্রহণ করার সময় আমি একই প্রভাব লক্ষ্য করব, কোনও হ্রাস নয়। কোন পরামর্শ আছে? বাস্তবে, আমি যদি সৎ"&amp;" হই, তাহলে ওষুধ না খেয়েই স্থায়ীভাবে আমার উদ্বেগ নিরাময় করতে চাই।")</f>
        <v>উদ্বেগের জন্য সবচেয়ে ভালো ওষুধ কী - এর উপকারিতা কী কী? আমি এমন একটি ওষুধের জন্য যথেষ্ট পরিমাণ অর্থ ব্যয় করতে ইচ্ছুক যা আমার উদ্বেগ কমাবে, কিন্তু প্রতিবার এটি গ্রহণ করার সময় আমি একই প্রভাব লক্ষ্য করব, কোনও হ্রাস নয়। কোন পরামর্শ আছে? বাস্তবে, আমি যদি সৎ হই, তাহলে ওষুধ না খেয়েই স্থায়ীভাবে আমার উদ্বেগ নিরাময় করতে চাই।</v>
      </c>
    </row>
    <row r="2527" spans="1:3" ht="15" x14ac:dyDescent="0.25">
      <c r="A2527" s="3" t="s">
        <v>2520</v>
      </c>
      <c r="B2527" s="3" t="s">
        <v>1992</v>
      </c>
      <c r="C2527" s="4" t="str">
        <f ca="1">IFERROR(__xludf.DUMMYFUNCTION("GOOGLETRANSLATE(A2527, ""auto"", ""bn"")"),"উদ্বেগ এতটাই মিথ্যা যে যখন আমি সত্যিই কোনও কিছু নিয়ে উদ্বিগ্ন থাকি, তখন আমি নিজেকে বারবার এটি সম্পর্কে ভাবতে বাধ্য করি। আমি হিমশীতল হয়ে যাই। আমি নড়াচড়া বন্ধ করে দিই। তাছাড়া, আমি বিছানায় বসে কেবল মহাকাশে তাকিয়ে থাকি এবং জিনিসটি নিয়ে ভাবি। তাছাড়া, "&amp;"আমি ঘর থেকে বের হই না, আমি খাই না, আমি পরিষ্কার করি না, আমি অন্য কিছু নিয়ে ভাবতে সাহস পাই না। কারণ উদ্বেগ আমাকে বলে যে যদি আমি এক সেকেন্ডের জন্যও অন্য কোথাও মনোযোগ কেন্দ্রীভূত করি, তাহলে যে জিনিসটি নিয়ে আমি চিন্তিত তা ঘটবে। তাই আমাকে কেবল এটি সম্পর্কে ভ"&amp;"াবতে হবে। এবং আমি নিজেকে বোঝাতে চাই যে এটি সত্য নয়, এটি নিয়ে আচ্ছন্ন থাকা এবং নড়াচড়া না করা কোনও প্রভাব ফেলবে না, কিন্তু তারপর উদ্বেগ বলে যে তারা আপনাকে বিশ্বাস করতে চায়। আপনি কি সত্যিই সেই সুযোগটি নিতে চান? Â আজ আমি থালা বাসন ধোওয়ার এবং সামান্য কা"&amp;"জ করার জন্য খুব কষ্ট করেছি। আমি গোসল করে পাজামা খুলে বেরিয়ে এসেছি। পুরো সময়, আমার উদ্বেগ আমাকে মনে করিয়ে দিচ্ছে যে খারাপ কিছু ঘটতে চলেছে। এবং আমি যদি নড়াচড়া করতে থাকি তবে আমি পরিস্থিতি আরও খারাপ করে তুলব। এখন বিকেল ৩টা বাজে আর মুহূর্তের মধ্যে অবস্থা "&amp;"খারাপ হয়ে যাচ্ছে। এই কণ্ঠস্বরটা আমার খুব খারাপ লাগে। এতে আমি অস্থির হয়ে পড়ি। তাছাড়া, আমি আর পারছি না।")</f>
        <v>উদ্বেগ এতটাই মিথ্যা যে যখন আমি সত্যিই কোনও কিছু নিয়ে উদ্বিগ্ন থাকি, তখন আমি নিজেকে বারবার এটি সম্পর্কে ভাবতে বাধ্য করি। আমি হিমশীতল হয়ে যাই। আমি নড়াচড়া বন্ধ করে দিই। তাছাড়া, আমি বিছানায় বসে কেবল মহাকাশে তাকিয়ে থাকি এবং জিনিসটি নিয়ে ভাবি। তাছাড়া, আমি ঘর থেকে বের হই না, আমি খাই না, আমি পরিষ্কার করি না, আমি অন্য কিছু নিয়ে ভাবতে সাহস পাই না। কারণ উদ্বেগ আমাকে বলে যে যদি আমি এক সেকেন্ডের জন্যও অন্য কোথাও মনোযোগ কেন্দ্রীভূত করি, তাহলে যে জিনিসটি নিয়ে আমি চিন্তিত তা ঘটবে। তাই আমাকে কেবল এটি সম্পর্কে ভাবতে হবে। এবং আমি নিজেকে বোঝাতে চাই যে এটি সত্য নয়, এটি নিয়ে আচ্ছন্ন থাকা এবং নড়াচড়া না করা কোনও প্রভাব ফেলবে না, কিন্তু তারপর উদ্বেগ বলে যে তারা আপনাকে বিশ্বাস করতে চায়। আপনি কি সত্যিই সেই সুযোগটি নিতে চান? Â আজ আমি থালা বাসন ধোওয়ার এবং সামান্য কাজ করার জন্য খুব কষ্ট করেছি। আমি গোসল করে পাজামা খুলে বেরিয়ে এসেছি। পুরো সময়, আমার উদ্বেগ আমাকে মনে করিয়ে দিচ্ছে যে খারাপ কিছু ঘটতে চলেছে। এবং আমি যদি নড়াচড়া করতে থাকি তবে আমি পরিস্থিতি আরও খারাপ করে তুলব। এখন বিকেল ৩টা বাজে আর মুহূর্তের মধ্যে অবস্থা খারাপ হয়ে যাচ্ছে। এই কণ্ঠস্বরটা আমার খুব খারাপ লাগে। এতে আমি অস্থির হয়ে পড়ি। তাছাড়া, আমি আর পারছি না।</v>
      </c>
    </row>
    <row r="2528" spans="1:3" ht="15" x14ac:dyDescent="0.25">
      <c r="A2528" s="3" t="s">
        <v>2521</v>
      </c>
      <c r="B2528" s="3" t="s">
        <v>1992</v>
      </c>
      <c r="C2528" s="4" t="str">
        <f ca="1">IFERROR(__xludf.DUMMYFUNCTION("GOOGLETRANSLATE(A2528, ""auto"", ""bn"")"),"শুরু করলে কি পিরিয়ডের সাথে ঝামেলা হতে পারে? তাই আমি ডিসেম্বরের শুরুতে শিখতে শুরু করি এবং তারপর থেকে আমার পিরিয়ড ৭ দিনের বেশি এবং ভারী হয়ে ওঠে। এটা কি এই ওষুধ শুরু করার ফলে নাকি মানসিক চাপ দীর্ঘ সময় ধরে পিরিয়ডের কারণ হতে পারে?")</f>
        <v>শুরু করলে কি পিরিয়ডের সাথে ঝামেলা হতে পারে? তাই আমি ডিসেম্বরের শুরুতে শিখতে শুরু করি এবং তারপর থেকে আমার পিরিয়ড ৭ দিনের বেশি এবং ভারী হয়ে ওঠে। এটা কি এই ওষুধ শুরু করার ফলে নাকি মানসিক চাপ দীর্ঘ সময় ধরে পিরিয়ডের কারণ হতে পারে?</v>
      </c>
    </row>
    <row r="2529" spans="1:3" ht="15" x14ac:dyDescent="0.25">
      <c r="A2529" s="3" t="s">
        <v>2522</v>
      </c>
      <c r="B2529" s="3" t="s">
        <v>1992</v>
      </c>
      <c r="C2529" s="4" t="str">
        <f ca="1">IFERROR(__xludf.DUMMYFUNCTION("GOOGLETRANSLATE(A2529, ""auto"", ""bn"")"),"কোনও মেয়েকে দখল করতে চাওয়ার জন্য উদ্বেগ যদি সে আমার জায়গা পছন্দ না করে? যদি সে রাতের মাঝখানে আমার সাথে কিছু করে এবং চলে যায়? যদি উদ্বেগ আমাকে ইরেক্টাইল ডিসফাংশন দেয় তাহলে কী হবে? দুঃখিত, আমার মনে এই প্রশ্নগুলি ঘুরপাক খাচ্ছে। উদ্বেগ আমাকে বিষণ্ণতার দিকে "&amp;"ঠেলে দেয় এবং বিষণ্ণতা আমাকে আত্মহত্যার দিকে ঠেলে দেয়।")</f>
        <v>কোনও মেয়েকে দখল করতে চাওয়ার জন্য উদ্বেগ যদি সে আমার জায়গা পছন্দ না করে? যদি সে রাতের মাঝখানে আমার সাথে কিছু করে এবং চলে যায়? যদি উদ্বেগ আমাকে ইরেক্টাইল ডিসফাংশন দেয় তাহলে কী হবে? দুঃখিত, আমার মনে এই প্রশ্নগুলি ঘুরপাক খাচ্ছে। উদ্বেগ আমাকে বিষণ্ণতার দিকে ঠেলে দেয় এবং বিষণ্ণতা আমাকে আত্মহত্যার দিকে ঠেলে দেয়।</v>
      </c>
    </row>
    <row r="2530" spans="1:3" ht="15" x14ac:dyDescent="0.25">
      <c r="A2530" s="3" t="s">
        <v>2523</v>
      </c>
      <c r="B2530" s="3" t="s">
        <v>1992</v>
      </c>
      <c r="C2530" s="4" t="str">
        <f ca="1">IFERROR(__xludf.DUMMYFUNCTION("GOOGLETRANSLATE(A2530, ""auto"", ""bn"")"),"আগাম উদ্বেগের কৌশল?? প্রথম পোস্ট এখানে। আমি আগের পোস্টগুলো দেখেছি এবং এই বিষয়ে কিছুই খুঁজে পাচ্ছি না। আমি এবং আমার স্ত্রী আমার চাকরির জন্য নতুন দেশে চলে এসেছি, এবং কর্মক্ষেত্রে আমার প্রচুর আগাম উদ্বেগ হচ্ছে। দেশে ফিরে, আমার একজন থেরাপিস্ট ছিলেন যার সাথে "&amp;"আমি উদ্বেগ সম্পর্কিত সমস্ত বিষয় নিয়ে কাজ করছিলাম, কিন্তু আমার নতুন পরিস্থিতিতে এটি আরও খারাপ হয়ে গেছে। আমি এখানে কাজ করার জন্য একজন থেরাপিস্ট খুঁজছি। এই ধরণের উদ্বেগ মোকাবেলা করেছেন এমন কারও জন্য কি এমন কোনও কৌশল কাজ করেছে? আগাম ধন্যবাদ!!")</f>
        <v>আগাম উদ্বেগের কৌশল?? প্রথম পোস্ট এখানে। আমি আগের পোস্টগুলো দেখেছি এবং এই বিষয়ে কিছুই খুঁজে পাচ্ছি না। আমি এবং আমার স্ত্রী আমার চাকরির জন্য নতুন দেশে চলে এসেছি, এবং কর্মক্ষেত্রে আমার প্রচুর আগাম উদ্বেগ হচ্ছে। দেশে ফিরে, আমার একজন থেরাপিস্ট ছিলেন যার সাথে আমি উদ্বেগ সম্পর্কিত সমস্ত বিষয় নিয়ে কাজ করছিলাম, কিন্তু আমার নতুন পরিস্থিতিতে এটি আরও খারাপ হয়ে গেছে। আমি এখানে কাজ করার জন্য একজন থেরাপিস্ট খুঁজছি। এই ধরণের উদ্বেগ মোকাবেলা করেছেন এমন কারও জন্য কি এমন কোনও কৌশল কাজ করেছে? আগাম ধন্যবাদ!!</v>
      </c>
    </row>
    <row r="2531" spans="1:3" ht="15" x14ac:dyDescent="0.25">
      <c r="A2531" s="3" t="s">
        <v>2524</v>
      </c>
      <c r="B2531" s="3" t="s">
        <v>1992</v>
      </c>
      <c r="C2531" s="4" t="str">
        <f ca="1">IFERROR(__xludf.DUMMYFUNCTION("GOOGLETRANSLATE(A2531, ""auto"", ""bn"")"),"যদিও অনেক গবেষণায় দেখা গেছে যে ক্যাফেইন উদ্বেগে ভোগা মানুষের জন্য কতটা ভয়াবহ, তবুও এটি আমার সমস্যা সমাধানে সাহায্য করে এবং উদ্বেগ থেকে আমার মনোযোগ সরিয়ে নেয়। এটি আমার মেজাজ, মনোযোগ এবং আনন্দ উন্নত করে এবং সাধারণত আমার দিনটিকে আরও ভালো করে তোলে। আমি জানতে"&amp;" চাই কেন আমার ক্ষেত্রে এটি ঘটে, যদিও বেশিরভাগ মানুষের ক্ষেত্রে এটি প্যানিক অ্যাটাকের কারণ।")</f>
        <v>যদিও অনেক গবেষণায় দেখা গেছে যে ক্যাফেইন উদ্বেগে ভোগা মানুষের জন্য কতটা ভয়াবহ, তবুও এটি আমার সমস্যা সমাধানে সাহায্য করে এবং উদ্বেগ থেকে আমার মনোযোগ সরিয়ে নেয়। এটি আমার মেজাজ, মনোযোগ এবং আনন্দ উন্নত করে এবং সাধারণত আমার দিনটিকে আরও ভালো করে তোলে। আমি জানতে চাই কেন আমার ক্ষেত্রে এটি ঘটে, যদিও বেশিরভাগ মানুষের ক্ষেত্রে এটি প্যানিক অ্যাটাকের কারণ।</v>
      </c>
    </row>
    <row r="2532" spans="1:3" ht="15" x14ac:dyDescent="0.25">
      <c r="A2532" s="3" t="s">
        <v>2525</v>
      </c>
      <c r="B2532" s="3" t="s">
        <v>1992</v>
      </c>
      <c r="C2532" s="4" t="str">
        <f ca="1">IFERROR(__xludf.DUMMYFUNCTION("GOOGLETRANSLATE(A2532, ""auto"", ""bn"")"),"পুরুষ সহকর্মীরা যারা আমাকে বিরক্ত করে এবং হালকাভাবে নেয় তাদের সাথে কীভাবে মোকাবিলা করব। আমি আমার দলের একমাত্র অ্যাডমিন লেভেলের মহিলা। আমরা সবাই ভালোভাবে মিশে যাই এবং কিছুটা মজার মজার ঠাট্টা-বিদ্রূপও হয়, এবং বেশিরভাগ ক্ষেত্রেই আমি যতটা পারি ভালোই করি। যা"&amp;"ইহোক, কখনও কখনও তারা এটিকে অতিরিক্ত চাপ দেয় এবং আমি হয় রেগে যাই অথবা বিরক্ত হই, কিন্তু, আমি জানি যদি আমি এটি দেখাই তবে তারা চালিয়ে যাবে কারণ তারা একে অপরকে (এবং আমাকে) বিরক্ত করতে পছন্দ করে। তারা যেকোনো কিছু সংগঠিত করতে এবং সম্পন্ন করতে আমার উপর খুব বে"&amp;"শি নির্ভর করে। শেষবার যখন এটি ঘটেছিল, যা একটি গ্রুপ প্রকল্প হওয়ার কথা ছিল, তখন আমি আমাদের সিনিয়রদের সামনে আমার মেজাজ হারিয়ে ফেলেছিলাম এবং মূলত তাদের উপর ছিনতাই করে বলেছিলাম যে কেউ আমাকে সাহায্য করেনি ইত্যাদি। আমি একজন বাজে লোকের মতো হয়েছিলাম এবং আমি য"&amp;"া বলেছিলাম তা বলার জন্য আমি অনুতপ্ত। আচ্ছা... আমি যেভাবে বলেছিলাম তার জন্য আমি অনুতপ্ত। আজ আবারও এটি ঘটেছিল যখন আমি জিজ্ঞাসা করেছিলাম যে একটি টিম মিটিং হচ্ছে কিনা, তখন সবাই না বলেছিল, আমাদের ম্যানেজারকে জিজ্ঞাসা করতে। আমি তাই করলাম, এবং সে উত্তর দিল, ""এট"&amp;"া আমার সিদ্ধান্ত নয়, এটা দলের ব্যাপার"", এবং যখন আমি তাকে বললাম আমার সহকর্মীরা কি বলেছে, তারা সবাই তা অস্বীকার করে বলল যে তারা আমার অপেক্ষায় ছিল যে আমি বলবো মিটিং হচ্ছে কিনা। আমার উদ্বেগ আছে এবং সংঘর্ষ ঘৃণা করি, কিন্তু তারা আমাকে অনেক বেশি চাপ দিচ্ছে এব"&amp;"ং সবসময় ধরে নিচ্ছে যে আমি কাজগুলো করব, তাহলে আমি কীভাবে তাদের সামলাবো? TL;DR আমি কীভাবে আমার সহকর্মীদের বলবো যে আমি তাদের আচরণে বিরক্ত, কোনও বোকার মতো না বলে।")</f>
        <v>পুরুষ সহকর্মীরা যারা আমাকে বিরক্ত করে এবং হালকাভাবে নেয় তাদের সাথে কীভাবে মোকাবিলা করব। আমি আমার দলের একমাত্র অ্যাডমিন লেভেলের মহিলা। আমরা সবাই ভালোভাবে মিশে যাই এবং কিছুটা মজার মজার ঠাট্টা-বিদ্রূপও হয়, এবং বেশিরভাগ ক্ষেত্রেই আমি যতটা পারি ভালোই করি। যাইহোক, কখনও কখনও তারা এটিকে অতিরিক্ত চাপ দেয় এবং আমি হয় রেগে যাই অথবা বিরক্ত হই, কিন্তু, আমি জানি যদি আমি এটি দেখাই তবে তারা চালিয়ে যাবে কারণ তারা একে অপরকে (এবং আমাকে) বিরক্ত করতে পছন্দ করে। তারা যেকোনো কিছু সংগঠিত করতে এবং সম্পন্ন করতে আমার উপর খুব বেশি নির্ভর করে। শেষবার যখন এটি ঘটেছিল, যা একটি গ্রুপ প্রকল্প হওয়ার কথা ছিল, তখন আমি আমাদের সিনিয়রদের সামনে আমার মেজাজ হারিয়ে ফেলেছিলাম এবং মূলত তাদের উপর ছিনতাই করে বলেছিলাম যে কেউ আমাকে সাহায্য করেনি ইত্যাদি। আমি একজন বাজে লোকের মতো হয়েছিলাম এবং আমি যা বলেছিলাম তা বলার জন্য আমি অনুতপ্ত। আচ্ছা... আমি যেভাবে বলেছিলাম তার জন্য আমি অনুতপ্ত। আজ আবারও এটি ঘটেছিল যখন আমি জিজ্ঞাসা করেছিলাম যে একটি টিম মিটিং হচ্ছে কিনা, তখন সবাই না বলেছিল, আমাদের ম্যানেজারকে জিজ্ঞাসা করতে। আমি তাই করলাম, এবং সে উত্তর দিল, "এটা আমার সিদ্ধান্ত নয়, এটা দলের ব্যাপার", এবং যখন আমি তাকে বললাম আমার সহকর্মীরা কি বলেছে, তারা সবাই তা অস্বীকার করে বলল যে তারা আমার অপেক্ষায় ছিল যে আমি বলবো মিটিং হচ্ছে কিনা। আমার উদ্বেগ আছে এবং সংঘর্ষ ঘৃণা করি, কিন্তু তারা আমাকে অনেক বেশি চাপ দিচ্ছে এবং সবসময় ধরে নিচ্ছে যে আমি কাজগুলো করব, তাহলে আমি কীভাবে তাদের সামলাবো? TL;DR আমি কীভাবে আমার সহকর্মীদের বলবো যে আমি তাদের আচরণে বিরক্ত, কোনও বোকার মতো না বলে।</v>
      </c>
    </row>
    <row r="2533" spans="1:3" ht="15" x14ac:dyDescent="0.25">
      <c r="A2533" s="3" t="s">
        <v>2526</v>
      </c>
      <c r="B2533" s="3" t="s">
        <v>1992</v>
      </c>
      <c r="C2533" s="4" t="str">
        <f ca="1">IFERROR(__xludf.DUMMYFUNCTION("GOOGLETRANSLATE(A2533, ""auto"", ""bn"")"),"আমি খুব উদ্বিগ্ন, এটাই তো।")</f>
        <v>আমি খুব উদ্বিগ্ন, এটাই তো।</v>
      </c>
    </row>
    <row r="2534" spans="1:3" ht="15" x14ac:dyDescent="0.25">
      <c r="A2534" s="3" t="s">
        <v>2527</v>
      </c>
      <c r="B2534" s="3" t="s">
        <v>1992</v>
      </c>
      <c r="C2534" s="4" t="str">
        <f ca="1">IFERROR(__xludf.DUMMYFUNCTION("GOOGLETRANSLATE(A2534, ""auto"", ""bn"")"),"আমি খেতে পারছি না, কী হচ্ছে, কিন্তু আমার উদ্বেগ একেবারেই ভয়াবহ। পাঁচ বছরের মধ্যে এটি সবচেয়ে খারাপ পরিস্থিতির মতো। আমি কোনও কারণ ছাড়াই এতটাই নার্ভাস হয়ে যাই যে আমার বমি বমি ভাব হয়, এবং আমি খেতে পারি না। কী করব সে সম্পর্কে কারও কি কোনও পরামর্শ আছে?")</f>
        <v>আমি খেতে পারছি না, কী হচ্ছে, কিন্তু আমার উদ্বেগ একেবারেই ভয়াবহ। পাঁচ বছরের মধ্যে এটি সবচেয়ে খারাপ পরিস্থিতির মতো। আমি কোনও কারণ ছাড়াই এতটাই নার্ভাস হয়ে যাই যে আমার বমি বমি ভাব হয়, এবং আমি খেতে পারি না। কী করব সে সম্পর্কে কারও কি কোনও পরামর্শ আছে?</v>
      </c>
    </row>
    <row r="2535" spans="1:3" ht="15" x14ac:dyDescent="0.25">
      <c r="A2535" s="3" t="s">
        <v>2528</v>
      </c>
      <c r="B2535" s="3" t="s">
        <v>1992</v>
      </c>
      <c r="C2535" s="4" t="str">
        <f ca="1">IFERROR(__xludf.DUMMYFUNCTION("GOOGLETRANSLATE(A2535, ""auto"", ""bn"")"),"শহরে কাজ করার সময়, আমি আত্মরক্ষার জন্য একটি জিনিস বহন করে আমার উদ্বেগ কমাতে সক্ষম হয়েছি। আমি নিশ্চিত নই যে আমি এখানে একা আছি কিনা, কিন্তু আমার কাজে যাতায়াত আমাকে অবিশ্বাস্যভাবে নার্ভাস করে তোলে। আমাকে পাবলিক ট্রান্সপোর্টে যেতে হয়, যা, যখন আপনি একজন অস"&amp;"্থির ব্যক্তিকে যার দিন খারাপ গেছে তাকে একটি বন্ধ গাড়িতে তুলে দেন, তখন স্নায়বিক বিপর্যয়কর ফলাফল পেতে পারে। এর জন্য, আমি সর্বদা শেষ সিটে বসে থাকি, হেডফোন ব্যবহার করি না এবং নিশ্চিত করি যে আমি এমন কোথাও বসে থাকি যেখানে আমি পুরো ট্রেনটি পর্যবেক্ষণ করতে পার"&amp;"ি। আমি আমার মাথায় কর্ম পরিকল্পনা নিয়ে এসেছি যাতে কখনও কিছু ভুল হয়, এবং আমার বা অন্য কেউ বিপদে আছে কিনা তা দেখার জন্য আমার চারপাশের দিকে তীক্ষ্ণ নজর রাখি। তারপর আমাকে এমন একটি শহরে আমার ভবনে পৌঁছাতে আধা মাইল হেঁটে যেতে হয় যেখানে পুলিশ সাধারণত ইতিমধ্যেই"&amp;" ঘটছে এমন অপরাধে ব্যস্ত থাকে, ব্যস্ত সময়ে রাস্তায় নজরদারি করার পরিবর্তে। সাধারণত যখন কিছু ঘটে (কেউ মানুষকে হুমকি দিচ্ছে বা অবৈধ কিছু করছে), তখন পুলিশ সেখানে পৌঁছানোর আগেই অপরাধী ইতিমধ্যেই অদৃশ্য হয়ে যায়। এই পরিবেশে মানসিক চাপ কমাতে আমি একই কাজ করার চে"&amp;"ষ্টা করি; হেডফোন ব্যবহার না করা, আমার চারপাশের দিকে অতিরিক্ত মনোযোগ দেওয়া, তাদের মধ্যে না থেকে বিশাল জনতার পিছনে হাঁটা ইত্যাদি। যদিও এতে আমার উদ্বেগ দূর হয়নি, কারণ ক্ষতি করতে ইচ্ছুক যে কেউ এখনও তা করতে পারে। আমি এর জন্য আরও ভালভাবে প্রস্তুত থাকতে পারি, "&amp;"তবে যদি এটি ঘটে তবে আমার এখনও কিছু থামাতে সমস্যা হবে। সম্প্রতি আমি একটি আত্মরক্ষামূলক জিনিস বহন করতে শুরু করেছি (এটি বন্দুক নয়), এবং কেবল এটি আমার পকেটে আছে জেনে এবং মাঝে মাঝে এটি স্পর্শ করে, আমি জানি যে যদি কখনও খারাপ পরিস্থিতি দেখা দেয় তবে আমি মোকাবেল"&amp;"া করার জন্য আরও ভালভাবে প্রস্তুত। অবশ্যই, আমি কাউকে আমাকে ধাক্কা দেওয়া বা এলাকায় গুলি চালানো থেকে বিরত রাখতে পারব না, তবে শহরগুলিতে প্রতি বছর অসংখ্য ডাকাতি, হামলা এবং অন্যান্য সহিংস অপরাধ ঘটে। অন্য কেউ কি ভিড়-সম্পর্কিত উদ্বেগের শিকার হয়? আপনি কীভাবে এ"&amp;"টি মোকাবেলা করেন?")</f>
        <v>শহরে কাজ করার সময়, আমি আত্মরক্ষার জন্য একটি জিনিস বহন করে আমার উদ্বেগ কমাতে সক্ষম হয়েছি। আমি নিশ্চিত নই যে আমি এখানে একা আছি কিনা, কিন্তু আমার কাজে যাতায়াত আমাকে অবিশ্বাস্যভাবে নার্ভাস করে তোলে। আমাকে পাবলিক ট্রান্সপোর্টে যেতে হয়, যা, যখন আপনি একজন অস্থির ব্যক্তিকে যার দিন খারাপ গেছে তাকে একটি বন্ধ গাড়িতে তুলে দেন, তখন স্নায়বিক বিপর্যয়কর ফলাফল পেতে পারে। এর জন্য, আমি সর্বদা শেষ সিটে বসে থাকি, হেডফোন ব্যবহার করি না এবং নিশ্চিত করি যে আমি এমন কোথাও বসে থাকি যেখানে আমি পুরো ট্রেনটি পর্যবেক্ষণ করতে পারি। আমি আমার মাথায় কর্ম পরিকল্পনা নিয়ে এসেছি যাতে কখনও কিছু ভুল হয়, এবং আমার বা অন্য কেউ বিপদে আছে কিনা তা দেখার জন্য আমার চারপাশের দিকে তীক্ষ্ণ নজর রাখি। তারপর আমাকে এমন একটি শহরে আমার ভবনে পৌঁছাতে আধা মাইল হেঁটে যেতে হয় যেখানে পুলিশ সাধারণত ইতিমধ্যেই ঘটছে এমন অপরাধে ব্যস্ত থাকে, ব্যস্ত সময়ে রাস্তায় নজরদারি করার পরিবর্তে। সাধারণত যখন কিছু ঘটে (কেউ মানুষকে হুমকি দিচ্ছে বা অবৈধ কিছু করছে), তখন পুলিশ সেখানে পৌঁছানোর আগেই অপরাধী ইতিমধ্যেই অদৃশ্য হয়ে যায়। এই পরিবেশে মানসিক চাপ কমাতে আমি একই কাজ করার চেষ্টা করি; হেডফোন ব্যবহার না করা, আমার চারপাশের দিকে অতিরিক্ত মনোযোগ দেওয়া, তাদের মধ্যে না থেকে বিশাল জনতার পিছনে হাঁটা ইত্যাদি। যদিও এতে আমার উদ্বেগ দূর হয়নি, কারণ ক্ষতি করতে ইচ্ছুক যে কেউ এখনও তা করতে পারে। আমি এর জন্য আরও ভালভাবে প্রস্তুত থাকতে পারি, তবে যদি এটি ঘটে তবে আমার এখনও কিছু থামাতে সমস্যা হবে। সম্প্রতি আমি একটি আত্মরক্ষামূলক জিনিস বহন করতে শুরু করেছি (এটি বন্দুক নয়), এবং কেবল এটি আমার পকেটে আছে জেনে এবং মাঝে মাঝে এটি স্পর্শ করে, আমি জানি যে যদি কখনও খারাপ পরিস্থিতি দেখা দেয় তবে আমি মোকাবেলা করার জন্য আরও ভালভাবে প্রস্তুত। অবশ্যই, আমি কাউকে আমাকে ধাক্কা দেওয়া বা এলাকায় গুলি চালানো থেকে বিরত রাখতে পারব না, তবে শহরগুলিতে প্রতি বছর অসংখ্য ডাকাতি, হামলা এবং অন্যান্য সহিংস অপরাধ ঘটে। অন্য কেউ কি ভিড়-সম্পর্কিত উদ্বেগের শিকার হয়? আপনি কীভাবে এটি মোকাবেলা করেন?</v>
      </c>
    </row>
    <row r="2536" spans="1:3" ht="15" x14ac:dyDescent="0.25">
      <c r="A2536" s="3" t="s">
        <v>2529</v>
      </c>
      <c r="B2536" s="3" t="s">
        <v>1992</v>
      </c>
      <c r="C2536" s="4" t="str">
        <f ca="1">IFERROR(__xludf.DUMMYFUNCTION("GOOGLETRANSLATE(A2536, ""auto"", ""bn"")"),"অসুস্থতা এবং কর্মস্থল থেকে বিচ্ছিন্নতা নিয়ে উদ্বিগ্ন। বৈধভাবে অসুস্থ থাকা সত্ত্বেও অন্য কেউ কি কর্মস্থল থেকে বিচ্ছিন্নতা নিয়ে উদ্বিগ্ন? আমি ডাক্তারের কাছে গিয়েছিলাম এবং ডাক্তারের কাছ থেকে একটি নোট পেয়েছি যেখানে আমাকে কাজ থেকে বিরত থাকার জন্য ক্ষমা চাও"&amp;"য়া হয়েছে, কিন্তু তা সত্ত্বেও রাতে আমি এতটাই উদ্বিগ্ন বোধ করি যে আমি জানি যে আমি কাজে নেই যে আমার ঘুম আসছে না। মনে হচ্ছে আমি কল্পনা করছি যে আমার সহকর্মীরা কী বলছে এবং দীর্ঘ বিরতির পরে আমি কীভাবে সুবিধাজনকভাবে অসুস্থ হয়ে পড়ি, কোম্পানিতে আমার স্টক বা অন্য "&amp;"কিছু কমিয়ে দেয়। এটি আমাকে কাজে ফিরে যেতে প্রায় উদ্বিগ্ন করে তোলে।")</f>
        <v>অসুস্থতা এবং কর্মস্থল থেকে বিচ্ছিন্নতা নিয়ে উদ্বিগ্ন। বৈধভাবে অসুস্থ থাকা সত্ত্বেও অন্য কেউ কি কর্মস্থল থেকে বিচ্ছিন্নতা নিয়ে উদ্বিগ্ন? আমি ডাক্তারের কাছে গিয়েছিলাম এবং ডাক্তারের কাছ থেকে একটি নোট পেয়েছি যেখানে আমাকে কাজ থেকে বিরত থাকার জন্য ক্ষমা চাওয়া হয়েছে, কিন্তু তা সত্ত্বেও রাতে আমি এতটাই উদ্বিগ্ন বোধ করি যে আমি জানি যে আমি কাজে নেই যে আমার ঘুম আসছে না। মনে হচ্ছে আমি কল্পনা করছি যে আমার সহকর্মীরা কী বলছে এবং দীর্ঘ বিরতির পরে আমি কীভাবে সুবিধাজনকভাবে অসুস্থ হয়ে পড়ি, কোম্পানিতে আমার স্টক বা অন্য কিছু কমিয়ে দেয়। এটি আমাকে কাজে ফিরে যেতে প্রায় উদ্বিগ্ন করে তোলে।</v>
      </c>
    </row>
    <row r="2537" spans="1:3" ht="15" x14ac:dyDescent="0.25">
      <c r="A2537" s="3" t="s">
        <v>2530</v>
      </c>
      <c r="B2537" s="3" t="s">
        <v>1992</v>
      </c>
      <c r="C2537" s="4" t="str">
        <f ca="1">IFERROR(__xludf.DUMMYFUNCTION("GOOGLETRANSLATE(A2537, ""auto"", ""bn"")"),"কয়েকদিন ধরে পৃথিবীকে এড়িয়ে চলার পর নানান কাজ। গত দুই দিন ধরে আমি এতটাই আবেগগত এবং মানসিকভাবে ক্লান্ত ছিলাম যে দায়িত্ব এড়িয়ে যাচ্ছিলাম। কিন্তু আজ অবশেষে আমি ঘর থেকে বেরিয়ে এসেছি, এবং আমি আমার করণীয় তালিকাটি সামলাচ্ছি, আমি এখন একা দুপুরের খাবারও খাচ"&amp;"্ছি। যে উদ্বেগ আমাকে বাড়ি ফিরে যেতে এবং পৃথিবী থেকে লুকিয়ে রাখতে চায় তা উপেক্ষা করা দারুন লাগছে, বরং তাকে বলতে চাই যে সে যেন কাজ শেষ করে!")</f>
        <v>কয়েকদিন ধরে পৃথিবীকে এড়িয়ে চলার পর নানান কাজ। গত দুই দিন ধরে আমি এতটাই আবেগগত এবং মানসিকভাবে ক্লান্ত ছিলাম যে দায়িত্ব এড়িয়ে যাচ্ছিলাম। কিন্তু আজ অবশেষে আমি ঘর থেকে বেরিয়ে এসেছি, এবং আমি আমার করণীয় তালিকাটি সামলাচ্ছি, আমি এখন একা দুপুরের খাবারও খাচ্ছি। যে উদ্বেগ আমাকে বাড়ি ফিরে যেতে এবং পৃথিবী থেকে লুকিয়ে রাখতে চায় তা উপেক্ষা করা দারুন লাগছে, বরং তাকে বলতে চাই যে সে যেন কাজ শেষ করে!</v>
      </c>
    </row>
    <row r="2538" spans="1:3" ht="15" x14ac:dyDescent="0.25">
      <c r="A2538" s="3" t="s">
        <v>2531</v>
      </c>
      <c r="B2538" s="3" t="s">
        <v>1992</v>
      </c>
      <c r="C2538" s="4" t="str">
        <f ca="1">IFERROR(__xludf.DUMMYFUNCTION("GOOGLETRANSLATE(A2538, ""auto"", ""bn"")"),"ESA চাওয়ার জন্য ভয় পেলাম তাই আমি বাড়ি থেকে ৪ ঘন্টা দূরে একটা শিক্ষকতার কাজ নিলাম (যা আমার কাছে বেশ দূরে।) আমার প্রথম সেমিস্টারে, আমি এক অ্যাক্ট পড়ানো এবং প্রশিক্ষণ দেওয়ায় এত ব্যস্ত ছিলাম যে আমার কাছে মেলামেশার জন্য সময় বা শক্তি ছিল না। এক অ্যাক্টের সিজন "&amp;"শেষ হওয়ার পর, আমি ধীরে ধীরে কিন্তু নিশ্চিতভাবেই আরও বেশি বেরোনোর ​​চেষ্টা করছিলাম। যাইহোক, আমি যে শহরে থাকি তা ছোট, ৮০০ জন লোকের মতো, তাই সেখানে স্বেচ্ছাসেবকের সুযোগ খুব কমই আছে। আমি সহকর্মীদের সাথে যোগাযোগ করার চেষ্টা করেছি, কিন্তু তারা সকলেই বিবাহিত এবং"&amp;"/অথবা বাচ্চাদের সাথে এবং ব্যস্ত। আমার বাড়িওয়ালা অত্যন্ত ভালো, কিন্তু আমার আগের পেন্যান্টে একটি বিড়াল ছিল যা জাহান্নামে পরিণত করেছিল এখন সেখানে পোষা প্রাণীর নীতি নেই। সে বলেছিল যে আমি একটি সরীসৃপ বা পাখি রাখতে পারি এবং আমি একটি মাছও পেতে পারি, কিন্তু এট"&amp;"ি একই রকম নয়। একটি সরীসৃপ বা পাখির যত্ন নেওয়া আমার পক্ষে খুব বেশি রক্ষণাবেক্ষণের প্রয়োজন হবে, একটি বিড়াল সম্ভবত আমার জন্য সবচেয়ে ভালো হবে। আমি জানি আমার ADHD এবং উদ্বেগের কারণে আমি সম্ভবত ESA-এর জন্য যোগ্যতা অর্জন করতে পারব, কিন্তু আমার মনে হয় এটা আ"&amp;"মার বাড়িওয়ালার সাথে অন্যায় হবে। তিনি আমার সাথে খুব ভালো ব্যবহার করেন, এবং আমি ""ওই ব্যক্তির"" মতো দেখতে চাই না। এখানে একজন ডাক্তারের সাথে কথা বলার জন্য আমার অ্যাপয়েন্টমেন্ট আছে, তবে আমি কেবল অন্য কিছু মতামতও জানতে চেয়েছিলাম। আমি কি পোষা প্রাণীদের থাক"&amp;"ার জন্য নতুন জায়গা খুঁজে বের করার চেষ্টা করব নাকি ESA-এর জন্য চেষ্টা করব?")</f>
        <v>ESA চাওয়ার জন্য ভয় পেলাম তাই আমি বাড়ি থেকে ৪ ঘন্টা দূরে একটা শিক্ষকতার কাজ নিলাম (যা আমার কাছে বেশ দূরে।) আমার প্রথম সেমিস্টারে, আমি এক অ্যাক্ট পড়ানো এবং প্রশিক্ষণ দেওয়ায় এত ব্যস্ত ছিলাম যে আমার কাছে মেলামেশার জন্য সময় বা শক্তি ছিল না। এক অ্যাক্টের সিজন শেষ হওয়ার পর, আমি ধীরে ধীরে কিন্তু নিশ্চিতভাবেই আরও বেশি বেরোনোর ​​চেষ্টা করছিলাম। যাইহোক, আমি যে শহরে থাকি তা ছোট, ৮০০ জন লোকের মতো, তাই সেখানে স্বেচ্ছাসেবকের সুযোগ খুব কমই আছে। আমি সহকর্মীদের সাথে যোগাযোগ করার চেষ্টা করেছি, কিন্তু তারা সকলেই বিবাহিত এবং/অথবা বাচ্চাদের সাথে এবং ব্যস্ত। আমার বাড়িওয়ালা অত্যন্ত ভালো, কিন্তু আমার আগের পেন্যান্টে একটি বিড়াল ছিল যা জাহান্নামে পরিণত করেছিল এখন সেখানে পোষা প্রাণীর নীতি নেই। সে বলেছিল যে আমি একটি সরীসৃপ বা পাখি রাখতে পারি এবং আমি একটি মাছও পেতে পারি, কিন্তু এটি একই রকম নয়। একটি সরীসৃপ বা পাখির যত্ন নেওয়া আমার পক্ষে খুব বেশি রক্ষণাবেক্ষণের প্রয়োজন হবে, একটি বিড়াল সম্ভবত আমার জন্য সবচেয়ে ভালো হবে। আমি জানি আমার ADHD এবং উদ্বেগের কারণে আমি সম্ভবত ESA-এর জন্য যোগ্যতা অর্জন করতে পারব, কিন্তু আমার মনে হয় এটা আমার বাড়িওয়ালার সাথে অন্যায় হবে। তিনি আমার সাথে খুব ভালো ব্যবহার করেন, এবং আমি "ওই ব্যক্তির" মতো দেখতে চাই না। এখানে একজন ডাক্তারের সাথে কথা বলার জন্য আমার অ্যাপয়েন্টমেন্ট আছে, তবে আমি কেবল অন্য কিছু মতামতও জানতে চেয়েছিলাম। আমি কি পোষা প্রাণীদের থাকার জন্য নতুন জায়গা খুঁজে বের করার চেষ্টা করব নাকি ESA-এর জন্য চেষ্টা করব?</v>
      </c>
    </row>
    <row r="2539" spans="1:3" ht="15" x14ac:dyDescent="0.25">
      <c r="A2539" s="3" t="s">
        <v>2532</v>
      </c>
      <c r="B2539" s="3" t="s">
        <v>1992</v>
      </c>
      <c r="C2539" s="4" t="str">
        <f ca="1">IFERROR(__xludf.DUMMYFUNCTION("GOOGLETRANSLATE(A2539, ""auto"", ""bn"")"),"উদ্বেগের প্রতি তোমার শরীরের প্রতিক্রিয়া কতটা তীব্র হয়? যখন আমি আতঙ্কিত হই তখন আমার শরীরও খুব তীব্র প্রতিক্রিয়া দেখায়। আমি শ্বাস নিতে পারছি না, আমার হৃদস্পন্দন দ্রুত হচ্ছে, আমার বুক জ্বালাপোড়া হচ্ছে এবং বমি বমি ভাব হচ্ছে। প্রতি পাঁচ মিনিট অন্তর টয়লেট"&amp;"ে যাওয়া ছাড়াও। এটা তোমার কতটা তীব্র প্রভাব ফেলে?")</f>
        <v>উদ্বেগের প্রতি তোমার শরীরের প্রতিক্রিয়া কতটা তীব্র হয়? যখন আমি আতঙ্কিত হই তখন আমার শরীরও খুব তীব্র প্রতিক্রিয়া দেখায়। আমি শ্বাস নিতে পারছি না, আমার হৃদস্পন্দন দ্রুত হচ্ছে, আমার বুক জ্বালাপোড়া হচ্ছে এবং বমি বমি ভাব হচ্ছে। প্রতি পাঁচ মিনিট অন্তর টয়লেটে যাওয়া ছাড়াও। এটা তোমার কতটা তীব্র প্রভাব ফেলে?</v>
      </c>
    </row>
    <row r="2540" spans="1:3" ht="15" x14ac:dyDescent="0.25">
      <c r="A2540" s="3" t="s">
        <v>2533</v>
      </c>
      <c r="B2540" s="3" t="s">
        <v>1992</v>
      </c>
      <c r="C2540" s="4" t="str">
        <f ca="1">IFERROR(__xludf.DUMMYFUNCTION("GOOGLETRANSLATE(A2540, ""auto"", ""bn"")"),"প্যানিক অ্যাটাকের সময় ফুসফুস অদ্ভুত লাগে যদিও আমি আমার শ্বাস-প্রশ্বাস নিয়ন্ত্রণ করি। এই অনুভূতি বর্ণনা করা কঠিন, তবে প্যানিক অ্যাটাকের সময় আমার পাঁজরের খাঁচা আমার ফুসফুসের উপর বন্ধ হয়ে আসছে বলে মনে হয় এবং এটি শ্বাসকষ্টের তীব্র অনুভূতি তৈরি করে। এই ধর"&amp;"নের আক্রমণের সময় আমি আমার শ্বাস-প্রশ্বাস নিয়ন্ত্রণ করি এবং নিশ্চিত করি যে আমি ধীরে ধীরে আমার ডায়াফ্রাম দিয়ে শ্বাস নিচ্ছি এবং এই অনুভূতিটি এখনও এলোমেলোভাবে এবং হঠাৎ চলে যাবে। শ্বাস-প্রশ্বাসের ব্যায়াম শুরু করার পরে এটি 30 মিনিট পর্যন্ত স্থায়ী হতে পারে"&amp;" এবং আমার সর্বদা মনে হয় যে আমি মারা যাচ্ছি। এই ধরনের মুহুর্তে, আমি সিঁড়ি বেয়ে উঠতেও পারি না, আমার দম বন্ধ হয়ে যাচ্ছে, যদিও আমার বয়স 19 বছর এবং আমি সপ্তাহে 4 বার ব্যায়াম করি। আর কেউ কি এই অনুভূতি অনুভব করে? (আমি ইতিমধ্যেই আমার হৃদয় এবং ফুসফুস পুঙ্খা"&amp;"নুপুঙ্খভাবে পরীক্ষা করিয়েছি।)")</f>
        <v>প্যানিক অ্যাটাকের সময় ফুসফুস অদ্ভুত লাগে যদিও আমি আমার শ্বাস-প্রশ্বাস নিয়ন্ত্রণ করি। এই অনুভূতি বর্ণনা করা কঠিন, তবে প্যানিক অ্যাটাকের সময় আমার পাঁজরের খাঁচা আমার ফুসফুসের উপর বন্ধ হয়ে আসছে বলে মনে হয় এবং এটি শ্বাসকষ্টের তীব্র অনুভূতি তৈরি করে। এই ধরনের আক্রমণের সময় আমি আমার শ্বাস-প্রশ্বাস নিয়ন্ত্রণ করি এবং নিশ্চিত করি যে আমি ধীরে ধীরে আমার ডায়াফ্রাম দিয়ে শ্বাস নিচ্ছি এবং এই অনুভূতিটি এখনও এলোমেলোভাবে এবং হঠাৎ চলে যাবে। শ্বাস-প্রশ্বাসের ব্যায়াম শুরু করার পরে এটি 30 মিনিট পর্যন্ত স্থায়ী হতে পারে এবং আমার সর্বদা মনে হয় যে আমি মারা যাচ্ছি। এই ধরনের মুহুর্তে, আমি সিঁড়ি বেয়ে উঠতেও পারি না, আমার দম বন্ধ হয়ে যাচ্ছে, যদিও আমার বয়স 19 বছর এবং আমি সপ্তাহে 4 বার ব্যায়াম করি। আর কেউ কি এই অনুভূতি অনুভব করে? (আমি ইতিমধ্যেই আমার হৃদয় এবং ফুসফুস পুঙ্খানুপুঙ্খভাবে পরীক্ষা করিয়েছি।)</v>
      </c>
    </row>
    <row r="2541" spans="1:3" ht="15" x14ac:dyDescent="0.25">
      <c r="A2541" s="3" t="s">
        <v>2534</v>
      </c>
      <c r="B2541" s="3" t="s">
        <v>1992</v>
      </c>
      <c r="C2541" s="4" t="str">
        <f ca="1">IFERROR(__xludf.DUMMYFUNCTION("GOOGLETRANSLATE(A2541, ""auto"", ""bn"")"),"ক্রমাগত উদ্বিগ্ন, অস্থির, মনোযোগ দিতে পারছি না এবং পেট খারাপ, এই অবস্থায় আমি কীভাবে শান্ত হব? (আমি শুরু করার ঠিক আগে উদ্বেগ বা অন্য কিছু আছে বলে দাবি করছি না) আমার বয়স ১৬ এবং আমি ১১ বছর বয়স থেকে ছোট ছোট জিনিস নিয়ে ক্রমাগত তীব্র উদ্বেগের সাথে বাস করছি "&amp;"এবং ছোট ছোট জিনিসের জন্য আমার হৃদস্পন্দন দ্রুত স্পন্দিত হয় এবং কখনও কখনও আমি জানি না কেন আমি উদ্বিগ্ন। আমি ক্রমাগত অসুস্থ বোধ করি এবং শান্ত এবং আরামদায়ক না হলে খেতে চাই না, এবং এখন আমি লোকেদের সাথে দেখা করতে পছন্দ করি না ব্লা ব্লা ব্লা ব্লা। আমি সামাজিক"&amp;" মিথস্ক্রিয়ায়ও নার্ভাস হয়ে পড়ি যা আমাকে বলা হয়েছে কেবল লজ্জাজনক। তদুপরি, আমি কখনও কাউকে এটি সম্পর্কে বলিনি, তবে এটি আরও খারাপ হচ্ছে। তদুপরি, আমি দাবি করতে চাই না যে আমার উদ্বেগ রয়েছে কারণ প্রকৃত উদ্বেগযুক্ত লোকেরা সম্ভবত এটি আরও খারাপ করে তোলে যেমন "&amp;"তাদের বিছানা ছেড়ে যেতে বা কথা বলতে বা জিনিসপত্র রাখতে পারে না। আমি কীভাবে খুব উদ্বেগ বোধ করা বন্ধ করব? আমারও হতাশার সময়কালের ঢেউ এসেছে এবং আমি অসহায় এবং মূল্যহীন বোধ করছি, যা আমার মনে হয় অতিরিক্ত চিন্তাভাবনা বা অন্য কিছুর সাথে সম্পর্কিত, কিন্তু আমি কি"&amp;"ছু নির্দিষ্ট সময়ের জন্য সত্যিই হতাশ ছিলাম এবং তারপরে আবার এতে ডুবে যাওয়ার মতো খারাপ কিছু ছিল না। আমি সবসময় বন্ধুদের কাছ থেকে অনুমোদন চাই এবং মনে হয় সবাই আমার পিছনে কথা বলে এবং আমি যদি ভুল করে কাউকে ছোটোখাটো ভুল কথা বলি, অথবা তারা আমার প্রত্যাশা মতো উত"&amp;"্তর না দেয় বা আমার সাথে সামান্যতম ভিন্ন কথা বলে কারণ আমার মনে হয় তারা আমাকে আলাদাভাবে দেখে বা আমাকে পছন্দ করে না, তাহলে আমার খারাপ লাগে। তাছাড়া, আমি দিনের পর দিন প্রতিটি ছোটোখাটো জিনিস নিয়ে ভাবি, এবং সবকিছুই কেবল বৃদ্ধি পায় এবং অপ্রতিরোধ্য হয়ে ওঠে। "&amp;"আমি বেশ জনপ্রিয় যা বিভ্রান্তিকর। আমি বুঝতে পারি না কেন আমি এমন অনুভব করি যখন আমি আগে স্কুলে প্রচুর বন্ধু তৈরি করতে সক্ষম ছিলাম??। তাছাড়া, আমি এখনও কিছুটা কম পরিচিত এমনকি কম জনপ্রিয় লোকেদের সাথে কথা বলার সময় উদ্বিগ্ন এবং বিব্রত বোধ করি। আমি খুব হারিয়ে"&amp;" যাই, আমি এত বিভ্রান্ত যে কী হচ্ছে তা নিয়ে। দুঃখিত, যদি এটি একটু জটিল এবং বিভ্রান্তিকর হয়, আমি ঠিক বুঝতে পারছি না কিভাবে ব্যাখ্যা করব। আমি ব্যাখ্যা করতে পারি না, হা হা। যদি কেউ আমাকে সাহায্য করতে পারেন, কী হচ্ছে বা ছোটখাটো বিষয়ে ক্রমাগত নার্ভাস থাকার প"&amp;"রিবর্তে আমার আরাম করার জন্য কী করা উচিত, তাহলে আমি খুবই কৃতজ্ঞ থাকব, ধন্যবাদ।")</f>
        <v>ক্রমাগত উদ্বিগ্ন, অস্থির, মনোযোগ দিতে পারছি না এবং পেট খারাপ, এই অবস্থায় আমি কীভাবে শান্ত হব? (আমি শুরু করার ঠিক আগে উদ্বেগ বা অন্য কিছু আছে বলে দাবি করছি না) আমার বয়স ১৬ এবং আমি ১১ বছর বয়স থেকে ছোট ছোট জিনিস নিয়ে ক্রমাগত তীব্র উদ্বেগের সাথে বাস করছি এবং ছোট ছোট জিনিসের জন্য আমার হৃদস্পন্দন দ্রুত স্পন্দিত হয় এবং কখনও কখনও আমি জানি না কেন আমি উদ্বিগ্ন। আমি ক্রমাগত অসুস্থ বোধ করি এবং শান্ত এবং আরামদায়ক না হলে খেতে চাই না, এবং এখন আমি লোকেদের সাথে দেখা করতে পছন্দ করি না ব্লা ব্লা ব্লা ব্লা। আমি সামাজিক মিথস্ক্রিয়ায়ও নার্ভাস হয়ে পড়ি যা আমাকে বলা হয়েছে কেবল লজ্জাজনক। তদুপরি, আমি কখনও কাউকে এটি সম্পর্কে বলিনি, তবে এটি আরও খারাপ হচ্ছে। তদুপরি, আমি দাবি করতে চাই না যে আমার উদ্বেগ রয়েছে কারণ প্রকৃত উদ্বেগযুক্ত লোকেরা সম্ভবত এটি আরও খারাপ করে তোলে যেমন তাদের বিছানা ছেড়ে যেতে বা কথা বলতে বা জিনিসপত্র রাখতে পারে না। আমি কীভাবে খুব উদ্বেগ বোধ করা বন্ধ করব? আমারও হতাশার সময়কালের ঢেউ এসেছে এবং আমি অসহায় এবং মূল্যহীন বোধ করছি, যা আমার মনে হয় অতিরিক্ত চিন্তাভাবনা বা অন্য কিছুর সাথে সম্পর্কিত, কিন্তু আমি কিছু নির্দিষ্ট সময়ের জন্য সত্যিই হতাশ ছিলাম এবং তারপরে আবার এতে ডুবে যাওয়ার মতো খারাপ কিছু ছিল না। আমি সবসময় বন্ধুদের কাছ থেকে অনুমোদন চাই এবং মনে হয় সবাই আমার পিছনে কথা বলে এবং আমি যদি ভুল করে কাউকে ছোটোখাটো ভুল কথা বলি, অথবা তারা আমার প্রত্যাশা মতো উত্তর না দেয় বা আমার সাথে সামান্যতম ভিন্ন কথা বলে কারণ আমার মনে হয় তারা আমাকে আলাদাভাবে দেখে বা আমাকে পছন্দ করে না, তাহলে আমার খারাপ লাগে। তাছাড়া, আমি দিনের পর দিন প্রতিটি ছোটোখাটো জিনিস নিয়ে ভাবি, এবং সবকিছুই কেবল বৃদ্ধি পায় এবং অপ্রতিরোধ্য হয়ে ওঠে। আমি বেশ জনপ্রিয় যা বিভ্রান্তিকর। আমি বুঝতে পারি না কেন আমি এমন অনুভব করি যখন আমি আগে স্কুলে প্রচুর বন্ধু তৈরি করতে সক্ষম ছিলাম??। তাছাড়া, আমি এখনও কিছুটা কম পরিচিত এমনকি কম জনপ্রিয় লোকেদের সাথে কথা বলার সময় উদ্বিগ্ন এবং বিব্রত বোধ করি। আমি খুব হারিয়ে যাই, আমি এত বিভ্রান্ত যে কী হচ্ছে তা নিয়ে। দুঃখিত, যদি এটি একটু জটিল এবং বিভ্রান্তিকর হয়, আমি ঠিক বুঝতে পারছি না কিভাবে ব্যাখ্যা করব। আমি ব্যাখ্যা করতে পারি না, হা হা। যদি কেউ আমাকে সাহায্য করতে পারেন, কী হচ্ছে বা ছোটখাটো বিষয়ে ক্রমাগত নার্ভাস থাকার পরিবর্তে আমার আরাম করার জন্য কী করা উচিত, তাহলে আমি খুবই কৃতজ্ঞ থাকব, ধন্যবাদ।</v>
      </c>
    </row>
    <row r="2542" spans="1:3" ht="15" x14ac:dyDescent="0.25">
      <c r="A2542" s="3" t="s">
        <v>2535</v>
      </c>
      <c r="B2542" s="3" t="s">
        <v>1992</v>
      </c>
      <c r="C2542" s="4" t="str">
        <f ca="1">IFERROR(__xludf.DUMMYFUNCTION("GOOGLETRANSLATE(A2542, ""auto"", ""bn"")"),"হঠাৎ করেই উদ্বেগ। সবাইকে শুভেচ্ছা, আশা করি সবার নতুন বছর ভালো কেটেছে। আমি কেবল জিজ্ঞাসা করতে চেয়েছিলাম যে অন্য কারো কি এমন উদ্বেগ আছে যা কোথাও থেকে আসে না। আমি যখন আমার পছন্দের কাজ করি তখন আমি সবসময় আমার উদ্বেগের কথা ভুলে যাই, কিন্তু সম্প্রতি তা ঘটছে না"&amp;", এবং আমি উদ্বিগ্ন হওয়ার স্বাভাবিক লক্ষণগুলি অনুভব করতে শুরু করেছি যেমন সামান্য বমি বমি ভাব এবং মাথা ঘোরা। আমি ভাবছিলাম যে আমি কি কিছু করতে পারি, আমি প্রয়োজনে গ্রাউন্ডিং কৌশল এবং পদ্ধতি ব্যবহার করি যেমন বর্গাকার শ্বাস-প্রশ্বাস এবং তারা সাহায্য করে। যদি "&amp;"কিছু থাকে, দয়া করে আমাকে জানান। ধন্যবাদ ??? Â?? ÂA")</f>
        <v>হঠাৎ করেই উদ্বেগ। সবাইকে শুভেচ্ছা, আশা করি সবার নতুন বছর ভালো কেটেছে। আমি কেবল জিজ্ঞাসা করতে চেয়েছিলাম যে অন্য কারো কি এমন উদ্বেগ আছে যা কোথাও থেকে আসে না। আমি যখন আমার পছন্দের কাজ করি তখন আমি সবসময় আমার উদ্বেগের কথা ভুলে যাই, কিন্তু সম্প্রতি তা ঘটছে না, এবং আমি উদ্বিগ্ন হওয়ার স্বাভাবিক লক্ষণগুলি অনুভব করতে শুরু করেছি যেমন সামান্য বমি বমি ভাব এবং মাথা ঘোরা। আমি ভাবছিলাম যে আমি কি কিছু করতে পারি, আমি প্রয়োজনে গ্রাউন্ডিং কৌশল এবং পদ্ধতি ব্যবহার করি যেমন বর্গাকার শ্বাস-প্রশ্বাস এবং তারা সাহায্য করে। যদি কিছু থাকে, দয়া করে আমাকে জানান। ধন্যবাদ ??? Â?? ÂA</v>
      </c>
    </row>
    <row r="2543" spans="1:3" ht="15" x14ac:dyDescent="0.25">
      <c r="A2543" s="3" t="s">
        <v>2536</v>
      </c>
      <c r="B2543" s="3" t="s">
        <v>1992</v>
      </c>
      <c r="C2543" s="4" t="str">
        <f ca="1">IFERROR(__xludf.DUMMYFUNCTION("GOOGLETRANSLATE(A2543, ""auto"", ""bn"")"),"অপেক্ষা আমাকে মেরে ফেলছে, আর মাত্র ১০ মিনিটের মধ্যে আমার একটা ফোন ইন্টারভিউ আছে, আর আমি এতটাই নার্ভাস যে আমার বমি আসতে পারে, উফ....অন্তত শীঘ্রই শেষ হয়ে যাবে।")</f>
        <v>অপেক্ষা আমাকে মেরে ফেলছে, আর মাত্র ১০ মিনিটের মধ্যে আমার একটা ফোন ইন্টারভিউ আছে, আর আমি এতটাই নার্ভাস যে আমার বমি আসতে পারে, উফ....অন্তত শীঘ্রই শেষ হয়ে যাবে।</v>
      </c>
    </row>
    <row r="2544" spans="1:3" ht="15" x14ac:dyDescent="0.25">
      <c r="A2544" s="3" t="s">
        <v>2537</v>
      </c>
      <c r="B2544" s="3" t="s">
        <v>1992</v>
      </c>
      <c r="C2544" s="4" t="str">
        <f ca="1">IFERROR(__xludf.DUMMYFUNCTION("GOOGLETRANSLATE(A2544, ""auto"", ""bn"")"),"আমার গাড়ির সিট পজিশন মেমোরি রিসেট করার কারণে আমি ব্রেকডাউনের দ্বারপ্রান্তে। কিছু পটভূমি - আমার সাধারণ উদ্বেগ, ওসিডি প্রবণতা ধরা পড়েছে। জিনিসপত্রের অবস্থান নিয়ে আমার একটি বড় ট্রিগার আছে। উদাহরণস্বরূপ, যদি কেউ আসবাবপত্র ভ্যাকুয়ামে পুনর্বিন্যাস করে, এবং"&amp;" এটি একই জায়গায় না থাকে, তাহলে মনে হয় ঘরের সবকিছু বন্ধ হয়ে গেছে। আমি আরও শক্ত বাক্সে বন্ধ থাকার মতো ক্লাস্ট্রোফোবিক অনুভূতি অনুভব করতে শুরু করি এবং আমার শরীরের বাইরের অভিজ্ঞতার মতো মনে হয়। আমার গাড়িতে ড্রাইভারের সিটের অবস্থান আমার আরেকটি বড় ট্রিগার"&amp;"। আমার প্রথম গাড়িতে সিট মেমোরি ছিল না, তাই যখনই আমি এটি দোকানে বা অন্য কিছুতে নিয়ে যেতাম, আমি পেইন্টার টেপ দিয়ে আমার সিট অ্যালাইনমেন্টের রূপরেখা তৈরি করতাম, যাতে আমি ঠিক কীভাবে এটিকে সঠিক জায়গায় ফিরিয়ে আনতে হয় তা জানতে পারি। যখন আমি একটি নতুন গাড়ি"&amp;" পেয়েছিলাম, আমি বিশেষভাবে নিশ্চিত করেছিলাম যে এটিতে সিট মেমোরি আছে। যাই হোক, কয়েক ঘন্টা পরে অবশেষে আমি এই নতুন গাড়িতে আমার পছন্দের একটি সিট পজিশন খুঁজে পেয়েছি এবং আমি এটি প্রোগ্রাম করেছি। এটি আমার জন্য এত বড় চাপ তৈরি করেছে। যাইহোক, অন্য রাতে আমার গাড"&amp;"়ির ব্যাটারি মারা গেছে। এক বন্ধু এটি চালু করতে সাহায্য করেছিল, এবং তারা আমার হুড খোলার জন্য লিভারের কাছে পৌঁছানোর জন্য সিটটি সরিয়েছিল। আমি ভেবেছিলাম - কোনও সমস্যা নেই, এটি প্রোগ্রাম করা আছে, কিন্তু আমার গাড়িটি জাম্প-স্টার্ট করার পরে, এটি রিসেট হয়নি। আম"&amp;"ি ভেবেছিলাম এটি কেবল কারণ জাম্প-স্টার্টিং গাড়িটিকে একটি অদ্ভুত মোডে ফেলেছে, এবং আমি যখন এটি নিজে থেকে শুরু করি তখন এটি কাজ করবে। যাই হোক, আজ সকালে আমি আমার গাড়িটি চালু করি, কিন্তু সিটের স্মৃতি ফিরে আসেনি। আমার বুকে টান অনুভব করছি এবং সেই ক্লস্ট্রোফোবিক "&amp;"অনুভূতি আবার শুরু হয়েছে। আমি প্রায় 45 মিনিট ধরে সিটটি আমার পছন্দ মতো সামঞ্জস্য করার চেষ্টা করছি এবং কিছুই ঠিক মনে হচ্ছে না। তদুপরি, আমি বর্তমানে ভেতরে হাইপারভেন্টিলেট না করার চেষ্টা করছি এবং অনুভব করছি যেন আমার পৃথিবী আমার উপর ভেঙে পড়ছে, কারণ আমার অদ্ভ"&amp;"ুত আসনটি তার অবস্থান থেকে বেরিয়ে এসেছে। সর্বোপরি, আমি ছুটির দিনগুলি থেকে আমার বাবা-মায়ের সাথে দেখা করছি, এবং তারা মানসিক স্বাস্থ্যের ক্ষেত্রে খুব শক্তিশালী, এটি বাস্তব নয়। এবং তাই তারা এখানে বসে হাসছেন, এবং আমাকে অনুকরণ করছেন। যাই হোক - কেবল যেকোনো পরা"&amp;"মর্শ, বা চিন্তাভাবনা সত্যিই প্রশংসা করা হবে। এই উদ্বেগের কারণে আমার আক্ষরিক অর্থেই মনে হচ্ছে আমি মারা যাব।")</f>
        <v>আমার গাড়ির সিট পজিশন মেমোরি রিসেট করার কারণে আমি ব্রেকডাউনের দ্বারপ্রান্তে। কিছু পটভূমি - আমার সাধারণ উদ্বেগ, ওসিডি প্রবণতা ধরা পড়েছে। জিনিসপত্রের অবস্থান নিয়ে আমার একটি বড় ট্রিগার আছে। উদাহরণস্বরূপ, যদি কেউ আসবাবপত্র ভ্যাকুয়ামে পুনর্বিন্যাস করে, এবং এটি একই জায়গায় না থাকে, তাহলে মনে হয় ঘরের সবকিছু বন্ধ হয়ে গেছে। আমি আরও শক্ত বাক্সে বন্ধ থাকার মতো ক্লাস্ট্রোফোবিক অনুভূতি অনুভব করতে শুরু করি এবং আমার শরীরের বাইরের অভিজ্ঞতার মতো মনে হয়। আমার গাড়িতে ড্রাইভারের সিটের অবস্থান আমার আরেকটি বড় ট্রিগার। আমার প্রথম গাড়িতে সিট মেমোরি ছিল না, তাই যখনই আমি এটি দোকানে বা অন্য কিছুতে নিয়ে যেতাম, আমি পেইন্টার টেপ দিয়ে আমার সিট অ্যালাইনমেন্টের রূপরেখা তৈরি করতাম, যাতে আমি ঠিক কীভাবে এটিকে সঠিক জায়গায় ফিরিয়ে আনতে হয় তা জানতে পারি। যখন আমি একটি নতুন গাড়ি পেয়েছিলাম, আমি বিশেষভাবে নিশ্চিত করেছিলাম যে এটিতে সিট মেমোরি আছে। যাই হোক, কয়েক ঘন্টা পরে অবশেষে আমি এই নতুন গাড়িতে আমার পছন্দের একটি সিট পজিশন খুঁজে পেয়েছি এবং আমি এটি প্রোগ্রাম করেছি। এটি আমার জন্য এত বড় চাপ তৈরি করেছে। যাইহোক, অন্য রাতে আমার গাড়ির ব্যাটারি মারা গেছে। এক বন্ধু এটি চালু করতে সাহায্য করেছিল, এবং তারা আমার হুড খোলার জন্য লিভারের কাছে পৌঁছানোর জন্য সিটটি সরিয়েছিল। আমি ভেবেছিলাম - কোনও সমস্যা নেই, এটি প্রোগ্রাম করা আছে, কিন্তু আমার গাড়িটি জাম্প-স্টার্ট করার পরে, এটি রিসেট হয়নি। আমি ভেবেছিলাম এটি কেবল কারণ জাম্প-স্টার্টিং গাড়িটিকে একটি অদ্ভুত মোডে ফেলেছে, এবং আমি যখন এটি নিজে থেকে শুরু করি তখন এটি কাজ করবে। যাই হোক, আজ সকালে আমি আমার গাড়িটি চালু করি, কিন্তু সিটের স্মৃতি ফিরে আসেনি। আমার বুকে টান অনুভব করছি এবং সেই ক্লস্ট্রোফোবিক অনুভূতি আবার শুরু হয়েছে। আমি প্রায় 45 মিনিট ধরে সিটটি আমার পছন্দ মতো সামঞ্জস্য করার চেষ্টা করছি এবং কিছুই ঠিক মনে হচ্ছে না। তদুপরি, আমি বর্তমানে ভেতরে হাইপারভেন্টিলেট না করার চেষ্টা করছি এবং অনুভব করছি যেন আমার পৃথিবী আমার উপর ভেঙে পড়ছে, কারণ আমার অদ্ভুত আসনটি তার অবস্থান থেকে বেরিয়ে এসেছে। সর্বোপরি, আমি ছুটির দিনগুলি থেকে আমার বাবা-মায়ের সাথে দেখা করছি, এবং তারা মানসিক স্বাস্থ্যের ক্ষেত্রে খুব শক্তিশালী, এটি বাস্তব নয়। এবং তাই তারা এখানে বসে হাসছেন, এবং আমাকে অনুকরণ করছেন। যাই হোক - কেবল যেকোনো পরামর্শ, বা চিন্তাভাবনা সত্যিই প্রশংসা করা হবে। এই উদ্বেগের কারণে আমার আক্ষরিক অর্থেই মনে হচ্ছে আমি মারা যাব।</v>
      </c>
    </row>
    <row r="2545" spans="1:3" ht="15" x14ac:dyDescent="0.25">
      <c r="A2545" s="3" t="s">
        <v>2538</v>
      </c>
      <c r="B2545" s="3" t="s">
        <v>1992</v>
      </c>
      <c r="C2545" s="4" t="str">
        <f ca="1">IFERROR(__xludf.DUMMYFUNCTION("GOOGLETRANSLATE(A2545, ""auto"", ""bn"")"),"বয়স বাড়ার সাথে সাথে আমার বয়স আরও খারাপ হচ্ছে, সম্প্রতি আমার বয়স ২২ বছর হয়ে গেছে, এবং আমি লক্ষ্য করেছি যে গত এক বছর বা তারও বেশি সময় ধরে আমি বাইরে কাজ করতে বা বাইরে বেরোতে খুব কষ্ট পাচ্ছি। মনে হচ্ছে আমার মাথায় বারবার উৎসাহের কথা বলতে হচ্ছে এবং নিজেক"&amp;"ে মনে করিয়ে দিতে হচ্ছে যে এটা শুধু মুদির দোকান, অথবা শপিং মল ইত্যাদি। আমার মনে হচ্ছে আমি যেখানেই যাই লোকেরা আমাকে দেখছে এবং বিচার করছে। এটা খুবই বোকা মানসিকতা কারণ স্পষ্টতই আমি জানি যে এটা এমন নয়, এবং আমি সেই সমস্যাটি করার জন্য যথেষ্ট গুরুত্বপূর্ণ নই, ত"&amp;"াহলে আমি কেন এটিকে এড়িয়ে যেতে পারি না? আমি ভেবেছিলাম এটি আমার আত্মবিশ্বাসের অভাবের সাথেও সম্পর্কিত, কিন্তু আমি সবসময় আত্মসচেতন ছিলাম, এবং আমি বাইরে যেতে পেরেছিলাম এবং আসলে আমি কিছু মনে করি না। আমি নিশ্চিত নই কেন এটি আরও খারাপ হচ্ছে এবং আমার জন্য ভালো ন"&amp;"য়। তাছাড়া, আমি এখনও নিজেকে বাইরে যেতে এবং কাজ শেষ করতে বাধ্য করি, কিন্তু এটি আমার মাথায় সারাক্ষণ একটি ধ্রুবক লড়াই, এবং এটি আসলে আমাকে আরও বেশি করে বিভ্রান্ত করে এবং ভুলে যেতে বাধ্য করে। তাছাড়া, আমার মনে হয় আমি যা চাইছি তা হল এই সমস্যা মোকাবেলা করার "&amp;"জন্য কারো কোন টিপস বা পরামর্শের জন্য। তাছাড়া, আমি চাই না যে আমি আমার ঘর থেকে বের হতে না পারি বা আমার নিজের ত্বকে এভাবে আরাম বোধ না করি। তাছাড়া, আমাকে Xanax প্রেসক্রাইব করা হয়েছে, কিন্তু আমি এটি শুধুমাত্র আমার উদ্বেগ বা প্যানিক আক্রমণের সময় এবং যখন আমি"&amp;" সত্যিই আর শান্ত হতে পারি না তখনই গ্রহণ করি। তাছাড়া, আমি কিছু না খাওয়ার চেষ্টা করি কারণ এই অনুভূতি আমার প্রতিদিন হয়।")</f>
        <v>বয়স বাড়ার সাথে সাথে আমার বয়স আরও খারাপ হচ্ছে, সম্প্রতি আমার বয়স ২২ বছর হয়ে গেছে, এবং আমি লক্ষ্য করেছি যে গত এক বছর বা তারও বেশি সময় ধরে আমি বাইরে কাজ করতে বা বাইরে বেরোতে খুব কষ্ট পাচ্ছি। মনে হচ্ছে আমার মাথায় বারবার উৎসাহের কথা বলতে হচ্ছে এবং নিজেকে মনে করিয়ে দিতে হচ্ছে যে এটা শুধু মুদির দোকান, অথবা শপিং মল ইত্যাদি। আমার মনে হচ্ছে আমি যেখানেই যাই লোকেরা আমাকে দেখছে এবং বিচার করছে। এটা খুবই বোকা মানসিকতা কারণ স্পষ্টতই আমি জানি যে এটা এমন নয়, এবং আমি সেই সমস্যাটি করার জন্য যথেষ্ট গুরুত্বপূর্ণ নই, তাহলে আমি কেন এটিকে এড়িয়ে যেতে পারি না? আমি ভেবেছিলাম এটি আমার আত্মবিশ্বাসের অভাবের সাথেও সম্পর্কিত, কিন্তু আমি সবসময় আত্মসচেতন ছিলাম, এবং আমি বাইরে যেতে পেরেছিলাম এবং আসলে আমি কিছু মনে করি না। আমি নিশ্চিত নই কেন এটি আরও খারাপ হচ্ছে এবং আমার জন্য ভালো নয়। তাছাড়া, আমি এখনও নিজেকে বাইরে যেতে এবং কাজ শেষ করতে বাধ্য করি, কিন্তু এটি আমার মাথায় সারাক্ষণ একটি ধ্রুবক লড়াই, এবং এটি আসলে আমাকে আরও বেশি করে বিভ্রান্ত করে এবং ভুলে যেতে বাধ্য করে। তাছাড়া, আমার মনে হয় আমি যা চাইছি তা হল এই সমস্যা মোকাবেলা করার জন্য কারো কোন টিপস বা পরামর্শের জন্য। তাছাড়া, আমি চাই না যে আমি আমার ঘর থেকে বের হতে না পারি বা আমার নিজের ত্বকে এভাবে আরাম বোধ না করি। তাছাড়া, আমাকে Xanax প্রেসক্রাইব করা হয়েছে, কিন্তু আমি এটি শুধুমাত্র আমার উদ্বেগ বা প্যানিক আক্রমণের সময় এবং যখন আমি সত্যিই আর শান্ত হতে পারি না তখনই গ্রহণ করি। তাছাড়া, আমি কিছু না খাওয়ার চেষ্টা করি কারণ এই অনুভূতি আমার প্রতিদিন হয়।</v>
      </c>
    </row>
    <row r="2546" spans="1:3" ht="15" x14ac:dyDescent="0.25">
      <c r="A2546" s="3" t="s">
        <v>2539</v>
      </c>
      <c r="B2546" s="3" t="s">
        <v>1992</v>
      </c>
      <c r="C2546" s="4" t="str">
        <f ca="1">IFERROR(__xludf.DUMMYFUNCTION("GOOGLETRANSLATE(A2546, ""auto"", ""bn"")"),"স্বাস্থ্য উদ্বেগ নয়, বরং দুর্বল স্বাস্থ্যের উদ্বেগ হে বন্ধুরা, আমি স্বাস্থ্য উদ্বেগ এবং সম্ভাব্য স্বাস্থ্য সমস্যা নিয়ে উদ্বেগ মোকাবেলা করার জন্য অনেক পোস্ট দেখি। আমার মাঝে মাঝে এই সমস্যাটি হয়, তবে আমার জন্য আরও বড় সমস্যা হল যখন আমার প্রকৃত স্বাস্থ্য স"&amp;"মস্যাগুলি তীব্র হয় তখন আমার উদ্বেগ বেড়ে যায়। আমার মাঝারি স্কোলিওসিস আছে যার ফলে পিঠে খিঁচুনি এবং পায়ে ঝাঁকুনি হয় - কখনও কখনও ব্যথা খুব, খুব তীব্র হয় এবং ঘুম এবং দৈনন্দিন রুটিনে ব্যাঘাত ঘটায়। এছাড়াও, আমার বেশ তীব্র অ্যাসিড রিফ্লাক্স আছে যার ফলে আমা"&amp;"র গলায় একটানা পিণ্ড তৈরি হয়, কাশি, পেটে ব্যথা, অম্বল, হালকা বমি বমি ভাব হয়। আমার কর্নিয়াতেও কিছু সমস্যা রয়েছে, যা শুকিয়ে যায় এবং সহজেই দাগ পড়ে যা সহজেই জ্বলন এবং ঝাপসা দৃষ্টি তৈরি করে। কখনও কখনও, আমি ঠিক আছি। বেশিরভাগ সময়, এই সমস্যাগুলির মধ্যে এক"&amp;"টি বা একাধিক জ্বলন্ত থাকে। সংক্ষেপে, আমার বেশ কয়েকটি দীর্ঘস্থায়ী স্বাস্থ্য সমস্যা রয়েছে যা আমার দিনকে প্রায় ক্রমাগত প্রভাবিত করে। আমি জানি না কীভাবে ইতিবাচক থাকতে হবে এবং এর সাথে মোকাবিলা করতে হবে - আমি নিজেকে চিরতরে খারাপ বোধ করতে আতঙ্কিত দেখতে পাই, "&amp;"যা কঠিন কারণ এর বিরুদ্ধে আমার আসলে কোনও শক্তিশালী যুক্তি নেই; আমি সাধারণত খারাপ বোধ করি। আমার বয়স মাত্র ৩০। কেউ কি বুঝতে পারছেন? মাঝে মাঝে আমার খুব খারাপ লাগে। আমি মরে যাচ্ছি না। তাছাড়া, আমি অনেক সময় সত্যিই অস্বস্তি বোধ করি এবং আমার মনে হয় যে এটি আমাকে ন"&amp;"িজেরই খারাপ রূপে পরিণত করে। তাছাড়া, যখন আমি নিজেকে সামলাতে চাই তখন আমি ব্যায়াম করার চেষ্টা করি, ভালো খাই এবং অনেক নিজের যত্ন নিই, কিন্তু এটা একটা কঠিন লড়াইয়ের মতো মনে হয়। তাছাড়া, আমি প্রায়ই ভাবি যদি আমার এই সমস্যাগুলো না থাকত, তাহলে আমার দুশ্চিন্তা হত"&amp;"ো না, কিন্তু কে জানে। কারো কি কোন পরামর্শ বা মোকাবেলা করার কৌশল আছে? পড়ার জন্য অনেক ধন্যবাদ।")</f>
        <v>স্বাস্থ্য উদ্বেগ নয়, বরং দুর্বল স্বাস্থ্যের উদ্বেগ হে বন্ধুরা, আমি স্বাস্থ্য উদ্বেগ এবং সম্ভাব্য স্বাস্থ্য সমস্যা নিয়ে উদ্বেগ মোকাবেলা করার জন্য অনেক পোস্ট দেখি। আমার মাঝে মাঝে এই সমস্যাটি হয়, তবে আমার জন্য আরও বড় সমস্যা হল যখন আমার প্রকৃত স্বাস্থ্য সমস্যাগুলি তীব্র হয় তখন আমার উদ্বেগ বেড়ে যায়। আমার মাঝারি স্কোলিওসিস আছে যার ফলে পিঠে খিঁচুনি এবং পায়ে ঝাঁকুনি হয় - কখনও কখনও ব্যথা খুব, খুব তীব্র হয় এবং ঘুম এবং দৈনন্দিন রুটিনে ব্যাঘাত ঘটায়। এছাড়াও, আমার বেশ তীব্র অ্যাসিড রিফ্লাক্স আছে যার ফলে আমার গলায় একটানা পিণ্ড তৈরি হয়, কাশি, পেটে ব্যথা, অম্বল, হালকা বমি বমি ভাব হয়। আমার কর্নিয়াতেও কিছু সমস্যা রয়েছে, যা শুকিয়ে যায় এবং সহজেই দাগ পড়ে যা সহজেই জ্বলন এবং ঝাপসা দৃষ্টি তৈরি করে। কখনও কখনও, আমি ঠিক আছি। বেশিরভাগ সময়, এই সমস্যাগুলির মধ্যে একটি বা একাধিক জ্বলন্ত থাকে। সংক্ষেপে, আমার বেশ কয়েকটি দীর্ঘস্থায়ী স্বাস্থ্য সমস্যা রয়েছে যা আমার দিনকে প্রায় ক্রমাগত প্রভাবিত করে। আমি জানি না কীভাবে ইতিবাচক থাকতে হবে এবং এর সাথে মোকাবিলা করতে হবে - আমি নিজেকে চিরতরে খারাপ বোধ করতে আতঙ্কিত দেখতে পাই, যা কঠিন কারণ এর বিরুদ্ধে আমার আসলে কোনও শক্তিশালী যুক্তি নেই; আমি সাধারণত খারাপ বোধ করি। আমার বয়স মাত্র ৩০। কেউ কি বুঝতে পারছেন? মাঝে মাঝে আমার খুব খারাপ লাগে। আমি মরে যাচ্ছি না। তাছাড়া, আমি অনেক সময় সত্যিই অস্বস্তি বোধ করি এবং আমার মনে হয় যে এটি আমাকে নিজেরই খারাপ রূপে পরিণত করে। তাছাড়া, যখন আমি নিজেকে সামলাতে চাই তখন আমি ব্যায়াম করার চেষ্টা করি, ভালো খাই এবং অনেক নিজের যত্ন নিই, কিন্তু এটা একটা কঠিন লড়াইয়ের মতো মনে হয়। তাছাড়া, আমি প্রায়ই ভাবি যদি আমার এই সমস্যাগুলো না থাকত, তাহলে আমার দুশ্চিন্তা হতো না, কিন্তু কে জানে। কারো কি কোন পরামর্শ বা মোকাবেলা করার কৌশল আছে? পড়ার জন্য অনেক ধন্যবাদ।</v>
      </c>
    </row>
    <row r="2547" spans="1:3" ht="15" x14ac:dyDescent="0.25">
      <c r="A2547" s="3" t="s">
        <v>2540</v>
      </c>
      <c r="B2547" s="3" t="s">
        <v>1992</v>
      </c>
      <c r="C2547" s="4" t="str">
        <f ca="1">IFERROR(__xludf.DUMMYFUNCTION("GOOGLETRANSLATE(A2547, ""auto"", ""bn"")"),"উদ্বেগ এবং অসুস্থতা অন্য কেউ কি উদ্বেগ এবং অসুস্থতার সাথে মোকাবিলা করে? গত রাতে আমার জ্বর এবং গলা ব্যথা হয়েছিল, আজ সকালে ঘুম থেকে উঠে সত্যিই খুব গরম ছিল এবং আমার হৃদস্পন্দন বেশ বেশি ছিল। এই সময় ইতিবাচক চিন্তাভাবনা ধরে রাখা কঠিন। আমাকে কাজ থেকে দূরে থাকত"&amp;"ে হয়েছিল, তাই এটিও আমার কিছুটা উদ্বেগ তৈরি করছে। এটা অদ্ভুত যে অফিসে যাওয়া আমাকে কীভাবে উদ্বেগ দেয় এবং একদিন ছুটি নেওয়ার কারণেও উদ্বেগ তৈরি হয়।")</f>
        <v>উদ্বেগ এবং অসুস্থতা অন্য কেউ কি উদ্বেগ এবং অসুস্থতার সাথে মোকাবিলা করে? গত রাতে আমার জ্বর এবং গলা ব্যথা হয়েছিল, আজ সকালে ঘুম থেকে উঠে সত্যিই খুব গরম ছিল এবং আমার হৃদস্পন্দন বেশ বেশি ছিল। এই সময় ইতিবাচক চিন্তাভাবনা ধরে রাখা কঠিন। আমাকে কাজ থেকে দূরে থাকতে হয়েছিল, তাই এটিও আমার কিছুটা উদ্বেগ তৈরি করছে। এটা অদ্ভুত যে অফিসে যাওয়া আমাকে কীভাবে উদ্বেগ দেয় এবং একদিন ছুটি নেওয়ার কারণেও উদ্বেগ তৈরি হয়।</v>
      </c>
    </row>
    <row r="2548" spans="1:3" ht="15" x14ac:dyDescent="0.25">
      <c r="A2548" s="3" t="s">
        <v>2541</v>
      </c>
      <c r="B2548" s="3" t="s">
        <v>1992</v>
      </c>
      <c r="C2548" s="4" t="str">
        <f ca="1">IFERROR(__xludf.DUMMYFUNCTION("GOOGLETRANSLATE(A2548, ""auto"", ""bn"")"),"৯ ঘন্টার বেশি ঘুমালে প্রচণ্ড উৎসাহের অভাব হয়। আমি বেশিক্ষণ ঘুমানো এড়িয়ে চলার চেষ্টা করি। কিন্তু যখন এমনটা হয় তখন ক্লান্ত বোধ করি এবং দিনের বাকি সময়টাতে আর কিছু করার জন্য উৎসাহ পাই না। আমি নিজেকে আলাদা করে রাখি এবং সোফায় বসে টিভি দেখি অথবা চিন্তা না "&amp;"করে ফোন ব্রাউজ করি। আজ আমার ঘর পরিষ্কার করার পরিকল্পনা করছিলাম। তাছাড়া, আমি শৃঙ্খলা এবং পরিষ্কার-পরিচ্ছন্নতা পছন্দ করি। আমার মাথায় কিছুটা বিশ্রাম দেয়। ৩০ মিনিট পর আমি আর এটা করতে পারিনি। এখন আবার সোফায় ফিরে এসেছি। কেউ কি এই অনুভূতির সাথে পরিচিত?")</f>
        <v>৯ ঘন্টার বেশি ঘুমালে প্রচণ্ড উৎসাহের অভাব হয়। আমি বেশিক্ষণ ঘুমানো এড়িয়ে চলার চেষ্টা করি। কিন্তু যখন এমনটা হয় তখন ক্লান্ত বোধ করি এবং দিনের বাকি সময়টাতে আর কিছু করার জন্য উৎসাহ পাই না। আমি নিজেকে আলাদা করে রাখি এবং সোফায় বসে টিভি দেখি অথবা চিন্তা না করে ফোন ব্রাউজ করি। আজ আমার ঘর পরিষ্কার করার পরিকল্পনা করছিলাম। তাছাড়া, আমি শৃঙ্খলা এবং পরিষ্কার-পরিচ্ছন্নতা পছন্দ করি। আমার মাথায় কিছুটা বিশ্রাম দেয়। ৩০ মিনিট পর আমি আর এটা করতে পারিনি। এখন আবার সোফায় ফিরে এসেছি। কেউ কি এই অনুভূতির সাথে পরিচিত?</v>
      </c>
    </row>
    <row r="2549" spans="1:3" ht="15" x14ac:dyDescent="0.25">
      <c r="A2549" s="3" t="s">
        <v>2542</v>
      </c>
      <c r="B2549" s="3" t="s">
        <v>1992</v>
      </c>
      <c r="C2549" s="4" t="str">
        <f ca="1">IFERROR(__xludf.DUMMYFUNCTION("GOOGLETRANSLATE(A2549, ""auto"", ""bn"")"),"নরকের অনুভূতি কি এমনই? দিনটা কি ভালো শুরু হয়েছিল, কিন্তু এখন আমার মনে হচ্ছে আমি যা কিছুর জন্য বেঁচে ছিলাম সবই ভেঙে গেছে এবং আমি কেবল ভূত দেখতে পাচ্ছি। আমি কি আর এটা সহ্য করতে পারছি না। প্রতিদিন, আমি নিজেকে জিজ্ঞাসা করি: ""নরকের অভিশপ্ত আত্মারা কি এমনই অন"&amp;"ুভব করে?""")</f>
        <v>নরকের অনুভূতি কি এমনই? দিনটা কি ভালো শুরু হয়েছিল, কিন্তু এখন আমার মনে হচ্ছে আমি যা কিছুর জন্য বেঁচে ছিলাম সবই ভেঙে গেছে এবং আমি কেবল ভূত দেখতে পাচ্ছি। আমি কি আর এটা সহ্য করতে পারছি না। প্রতিদিন, আমি নিজেকে জিজ্ঞাসা করি: "নরকের অভিশপ্ত আত্মারা কি এমনই অনুভব করে?"</v>
      </c>
    </row>
    <row r="2550" spans="1:3" ht="15" x14ac:dyDescent="0.25">
      <c r="A2550" s="3" t="s">
        <v>2543</v>
      </c>
      <c r="B2550" s="3" t="s">
        <v>1992</v>
      </c>
      <c r="C2550" s="4" t="str">
        <f ca="1">IFERROR(__xludf.DUMMYFUNCTION("GOOGLETRANSLATE(A2550, ""auto"", ""bn"")"),"আমি আর কী করব বুঝতে পারছি না। প্রায় দুই মাস ধরে আমি প্যানিক ডিসঅর্ডার এবং আগাম উদ্বেগে ভুগছি। আমার আর ভালো হওয়ার সম্ভাবনা নেই। প্রতিদিন, আমার মনে হচ্ছে আমি আমার মানসিক অবস্থার সাথে আরও বেশি শারীরিক লক্ষণ অনুভব করছি। \-খাওয়ার অক্ষমতা \-কোষ্ঠকাঠিন্য \-অম্বল"&amp;" \-বুকে ব্যথা \-পেটে ব্যথা \-পাঁজরের খাঁচায় ব্যথা \-ওজন হ্রাস (এক মাসে ৭ কেজি) আমি সম্পূর্ণরূপে অসুস্থ, এবং কোনও ডাক্তার আমাকে সাহায্য করতে পারছেন না। আমার মনোবিজ্ঞানী ক্রিসমাস এবং নববর্ষের প্রস্তুতির জন্য ৪ সপ্তাহের বিরতি নিয়েছিলেন এবং পরিস্থিতি ক্রমশ খ"&amp;"ারাপ হচ্ছে। আমি যে সমস্ত মানসিক/মানসিক লক্ষণে ভুগছি তাতে আমার কিছু যায় আসে না। এগুলো ঠিক আছে। কিন্তু যখন এর ফলে আমার শরীরে শারীরিকভাবে ব্যথা অনুভব হয় তখন সত্যিই ভয় লাগে। সত্যি বলতে, আমি জানি না কী করব।")</f>
        <v>আমি আর কী করব বুঝতে পারছি না। প্রায় দুই মাস ধরে আমি প্যানিক ডিসঅর্ডার এবং আগাম উদ্বেগে ভুগছি। আমার আর ভালো হওয়ার সম্ভাবনা নেই। প্রতিদিন, আমার মনে হচ্ছে আমি আমার মানসিক অবস্থার সাথে আরও বেশি শারীরিক লক্ষণ অনুভব করছি। \-খাওয়ার অক্ষমতা \-কোষ্ঠকাঠিন্য \-অম্বল \-বুকে ব্যথা \-পেটে ব্যথা \-পাঁজরের খাঁচায় ব্যথা \-ওজন হ্রাস (এক মাসে ৭ কেজি) আমি সম্পূর্ণরূপে অসুস্থ, এবং কোনও ডাক্তার আমাকে সাহায্য করতে পারছেন না। আমার মনোবিজ্ঞানী ক্রিসমাস এবং নববর্ষের প্রস্তুতির জন্য ৪ সপ্তাহের বিরতি নিয়েছিলেন এবং পরিস্থিতি ক্রমশ খারাপ হচ্ছে। আমি যে সমস্ত মানসিক/মানসিক লক্ষণে ভুগছি তাতে আমার কিছু যায় আসে না। এগুলো ঠিক আছে। কিন্তু যখন এর ফলে আমার শরীরে শারীরিকভাবে ব্যথা অনুভব হয় তখন সত্যিই ভয় লাগে। সত্যি বলতে, আমি জানি না কী করব।</v>
      </c>
    </row>
    <row r="2551" spans="1:3" ht="15" x14ac:dyDescent="0.25">
      <c r="A2551" s="3" t="s">
        <v>2544</v>
      </c>
      <c r="B2551" s="3" t="s">
        <v>1992</v>
      </c>
      <c r="C2551" s="4" t="str">
        <f ca="1">IFERROR(__xludf.DUMMYFUNCTION("GOOGLETRANSLATE(A2551, ""auto"", ""bn"")"),"আমার কি সাহায্য নেওয়া উচিত? আমার পরিবারে উদ্বেগ বিরাজ করছে, আমার মাকে জ্যানাক্স এবং অন্যান্য ওষুধ দেওয়া হয়েছে এবং আমার বাবারও একই রকম সমস্যা আছে, কিন্তু তারা এ ব্যাপারে কিছু করতে রাজি নন। ছোটবেলায় খাবার অর্ডার করার জন্য ফোন করতে বা পিৎজা বা অন্য কিছুর জন্"&amp;"য দরজা খোলার জন্য ফোন করতেও আমার খুব সমস্যা হত, আমি সত্যিই নার্ভাস হয়ে যেতাম এবং ঘন্টার পর ঘন্টা তাড়াতাড়ি হেঁটে যেতাম। হাই স্কুলে ছোটখাটো ঝগড়ায় অ্যাড্রেনালিনের তীব্র উত্তেজিত অনুভূতি হত। আমি সেনাবাহিনীতে আছি এবং ভাবতাম (সঠিকভাবে) আমি মৌলিক প্রশিক্ষণ এবং এ"&amp;"মনকি বিমানবাহী স্কুলের মাধ্যমেও শক্তি অর্জন করতে পারব, কিন্তু এখন এই আসন্ন ধ্বংসের অনুভূতি আমার মাথায় সবসময় ঝুলে থাকে। আমার পোশাকের পোশাক আলাদা করে ফেলার মতো ছোট ছোট জিনিসগুলি এই অনুভূতিকে আরও খারাপ করে তুলছে। আমি ক্রিসমাস এবং নববর্ষের জন্য বাড়ি গিয়েছিল"&amp;"াম, এবং পরিস্থিতি ভালো হয়ে গিয়েছিল কিন্তু এটি এখনও মনে ছিল। যখন আমাকে আমার বান্ধবীকে ছেড়ে যেতে হয়েছিল যাকে আমি খুব ভালোবাসি এবং আমার মাকে ছেড়ে যেতে হয়েছিল তখন আমি বমি করেছিলাম এবং প্রায় হিস্টিরিয়াগ্রস্ত হয়ে পড়েছিলাম। এখন আমার সত্যিই চিন্তা করার "&amp;"মতো কিছু নেই, এবং এই অনুভূতি কমানোর জন্য আমি কিছুই করতে পারছি না। আমার কি সাহায্য নেওয়া উচিত, যদি তাই হয় তবে আমার প্রথম পদক্ষেপ কী হওয়া উচিত?")</f>
        <v>আমার কি সাহায্য নেওয়া উচিত? আমার পরিবারে উদ্বেগ বিরাজ করছে, আমার মাকে জ্যানাক্স এবং অন্যান্য ওষুধ দেওয়া হয়েছে এবং আমার বাবারও একই রকম সমস্যা আছে, কিন্তু তারা এ ব্যাপারে কিছু করতে রাজি নন। ছোটবেলায় খাবার অর্ডার করার জন্য ফোন করতে বা পিৎজা বা অন্য কিছুর জন্য দরজা খোলার জন্য ফোন করতেও আমার খুব সমস্যা হত, আমি সত্যিই নার্ভাস হয়ে যেতাম এবং ঘন্টার পর ঘন্টা তাড়াতাড়ি হেঁটে যেতাম। হাই স্কুলে ছোটখাটো ঝগড়ায় অ্যাড্রেনালিনের তীব্র উত্তেজিত অনুভূতি হত। আমি সেনাবাহিনীতে আছি এবং ভাবতাম (সঠিকভাবে) আমি মৌলিক প্রশিক্ষণ এবং এমনকি বিমানবাহী স্কুলের মাধ্যমেও শক্তি অর্জন করতে পারব, কিন্তু এখন এই আসন্ন ধ্বংসের অনুভূতি আমার মাথায় সবসময় ঝুলে থাকে। আমার পোশাকের পোশাক আলাদা করে ফেলার মতো ছোট ছোট জিনিসগুলি এই অনুভূতিকে আরও খারাপ করে তুলছে। আমি ক্রিসমাস এবং নববর্ষের জন্য বাড়ি গিয়েছিলাম, এবং পরিস্থিতি ভালো হয়ে গিয়েছিল কিন্তু এটি এখনও মনে ছিল। যখন আমাকে আমার বান্ধবীকে ছেড়ে যেতে হয়েছিল যাকে আমি খুব ভালোবাসি এবং আমার মাকে ছেড়ে যেতে হয়েছিল তখন আমি বমি করেছিলাম এবং প্রায় হিস্টিরিয়াগ্রস্ত হয়ে পড়েছিলাম। এখন আমার সত্যিই চিন্তা করার মতো কিছু নেই, এবং এই অনুভূতি কমানোর জন্য আমি কিছুই করতে পারছি না। আমার কি সাহায্য নেওয়া উচিত, যদি তাই হয় তবে আমার প্রথম পদক্ষেপ কী হওয়া উচিত?</v>
      </c>
    </row>
    <row r="2552" spans="1:3" ht="15" x14ac:dyDescent="0.25">
      <c r="A2552" s="3" t="s">
        <v>2545</v>
      </c>
      <c r="B2552" s="3" t="s">
        <v>1992</v>
      </c>
      <c r="C2552" s="4" t="str">
        <f ca="1">IFERROR(__xludf.DUMMYFUNCTION("GOOGLETRANSLATE(A2552, ""auto"", ""bn"")"),"খুশি বোধ করা এবং খারাপ কিছু ঘটতে চলেছে বলে মনে করা আমার জন্য দোষী মনে হওয়া আমি সবসময়ই উদ্বিগ্ন ছিলাম, কিন্তু সম্প্রতি আমি খুব বিপদে পড়েছি। ফলস্বরূপ আমার OCD কিছুটা খারাপ হয়ে গেছে (সবকিছু নিখুঁত হতে হবে)। গত বছর আমার উদ্বেগ আরও বেড়ে যায়। আমি স্নাতকোত"&amp;"্তর ডিগ্রি অধ্যয়ন করছিলাম (এখন প্রায় শেষ) এবং আমার কিছু সমস্যা হয়েছিল। অফিসের একজন কর্মী সাধারণত অপ্রীতিকর ছিলেন (তিনি পরের সপ্তাহে চলে যাচ্ছেন ঈশ্বরের কৃপায়) এবং মডিউল লিডারদের একজন ছিলেন একজন বোকা যিনি আমাকে ভয়ানক চিহ্ন দিয়েছিলেন (আমি পরিস্থিতি প্"&amp;"রশমিত করার জন্য এটির আবেদন করেছিলাম, এবং এটি এখনও চলছে)। মূলত আমার মনে হয়েছিল যে লোকেরা ""আমাকে পেতে"" বেরিয়েছে। আমার উদ্বেগ এতটাই তীব্র হয়ে ওঠে যে আমি খুব রেগে যাই, এবং এক পর্যায়ে আমি চিন্তিত হয়ে পড়েছিলাম যে প্রতিশোধ নেওয়ার জন্য আমি তাদের একজনকে শ"&amp;"ারীরিকভাবে আঘাত করতে যাচ্ছি। আমি কাউকে আঘাত করিনি, তবে এক পর্যায়ে আমি অফিসের মহিলাকে ফোন করে তাকে কিছু অভিযোগ করার পরে তাকে সাজা দিয়েছিলাম। আমার কোর্সটি ছেড়ে দেওয়া উচিত ছিল, তবে আমি আমার বৃত্তির টাকা রাখতে চেয়েছিলাম যার জন্য আমি কঠোর পরিশ্রম করেছি। য"&amp;"াই হোক এখন প্রায় শেষ। গত বছর আমার দাদা-দাদিও ডিমেনশিয়ায় আক্রান্ত হয়ে চিকিৎসার জন্য গিয়েছিলেন (আমার দাদা এখন জীবনের শেষ প্রান্তে)। এতে আমার অস্বস্তি হচ্ছিল, এবং বাড়িতেও অনেক অশান্তি হচ্ছিল কারণ আমার বাবা-মাকে পাওয়ার অফ অ্যাটর্নি নিতে হয়েছিল এবং আর্"&amp;"থিক সমস্যা সমাধান করতে হয়েছিল। অনেক সমস্যা ছিল, তাই আমার বাবা-মা চাপে ছিলেন। গত এক মাস ধরে আমি কিছুটা বাঁক ঘুরিয়েছি। আমি কিছু জিনিস বাদ দিয়েছি যা আমাকে সমস্যার সৃষ্টি করছিল এবং আমি একটি নতুন মনোভাবও গ্রহণ করেছি। তাছাড়া, আমি আর কোনও বাজে কথা মেনে নেই না"&amp;"। অতীতে আমি এমন কাজ করতাম যা আমি আসলে করতে চাইতাম না, যেমন এমন চাকরির জন্য আবেদন করা যা আমার আসলে আগ্রহী ছিল না। আমি কেবল আমার মাস্টার্স কোর্সটি করেছি কারণ তারা আমাকে টাকা দিয়েছিল; আমি শেষ করার পরে এই সেক্টরে কাজ করতে চাই না। এখন আমি সিদ্ধান্ত নিয়েছি যে"&amp;" কেবল সেই কাজ করব যা আমাকে খুশি করে। আমার বয়স 30, এবং আমি মনে করি এই পরিবর্তনটি অভিজ্ঞতার কারণে এসেছে (যেটা আপনি এতদিন ধরে খারাপ অভিজ্ঞতার সম্মুখীন হন এবং আপনি আর তা সহ্য করতে পারেন না)। আমি কিছুটা ভালো বোধ করছি কিন্তু শিরোনামে যেমন বলা হয়েছে, আমি কিছুট"&amp;"া বিপদে আছি এবং মনে হচ্ছে যদি আমি খুশি হই তবে খারাপ কিছু ঘটতে পারে। এটা স্পষ্টতই চিন্তা করার একটা বিষাক্ত উপায় এবং (আমি মনে করি) আমি সুখী হওয়ার যোগ্য, অথবা অন্তত অন্যদের মতো স্বাভাবিক জীবনযাপন করার যোগ্য... প্রশ্ন হল আমি কীভাবে এই অনুভূতি বন্ধ করতে পারি"&amp;"? এই মাসে আমার থেরাপির জন্য বুকিং আছে এবং আমি 5HTPও নিচ্ছি, কিন্তু আমি আর কী করব জানি না। আবার SSRI রুটটি বেছে নিচ্ছি? আমি খুচরা কাজের জন্য আবেদন করার কথা ভেবেছিলাম যাতে বাইরে বেরিয়ে সামাজিকীকরণ করতে পারি যাতে আমার মন জিনিসপত্র থেকে সরে যায়, কিন্তু কাজে"&amp;"র পরিবেশে জনসাধারণের মুখোমুখি হতে আমি উদ্বিগ্ন। পড়ার জন্য ধন্যবাদ")</f>
        <v>খুশি বোধ করা এবং খারাপ কিছু ঘটতে চলেছে বলে মনে করা আমার জন্য দোষী মনে হওয়া আমি সবসময়ই উদ্বিগ্ন ছিলাম, কিন্তু সম্প্রতি আমি খুব বিপদে পড়েছি। ফলস্বরূপ আমার OCD কিছুটা খারাপ হয়ে গেছে (সবকিছু নিখুঁত হতে হবে)। গত বছর আমার উদ্বেগ আরও বেড়ে যায়। আমি স্নাতকোত্তর ডিগ্রি অধ্যয়ন করছিলাম (এখন প্রায় শেষ) এবং আমার কিছু সমস্যা হয়েছিল। অফিসের একজন কর্মী সাধারণত অপ্রীতিকর ছিলেন (তিনি পরের সপ্তাহে চলে যাচ্ছেন ঈশ্বরের কৃপায়) এবং মডিউল লিডারদের একজন ছিলেন একজন বোকা যিনি আমাকে ভয়ানক চিহ্ন দিয়েছিলেন (আমি পরিস্থিতি প্রশমিত করার জন্য এটির আবেদন করেছিলাম, এবং এটি এখনও চলছে)। মূলত আমার মনে হয়েছিল যে লোকেরা "আমাকে পেতে" বেরিয়েছে। আমার উদ্বেগ এতটাই তীব্র হয়ে ওঠে যে আমি খুব রেগে যাই, এবং এক পর্যায়ে আমি চিন্তিত হয়ে পড়েছিলাম যে প্রতিশোধ নেওয়ার জন্য আমি তাদের একজনকে শারীরিকভাবে আঘাত করতে যাচ্ছি। আমি কাউকে আঘাত করিনি, তবে এক পর্যায়ে আমি অফিসের মহিলাকে ফোন করে তাকে কিছু অভিযোগ করার পরে তাকে সাজা দিয়েছিলাম। আমার কোর্সটি ছেড়ে দেওয়া উচিত ছিল, তবে আমি আমার বৃত্তির টাকা রাখতে চেয়েছিলাম যার জন্য আমি কঠোর পরিশ্রম করেছি। যাই হোক এখন প্রায় শেষ। গত বছর আমার দাদা-দাদিও ডিমেনশিয়ায় আক্রান্ত হয়ে চিকিৎসার জন্য গিয়েছিলেন (আমার দাদা এখন জীবনের শেষ প্রান্তে)। এতে আমার অস্বস্তি হচ্ছিল, এবং বাড়িতেও অনেক অশান্তি হচ্ছিল কারণ আমার বাবা-মাকে পাওয়ার অফ অ্যাটর্নি নিতে হয়েছিল এবং আর্থিক সমস্যা সমাধান করতে হয়েছিল। অনেক সমস্যা ছিল, তাই আমার বাবা-মা চাপে ছিলেন। গত এক মাস ধরে আমি কিছুটা বাঁক ঘুরিয়েছি। আমি কিছু জিনিস বাদ দিয়েছি যা আমাকে সমস্যার সৃষ্টি করছিল এবং আমি একটি নতুন মনোভাবও গ্রহণ করেছি। তাছাড়া, আমি আর কোনও বাজে কথা মেনে নেই না। অতীতে আমি এমন কাজ করতাম যা আমি আসলে করতে চাইতাম না, যেমন এমন চাকরির জন্য আবেদন করা যা আমার আসলে আগ্রহী ছিল না। আমি কেবল আমার মাস্টার্স কোর্সটি করেছি কারণ তারা আমাকে টাকা দিয়েছিল; আমি শেষ করার পরে এই সেক্টরে কাজ করতে চাই না। এখন আমি সিদ্ধান্ত নিয়েছি যে কেবল সেই কাজ করব যা আমাকে খুশি করে। আমার বয়স 30, এবং আমি মনে করি এই পরিবর্তনটি অভিজ্ঞতার কারণে এসেছে (যেটা আপনি এতদিন ধরে খারাপ অভিজ্ঞতার সম্মুখীন হন এবং আপনি আর তা সহ্য করতে পারেন না)। আমি কিছুটা ভালো বোধ করছি কিন্তু শিরোনামে যেমন বলা হয়েছে, আমি কিছুটা বিপদে আছি এবং মনে হচ্ছে যদি আমি খুশি হই তবে খারাপ কিছু ঘটতে পারে। এটা স্পষ্টতই চিন্তা করার একটা বিষাক্ত উপায় এবং (আমি মনে করি) আমি সুখী হওয়ার যোগ্য, অথবা অন্তত অন্যদের মতো স্বাভাবিক জীবনযাপন করার যোগ্য... প্রশ্ন হল আমি কীভাবে এই অনুভূতি বন্ধ করতে পারি? এই মাসে আমার থেরাপির জন্য বুকিং আছে এবং আমি 5HTPও নিচ্ছি, কিন্তু আমি আর কী করব জানি না। আবার SSRI রুটটি বেছে নিচ্ছি? আমি খুচরা কাজের জন্য আবেদন করার কথা ভেবেছিলাম যাতে বাইরে বেরিয়ে সামাজিকীকরণ করতে পারি যাতে আমার মন জিনিসপত্র থেকে সরে যায়, কিন্তু কাজের পরিবেশে জনসাধারণের মুখোমুখি হতে আমি উদ্বিগ্ন। পড়ার জন্য ধন্যবাদ</v>
      </c>
    </row>
    <row r="2553" spans="1:3" ht="15" x14ac:dyDescent="0.25">
      <c r="A2553" s="3" t="s">
        <v>2546</v>
      </c>
      <c r="B2553" s="3" t="s">
        <v>1992</v>
      </c>
      <c r="C2553" s="4" t="str">
        <f ca="1">IFERROR(__xludf.DUMMYFUNCTION("GOOGLETRANSLATE(A2553, ""auto"", ""bn"")"),"উদ্বেগ শিবিরে আমার জীবনযাপন নিয়ে ব্লগ শুরু করেছি; সামাজিক উদ্বেগ আমি বছরের পর বছর ধরে এক কঠিন পরিস্থিতির মধ্যে বাস করছি এবং অবশেষে একটি ব্লগ শুরু করার সিদ্ধান্ত নিয়েছি। এটি সম্ভবত আমার করা সবচেয়ে সাহসী কাজ। লিঙ্কটি হল http://findingronide.wordpress.com"&amp;" আশা করি কেউ এটি পড়বে!")</f>
        <v>উদ্বেগ শিবিরে আমার জীবনযাপন নিয়ে ব্লগ শুরু করেছি; সামাজিক উদ্বেগ আমি বছরের পর বছর ধরে এক কঠিন পরিস্থিতির মধ্যে বাস করছি এবং অবশেষে একটি ব্লগ শুরু করার সিদ্ধান্ত নিয়েছি। এটি সম্ভবত আমার করা সবচেয়ে সাহসী কাজ। লিঙ্কটি হল http://findingronide.wordpress.com আশা করি কেউ এটি পড়বে!</v>
      </c>
    </row>
    <row r="2554" spans="1:3" ht="15" x14ac:dyDescent="0.25">
      <c r="A2554" s="3" t="s">
        <v>2547</v>
      </c>
      <c r="B2554" s="3" t="s">
        <v>1992</v>
      </c>
      <c r="C2554" s="4" t="str">
        <f ca="1">IFERROR(__xludf.DUMMYFUNCTION("GOOGLETRANSLATE(A2554, ""auto"", ""bn"")"),"তুমি কিভাবে বুঝবে যে তোমার উদ্বেগ আছে? হে সকল, আমি শুধু জিজ্ঞাসা করতে চেয়েছিলাম যে তুমি কিভাবে জানো যে তোমার উদ্বেগ আছে? আমি বলতে চাই না যে আমার উদ্বেগ আছে এবং আমি ধরে নিতে চাই, কিন্তু আমি তোমাদের আমার সমস্যাগুলো বলব। উদাহরণস্বরূপ, যখন আমি জনসমক্ষে বাইরে"&amp;" যাই তখন আমি সবসময় ভাবি যে লোকেরা আমাকে বিচার করছে কিনা। জিমে যদি কেউ পাশে থাকে তবে আমি সরঞ্জাম ব্যবহার করতে পছন্দ করি না, অন্যথায় আমার মনে হবে যে তারা আমাকে বিচার করছে। এছাড়াও, লোকেরা আমার সম্পর্কে কী ভাবছে তা নিয়ে আমি অতিরিক্ত চাপে থাকি। এটা কি উদ্ব"&amp;"েগ? নাকি এটা সম্পূর্ণ ভিন্ন কিছু?")</f>
        <v>তুমি কিভাবে বুঝবে যে তোমার উদ্বেগ আছে? হে সকল, আমি শুধু জিজ্ঞাসা করতে চেয়েছিলাম যে তুমি কিভাবে জানো যে তোমার উদ্বেগ আছে? আমি বলতে চাই না যে আমার উদ্বেগ আছে এবং আমি ধরে নিতে চাই, কিন্তু আমি তোমাদের আমার সমস্যাগুলো বলব। উদাহরণস্বরূপ, যখন আমি জনসমক্ষে বাইরে যাই তখন আমি সবসময় ভাবি যে লোকেরা আমাকে বিচার করছে কিনা। জিমে যদি কেউ পাশে থাকে তবে আমি সরঞ্জাম ব্যবহার করতে পছন্দ করি না, অন্যথায় আমার মনে হবে যে তারা আমাকে বিচার করছে। এছাড়াও, লোকেরা আমার সম্পর্কে কী ভাবছে তা নিয়ে আমি অতিরিক্ত চাপে থাকি। এটা কি উদ্বেগ? নাকি এটা সম্পূর্ণ ভিন্ন কিছু?</v>
      </c>
    </row>
    <row r="2555" spans="1:3" ht="15" x14ac:dyDescent="0.25">
      <c r="A2555" s="3" t="s">
        <v>2548</v>
      </c>
      <c r="B2555" s="3" t="s">
        <v>1992</v>
      </c>
      <c r="C2555" s="4" t="str">
        <f ca="1">IFERROR(__xludf.DUMMYFUNCTION("GOOGLETRANSLATE(A2555, ""auto"", ""bn"")"),"যে পেশীগুলো ব্যবহার করার সময় কম্পিত, কাঁপতে, কাঁপতে বা কাঁপতে থাকে? অন্য কারো কি এই অনুভূতি হয়েছে কিনা জানতে আগ্রহী? যেমন হাত তোলার সময়, আপনি এমনভাবে কাঁপুন অনুভব করেন যেন এটি অনেকক্ষণ ধরে টানটান।")</f>
        <v>যে পেশীগুলো ব্যবহার করার সময় কম্পিত, কাঁপতে, কাঁপতে বা কাঁপতে থাকে? অন্য কারো কি এই অনুভূতি হয়েছে কিনা জানতে আগ্রহী? যেমন হাত তোলার সময়, আপনি এমনভাবে কাঁপুন অনুভব করেন যেন এটি অনেকক্ষণ ধরে টানটান।</v>
      </c>
    </row>
    <row r="2556" spans="1:3" ht="15" x14ac:dyDescent="0.25">
      <c r="A2556" s="3" t="s">
        <v>2549</v>
      </c>
      <c r="B2556" s="3" t="s">
        <v>1992</v>
      </c>
      <c r="C2556" s="4" t="str">
        <f ca="1">IFERROR(__xludf.DUMMYFUNCTION("GOOGLETRANSLATE(A2556, ""auto"", ""bn"")"),"আমার শিরা/শরীরের মধ্য দিয়ে আগুনের মতো আগুন বইছে। আমি নিশ্চিত নই যে এটা কারো কাছে যুক্তিসঙ্গত কিনা, কিন্তু যখন আমি গুগলে সার্চ করি তখন আমি আসলে এ সম্পর্কে খুব বেশি তথ্য পাই না। কিন্তু মূলত উদ্বেগের কারণে আমার সবচেয়ে অস্বস্তিকর অনুভূতিগুলির মধ্যে একটি হল এ"&amp;"ই অনুভূতি যে আমার শরীরের মধ্য দিয়ে 'আগুন' প্রবাহিত হচ্ছে, নির্দিষ্ট কিছু স্থানে কেন্দ্রীভূত। আমি কেবল জানতে চাই যে কেউ কি এর সাথে সম্পর্ক স্থাপন করতে পারে নাকি এটি কেবল একটি খুব ব্যক্তিগত বিষয়।")</f>
        <v>আমার শিরা/শরীরের মধ্য দিয়ে আগুনের মতো আগুন বইছে। আমি নিশ্চিত নই যে এটা কারো কাছে যুক্তিসঙ্গত কিনা, কিন্তু যখন আমি গুগলে সার্চ করি তখন আমি আসলে এ সম্পর্কে খুব বেশি তথ্য পাই না। কিন্তু মূলত উদ্বেগের কারণে আমার সবচেয়ে অস্বস্তিকর অনুভূতিগুলির মধ্যে একটি হল এই অনুভূতি যে আমার শরীরের মধ্য দিয়ে 'আগুন' প্রবাহিত হচ্ছে, নির্দিষ্ট কিছু স্থানে কেন্দ্রীভূত। আমি কেবল জানতে চাই যে কেউ কি এর সাথে সম্পর্ক স্থাপন করতে পারে নাকি এটি কেবল একটি খুব ব্যক্তিগত বিষয়।</v>
      </c>
    </row>
    <row r="2557" spans="1:3" ht="15" x14ac:dyDescent="0.25">
      <c r="A2557" s="3" t="s">
        <v>2550</v>
      </c>
      <c r="B2557" s="3" t="s">
        <v>1992</v>
      </c>
      <c r="C2557" s="4" t="str">
        <f ca="1">IFERROR(__xludf.DUMMYFUNCTION("GOOGLETRANSLATE(A2557, ""auto"", ""bn"")"),"তুমি কি কখনও এমন অনুভূতি পাও যখন তুমি উদ্বিগ্ন থাকো, তোমার বুক শক্ত হয়ে যায়, আর তুমি গভীর নিঃশ্বাস নিতে পারো না... উফ, সম্প্রতি আমিও এই অনুভূতির মুখোমুখি হয়েছি। এটা খারাপ?")</f>
        <v>তুমি কি কখনও এমন অনুভূতি পাও যখন তুমি উদ্বিগ্ন থাকো, তোমার বুক শক্ত হয়ে যায়, আর তুমি গভীর নিঃশ্বাস নিতে পারো না... উফ, সম্প্রতি আমিও এই অনুভূতির মুখোমুখি হয়েছি। এটা খারাপ?</v>
      </c>
    </row>
    <row r="2558" spans="1:3" ht="15" x14ac:dyDescent="0.25">
      <c r="A2558" s="3" t="s">
        <v>2551</v>
      </c>
      <c r="B2558" s="3" t="s">
        <v>1992</v>
      </c>
      <c r="C2558" s="4" t="str">
        <f ca="1">IFERROR(__xludf.DUMMYFUNCTION("GOOGLETRANSLATE(A2558, ""auto"", ""bn"")"),"এটা অনেক লম্বা হতে পারে কিন্তু দয়া করে কেউ কি আমাকে সাহায্য করতে পারেন? আমি ডাক্তারের কাছে যেতে চাই, কারণ আমার *মনে হয়* আমার দুশ্চিন্তা আছে। আমি অনেক বছর ধরে এটা ভেবে আসছি, এবং প্রায় দুই বছর ধরে আমি এটা নিয়ে ডাক্তারের কাছে যেতে চাইছি, কিন্তু এর জন্য আমি *"&amp;"পারছি না*। তাছাড়া, আমি এখানে কিছু জিনিস তালিকাভুক্ত করতে যাচ্ছি, এবং আমি জানি এখানকার লোকেরা ডাক্তার নয়, কিন্তু দয়া করে আমাকে বলুন আমি কি বোকা নই, এবং এটা কি মূল্যবান। যখন কেউ আমার সাথে কথা বলে: ? Ã¸ আমি কাঁপতে শুরু করি, বেশ খারাপভাবে ? Ã¸ আমার মন ফাঁক"&amp;"া হয়ে যায় (কেউ কর্মক্ষেত্রে আমাকে বলেছিল ""_____ আজ নেই"" এবং আমি কী বলব জানি না যদিও এখনই কেবল একটি সহজ কথা বলাই যথেষ্ট ছিল।) ? Ã¸ আমি যতই চেষ্টা করি না কেন, জোরে কথা বলতে পারছি না? Ã¸ যদিও আমি মানুষের সাথে কথা বলতে মরিয়া, আমি যত তাড়াতাড়ি সম্ভব কথোপ"&amp;"কথন শেষ করার চেষ্টা করব আমি কী করছি তা না বুঝেই। ? Ã¸ প্রতিটি কথোপকথনের পরে আমি বলি ""আমার ""_____"" বলা উচিত ছিল"" অথবা ""আমি ভুল সুর ব্যবহার করেছি যা তারা ভুল বুঝবে (আমি ভুল বোঝাবুঝির ভয় পাই lol) এছাড়াও: ? Ã¸ আমি কখনও কথোপকথন শুরু করি না? Ã¸ এলোমেলোভা"&amp;"বে আমি কোনও কারণে অস্থির/অস্থির হয়ে পড়ি (এর জন্য আগে কাজ তাড়াতাড়ি শেষ করতে হয়েছিল) এমন নয় যে আমি মানুষের সাথে কথা বলতে চাই না, যদি আমি যখন বলতে চেয়েছিলাম তখন যা বলতে চেয়েছিলাম তা বলে ফেলতাম, আমার মনে হয় আমি আরও বেশি কথাবার্তা লোকদের মধ্যে একজন হত"&amp;"াম, ডাক্তারের কাছে যাওয়া কি মূল্যবান? আমি অন্য দিন প্রায় অ্যাপয়েন্টমেন্ট করেছিলাম কিন্তু শেষ মুহূর্তে পিছিয়ে এসেছিলাম। ডাক্তারের কাছে যাওয়ার কথা আমার মাথায় অনেকবার, প্রতিদিন। আমার মনে হয় আমারও বিষণ্ণতা থাকতে পারে কিন্তু আমি কখনই ডাক্তারের কাছে এই ব"&amp;"িষয়টি নিয়ে কথা বলব না। আপনি যদি এটি পড়ে থাকেন তবে দয়া করে আমাকে সাহায্য করুন। দয়া করে।")</f>
        <v>এটা অনেক লম্বা হতে পারে কিন্তু দয়া করে কেউ কি আমাকে সাহায্য করতে পারেন? আমি ডাক্তারের কাছে যেতে চাই, কারণ আমার *মনে হয়* আমার দুশ্চিন্তা আছে। আমি অনেক বছর ধরে এটা ভেবে আসছি, এবং প্রায় দুই বছর ধরে আমি এটা নিয়ে ডাক্তারের কাছে যেতে চাইছি, কিন্তু এর জন্য আমি *পারছি না*। তাছাড়া, আমি এখানে কিছু জিনিস তালিকাভুক্ত করতে যাচ্ছি, এবং আমি জানি এখানকার লোকেরা ডাক্তার নয়, কিন্তু দয়া করে আমাকে বলুন আমি কি বোকা নই, এবং এটা কি মূল্যবান। যখন কেউ আমার সাথে কথা বলে: ? Ã¸ আমি কাঁপতে শুরু করি, বেশ খারাপভাবে ? Ã¸ আমার মন ফাঁকা হয়ে যায় (কেউ কর্মক্ষেত্রে আমাকে বলেছিল "_____ আজ নেই" এবং আমি কী বলব জানি না যদিও এখনই কেবল একটি সহজ কথা বলাই যথেষ্ট ছিল।) ? Ã¸ আমি যতই চেষ্টা করি না কেন, জোরে কথা বলতে পারছি না? Ã¸ যদিও আমি মানুষের সাথে কথা বলতে মরিয়া, আমি যত তাড়াতাড়ি সম্ভব কথোপকথন শেষ করার চেষ্টা করব আমি কী করছি তা না বুঝেই। ? Ã¸ প্রতিটি কথোপকথনের পরে আমি বলি "আমার "_____" বলা উচিত ছিল" অথবা "আমি ভুল সুর ব্যবহার করেছি যা তারা ভুল বুঝবে (আমি ভুল বোঝাবুঝির ভয় পাই lol) এছাড়াও: ? Ã¸ আমি কখনও কথোপকথন শুরু করি না? Ã¸ এলোমেলোভাবে আমি কোনও কারণে অস্থির/অস্থির হয়ে পড়ি (এর জন্য আগে কাজ তাড়াতাড়ি শেষ করতে হয়েছিল) এমন নয় যে আমি মানুষের সাথে কথা বলতে চাই না, যদি আমি যখন বলতে চেয়েছিলাম তখন যা বলতে চেয়েছিলাম তা বলে ফেলতাম, আমার মনে হয় আমি আরও বেশি কথাবার্তা লোকদের মধ্যে একজন হতাম, ডাক্তারের কাছে যাওয়া কি মূল্যবান? আমি অন্য দিন প্রায় অ্যাপয়েন্টমেন্ট করেছিলাম কিন্তু শেষ মুহূর্তে পিছিয়ে এসেছিলাম। ডাক্তারের কাছে যাওয়ার কথা আমার মাথায় অনেকবার, প্রতিদিন। আমার মনে হয় আমারও বিষণ্ণতা থাকতে পারে কিন্তু আমি কখনই ডাক্তারের কাছে এই বিষয়টি নিয়ে কথা বলব না। আপনি যদি এটি পড়ে থাকেন তবে দয়া করে আমাকে সাহায্য করুন। দয়া করে।</v>
      </c>
    </row>
    <row r="2559" spans="1:3" ht="15" x14ac:dyDescent="0.25">
      <c r="A2559" s="3" t="s">
        <v>2552</v>
      </c>
      <c r="B2559" s="3" t="s">
        <v>1992</v>
      </c>
      <c r="C2559" s="4" t="str">
        <f ca="1">IFERROR(__xludf.DUMMYFUNCTION("GOOGLETRANSLATE(A2559, ""auto"", ""bn"")"),"ফোনের শব্দ আমাকে বিরক্ত করে তাই আমি বাসা থেকে এবং আমার ফোনে প্রায়শই কাজ করি। মাঝে মাঝে আমার বসের কাছ থেকে প্রচুর টেক্সট আসে, তাই ফোন ধরে রাখার/দেখানোর উদ্বেগ দূর করার জন্য আমি একটি ঘড়ি পেয়েছি। এইভাবে আমি দ্রুত পরীক্ষা করতে পারি যে ফোনটি কখন আমার কব্জিত"&amp;"ে ভাইব্রেট করে, কার কাছ থেকে এসেছে এবং আমার তাৎক্ষণিকভাবে সাড়া দেওয়ার প্রয়োজন আছে কিনা... এই অংশটি আমাকে সাহায্য করেছে, তাই আমি আর প্রতিটি ফোন কল, টেক্সট বা ইমেলে আতঙ্কিত হই না। কেবল আমার কব্জির দিকে তাকানোর কিছু একটা অসাধারণ সাহায্য করেছে। এখন, দ্রুত "&amp;"এগিয়ে যান, ৫ মাস, আমি ফেসবুক মেসেঞ্জারের শব্দ সহ্য করতে পারি না। আমার কাছে এটি নেই, আমার ৩ বছরের ছেলেমেয়ে আছে, এবং তার অনেক কথাই চলে যায়। আমি তার ফোনটি খুঁটিয়ে দেখি না বা পাগলামি করি না, কিন্তু যতবার আমি ফেসবুক মেসেঞ্জারের শব্দ শুনি, আমার পেটে অ্যাড্র"&amp;"েনালিনের ফোঁটা পড়ে যা আমার উদ্বেগ আক্রমণের সাথে থাকে এবং আমি সবচেয়ে খারাপ মনে করি। এই গ্রীষ্মে সে দুবার আমার সাথে সম্পর্ক ছিন্ন করে এবং আমার সাথে পুনর্মিলন করে। কিন্তু এর মধ্যে কিছু একটা আছে... সেই শব্দ। আমি জানি না এটা কি শুধু আমার জন্য, নাকি শব্দ শোনা"&amp;"র সমস্যা এড়িয়ে চলার জন্য কোন টিপস আছে? আর কারো ফোনের শব্দ নিয়ে সমস্যা হচ্ছে, আর কেন? তুমি কী করো?")</f>
        <v>ফোনের শব্দ আমাকে বিরক্ত করে তাই আমি বাসা থেকে এবং আমার ফোনে প্রায়শই কাজ করি। মাঝে মাঝে আমার বসের কাছ থেকে প্রচুর টেক্সট আসে, তাই ফোন ধরে রাখার/দেখানোর উদ্বেগ দূর করার জন্য আমি একটি ঘড়ি পেয়েছি। এইভাবে আমি দ্রুত পরীক্ষা করতে পারি যে ফোনটি কখন আমার কব্জিতে ভাইব্রেট করে, কার কাছ থেকে এসেছে এবং আমার তাৎক্ষণিকভাবে সাড়া দেওয়ার প্রয়োজন আছে কিনা... এই অংশটি আমাকে সাহায্য করেছে, তাই আমি আর প্রতিটি ফোন কল, টেক্সট বা ইমেলে আতঙ্কিত হই না। কেবল আমার কব্জির দিকে তাকানোর কিছু একটা অসাধারণ সাহায্য করেছে। এখন, দ্রুত এগিয়ে যান, ৫ মাস, আমি ফেসবুক মেসেঞ্জারের শব্দ সহ্য করতে পারি না। আমার কাছে এটি নেই, আমার ৩ বছরের ছেলেমেয়ে আছে, এবং তার অনেক কথাই চলে যায়। আমি তার ফোনটি খুঁটিয়ে দেখি না বা পাগলামি করি না, কিন্তু যতবার আমি ফেসবুক মেসেঞ্জারের শব্দ শুনি, আমার পেটে অ্যাড্রেনালিনের ফোঁটা পড়ে যা আমার উদ্বেগ আক্রমণের সাথে থাকে এবং আমি সবচেয়ে খারাপ মনে করি। এই গ্রীষ্মে সে দুবার আমার সাথে সম্পর্ক ছিন্ন করে এবং আমার সাথে পুনর্মিলন করে। কিন্তু এর মধ্যে কিছু একটা আছে... সেই শব্দ। আমি জানি না এটা কি শুধু আমার জন্য, নাকি শব্দ শোনার সমস্যা এড়িয়ে চলার জন্য কোন টিপস আছে? আর কারো ফোনের শব্দ নিয়ে সমস্যা হচ্ছে, আর কেন? তুমি কী করো?</v>
      </c>
    </row>
    <row r="2560" spans="1:3" ht="15" x14ac:dyDescent="0.25">
      <c r="A2560" s="3" t="s">
        <v>2553</v>
      </c>
      <c r="B2560" s="3" t="s">
        <v>1992</v>
      </c>
      <c r="C2560" s="4" t="str">
        <f ca="1">IFERROR(__xludf.DUMMYFUNCTION("GOOGLETRANSLATE(A2560, ""auto"", ""bn"")"),"যদি আপনি মানসিক ব্যাধিতে আক্রান্ত অন্যদের সাহায্য করতে আগ্রহী হন, তাহলে r/mentalhelpforyou-এ যোগদানের কথা বিবেচনা করুন। r/mentalhelpforyou হল এমন একটি Subreddit যারা অ-পেশাদার সাহায্য চান। বর্তমানে আমাদের সদস্য সংখ্যা ১৪ জন, তবে আমি আশা করি আমরা আরও বেশি "&amp;"সদস্য হতে পারব। এটিও আমার তৈরি একটি Subreddit, এবং আমি এটি নিয়ে খুব গর্বিত।")</f>
        <v>যদি আপনি মানসিক ব্যাধিতে আক্রান্ত অন্যদের সাহায্য করতে আগ্রহী হন, তাহলে r/mentalhelpforyou-এ যোগদানের কথা বিবেচনা করুন। r/mentalhelpforyou হল এমন একটি Subreddit যারা অ-পেশাদার সাহায্য চান। বর্তমানে আমাদের সদস্য সংখ্যা ১৪ জন, তবে আমি আশা করি আমরা আরও বেশি সদস্য হতে পারব। এটিও আমার তৈরি একটি Subreddit, এবং আমি এটি নিয়ে খুব গর্বিত।</v>
      </c>
    </row>
    <row r="2561" spans="1:3" ht="15" x14ac:dyDescent="0.25">
      <c r="A2561" s="3" t="s">
        <v>2554</v>
      </c>
      <c r="B2561" s="3" t="s">
        <v>1992</v>
      </c>
      <c r="C2561" s="4" t="str">
        <f ca="1">IFERROR(__xludf.DUMMYFUNCTION("GOOGLETRANSLATE(A2561, ""auto"", ""bn"")"),"প্রোজ্যাক সাহায্য করো! হে বন্ধুরা! তো আমি দুই দিন আগে একজন মনোরোগ বিশেষজ্ঞের সাথে দেখা করার পর মাত্র ১০ মিলিগ্রাম প্রোজ্যাক অ্যান্ড রিস্টোর্ড খাওয়া শুরু করেছি। পরের সপ্তাহে আমার ডোজ ২০-এ বাড়িয়ে ৪০-এ নেওয়ার কথা। এটা আমার জন্য সত্যিই একটা বড় পদক্ষেপ। প্রায়"&amp;" ছয় বছর ধরে আমার MDD, GAD এবং প্যানিক ডিসঅর্ডার আছে এবং কয়েক মাস ধরে শেখা এবং দুটি থেরাপি অ্যাপয়েন্টমেন্ট ছাড়াও, আমি এর জন্য সাহায্য নেওয়ার চেষ্টা করিনি। যাই হোক, এখন আমার নিজেকে পাগলের মতো মনে হচ্ছে। আমি ডিপার্সোনালাইজেশন অনুভব করছি, যা প্যানিক অ্যাটাকের"&amp;" একটি লক্ষণ যা অতীতে তীব্র প্যানিক অ্যাটাকের ক্ষেত্রেই হয়েছে। আমার হাত অসাড়, এবং আমার মনে হচ্ছে আমি আমার জীবনকে সিনেমার মধ্য দিয়ে দেখছি। আমার ডায়রিয়া হয়েছে এবং তীব্র উদ্বেগের কারণে আমি শ্বাস নিতে পারছি না, আমিও বেশ অলস... হা হা। আমার বয়ফ্রেন্ড বলেছে যে আ"&amp;"মি অদ্ভুত আচরণ করছি, এবং আমার বস গতকাল আমাকে জিজ্ঞাসা করেছিলেন যে আমি কাজের আগে কোনও ওষুধ খেয়েছি কিনা। এটা কি স্বাভাবিক? আমার প্যানিক অ্যাটাকের কারণে আমার মনোরোগ বিশেষজ্ঞ ২০ বছর বয়সে আমাকে থামানোর ব্যাপারে চিন্তিত ছিলেন। আমার কি মনোরোগ বিশেষজ্ঞকে ডাকা উ"&amp;"চিত? উদ্বেগ কমাতে কি আমার কম ডোজ (.৫ মিলিগ্রাম) ক্লোনোপিন খাওয়া উচিত? এতে কি আমার প্রোজ্যাক নষ্ট হবে? হেল্লপ্প")</f>
        <v>প্রোজ্যাক সাহায্য করো! হে বন্ধুরা! তো আমি দুই দিন আগে একজন মনোরোগ বিশেষজ্ঞের সাথে দেখা করার পর মাত্র ১০ মিলিগ্রাম প্রোজ্যাক অ্যান্ড রিস্টোর্ড খাওয়া শুরু করেছি। পরের সপ্তাহে আমার ডোজ ২০-এ বাড়িয়ে ৪০-এ নেওয়ার কথা। এটা আমার জন্য সত্যিই একটা বড় পদক্ষেপ। প্রায় ছয় বছর ধরে আমার MDD, GAD এবং প্যানিক ডিসঅর্ডার আছে এবং কয়েক মাস ধরে শেখা এবং দুটি থেরাপি অ্যাপয়েন্টমেন্ট ছাড়াও, আমি এর জন্য সাহায্য নেওয়ার চেষ্টা করিনি। যাই হোক, এখন আমার নিজেকে পাগলের মতো মনে হচ্ছে। আমি ডিপার্সোনালাইজেশন অনুভব করছি, যা প্যানিক অ্যাটাকের একটি লক্ষণ যা অতীতে তীব্র প্যানিক অ্যাটাকের ক্ষেত্রেই হয়েছে। আমার হাত অসাড়, এবং আমার মনে হচ্ছে আমি আমার জীবনকে সিনেমার মধ্য দিয়ে দেখছি। আমার ডায়রিয়া হয়েছে এবং তীব্র উদ্বেগের কারণে আমি শ্বাস নিতে পারছি না, আমিও বেশ অলস... হা হা। আমার বয়ফ্রেন্ড বলেছে যে আমি অদ্ভুত আচরণ করছি, এবং আমার বস গতকাল আমাকে জিজ্ঞাসা করেছিলেন যে আমি কাজের আগে কোনও ওষুধ খেয়েছি কিনা। এটা কি স্বাভাবিক? আমার প্যানিক অ্যাটাকের কারণে আমার মনোরোগ বিশেষজ্ঞ ২০ বছর বয়সে আমাকে থামানোর ব্যাপারে চিন্তিত ছিলেন। আমার কি মনোরোগ বিশেষজ্ঞকে ডাকা উচিত? উদ্বেগ কমাতে কি আমার কম ডোজ (.৫ মিলিগ্রাম) ক্লোনোপিন খাওয়া উচিত? এতে কি আমার প্রোজ্যাক নষ্ট হবে? হেল্লপ্প</v>
      </c>
    </row>
    <row r="2562" spans="1:3" ht="15" x14ac:dyDescent="0.25">
      <c r="A2562" s="3" t="s">
        <v>2555</v>
      </c>
      <c r="B2562" s="3" t="s">
        <v>1992</v>
      </c>
      <c r="C2562" s="4" t="str">
        <f ca="1">IFERROR(__xludf.DUMMYFUNCTION("GOOGLETRANSLATE(A2562, ""auto"", ""bn"")"),"আমার প্রতিবেশী আমাকে নিমন্ত্রণ করেছে, আর আমি ভয় পাচ্ছি যে আমার কিছু বলার থাকবে না। আমার মনে হয় এটা আমার জন্য ভালো হবে। আমি আগেও এই প্রতিবেশীর সাথে দেখা করেছি, সে সত্যিই একজন ভদ্র বৃদ্ধা, যে মাঝে মাঝে আমাদের খাবার এনে দেয়। সে আমাকে আগেও নিমন্ত্রণ করেছে, এব"&amp;"ং আমরা প্রায় আধ ঘন্টা ধরে কথা বলেছি। এটা সত্যিই চমৎকার ছিল এবং পরে আমার ভালো লেগেছে। বছরের পর বছর ধরে আমার কোনও সুস্থ, ইতিবাচক কথাবার্তা হয়নি। কিন্তু এখন বলার মতো আর কিছুই ফুরিয়ে গেছে। আমার জীবনে আসলে কোনও কিছু সম্পর্কে বিস্তারিত বলতে পারছি না। আমার পরি"&amp;"বারে অস্বাস্থ্যকর পরিমাণে অজাচার চলছে, আমার ভাইবোন এবং পুরনো বন্ধুরা সবাই এলোমেলো, আমি বর্তমানে মানসিক এবং শারীরিক স্বাস্থ্য সমস্যার সাথে মোকাবিলা করছি, এবং সবকিছুর উপরে আমার মাথায় এই ক্রমাগত চিন্তাভাবনা ঘুরপাক খাচ্ছে যে কেন আমার আত্মহত্যা করা উচিত। আমি "&amp;"কিছু বলব, এবং বলার ঠিক মাঝখানে, আমি যা বলছিলাম তা ভুলে যাব এবং আত্মহত্যার চিন্তাভাবনা বন্ধ করার সময় মনে রাখার চেষ্টা করতে হবে। এটা সত্যিই মাঝে মাঝে কথা বলা কঠিন করে তোলে। আমি ইতিমধ্যে থেরাপিতে আছি। আমি ইতিমধ্যেই আমার জীবনের বিষাক্ত মানুষদের বাদ দিয়েছি। "&amp;"তাছাড়া, আমি আরও ভালো দিনের পথে এগিয়ে যাচ্ছি। কিন্তু ততক্ষণ পর্যন্ত, আমি কী বলবো ভেবে পাচ্ছি না। মাঝে মাঝে আমি শুধু একটাই ভাবি যে আমি কতটা মরতে চাই। আমি কী করতে পারি? আমরা যে আধ ঘন্টা কথা বলেছিলাম - আমরা অনেক কিছু নিয়ে কথা বলেছিলাম। আমাদের পোষা প্রাণী, "&amp;"চাকরি, পরিবারের সদস্য, প্রিয় সিনেমা, সঙ্গীত ইত্যাদি... আমি আসলে আর কী বলবো বুঝতে পারছি না।")</f>
        <v>আমার প্রতিবেশী আমাকে নিমন্ত্রণ করেছে, আর আমি ভয় পাচ্ছি যে আমার কিছু বলার থাকবে না। আমার মনে হয় এটা আমার জন্য ভালো হবে। আমি আগেও এই প্রতিবেশীর সাথে দেখা করেছি, সে সত্যিই একজন ভদ্র বৃদ্ধা, যে মাঝে মাঝে আমাদের খাবার এনে দেয়। সে আমাকে আগেও নিমন্ত্রণ করেছে, এবং আমরা প্রায় আধ ঘন্টা ধরে কথা বলেছি। এটা সত্যিই চমৎকার ছিল এবং পরে আমার ভালো লেগেছে। বছরের পর বছর ধরে আমার কোনও সুস্থ, ইতিবাচক কথাবার্তা হয়নি। কিন্তু এখন বলার মতো আর কিছুই ফুরিয়ে গেছে। আমার জীবনে আসলে কোনও কিছু সম্পর্কে বিস্তারিত বলতে পারছি না। আমার পরিবারে অস্বাস্থ্যকর পরিমাণে অজাচার চলছে, আমার ভাইবোন এবং পুরনো বন্ধুরা সবাই এলোমেলো, আমি বর্তমানে মানসিক এবং শারীরিক স্বাস্থ্য সমস্যার সাথে মোকাবিলা করছি, এবং সবকিছুর উপরে আমার মাথায় এই ক্রমাগত চিন্তাভাবনা ঘুরপাক খাচ্ছে যে কেন আমার আত্মহত্যা করা উচিত। আমি কিছু বলব, এবং বলার ঠিক মাঝখানে, আমি যা বলছিলাম তা ভুলে যাব এবং আত্মহত্যার চিন্তাভাবনা বন্ধ করার সময় মনে রাখার চেষ্টা করতে হবে। এটা সত্যিই মাঝে মাঝে কথা বলা কঠিন করে তোলে। আমি ইতিমধ্যে থেরাপিতে আছি। আমি ইতিমধ্যেই আমার জীবনের বিষাক্ত মানুষদের বাদ দিয়েছি। তাছাড়া, আমি আরও ভালো দিনের পথে এগিয়ে যাচ্ছি। কিন্তু ততক্ষণ পর্যন্ত, আমি কী বলবো ভেবে পাচ্ছি না। মাঝে মাঝে আমি শুধু একটাই ভাবি যে আমি কতটা মরতে চাই। আমি কী করতে পারি? আমরা যে আধ ঘন্টা কথা বলেছিলাম - আমরা অনেক কিছু নিয়ে কথা বলেছিলাম। আমাদের পোষা প্রাণী, চাকরি, পরিবারের সদস্য, প্রিয় সিনেমা, সঙ্গীত ইত্যাদি... আমি আসলে আর কী বলবো বুঝতে পারছি না।</v>
      </c>
    </row>
    <row r="2563" spans="1:3" ht="15" x14ac:dyDescent="0.25">
      <c r="A2563" s="3" t="s">
        <v>2556</v>
      </c>
      <c r="B2563" s="3" t="s">
        <v>1992</v>
      </c>
      <c r="C2563" s="4" t="str">
        <f ca="1">IFERROR(__xludf.DUMMYFUNCTION("GOOGLETRANSLATE(A2563, ""auto"", ""bn"")"),"কিভাবে সুস্থ হবো? হ্যালো সবাই, তাহলে আমি প্রায় সারা জীবন ধরে মানসিক অসুস্থতার সাথে লড়াই করে আসছি। গত ছয় বছর ধরে পরিস্থিতি নাটকীয়ভাবে খারাপের দিকে যাচ্ছে। আমার গুরুতর সামাজিক উদ্বেগ ব্যাধি, সাধারণ উদ্বেগ ব্যাধি এবং মাঝারি বিষণ্ণতা ধরা পড়েছে। তখন থেকে আ"&amp;"মি আরও ভালো হতে চেয়েছিলাম কিন্তু আমি ধারাবাহিকতা এবং অধ্যবসায়ের সাথে লড়াই করছি। আমি যা করতে চাই তা হল জীবনের বাস্তবতা এবং আমি স্বাভাবিক থেকে কতটা দূরে তা এড়িয়ে চলা। আমি কেনাকাটা, টিভি, অথবা এমন কিছু করার মাধ্যমে এটি করি যা আমাকে আমার সমস্যাগুলি সম্পর"&amp;"্কে ভাবতে বাধ্য করে না। প্রতিবার যখনই আমি থেরাপি করার চেষ্টা করি, তখন আমি অত্যন্ত অনুপ্রাণিত, দুঃখিত বোধ করি এবং কেবল কোনও কিছুর জন্য মনোযোগ দিতে পারি না। আমি বেশিরভাগ সময়ই অত্যন্ত চেষ্টা এবং দুঃখিত থাকি। এছাড়াও, থেরাপিস্টদের সাথে আমার সেরা অভিজ্ঞতা হয়"&amp;"নি। আমি বছরের পর বছর ধরে কয়েকটি দেখেছি, এবং সত্যি বলতে তারা আমাকে খুব কমই সাহায্য করেছে। তারা আমাকে যত্ন করে বা গুরুত্ব সহকারে নেয় বলে মনে হয় না। এবং কিছু কারণে, এক্সপোজার আমার জন্য ততটা ভালো কাজ করছে না যতটা করা উচিত। আমি যতবার ধীরে ধীরে আমার ভয়ের মু"&amp;"খোমুখি হওয়ার চেষ্টা করি তবুও আমি এখনও একই রকম। জ্ঞানীয় পুনর্গঠনের ক্ষেত্রে, আমি কীভাবে এটি করব তা সম্পর্কে কোনও ধারণা পাই না। আমি জানি না কোথা থেকে শুরু করব, কীভাবে এটি সঠিকভাবে করব বা এরকম কিছু। আমি কীভাবে সোজা চিন্তা করব এবং আমার চিন্তাভাবনা পরিবর্তন "&amp;"করব? আমি জীবন এবং আমার জীবনযাপনের পদ্ধতিতে খুব ক্লান্ত। আমি বাঁচছি না, আমি কেবল পচন ধরছি। তাছাড়া, আমি আমার উদ্বেগ এবং হতাশা কমাতে চাই, কিন্তু কোথা থেকে শুরু করব তা আমি জানি না। তাছাড়া, আমার আত্মসম্মানের বড় সমস্যা রয়েছে যা আমি বিশ্বাস করি যে আমার উদ্বেগ "&amp;"এবং হতাশার মূল কারণ। এবং আমার সন্দেহ হয় যে আমার শরীরের ডিসমরফিয়াও রয়েছে। আমি সত্যিই যেকোনো পরামর্শ বা চিন্তাভাবনার জন্য কৃতজ্ঞ থাকব। পড়ার জন্য ধন্যবাদ।")</f>
        <v>কিভাবে সুস্থ হবো? হ্যালো সবাই, তাহলে আমি প্রায় সারা জীবন ধরে মানসিক অসুস্থতার সাথে লড়াই করে আসছি। গত ছয় বছর ধরে পরিস্থিতি নাটকীয়ভাবে খারাপের দিকে যাচ্ছে। আমার গুরুতর সামাজিক উদ্বেগ ব্যাধি, সাধারণ উদ্বেগ ব্যাধি এবং মাঝারি বিষণ্ণতা ধরা পড়েছে। তখন থেকে আমি আরও ভালো হতে চেয়েছিলাম কিন্তু আমি ধারাবাহিকতা এবং অধ্যবসায়ের সাথে লড়াই করছি। আমি যা করতে চাই তা হল জীবনের বাস্তবতা এবং আমি স্বাভাবিক থেকে কতটা দূরে তা এড়িয়ে চলা। আমি কেনাকাটা, টিভি, অথবা এমন কিছু করার মাধ্যমে এটি করি যা আমাকে আমার সমস্যাগুলি সম্পর্কে ভাবতে বাধ্য করে না। প্রতিবার যখনই আমি থেরাপি করার চেষ্টা করি, তখন আমি অত্যন্ত অনুপ্রাণিত, দুঃখিত বোধ করি এবং কেবল কোনও কিছুর জন্য মনোযোগ দিতে পারি না। আমি বেশিরভাগ সময়ই অত্যন্ত চেষ্টা এবং দুঃখিত থাকি। এছাড়াও, থেরাপিস্টদের সাথে আমার সেরা অভিজ্ঞতা হয়নি। আমি বছরের পর বছর ধরে কয়েকটি দেখেছি, এবং সত্যি বলতে তারা আমাকে খুব কমই সাহায্য করেছে। তারা আমাকে যত্ন করে বা গুরুত্ব সহকারে নেয় বলে মনে হয় না। এবং কিছু কারণে, এক্সপোজার আমার জন্য ততটা ভালো কাজ করছে না যতটা করা উচিত। আমি যতবার ধীরে ধীরে আমার ভয়ের মুখোমুখি হওয়ার চেষ্টা করি তবুও আমি এখনও একই রকম। জ্ঞানীয় পুনর্গঠনের ক্ষেত্রে, আমি কীভাবে এটি করব তা সম্পর্কে কোনও ধারণা পাই না। আমি জানি না কোথা থেকে শুরু করব, কীভাবে এটি সঠিকভাবে করব বা এরকম কিছু। আমি কীভাবে সোজা চিন্তা করব এবং আমার চিন্তাভাবনা পরিবর্তন করব? আমি জীবন এবং আমার জীবনযাপনের পদ্ধতিতে খুব ক্লান্ত। আমি বাঁচছি না, আমি কেবল পচন ধরছি। তাছাড়া, আমি আমার উদ্বেগ এবং হতাশা কমাতে চাই, কিন্তু কোথা থেকে শুরু করব তা আমি জানি না। তাছাড়া, আমার আত্মসম্মানের বড় সমস্যা রয়েছে যা আমি বিশ্বাস করি যে আমার উদ্বেগ এবং হতাশার মূল কারণ। এবং আমার সন্দেহ হয় যে আমার শরীরের ডিসমরফিয়াও রয়েছে। আমি সত্যিই যেকোনো পরামর্শ বা চিন্তাভাবনার জন্য কৃতজ্ঞ থাকব। পড়ার জন্য ধন্যবাদ।</v>
      </c>
    </row>
    <row r="2564" spans="1:3" ht="15" x14ac:dyDescent="0.25">
      <c r="A2564" s="3" t="s">
        <v>2557</v>
      </c>
      <c r="B2564" s="3" t="s">
        <v>1992</v>
      </c>
      <c r="C2564" s="4" t="str">
        <f ca="1">IFERROR(__xludf.DUMMYFUNCTION("GOOGLETRANSLATE(A2564, ""auto"", ""bn"")"),"এটা কি কখনও ভালো হয়? আমি এই ধরণের কারো কাছে বিরক্ত হতে চাই না, তবে আমি অন্যদের কাছে এই প্রশ্নটি করতে চাই। ব্যথা কি কখনও চলে যায়? তুমি কি কখনও বলতে পেরেছো যে তুমি এটা ""জয়"" করেছো এবং এটা তোমাকে গ্রাস না করে স্বাভাবিকভাবে বাঁচতে পারো? আমি সারা জীবন উদ্বেগ"&amp;" এবং আবেগপ্রবণ চিন্তাভাবনার সাথে লড়াই করে আসছি, কিন্তু এখন আমার বয়স (২৫) হওয়ায় এটা আরও খারাপ হয়ে গেছে। আমি প্রতিদিন কাজ, আমার ক্যারিয়ার এবং আমার জীবন সম্পর্কে বিপর্যয়কর অভিজ্ঞতা লাভ করি। তাছাড়া, মাঝে মাঝে এটা ধরে রাখতে আমার সত্যিই কষ্ট হয়। তাছাড়া, গত "&amp;"২ বছর ধরে আমি একজন মনোরোগ বিশেষজ্ঞ এবং একজন থেরাপিস্টের সাথে দেখা করছি এবং যদিও আমি নিশ্চিতভাবে বিশ্বাস করি যে এগুলো সাহায্য করে এবং আমার উন্নতি হয়েছে, তবুও আমার তীব্র বিপর্যয় এবং ভয়ের এই তরঙ্গগুলি আমার কাছে আসে এবং এটি আমার কাজ করার ক্ষমতাকে প্রভাবিত "&amp;"করে। তাছাড়া, আমি জানি এই ধরণের জিনিসের কোন ""নিরাময়"" নেই, কিন্তু আমি চিন্তিত যে আমি কখনই এড়াতে পারব না। আমি যত থেরাপি সেশনই করি না কেন, আমি যত কৌশলই শিখেছি, তবুও আমি কখনই ব্যর্থতার অনুভূতি, আমার জীবন ধ্বংস হয়ে গেছে, আমি আটকা পড়েছি তা পুরোপুরি কাটিয়"&amp;"ে উঠতে পারি না। আমি কেবল সুখী হতে চাই এবং একটি স্বাভাবিক জীবনযাপন করতে চাই। আমি নিজের সম্পর্কে ভালো বোধ করতে চাই এবং সফলভাবে অনুপ্রবেশকারী চিন্তাভাবনার সাথে এমনভাবে মোকাবিলা করতে শিখি যেখানে এটি আর আমাকে গ্রাস করে না। আপনি কি কখনও এমন একটি পর্যায়ে পৌঁছান"&amp;" যেখানে আপনি এটিকে সম্পূর্ণরূপে পরাজিত করেছেন?")</f>
        <v>এটা কি কখনও ভালো হয়? আমি এই ধরণের কারো কাছে বিরক্ত হতে চাই না, তবে আমি অন্যদের কাছে এই প্রশ্নটি করতে চাই। ব্যথা কি কখনও চলে যায়? তুমি কি কখনও বলতে পেরেছো যে তুমি এটা "জয়" করেছো এবং এটা তোমাকে গ্রাস না করে স্বাভাবিকভাবে বাঁচতে পারো? আমি সারা জীবন উদ্বেগ এবং আবেগপ্রবণ চিন্তাভাবনার সাথে লড়াই করে আসছি, কিন্তু এখন আমার বয়স (২৫) হওয়ায় এটা আরও খারাপ হয়ে গেছে। আমি প্রতিদিন কাজ, আমার ক্যারিয়ার এবং আমার জীবন সম্পর্কে বিপর্যয়কর অভিজ্ঞতা লাভ করি। তাছাড়া, মাঝে মাঝে এটা ধরে রাখতে আমার সত্যিই কষ্ট হয়। তাছাড়া, গত ২ বছর ধরে আমি একজন মনোরোগ বিশেষজ্ঞ এবং একজন থেরাপিস্টের সাথে দেখা করছি এবং যদিও আমি নিশ্চিতভাবে বিশ্বাস করি যে এগুলো সাহায্য করে এবং আমার উন্নতি হয়েছে, তবুও আমার তীব্র বিপর্যয় এবং ভয়ের এই তরঙ্গগুলি আমার কাছে আসে এবং এটি আমার কাজ করার ক্ষমতাকে প্রভাবিত করে। তাছাড়া, আমি জানি এই ধরণের জিনিসের কোন "নিরাময়" নেই, কিন্তু আমি চিন্তিত যে আমি কখনই এড়াতে পারব না। আমি যত থেরাপি সেশনই করি না কেন, আমি যত কৌশলই শিখেছি, তবুও আমি কখনই ব্যর্থতার অনুভূতি, আমার জীবন ধ্বংস হয়ে গেছে, আমি আটকা পড়েছি তা পুরোপুরি কাটিয়ে উঠতে পারি না। আমি কেবল সুখী হতে চাই এবং একটি স্বাভাবিক জীবনযাপন করতে চাই। আমি নিজের সম্পর্কে ভালো বোধ করতে চাই এবং সফলভাবে অনুপ্রবেশকারী চিন্তাভাবনার সাথে এমনভাবে মোকাবিলা করতে শিখি যেখানে এটি আর আমাকে গ্রাস করে না। আপনি কি কখনও এমন একটি পর্যায়ে পৌঁছান যেখানে আপনি এটিকে সম্পূর্ণরূপে পরাজিত করেছেন?</v>
      </c>
    </row>
    <row r="2565" spans="1:3" ht="15" x14ac:dyDescent="0.25">
      <c r="A2565" s="3" t="s">
        <v>2558</v>
      </c>
      <c r="B2565" s="3" t="s">
        <v>1992</v>
      </c>
      <c r="C2565" s="4" t="str">
        <f ca="1">IFERROR(__xludf.DUMMYFUNCTION("GOOGLETRANSLATE(A2565, ""auto"", ""bn"")"),"Lexa pro অথবা Prozac সবাই হেলো! আমি প্রায় এক সপ্তাহ ধরে 5mg learn খাচ্ছি; আমার এখনও কিছু অবাঞ্ছিত পার্শ্বপ্রতিক্রিয়া (সামান্য মাথাব্যথা, বমি বমি ভাব, মাথা ঘোরা, উদ্বেগ বৃদ্ধি) হচ্ছে। আমার ডাক্তার বলেছেন যে আমি আরও 2 সপ্তাহ learn চেষ্টা করে দেখতে পারি এব"&amp;"ং দেখতে পারি লক্ষণগুলি কমে যায় কিনা, অথবা আমি Prozac এর কম ডোজ নিতে পারি। learn অথবা Prozac নিয়ে তোমাদের সকলের কী অভিজ্ঞতা আছে এবং কোনটি তোমাদের কাছে বেশি উপকারী বলে মনে হয়েছে? আমি পড়েছি যে Prozac learn এর চেয়ে কম উদ্দীপক, এবং আমি এটাও পড়েছি যে lear"&amp;"n learn এর চেয়ে কম উদ্দীপক ????")</f>
        <v>Lexa pro অথবা Prozac সবাই হেলো! আমি প্রায় এক সপ্তাহ ধরে 5mg learn খাচ্ছি; আমার এখনও কিছু অবাঞ্ছিত পার্শ্বপ্রতিক্রিয়া (সামান্য মাথাব্যথা, বমি বমি ভাব, মাথা ঘোরা, উদ্বেগ বৃদ্ধি) হচ্ছে। আমার ডাক্তার বলেছেন যে আমি আরও 2 সপ্তাহ learn চেষ্টা করে দেখতে পারি এবং দেখতে পারি লক্ষণগুলি কমে যায় কিনা, অথবা আমি Prozac এর কম ডোজ নিতে পারি। learn অথবা Prozac নিয়ে তোমাদের সকলের কী অভিজ্ঞতা আছে এবং কোনটি তোমাদের কাছে বেশি উপকারী বলে মনে হয়েছে? আমি পড়েছি যে Prozac learn এর চেয়ে কম উদ্দীপক, এবং আমি এটাও পড়েছি যে learn learn এর চেয়ে কম উদ্দীপক ????</v>
      </c>
    </row>
    <row r="2566" spans="1:3" ht="15" x14ac:dyDescent="0.25">
      <c r="A2566" s="3" t="s">
        <v>2559</v>
      </c>
      <c r="B2566" s="3" t="s">
        <v>1992</v>
      </c>
      <c r="C2566" s="4" t="str">
        <f ca="1">IFERROR(__xludf.DUMMYFUNCTION("GOOGLETRANSLATE(A2566, ""auto"", ""bn"")"),"সামাজিক উদ্বেগ এবং চাকরি ছেড়ে দেওয়া আমার বর্তমান চাকরিতে দ্বিগুণ ঝুঁকির সম্মুখীন হতে হয়, এবং আমার সামাজিক উদ্বেগের কারণে কাউকে সাহায্য করতে পারি না, তাই আমি চাকরি ছেড়ে দিতে যাচ্ছি কিন্তু আমার বসকে বলার বা ফোন করে জানাতেও পারছি না কারণ আমার ফোনে খুব বে"&amp;"শি উদ্বেগ আছে। কেউ কি কখনও কাজে আসা বন্ধ করে দিয়েছেন? তুমি যখন এসেছিলে তখন কি হয়েছিল? আমি কি এখনও সেই চাকরিটি জীবনবৃত্তান্তে রাখতে পারি, স্পষ্টতই রেফারেন্স হিসেবে নয় বরং আমার কাজ করা চাকরি হিসেবে? (আমি কেবল একজন ক্যাশিয়ার) আমি জানি এটি আদর্শ নয়, এবং "&amp;"আসলে বেশ অভদ্র, কিন্তু ছেড়ে দেওয়ার সময় আমার বারবার উদ্বেগের আক্রমণ হয়, তাই আমি মনে করি এটিই সবচেয়ে সহজ।")</f>
        <v>সামাজিক উদ্বেগ এবং চাকরি ছেড়ে দেওয়া আমার বর্তমান চাকরিতে দ্বিগুণ ঝুঁকির সম্মুখীন হতে হয়, এবং আমার সামাজিক উদ্বেগের কারণে কাউকে সাহায্য করতে পারি না, তাই আমি চাকরি ছেড়ে দিতে যাচ্ছি কিন্তু আমার বসকে বলার বা ফোন করে জানাতেও পারছি না কারণ আমার ফোনে খুব বেশি উদ্বেগ আছে। কেউ কি কখনও কাজে আসা বন্ধ করে দিয়েছেন? তুমি যখন এসেছিলে তখন কি হয়েছিল? আমি কি এখনও সেই চাকরিটি জীবনবৃত্তান্তে রাখতে পারি, স্পষ্টতই রেফারেন্স হিসেবে নয় বরং আমার কাজ করা চাকরি হিসেবে? (আমি কেবল একজন ক্যাশিয়ার) আমি জানি এটি আদর্শ নয়, এবং আসলে বেশ অভদ্র, কিন্তু ছেড়ে দেওয়ার সময় আমার বারবার উদ্বেগের আক্রমণ হয়, তাই আমি মনে করি এটিই সবচেয়ে সহজ।</v>
      </c>
    </row>
    <row r="2567" spans="1:3" ht="15" x14ac:dyDescent="0.25">
      <c r="A2567" s="3" t="s">
        <v>2560</v>
      </c>
      <c r="B2567" s="3" t="s">
        <v>1992</v>
      </c>
      <c r="C2567" s="4" t="str">
        <f ca="1">IFERROR(__xludf.DUMMYFUNCTION("GOOGLETRANSLATE(A2567, ""auto"", ""bn"")"),"আমার একজন ডাক্তার আমার উপর রেগে গেলেন। অন্যদিন আমি হাসপাতালে গেলাম কারণ গাড়ি চালানোর সময় আমার মারাত্মক প্যানিক অ্যাটাক হয়েছিল। এটি এখন পর্যন্ত আমার সবচেয়ে খারাপ। জরুরি বিভাগের ডাক্তার আমাকে জিজ্ঞাসা করেছিলেন যে আমার আগে কখনও প্যানিক অ্যাটাক হয়েছে কিন"&amp;"া তাই আমি হ্যাঁ বলেছিলাম। তিনি আমাকে জিজ্ঞাসা করেছিলেন যে আমি এর জন্য কোনও পেশাদার সাহায্য চাইছি কিনা, এবং অবশ্যই, আমি না বলেছিলাম। তিনি আমাকে জিজ্ঞাসা করেছিলেন যে আমার প্রথম অ্যাটাক কখন হয়েছিল। আমি তাকে প্রায় 10 বছর আগে বলেছিলাম, এবং এটি প্রায়শই ঘটে, "&amp;"তবে সর্বদা নয়। তার উত্তর ছিল ""তুমি আমাকে বলতে চাইছো যে তুমি 10 বছর ধরে চলে গেছো এবং তোমার উদ্বেগের জন্য কাউকে দেখেনি?"" আমি তার দিকে তাকিয়ে বললাম ""না।"" আমাকে এখন আমার পিসিপির সাথে যোগাযোগ করতে হবে এবং উদ্বেগের জন্য অ্যাপয়েন্টমেন্ট নিতে হবে। বলা বাহু"&amp;"ল্য, আমাকে একজন ডাক্তারের কঠোর নির্দেশে চেকআপ করাতে হবে। আমার ADHD (চিকিৎসাও করা হচ্ছে না) থাকাও কোনও লাভ করে না এবং উদ্বেগ হল এর প্রধান লক্ষণগুলির মধ্যে একটি।")</f>
        <v>আমার একজন ডাক্তার আমার উপর রেগে গেলেন। অন্যদিন আমি হাসপাতালে গেলাম কারণ গাড়ি চালানোর সময় আমার মারাত্মক প্যানিক অ্যাটাক হয়েছিল। এটি এখন পর্যন্ত আমার সবচেয়ে খারাপ। জরুরি বিভাগের ডাক্তার আমাকে জিজ্ঞাসা করেছিলেন যে আমার আগে কখনও প্যানিক অ্যাটাক হয়েছে কিনা তাই আমি হ্যাঁ বলেছিলাম। তিনি আমাকে জিজ্ঞাসা করেছিলেন যে আমি এর জন্য কোনও পেশাদার সাহায্য চাইছি কিনা, এবং অবশ্যই, আমি না বলেছিলাম। তিনি আমাকে জিজ্ঞাসা করেছিলেন যে আমার প্রথম অ্যাটাক কখন হয়েছিল। আমি তাকে প্রায় 10 বছর আগে বলেছিলাম, এবং এটি প্রায়শই ঘটে, তবে সর্বদা নয়। তার উত্তর ছিল "তুমি আমাকে বলতে চাইছো যে তুমি 10 বছর ধরে চলে গেছো এবং তোমার উদ্বেগের জন্য কাউকে দেখেনি?" আমি তার দিকে তাকিয়ে বললাম "না।" আমাকে এখন আমার পিসিপির সাথে যোগাযোগ করতে হবে এবং উদ্বেগের জন্য অ্যাপয়েন্টমেন্ট নিতে হবে। বলা বাহুল্য, আমাকে একজন ডাক্তারের কঠোর নির্দেশে চেকআপ করাতে হবে। আমার ADHD (চিকিৎসাও করা হচ্ছে না) থাকাও কোনও লাভ করে না এবং উদ্বেগ হল এর প্রধান লক্ষণগুলির মধ্যে একটি।</v>
      </c>
    </row>
    <row r="2568" spans="1:3" ht="15" x14ac:dyDescent="0.25">
      <c r="A2568" s="3" t="s">
        <v>2561</v>
      </c>
      <c r="B2568" s="3" t="s">
        <v>1992</v>
      </c>
      <c r="C2568" s="4" t="str">
        <f ca="1">IFERROR(__xludf.DUMMYFUNCTION("GOOGLETRANSLATE(A2568, ""auto"", ""bn"")"),"কেউ যদি সাহায্য করতে পারেন, তাহলে কিছু উত্তর প্রয়োজন। প্রথমেই আমি সাপ্লিমেন্টের জন্য সাহায্য চাইছি অথবা প্রকৃত প্রেসক্রিপশন ছাড়াও অন্য কোনও আইডিয়া চাইছি, যেকোনো সাহায্য সত্যিই প্রশংসিত হবে। যতদূর মনে পড়ে, আমার জীবনে উদ্বেগ ছিল, শুধু তা কতটা খারাপ হবে "&amp;"তার উপর নির্ভর করে। থেরাপিস্টদের কাছে গিয়েছিলাম এবং ওষুধ বন্ধ করে দিয়েছিলাম এবং কখনও কোনও ওষুধ খাইনি যা আমার মনে হয়েছিল যে সত্যিই কাজ করবে, আমি খুব বেশি সময় ধরে ওষুধ খাচ্ছি না, সাপ্লিমেন্টের সাথে আমার কিছুটা ভাগ্য ছিল কিন্তু কিছুদিন চেষ্টা করিনি এবং আ"&amp;"মি আশা করছি কেউ আমাকে এমন কিছুর দিকে নির্দেশ করতে পারবে যা আসলে কাজ করে। আমার ভয়াবহ সামাজিক উদ্বেগ এবং সাধারণ উদ্বেগ রয়েছে এবং আমি একটি 2 বছর বয়সী শিশুর বাবা এবং তার মা (আমার জিএফ) একটি আঘাতমূলক মস্তিষ্কের আঘাত পেয়েছেন যা এটি নিয়ে অনেক সমস্যা নিয়ে আ"&amp;"সে, সে বিষয়ে না গিয়েই, কিছু আমার নিজের জীবনে অনেক চাপ এবং উদ্বেগ যোগ করে (ক্রীড়াদায়ক বা অতিরিক্ত নাটকীয় হওয়া নয়)। আমার ছেলের জন্মের পর থেকে আমার উদ্বেগ আগের চেয়ে আরও খারাপ হয়ে গেছে এবং আমার সামাজিক উদ্বেগ এতটাই বেড়েছে যে আমি প্রায় কারোরই মুখের "&amp;"দিকে এক সেকেন্ডেরও বেশি সময় তাকিয়ে কথা বলতে পারি না এবং উদ্বেগে ভোগা অনেক মানুষের মাঝে মাঝে যে ভয়ঙ্কর চিন্তাভাবনা দেখা দেয় তা এখন অনেক বেশি দেখা যায়। তাই যদি কেউ কোন সম্পূরক বা তাদের জন্য কাজ করে এমন কিছু সম্পর্কে জানেন তবে দয়া করে উত্তর দিন, এবং আম"&amp;"ি সত্যিই কৃতজ্ঞ।")</f>
        <v>কেউ যদি সাহায্য করতে পারেন, তাহলে কিছু উত্তর প্রয়োজন। প্রথমেই আমি সাপ্লিমেন্টের জন্য সাহায্য চাইছি অথবা প্রকৃত প্রেসক্রিপশন ছাড়াও অন্য কোনও আইডিয়া চাইছি, যেকোনো সাহায্য সত্যিই প্রশংসিত হবে। যতদূর মনে পড়ে, আমার জীবনে উদ্বেগ ছিল, শুধু তা কতটা খারাপ হবে তার উপর নির্ভর করে। থেরাপিস্টদের কাছে গিয়েছিলাম এবং ওষুধ বন্ধ করে দিয়েছিলাম এবং কখনও কোনও ওষুধ খাইনি যা আমার মনে হয়েছিল যে সত্যিই কাজ করবে, আমি খুব বেশি সময় ধরে ওষুধ খাচ্ছি না, সাপ্লিমেন্টের সাথে আমার কিছুটা ভাগ্য ছিল কিন্তু কিছুদিন চেষ্টা করিনি এবং আমি আশা করছি কেউ আমাকে এমন কিছুর দিকে নির্দেশ করতে পারবে যা আসলে কাজ করে। আমার ভয়াবহ সামাজিক উদ্বেগ এবং সাধারণ উদ্বেগ রয়েছে এবং আমি একটি 2 বছর বয়সী শিশুর বাবা এবং তার মা (আমার জিএফ) একটি আঘাতমূলক মস্তিষ্কের আঘাত পেয়েছেন যা এটি নিয়ে অনেক সমস্যা নিয়ে আসে, সে বিষয়ে না গিয়েই, কিছু আমার নিজের জীবনে অনেক চাপ এবং উদ্বেগ যোগ করে (ক্রীড়াদায়ক বা অতিরিক্ত নাটকীয় হওয়া নয়)। আমার ছেলের জন্মের পর থেকে আমার উদ্বেগ আগের চেয়ে আরও খারাপ হয়ে গেছে এবং আমার সামাজিক উদ্বেগ এতটাই বেড়েছে যে আমি প্রায় কারোরই মুখের দিকে এক সেকেন্ডেরও বেশি সময় তাকিয়ে কথা বলতে পারি না এবং উদ্বেগে ভোগা অনেক মানুষের মাঝে মাঝে যে ভয়ঙ্কর চিন্তাভাবনা দেখা দেয় তা এখন অনেক বেশি দেখা যায়। তাই যদি কেউ কোন সম্পূরক বা তাদের জন্য কাজ করে এমন কিছু সম্পর্কে জানেন তবে দয়া করে উত্তর দিন, এবং আমি সত্যিই কৃতজ্ঞ।</v>
      </c>
    </row>
    <row r="2569" spans="1:3" ht="15" x14ac:dyDescent="0.25">
      <c r="A2569" s="3" t="s">
        <v>2562</v>
      </c>
      <c r="B2569" s="3" t="s">
        <v>1992</v>
      </c>
      <c r="C2569" s="4" t="str">
        <f ca="1">IFERROR(__xludf.DUMMYFUNCTION("GOOGLETRANSLATE(A2569, ""auto"", ""bn"")"),"উত্তরের অপেক্ষায়... নিজেকে শান্ত রাখার চেষ্টা করছি, আর আমার সঙ্গীর কাছ থেকে উত্তরের অপেক্ষায় আছি। আমরা কয়েক সপ্তাহ ধরে আলাদা ছিলাম, পরিবারের সাথে দেখা করার জন্য, আর যখন সে ঘণ্টার পর ঘণ্টা ধরে কোনও উত্তর না দেয়, তখন ধীরে ধীরে আমার আর সামলাতে অসুবিধা হচ্ছে।"&amp;" সে খুব একটা ফোনে কথা বলে না, হয়তো লম্বা মোটরবাইকে চড়ে, অথবা তার বাবার সাথে স্থানীয় পাব-এ থাকে। তবে, গাড়িতে যাওয়ার কথা ভাবলেই আমার ভয় লাগে, কারণ আমার উদ্বিগ্ন মস্তিষ্ক ভাবছে যে তার সাথে কিছু হয়তো হয়তো হয়তো হয়তো হয়তো কিছু হয়েছে। যাই হোক, আমার মনে হয় আমার "&amp;"কথাটা প্রকাশ করা উচিত ছিল, এবং আমি আশা করি এইসব কথাবার্তা বলার জন্য এটিই উপযুক্ত জায়গা। হয়তো কেউ এখন একই রকম পরিস্থিতির মুখোমুখি হচ্ছে, অথবা আশা করি কেউ আমার মাথা বন্ধ করার জন্য কিছু টিপস দিতে পারবে। এখন রাত ২টা। প্রাসঙ্গিক হলে, আমার GAD আছে এবং সম্প্রতি "&amp;"কিছু নিয়ে চিন্তা করে নিয়মিত ঘুম নষ্ট হতে শুরু করেছে।")</f>
        <v>উত্তরের অপেক্ষায়... নিজেকে শান্ত রাখার চেষ্টা করছি, আর আমার সঙ্গীর কাছ থেকে উত্তরের অপেক্ষায় আছি। আমরা কয়েক সপ্তাহ ধরে আলাদা ছিলাম, পরিবারের সাথে দেখা করার জন্য, আর যখন সে ঘণ্টার পর ঘণ্টা ধরে কোনও উত্তর না দেয়, তখন ধীরে ধীরে আমার আর সামলাতে অসুবিধা হচ্ছে। সে খুব একটা ফোনে কথা বলে না, হয়তো লম্বা মোটরবাইকে চড়ে, অথবা তার বাবার সাথে স্থানীয় পাব-এ থাকে। তবে, গাড়িতে যাওয়ার কথা ভাবলেই আমার ভয় লাগে, কারণ আমার উদ্বিগ্ন মস্তিষ্ক ভাবছে যে তার সাথে কিছু হয়তো হয়তো হয়তো হয়তো হয়তো কিছু হয়েছে। যাই হোক, আমার মনে হয় আমার কথাটা প্রকাশ করা উচিত ছিল, এবং আমি আশা করি এইসব কথাবার্তা বলার জন্য এটিই উপযুক্ত জায়গা। হয়তো কেউ এখন একই রকম পরিস্থিতির মুখোমুখি হচ্ছে, অথবা আশা করি কেউ আমার মাথা বন্ধ করার জন্য কিছু টিপস দিতে পারবে। এখন রাত ২টা। প্রাসঙ্গিক হলে, আমার GAD আছে এবং সম্প্রতি কিছু নিয়ে চিন্তা করে নিয়মিত ঘুম নষ্ট হতে শুরু করেছে।</v>
      </c>
    </row>
    <row r="2570" spans="1:3" ht="15" x14ac:dyDescent="0.25">
      <c r="A2570" s="3" t="s">
        <v>2563</v>
      </c>
      <c r="B2570" s="3" t="s">
        <v>1992</v>
      </c>
      <c r="C2570" s="4" t="str">
        <f ca="1">IFERROR(__xludf.DUMMYFUNCTION("GOOGLETRANSLATE(A2570, ""auto"", ""bn"")"),"অন্যদিন আমার সাথে ঘটে যাওয়া এক মজার গল্প। তখন আমার কাছে এটা মজার মনে হয়নি কারণ আমি কতটা অস্বস্তিকর এবং উদ্বিগ্ন ছিলাম, কিন্তু এখন যখন আমি এটির দিকে ফিরে তাকাই, তখন আমার মনে হয় এটি বেশ মজার। এখনও অস্বস্তিকর কিন্তু মজারও। মূলত আমি একটি আবাসিক বাড়িতে থাক"&amp;"ি, এবং আমি এক সপ্তাহের জন্য আমার পরিবারের কিছু সদস্যের সাথে দেখা করতে গিয়েছিলাম, তাই আমি আমার মাসির বাড়িতে ছিলাম। আমি আমার চাচাতো ভাইদের বিছানায় গেলাম (তিনি আমাকে তার বিছানা দিয়েছিলেন এবং একই ঘরে তার বোনের বিছানায় ঘুমিয়েছিলেন) কারণ আমি ক্লান্ত ছিলাম"&amp;" কারণ এটি অনেক দূরে ছিল এবং একবারের জন্য, আমি বেশ দ্রুত ঘুমিয়ে পড়েছিলাম। আমি প্রায় 04:20 পর্যন্ত ঘুমিয়ে ছিলাম, তখনই আমি জেগে উঠি এবং প্যানিক অ্যাটাক শুরু করি। তাছাড়া, আমি ঠিক জানি না কেন এটি শুরু হয়েছিল, তবে এটি হয়েছিল। যাই হোক, যখন আমার প্যানিক অ্"&amp;"যাটাক হয়, আমি পাগলের মতো কাঁপতে থাকি, এবং যতক্ষণ না আমি আমার হৃদস্পন্দন কমাতে শুরু করি ততক্ষণ পর্যন্ত এটি শান্ত হয় না। আমার কাঁপতে সমস্যাটা ছিল, আমি নিশ্চিত ছিলাম না যে আমার চাচাতো ভাই এখনও জেগে আছে কিনা, এবং যেহেতু আমি এত কাঁপছিলাম, তাই মনে হচ্ছিল যেন "&amp;"আমি হস্তমৈথুন করছি, যা আমাকে আরও বেশি উদ্বিগ্ন করে তুলেছিল কারণ যদি সে জেগে থাকে, তাহলে সে আমার বিছানায় এমন ভাবছিল যেন সে কি করছে। আমি আমার শ্বাস-প্রশ্বাসের গতি কমানোর চেষ্টাও করতে পারিনি কারণ আমি যদি গভীর শ্বাস নিতে শুরু করি, তাহলে শব্দ আরও খারাপ হত, তা"&amp;"ই আমি কাঁপতে কাঁপতে শুয়ে রইলাম, এবং আমি আমার ফোনটি তুলে নিয়ে বসে থাকা ছাড়া আর কী করব তা ভাবতে পারিনি, যাতে সে যদি তাকায়, তবে এটি খুব খারাপ দেখাবে না, তবে আমি এখনও কাঁপতে থামাতে পারিনি, তাই আমি নীচে গিয়ে কিছু জল খাওয়ার সিদ্ধান্ত নিলাম। যখন আমি নীচে ন"&amp;"ামলাম, কাঁপুনি শান্ত হয়ে গেল, কিন্তু এটি এখনও সেখানেই ছিল। আমার গ্লাস ভর্তি করার পরে, আমি আবার উপরে গিয়ে বিছানায় ফিরে গেলাম এবং আমার ফোনে কথা বলতে লাগলাম। তারপর আমি ভাবতে শুরু করলাম যে কী ঘটেছে, এবং এতে কাঁপুনি আবার শুরু হয়ে গেল, তাই মূলত পুরো চক্রটি "&amp;"পুনরাবৃত্তি হয়েছিল যতক্ষণ না আমি আমার হেডফোন লাগিয়ে কিছু গান শুনলাম যা অবশেষে আমাকে শান্ত করে দিল। আমি ৫:৩০ নাগাদ ঘুমাতে যেতে পেরেছিলাম এবং সকালে যখন ঘুম থেকে উঠলাম, আমার চাচাতো ভাই কিছু বলেনি, তাই আশা করি সে ঘুমিয়ে পড়েছে। এত লম্বা পোস্টের জন্য দুঃখিত"&amp;", আর যদি পড়ে থাকেন, তাহলে পড়ার জন্য ধন্যবাদ। TL;DR মূলত আমার চাচাতো ভাইয়ের বিছানায় আমার প্যানিক অ্যাটাক হয়েছিল এবং আমি জানতাম না যে সে জেগে আছে কি না, এবং আমার প্রচণ্ড ঝাঁকুনি ছিল, তাই মনে হচ্ছিল আমি হস্তমৈথুন করছি, যা সবকিছুকে আরও খারাপ করে তুলেছিল।"&amp;" সকালে সে কিছু বলেনি, তাই আশা করি সে ঘুমিয়ে পড়েছে।")</f>
        <v>অন্যদিন আমার সাথে ঘটে যাওয়া এক মজার গল্প। তখন আমার কাছে এটা মজার মনে হয়নি কারণ আমি কতটা অস্বস্তিকর এবং উদ্বিগ্ন ছিলাম, কিন্তু এখন যখন আমি এটির দিকে ফিরে তাকাই, তখন আমার মনে হয় এটি বেশ মজার। এখনও অস্বস্তিকর কিন্তু মজারও। মূলত আমি একটি আবাসিক বাড়িতে থাকি, এবং আমি এক সপ্তাহের জন্য আমার পরিবারের কিছু সদস্যের সাথে দেখা করতে গিয়েছিলাম, তাই আমি আমার মাসির বাড়িতে ছিলাম। আমি আমার চাচাতো ভাইদের বিছানায় গেলাম (তিনি আমাকে তার বিছানা দিয়েছিলেন এবং একই ঘরে তার বোনের বিছানায় ঘুমিয়েছিলেন) কারণ আমি ক্লান্ত ছিলাম কারণ এটি অনেক দূরে ছিল এবং একবারের জন্য, আমি বেশ দ্রুত ঘুমিয়ে পড়েছিলাম। আমি প্রায় 04:20 পর্যন্ত ঘুমিয়ে ছিলাম, তখনই আমি জেগে উঠি এবং প্যানিক অ্যাটাক শুরু করি। তাছাড়া, আমি ঠিক জানি না কেন এটি শুরু হয়েছিল, তবে এটি হয়েছিল। যাই হোক, যখন আমার প্যানিক অ্যাটাক হয়, আমি পাগলের মতো কাঁপতে থাকি, এবং যতক্ষণ না আমি আমার হৃদস্পন্দন কমাতে শুরু করি ততক্ষণ পর্যন্ত এটি শান্ত হয় না। আমার কাঁপতে সমস্যাটা ছিল, আমি নিশ্চিত ছিলাম না যে আমার চাচাতো ভাই এখনও জেগে আছে কিনা, এবং যেহেতু আমি এত কাঁপছিলাম, তাই মনে হচ্ছিল যেন আমি হস্তমৈথুন করছি, যা আমাকে আরও বেশি উদ্বিগ্ন করে তুলেছিল কারণ যদি সে জেগে থাকে, তাহলে সে আমার বিছানায় এমন ভাবছিল যেন সে কি করছে। আমি আমার শ্বাস-প্রশ্বাসের গতি কমানোর চেষ্টাও করতে পারিনি কারণ আমি যদি গভীর শ্বাস নিতে শুরু করি, তাহলে শব্দ আরও খারাপ হত, তাই আমি কাঁপতে কাঁপতে শুয়ে রইলাম, এবং আমি আমার ফোনটি তুলে নিয়ে বসে থাকা ছাড়া আর কী করব তা ভাবতে পারিনি, যাতে সে যদি তাকায়, তবে এটি খুব খারাপ দেখাবে না, তবে আমি এখনও কাঁপতে থামাতে পারিনি, তাই আমি নীচে গিয়ে কিছু জল খাওয়ার সিদ্ধান্ত নিলাম। যখন আমি নীচে নামলাম, কাঁপুনি শান্ত হয়ে গেল, কিন্তু এটি এখনও সেখানেই ছিল। আমার গ্লাস ভর্তি করার পরে, আমি আবার উপরে গিয়ে বিছানায় ফিরে গেলাম এবং আমার ফোনে কথা বলতে লাগলাম। তারপর আমি ভাবতে শুরু করলাম যে কী ঘটেছে, এবং এতে কাঁপুনি আবার শুরু হয়ে গেল, তাই মূলত পুরো চক্রটি পুনরাবৃত্তি হয়েছিল যতক্ষণ না আমি আমার হেডফোন লাগিয়ে কিছু গান শুনলাম যা অবশেষে আমাকে শান্ত করে দিল। আমি ৫:৩০ নাগাদ ঘুমাতে যেতে পেরেছিলাম এবং সকালে যখন ঘুম থেকে উঠলাম, আমার চাচাতো ভাই কিছু বলেনি, তাই আশা করি সে ঘুমিয়ে পড়েছে। এত লম্বা পোস্টের জন্য দুঃখিত, আর যদি পড়ে থাকেন, তাহলে পড়ার জন্য ধন্যবাদ। TL;DR মূলত আমার চাচাতো ভাইয়ের বিছানায় আমার প্যানিক অ্যাটাক হয়েছিল এবং আমি জানতাম না যে সে জেগে আছে কি না, এবং আমার প্রচণ্ড ঝাঁকুনি ছিল, তাই মনে হচ্ছিল আমি হস্তমৈথুন করছি, যা সবকিছুকে আরও খারাপ করে তুলেছিল। সকালে সে কিছু বলেনি, তাই আশা করি সে ঘুমিয়ে পড়েছে।</v>
      </c>
    </row>
    <row r="2571" spans="1:3" ht="15" x14ac:dyDescent="0.25">
      <c r="A2571" s="3" t="s">
        <v>2564</v>
      </c>
      <c r="B2571" s="3" t="s">
        <v>1992</v>
      </c>
      <c r="C2571" s="4" t="str">
        <f ca="1">IFERROR(__xludf.DUMMYFUNCTION("GOOGLETRANSLATE(A2571, ""auto"", ""bn"")"),"দীর্ঘস্থায়ী তীব্র উদ্বেগের আক্রমণ কমানোর উপায়? সম্প্রতি আমার প্রতিদিন একই সময়ে মাঝে মাঝে নিয়মিত উদ্বেগের আক্রমণ হচ্ছে... এমনকি আক্রমণ শেষ হয়ে গেলেও, আমার পেটে সেই গিঁট থাকে যা পুরোপুরি চলে যায় না, এবং এর ফলে আমার ক্ষুধা কমে যায় এবং সব সময় বমি বমি "&amp;"ভাব হয়। গত রাতে আমি একজন লোকের সাথে দেখা করার পর হঠাৎ করেই মনে হলো আমার বমি বমি ভাব শুরু হয়ে গেছে... আমি তাকে চলে যেতেও বলেছিলাম কারণ আমি খুব খারাপ অনুভব করছিলাম। তারপর তাকে চলে যেতে বলার জন্য আমি উদ্বিগ্ন হয়ে পড়েছিলাম ইত্যাদি। হাহাহা এটা একটা দুষ্টচক"&amp;"্র এবং এই মুহুর্তে, আমার হৃদয় আক্ষরিক অর্থেই এতটাই ব্যথা করছে? Âª*? Â. আমি ঠিকমতো শ্বাস নিতে পারছি না, এবং আমি আরও ১০ দিনের জন্য জোলফটের বাইরে... শান্ত হওয়ার জন্য কোন পরামর্শ?")</f>
        <v>দীর্ঘস্থায়ী তীব্র উদ্বেগের আক্রমণ কমানোর উপায়? সম্প্রতি আমার প্রতিদিন একই সময়ে মাঝে মাঝে নিয়মিত উদ্বেগের আক্রমণ হচ্ছে... এমনকি আক্রমণ শেষ হয়ে গেলেও, আমার পেটে সেই গিঁট থাকে যা পুরোপুরি চলে যায় না, এবং এর ফলে আমার ক্ষুধা কমে যায় এবং সব সময় বমি বমি ভাব হয়। গত রাতে আমি একজন লোকের সাথে দেখা করার পর হঠাৎ করেই মনে হলো আমার বমি বমি ভাব শুরু হয়ে গেছে... আমি তাকে চলে যেতেও বলেছিলাম কারণ আমি খুব খারাপ অনুভব করছিলাম। তারপর তাকে চলে যেতে বলার জন্য আমি উদ্বিগ্ন হয়ে পড়েছিলাম ইত্যাদি। হাহাহা এটা একটা দুষ্টচক্র এবং এই মুহুর্তে, আমার হৃদয় আক্ষরিক অর্থেই এতটাই ব্যথা করছে? Âª*? Â. আমি ঠিকমতো শ্বাস নিতে পারছি না, এবং আমি আরও ১০ দিনের জন্য জোলফটের বাইরে... শান্ত হওয়ার জন্য কোন পরামর্শ?</v>
      </c>
    </row>
    <row r="2572" spans="1:3" ht="15" x14ac:dyDescent="0.25">
      <c r="A2572" s="3" t="s">
        <v>2565</v>
      </c>
      <c r="B2572" s="3" t="s">
        <v>1992</v>
      </c>
      <c r="C2572" s="4" t="str">
        <f ca="1">IFERROR(__xludf.DUMMYFUNCTION("GOOGLETRANSLATE(A2572, ""auto"", ""bn"")"),"রাতে কি কেউ বাড়িতে হামলা/চুরির ভয়ে চিন্তিত থাকে? হ্যালো সকলকে, অনেকদিন ধরে লুকিয়ে থাকা, প্রথমবারের মতো পোস্টার লাগানো। রাতে আমার সবসময় তীব্র উদ্বেগ ছিল, কারণ আমার বাড়িতে কেউ আসবে এই ভয় ছিল। কেউ আসলে ভেতরে ঢুকে না পড়ার আগ পর্যন্ত এটা সবসময় ""নিয়ন্"&amp;"ত্রণযোগ্য"" ছিল। ভাগ্যক্রমে আমার ভয় আসলে সে গেট খোলার সাথে সাথেই আমাকে জাগিয়ে তুলেছিল (আমার মনে হয় আমার মস্তিষ্ক আমাকে এর জন্য প্রস্তুত করেছিল), যার অর্থ আমি তাকে গ্রেপ্তার করার জন্য সময়মতো পুলিশকে ফোন করতে সক্ষম হয়েছিলাম। আমার বিদ্যমান ভয়ের কারণে এ"&amp;"টি একটি অত্যন্ত বেদনাদায়ক অভিজ্ঞতা ছিল, কারণ পুলিশ আমাকে তাদের সাথে কথা বলতে বাধ্য করেছিল যার ফলে আমার মনে হয়েছিল যে সে আমার কথা শুনবে (সে জানত আমি সেখানে আছি - আমি যে শব্দ করছিলাম তাতে সে প্রতিক্রিয়া জানাতে শুনেছিলাম), এবং সবচেয়ে খারাপ বিষয় হল আমি ত"&amp;"াকে ধীরে ধীরে সিঁড়ি বেয়ে উঠে আসতে (যেখানে আমি ছিলাম) এবং আমার শোবার ঘরের দরজা বন্ধ করে খোলার চেষ্টা করতে শুনেছিলাম। তারপর থেকে, মধ্যরাতে ঘড়ির কাঁটার মতো, যদি আমি ঘুমাতে না পারি, তাহলে আমি বিছানায় শুয়ে পড়ি এবং যেকোনো শব্দ শুনতে পাই। যদি আমি কিছু শুনি"&amp;", তাহলে আমার মস্তিষ্ক আসলে আমাকে বিশ্বাস করবে যে এটা কেউ ঢুকছে, এমনকি যদি তা আমার কুকুরের পাদ দেওয়ার শব্দও হয়, এবং আমি ভয়ে পক্ষাঘাতগ্রস্ত হয়ে পড়ি। মাঝে মাঝে, আমার মস্তিষ্ক আমাকে কৌশলে সিঁড়ি দিয়ে ওঠার সময় যে সিঁড়ির শব্দ শুনতে পেয়েছিলাম, যদিও আমি অন্য একটি "&amp;"বাড়িতে থাকি যেখানে কোনও শব্দ হয় না। আমার মন আসলে শব্দ করছে। মাঝে মাঝে আমার মাঝে মাঝে ঘুমের পক্ষাঘাত হয় যেখানে আমি জেগে উঠি কিন্তু নড়াচড়া করতে পারি না এবং ইতিমধ্যেই ভয়/উদ্বেগের মধ্যে থাকি। আমি কি পাগল হয়ে যাচ্ছি? অন্য কারো কি এই উদ্বেগ আছে? আপনার কি কোন প"&amp;"রামর্শ বা পরামর্শ আছে? আর্থিকভাবে, আমি এমন কোনও জায়গায় নেই যেখানে আমি একজন থেরাপিস্টের সাথে দেখা করতে পারি। মনে হচ্ছে আমার কি একজন থেরাপিস্টের সাথে দেখা করা উচিত? মনে হচ্ছে আমার কি একজন থেরাপিস্টের সাথে দেখা করা উচিত?")</f>
        <v>রাতে কি কেউ বাড়িতে হামলা/চুরির ভয়ে চিন্তিত থাকে? হ্যালো সকলকে, অনেকদিন ধরে লুকিয়ে থাকা, প্রথমবারের মতো পোস্টার লাগানো। রাতে আমার সবসময় তীব্র উদ্বেগ ছিল, কারণ আমার বাড়িতে কেউ আসবে এই ভয় ছিল। কেউ আসলে ভেতরে ঢুকে না পড়ার আগ পর্যন্ত এটা সবসময় "নিয়ন্ত্রণযোগ্য" ছিল। ভাগ্যক্রমে আমার ভয় আসলে সে গেট খোলার সাথে সাথেই আমাকে জাগিয়ে তুলেছিল (আমার মনে হয় আমার মস্তিষ্ক আমাকে এর জন্য প্রস্তুত করেছিল), যার অর্থ আমি তাকে গ্রেপ্তার করার জন্য সময়মতো পুলিশকে ফোন করতে সক্ষম হয়েছিলাম। আমার বিদ্যমান ভয়ের কারণে এটি একটি অত্যন্ত বেদনাদায়ক অভিজ্ঞতা ছিল, কারণ পুলিশ আমাকে তাদের সাথে কথা বলতে বাধ্য করেছিল যার ফলে আমার মনে হয়েছিল যে সে আমার কথা শুনবে (সে জানত আমি সেখানে আছি - আমি যে শব্দ করছিলাম তাতে সে প্রতিক্রিয়া জানাতে শুনেছিলাম), এবং সবচেয়ে খারাপ বিষয় হল আমি তাকে ধীরে ধীরে সিঁড়ি বেয়ে উঠে আসতে (যেখানে আমি ছিলাম) এবং আমার শোবার ঘরের দরজা বন্ধ করে খোলার চেষ্টা করতে শুনেছিলাম। তারপর থেকে, মধ্যরাতে ঘড়ির কাঁটার মতো, যদি আমি ঘুমাতে না পারি, তাহলে আমি বিছানায় শুয়ে পড়ি এবং যেকোনো শব্দ শুনতে পাই। যদি আমি কিছু শুনি, তাহলে আমার মস্তিষ্ক আসলে আমাকে বিশ্বাস করবে যে এটা কেউ ঢুকছে, এমনকি যদি তা আমার কুকুরের পাদ দেওয়ার শব্দও হয়, এবং আমি ভয়ে পক্ষাঘাতগ্রস্ত হয়ে পড়ি। মাঝে মাঝে, আমার মস্তিষ্ক আমাকে কৌশলে সিঁড়ি দিয়ে ওঠার সময় যে সিঁড়ির শব্দ শুনতে পেয়েছিলাম, যদিও আমি অন্য একটি বাড়িতে থাকি যেখানে কোনও শব্দ হয় না। আমার মন আসলে শব্দ করছে। মাঝে মাঝে আমার মাঝে মাঝে ঘুমের পক্ষাঘাত হয় যেখানে আমি জেগে উঠি কিন্তু নড়াচড়া করতে পারি না এবং ইতিমধ্যেই ভয়/উদ্বেগের মধ্যে থাকি। আমি কি পাগল হয়ে যাচ্ছি? অন্য কারো কি এই উদ্বেগ আছে? আপনার কি কোন পরামর্শ বা পরামর্শ আছে? আর্থিকভাবে, আমি এমন কোনও জায়গায় নেই যেখানে আমি একজন থেরাপিস্টের সাথে দেখা করতে পারি। মনে হচ্ছে আমার কি একজন থেরাপিস্টের সাথে দেখা করা উচিত? মনে হচ্ছে আমার কি একজন থেরাপিস্টের সাথে দেখা করা উচিত?</v>
      </c>
    </row>
    <row r="2573" spans="1:3" ht="15" x14ac:dyDescent="0.25">
      <c r="A2573" s="3" t="s">
        <v>2566</v>
      </c>
      <c r="B2573" s="3" t="s">
        <v>1992</v>
      </c>
      <c r="C2573" s="4" t="str">
        <f ca="1">IFERROR(__xludf.DUMMYFUNCTION("GOOGLETRANSLATE(A2573, ""auto"", ""bn"")"),"যদি আপনি অন্যদের মানসিক স্বাস্থ্য সমস্যায় সাহায্য করতে চান অথবা নিজের সাহায্যের প্রয়োজন হয়, তাহলে অনুগ্রহ করে r/MentalHealthForYou দেখুন r/MentalHealthForYou হল একটি Subreddit যেখানে আপনি অ-পেশাদার সাহায্য চান। এটি একটি SFW Subreddit। আমি নিজে এটি করেছি ক"&amp;"ারণ আমার উদ্বেগ এবং বিষণ্ণতা আছে, এবং আমি আমার মতো সমস্যায় থাকা অন্যদের সাহায্য করতে চাই। যদি আপনি আগ্রহী হন তাহলে অনুগ্রহ করে যোগদান করুন!")</f>
        <v>যদি আপনি অন্যদের মানসিক স্বাস্থ্য সমস্যায় সাহায্য করতে চান অথবা নিজের সাহায্যের প্রয়োজন হয়, তাহলে অনুগ্রহ করে r/MentalHealthForYou দেখুন r/MentalHealthForYou হল একটি Subreddit যেখানে আপনি অ-পেশাদার সাহায্য চান। এটি একটি SFW Subreddit। আমি নিজে এটি করেছি কারণ আমার উদ্বেগ এবং বিষণ্ণতা আছে, এবং আমি আমার মতো সমস্যায় থাকা অন্যদের সাহায্য করতে চাই। যদি আপনি আগ্রহী হন তাহলে অনুগ্রহ করে যোগদান করুন!</v>
      </c>
    </row>
    <row r="2574" spans="1:3" ht="15" x14ac:dyDescent="0.25">
      <c r="A2574" s="3" t="s">
        <v>2567</v>
      </c>
      <c r="B2574" s="3" t="s">
        <v>1992</v>
      </c>
      <c r="C2574" s="4" t="str">
        <f ca="1">IFERROR(__xludf.DUMMYFUNCTION("GOOGLETRANSLATE(A2574, ""auto"", ""bn"")"),"""আটকে পড়া"" বোধ করা থেকে চরম উদ্বেগ অতি ঘনীভূত সংস্করণ: আমি কলেজ থেকে স্নাতক হয়েছি, এমন একটি শিল্পে চাকরির প্রস্তাব পেয়েছি যা আমি পছন্দ করি না এবং আমি যে চাকরিটি গ্রহণ করেছি তা গ্রহণ করেছি। এখন আমি অবিশ্বাস্যভাবে এমন একটি চাকরিতে আটকে আছি যা আমার জন্য"&amp;" খুবই উপযুক্ত কারণ আমার অর্থ এবং সুযোগ-সুবিধার প্রয়োজন। চাকরিটি কোনও কাঠামো বা প্রতিক্রিয়া দেয় না এবং আমি সত্যি বলতে মনে করি যে আমি যে শিক্ষা পেয়েছি তা দিয়ে কাজটি করার যোগ্য নই। এখন আমি কাজে যেতে ভয় পাই এবং প্রতিদিন উদ্বেগের আক্রমণ হয়। আমি আমার প্র"&amp;"েমিকের সাথে থাকি যে অবিশ্বাস্যভাবে সহায়ক, কিন্তু আমার মনে হয় আমি এত চাপ এবং উদ্বিগ্নতার সাথে আর থাকতে মজা পাচ্ছি না। আমার কাছে যাওয়ার জন্য আক্ষরিক অর্থেই আর কেউ নেই। তদুপরি, আমি কী করব তা জানি না। তদুপরি, আমি কাজে যাই, বাড়িতে আসি এবং পরের দিন কাজে যেত"&amp;"ে হবে কিনা তা নিয়ে চিন্তিত থাকি। তদুপরি, আমি একজন থেরাপিস্ট খুঁজে বের করার চেষ্টা করছি, কিন্তু সত্যি বলতে এখান থেকে কোথায় যাব তা আমার কোনও ধারণা নেই। তদুপরি, আমার কেবল সমর্থন বা পরামর্শ বা অন্য কিছুর প্রয়োজন। তদুপরি, আমি আর এটি ধরে রাখতে পারছি না।")</f>
        <v>"আটকে পড়া" বোধ করা থেকে চরম উদ্বেগ অতি ঘনীভূত সংস্করণ: আমি কলেজ থেকে স্নাতক হয়েছি, এমন একটি শিল্পে চাকরির প্রস্তাব পেয়েছি যা আমি পছন্দ করি না এবং আমি যে চাকরিটি গ্রহণ করেছি তা গ্রহণ করেছি। এখন আমি অবিশ্বাস্যভাবে এমন একটি চাকরিতে আটকে আছি যা আমার জন্য খুবই উপযুক্ত কারণ আমার অর্থ এবং সুযোগ-সুবিধার প্রয়োজন। চাকরিটি কোনও কাঠামো বা প্রতিক্রিয়া দেয় না এবং আমি সত্যি বলতে মনে করি যে আমি যে শিক্ষা পেয়েছি তা দিয়ে কাজটি করার যোগ্য নই। এখন আমি কাজে যেতে ভয় পাই এবং প্রতিদিন উদ্বেগের আক্রমণ হয়। আমি আমার প্রেমিকের সাথে থাকি যে অবিশ্বাস্যভাবে সহায়ক, কিন্তু আমার মনে হয় আমি এত চাপ এবং উদ্বিগ্নতার সাথে আর থাকতে মজা পাচ্ছি না। আমার কাছে যাওয়ার জন্য আক্ষরিক অর্থেই আর কেউ নেই। তদুপরি, আমি কী করব তা জানি না। তদুপরি, আমি কাজে যাই, বাড়িতে আসি এবং পরের দিন কাজে যেতে হবে কিনা তা নিয়ে চিন্তিত থাকি। তদুপরি, আমি একজন থেরাপিস্ট খুঁজে বের করার চেষ্টা করছি, কিন্তু সত্যি বলতে এখান থেকে কোথায় যাব তা আমার কোনও ধারণা নেই। তদুপরি, আমার কেবল সমর্থন বা পরামর্শ বা অন্য কিছুর প্রয়োজন। তদুপরি, আমি আর এটি ধরে রাখতে পারছি না।</v>
      </c>
    </row>
    <row r="2575" spans="1:3" ht="15" x14ac:dyDescent="0.25">
      <c r="A2575" s="3" t="s">
        <v>2568</v>
      </c>
      <c r="B2575" s="3" t="s">
        <v>1992</v>
      </c>
      <c r="C2575" s="4" t="str">
        <f ca="1">IFERROR(__xludf.DUMMYFUNCTION("GOOGLETRANSLATE(A2575, ""auto"", ""bn"")"),"এটা কি আমার উদ্বেগ, নাকি শুধু আমি? (34/F) আমার সারা জীবন সম্ভবত উদ্বেগ ছিল, এখন যখন আমি পিছনে ফিরে তাকাই। কিন্তু সম্প্রতি আমার মনে হচ্ছে লোকেরা আমাকে উপেক্ষা করছে এবং যখনই আমি কথা বলি তখনই আমার সম্পর্কে কথা বলছে। এছাড়াও, আমি নিশ্চিত যে আমি এমন কারো দ্বার"&amp;"া প্রত্যাখ্যাত হয়েছি যার সাথে আমার সম্পর্ক ছিল বলে আমি ভেবেছিলাম, এবং আমি এতে বেশ বিরক্ত। তাহলে মূলত প্রশ্নটি হল: আমি কি এই পরিস্থিতি তৈরি করছি নাকি আমি কেবল একটি তিলের পাহাড় থেকে পাহাড় তৈরি করছি?")</f>
        <v>এটা কি আমার উদ্বেগ, নাকি শুধু আমি? (34/F) আমার সারা জীবন সম্ভবত উদ্বেগ ছিল, এখন যখন আমি পিছনে ফিরে তাকাই। কিন্তু সম্প্রতি আমার মনে হচ্ছে লোকেরা আমাকে উপেক্ষা করছে এবং যখনই আমি কথা বলি তখনই আমার সম্পর্কে কথা বলছে। এছাড়াও, আমি নিশ্চিত যে আমি এমন কারো দ্বারা প্রত্যাখ্যাত হয়েছি যার সাথে আমার সম্পর্ক ছিল বলে আমি ভেবেছিলাম, এবং আমি এতে বেশ বিরক্ত। তাহলে মূলত প্রশ্নটি হল: আমি কি এই পরিস্থিতি তৈরি করছি নাকি আমি কেবল একটি তিলের পাহাড় থেকে পাহাড় তৈরি করছি?</v>
      </c>
    </row>
    <row r="2576" spans="1:3" ht="15" x14ac:dyDescent="0.25">
      <c r="A2576" s="3" t="s">
        <v>2569</v>
      </c>
      <c r="B2576" s="3" t="s">
        <v>1992</v>
      </c>
      <c r="C2576" s="4" t="str">
        <f ca="1">IFERROR(__xludf.DUMMYFUNCTION("GOOGLETRANSLATE(A2576, ""auto"", ""bn"")"),"রোগ নির্ণয়/পুল পুড়ে গেছে ভালোর জন্য এই সপ্তাহে উদ্বেগ ধরা পড়েছে। আমি মূলত আমার মন এবং হৃদয়ের মধ্যে সংযোগ বিচ্ছিন্নতার সাথে লড়াই করছি, যেমন আমি জানব যে কিছু বুদ্ধিবৃত্তিকভাবে সত্য, কিন্তু আমি এমন কিছু অনুভব করব যা আসলে সত্য নয়, এবং এটি থেকে মুক্তি পা"&amp;"ওয়া খুব কঠিন হবে। আমার ধারণা এখানে বেশিরভাগ মানুষই যা অনুভব করে! যেমন, উদাহরণস্বরূপ, কয়েক মাস আগে আমি একজন বন্ধুকে হারিয়েছি। তাদের হারাতে আমার কোনও সমস্যা নেই, আমি যদি স্পষ্টবাদী হই তবে তারা আমার জীবনে আসলে কোনও মূল্য যোগ করেনি। আমি পরিস্থিতি বিশ্লেষণ "&amp;"করেছি, অন্যদের সাথে কথা বলেছি এবং আমি জানি এটি আমার দোষ ছিল না। তাদের অনেক অপরিপক্কতা রয়েছে, তারা একটি ছোট শহর থেকে এসেছে এবং প্রাথমিক কলেজে আশ্রয়প্রাপ্ত পরিবার থেকে এসেছে। মূলত কেবল একজন সম্পূর্ণ অযৌক্তিক ব্যক্তি। আমি জানি এটি সত্য, এবং আমি জানি যে আমা"&amp;"র কিছু করার কারণে বন্ধুত্ব ভেঙে যায়নি। কিন্তু, আমার এখনও ক্রমাগত উদ্বেগ থাকে যে তারা ভবিষ্যতে আমার ক্ষতি করার জন্য কিছু করতে পারে, অথবা আমি সত্যিই কিছু ভুল করেছি, আপনিই বলুন। যদিও আমি এমন অনেক লোককে চিনি যারা আমার মতো একই পরিস্থিতির মধ্য দিয়ে গেছে... এট"&amp;"া কেবল একটা মিথ্যা ভয় যা আমি ঠিক রাখতে পারি না এবং কেবল তাদের দূরে সরিয়ে দিতে চাই। যতবারই আমি তাদের দেখি, আমার মনে পড়ে যায় যে তারা জিজ্ঞাসা করে এবং আমার ভবিষ্যতে নেতিবাচক ভূমিকা পালন করতে পারে... যদিও আমরা একই ক্ষেত্রে নই, এবং তারা আমার চেয়ে অনেক বেশ"&amp;"ি সেতু তৈরি করেছে। তাই, এটা বিশ্বাস করা হাস্যকর হওয়া উচিত যে তারা আসলে আমাকে আঘাত করতে পারে। কিন্তু অযৌক্তিক উদ্বেগ এখনও রয়ে গেছে। কারো কি এই অভিজ্ঞতা আছে?")</f>
        <v>রোগ নির্ণয়/পুল পুড়ে গেছে ভালোর জন্য এই সপ্তাহে উদ্বেগ ধরা পড়েছে। আমি মূলত আমার মন এবং হৃদয়ের মধ্যে সংযোগ বিচ্ছিন্নতার সাথে লড়াই করছি, যেমন আমি জানব যে কিছু বুদ্ধিবৃত্তিকভাবে সত্য, কিন্তু আমি এমন কিছু অনুভব করব যা আসলে সত্য নয়, এবং এটি থেকে মুক্তি পাওয়া খুব কঠিন হবে। আমার ধারণা এখানে বেশিরভাগ মানুষই যা অনুভব করে! যেমন, উদাহরণস্বরূপ, কয়েক মাস আগে আমি একজন বন্ধুকে হারিয়েছি। তাদের হারাতে আমার কোনও সমস্যা নেই, আমি যদি স্পষ্টবাদী হই তবে তারা আমার জীবনে আসলে কোনও মূল্য যোগ করেনি। আমি পরিস্থিতি বিশ্লেষণ করেছি, অন্যদের সাথে কথা বলেছি এবং আমি জানি এটি আমার দোষ ছিল না। তাদের অনেক অপরিপক্কতা রয়েছে, তারা একটি ছোট শহর থেকে এসেছে এবং প্রাথমিক কলেজে আশ্রয়প্রাপ্ত পরিবার থেকে এসেছে। মূলত কেবল একজন সম্পূর্ণ অযৌক্তিক ব্যক্তি। আমি জানি এটি সত্য, এবং আমি জানি যে আমার কিছু করার কারণে বন্ধুত্ব ভেঙে যায়নি। কিন্তু, আমার এখনও ক্রমাগত উদ্বেগ থাকে যে তারা ভবিষ্যতে আমার ক্ষতি করার জন্য কিছু করতে পারে, অথবা আমি সত্যিই কিছু ভুল করেছি, আপনিই বলুন। যদিও আমি এমন অনেক লোককে চিনি যারা আমার মতো একই পরিস্থিতির মধ্য দিয়ে গেছে... এটা কেবল একটা মিথ্যা ভয় যা আমি ঠিক রাখতে পারি না এবং কেবল তাদের দূরে সরিয়ে দিতে চাই। যতবারই আমি তাদের দেখি, আমার মনে পড়ে যায় যে তারা জিজ্ঞাসা করে এবং আমার ভবিষ্যতে নেতিবাচক ভূমিকা পালন করতে পারে... যদিও আমরা একই ক্ষেত্রে নই, এবং তারা আমার চেয়ে অনেক বেশি সেতু তৈরি করেছে। তাই, এটা বিশ্বাস করা হাস্যকর হওয়া উচিত যে তারা আসলে আমাকে আঘাত করতে পারে। কিন্তু অযৌক্তিক উদ্বেগ এখনও রয়ে গেছে। কারো কি এই অভিজ্ঞতা আছে?</v>
      </c>
    </row>
    <row r="2577" spans="1:3" ht="15" x14ac:dyDescent="0.25">
      <c r="A2577" s="3" t="s">
        <v>2570</v>
      </c>
      <c r="B2577" s="3" t="s">
        <v>1992</v>
      </c>
      <c r="C2577" s="4" t="str">
        <f ca="1">IFERROR(__xludf.DUMMYFUNCTION("GOOGLETRANSLATE(A2577, ""auto"", ""bn"")"),"কাজের উদ্বেগ আমি শুরুতেই বলতে চাই যে, আশা করি এটা আমার কান্নার মতো শোনাবে না, কিন্তু যদি তাই হয়, তাহলে আমাকে বলুন। আমি সারা জীবন হালকা উদ্বেগে ভুগছি, কিন্তু কর্মক্ষেত্রে সাম্প্রতিক ঘটনাবলী মাঝে মাঝে এটিকে দুর্বল করে তুলেছে। তাই আমার ম্যানেজার এবং অন্য এক"&amp;"জন সহকর্মী পদত্যাগ করার আগে পর্যন্ত আমি আমার সফ্টওয়্যার ডেভেলপারের কাজটি বেশ উপভোগ করতাম। আমাকে বিভিন্ন কাজ দেওয়া হত এবং আমি সমস্যা সমাধানে এবং পথ ধরে শেখার মাধ্যমে এবং আমাকে যে কাজগুলি দেওয়া হত সেগুলিতে কাজ করে সাফল্য অর্জন করতাম। আমার মতামতকে মূল্য দ"&amp;"েওয়া হত, এবং সিদ্ধান্ত নেওয়ার আগে আমার ম্যানেজার আমার সাথে পরামর্শ করতেন। আমার মনে হয়েছিল যে আমি আমার কাজে বেশ স্মার্ট এবং ভালো। তাই আমার ম্যানেজার ডিসেম্বরের শুরুতে চলে যান এবং আমার অন্য সহকর্মী অক্টোবরের শেষে চলে যান। আমাকে আমার ম্যানেজারের ভূমিকায় "&amp;"ভালো বেতন বৃদ্ধি, দলকে নেতৃত্ব দেওয়ার ইত্যাদি ইত্যাদি পূরণ করার জন্য পদোন্নতি দেওয়া হয়েছিল..., তত্ত্বগতভাবে সব ইতিবাচক বিষয়। যাইহোক, আমি দেখেছি যে উচ্চ ব্যবস্থাপনা বা ব্যবসা থেকে আমার দলের জন্য আর কোনও বাস্তব দিকনির্দেশনা নেই। আমি অসুস্থ এবং উদ্বিগ্ন "&amp;"বোধ করি। যখন আমাকে সিদ্ধান্ত নিতে হয় তখন আমি অসুস্থ এবং উদ্বিগ্ন বোধ করি। যখন কেউ আমাকে কিছু কাজ করতে বলে, তখন আমার ভয় লাগে এবং মনে হয় আমি আর করতে চাই না। আমার মনে হয় সবকিছু (এমনকি ছোট ছোট জিনিসও) ভারী হয়ে ওঠে। আমি ২৯ বছর বয়সী একজন মানুষ এবং মাঝে মা"&amp;"ঝে কর্মক্ষেত্রে কাঁদতে ইচ্ছে করে। তাছাড়া, আমার মনে হয় আমি এই ভূমিকার জন্য উপযুক্ত নই। তাছাড়া, আমি এই পোস্টটি টাইপ করাই বেশি পছন্দ করি। তাছাড়া, আমি নিশ্চিত যে আমি আমার চাকরি ছেড়ে অন্য কিছুতে কম দায়িত্ব নিয়ে কাজ করতে চাই, যাতে আমি আগের মতোই একবারে এক"&amp;"টি করে সমস্যা সমাধানে মনোযোগ দিতে পারি। যাইহোক, আমি সম্প্রতি ভাবছি, আমি কি আমার কাজকে ঘৃণা করি নাকি আমি আর কাজ করতে চাই না। আমি ভাবতে শুরু করেছি ""আমি কি কেবল অলস?""। আমি এর উত্তর দিতে পারছি না, তবে আমি নিশ্চিত যে আমার উদ্বেগ আমার কাজের পরিস্থিতির কারণে। "&amp;"তাছাড়া, আমি গত কয়েক মাস ধরে ফোনে থেরাপি (CBT) নিচ্ছি, তবে আমি নিশ্চিত নই যে এটি সাহায্য করবে কিনা। গত কয়েক মাস আমার জন্য সত্যিই অন্ধকার ছিল, আমি এমনকি আধ্যাত্মিক বিষয়, রাশিফল ​​এবং সংখ্যাতত্ত্বের দিকেও নজর দিতে শুরু করেছি যাতে নিশ্চিত হতে পারি যে সবকিছু"&amp;" ঠিকঠাক হতে চলেছে। এমনকি ঘুমানোর আগে আমি নির্দেশনার জন্য প্রার্থনা করি। উদ্বেগ আমাকে বদলে দিয়েছে... আবারও যদি মনে হয় আমি কাঁদছি, তাহলে আমি ক্ষমা চাইছি, গত কয়েক মাস আমার জন্য সত্যিই অন্ধকার ছিল এবং আমার মনে হয়েছে যে আমার কোথাও এটি লেখা উচিত। অন্য কেউ কি "&amp;"এরকম কিছু অনুভব করেছেন? পোস্টটি পড়ার জন্য সময় দেওয়ার জন্য ধন্যবাদ।")</f>
        <v>কাজের উদ্বেগ আমি শুরুতেই বলতে চাই যে, আশা করি এটা আমার কান্নার মতো শোনাবে না, কিন্তু যদি তাই হয়, তাহলে আমাকে বলুন। আমি সারা জীবন হালকা উদ্বেগে ভুগছি, কিন্তু কর্মক্ষেত্রে সাম্প্রতিক ঘটনাবলী মাঝে মাঝে এটিকে দুর্বল করে তুলেছে। তাই আমার ম্যানেজার এবং অন্য একজন সহকর্মী পদত্যাগ করার আগে পর্যন্ত আমি আমার সফ্টওয়্যার ডেভেলপারের কাজটি বেশ উপভোগ করতাম। আমাকে বিভিন্ন কাজ দেওয়া হত এবং আমি সমস্যা সমাধানে এবং পথ ধরে শেখার মাধ্যমে এবং আমাকে যে কাজগুলি দেওয়া হত সেগুলিতে কাজ করে সাফল্য অর্জন করতাম। আমার মতামতকে মূল্য দেওয়া হত, এবং সিদ্ধান্ত নেওয়ার আগে আমার ম্যানেজার আমার সাথে পরামর্শ করতেন। আমার মনে হয়েছিল যে আমি আমার কাজে বেশ স্মার্ট এবং ভালো। তাই আমার ম্যানেজার ডিসেম্বরের শুরুতে চলে যান এবং আমার অন্য সহকর্মী অক্টোবরের শেষে চলে যান। আমাকে আমার ম্যানেজারের ভূমিকায় ভালো বেতন বৃদ্ধি, দলকে নেতৃত্ব দেওয়ার ইত্যাদি ইত্যাদি পূরণ করার জন্য পদোন্নতি দেওয়া হয়েছিল..., তত্ত্বগতভাবে সব ইতিবাচক বিষয়। যাইহোক, আমি দেখেছি যে উচ্চ ব্যবস্থাপনা বা ব্যবসা থেকে আমার দলের জন্য আর কোনও বাস্তব দিকনির্দেশনা নেই। আমি অসুস্থ এবং উদ্বিগ্ন বোধ করি। যখন আমাকে সিদ্ধান্ত নিতে হয় তখন আমি অসুস্থ এবং উদ্বিগ্ন বোধ করি। যখন কেউ আমাকে কিছু কাজ করতে বলে, তখন আমার ভয় লাগে এবং মনে হয় আমি আর করতে চাই না। আমার মনে হয় সবকিছু (এমনকি ছোট ছোট জিনিসও) ভারী হয়ে ওঠে। আমি ২৯ বছর বয়সী একজন মানুষ এবং মাঝে মাঝে কর্মক্ষেত্রে কাঁদতে ইচ্ছে করে। তাছাড়া, আমার মনে হয় আমি এই ভূমিকার জন্য উপযুক্ত নই। তাছাড়া, আমি এই পোস্টটি টাইপ করাই বেশি পছন্দ করি। তাছাড়া, আমি নিশ্চিত যে আমি আমার চাকরি ছেড়ে অন্য কিছুতে কম দায়িত্ব নিয়ে কাজ করতে চাই, যাতে আমি আগের মতোই একবারে একটি করে সমস্যা সমাধানে মনোযোগ দিতে পারি। যাইহোক, আমি সম্প্রতি ভাবছি, আমি কি আমার কাজকে ঘৃণা করি নাকি আমি আর কাজ করতে চাই না। আমি ভাবতে শুরু করেছি "আমি কি কেবল অলস?"। আমি এর উত্তর দিতে পারছি না, তবে আমি নিশ্চিত যে আমার উদ্বেগ আমার কাজের পরিস্থিতির কারণে। তাছাড়া, আমি গত কয়েক মাস ধরে ফোনে থেরাপি (CBT) নিচ্ছি, তবে আমি নিশ্চিত নই যে এটি সাহায্য করবে কিনা। গত কয়েক মাস আমার জন্য সত্যিই অন্ধকার ছিল, আমি এমনকি আধ্যাত্মিক বিষয়, রাশিফল ​​এবং সংখ্যাতত্ত্বের দিকেও নজর দিতে শুরু করেছি যাতে নিশ্চিত হতে পারি যে সবকিছু ঠিকঠাক হতে চলেছে। এমনকি ঘুমানোর আগে আমি নির্দেশনার জন্য প্রার্থনা করি। উদ্বেগ আমাকে বদলে দিয়েছে... আবারও যদি মনে হয় আমি কাঁদছি, তাহলে আমি ক্ষমা চাইছি, গত কয়েক মাস আমার জন্য সত্যিই অন্ধকার ছিল এবং আমার মনে হয়েছে যে আমার কোথাও এটি লেখা উচিত। অন্য কেউ কি এরকম কিছু অনুভব করেছেন? পোস্টটি পড়ার জন্য সময় দেওয়ার জন্য ধন্যবাদ।</v>
      </c>
    </row>
    <row r="2578" spans="1:3" ht="15" x14ac:dyDescent="0.25">
      <c r="A2578" s="3" t="s">
        <v>2571</v>
      </c>
      <c r="B2578" s="3" t="s">
        <v>1992</v>
      </c>
      <c r="C2578" s="4" t="str">
        <f ca="1">IFERROR(__xludf.DUMMYFUNCTION("GOOGLETRANSLATE(A2578, ""auto"", ""bn"")"),"আমি এখন স্কুলে, দুশ্চিন্তা খুব! আমাদের ল্যাপটপ আছে তাই আমি রেডিট ব্যবহার করি, দিন কাটানোর কিছু টিপস?")</f>
        <v>আমি এখন স্কুলে, দুশ্চিন্তা খুব! আমাদের ল্যাপটপ আছে তাই আমি রেডিট ব্যবহার করি, দিন কাটানোর কিছু টিপস?</v>
      </c>
    </row>
    <row r="2579" spans="1:3" ht="15" x14ac:dyDescent="0.25">
      <c r="A2579" s="3" t="s">
        <v>2572</v>
      </c>
      <c r="B2579" s="3" t="s">
        <v>1992</v>
      </c>
      <c r="C2579" s="4" t="str">
        <f ca="1">IFERROR(__xludf.DUMMYFUNCTION("GOOGLETRANSLATE(A2579, ""auto"", ""bn"")"),"তোমার প্রত্যাশা কম করো তুমি নিজের কাছ থেকে কী আশা করো? মানুষ তোমার কাছ থেকে কী আশা করে? সমাজ তোমার কাছ থেকে কী আশা করে? আমরা কি এই চাহিদা নিয়ে আমাদের জীবনযাপন করি না - এক ধরণের বানোয়াট অবচেতন চাহিদা যার জন্য আমাদের অবশ্যই কিছু প্রত্যাশা অর্জন করতে হবে? "&amp;"যদি আমাদের প্রত্যাশা না থাকে? আমাদের জীবন কি আরও ভালো হবে? আমরা কি রাস্তায় পাগলের মতো শেষ হব? আরও শান্ত এবং শান্তিতে থাকব? যদি তুমি কোন পার্টিতে যাও, এবং তুমি নিশ্চিত যে অনুষ্ঠানটি অসাধারণ হবে। বেশিরভাগ সময় তুমি হতাশ হতে যাচ্ছ। তুমি অনেক উঁচুতে তুলেছ, অ"&amp;"নেক উঁচুতে। এর পরিবর্তে তুমি যদি নিজেই সান্তার কাছে থাকো। যাই ঘটুক না কেন আমি নিজেকে উপভোগ করার চেষ্টা করব। এবং তুমি মুহূর্তটি উপভোগ করো। পার্থক্যটা দেখো? তোমার প্রত্যাশা কমানোর অর্থ এই নয় যে তুমি তোমার সেরাটা দিচ্ছে না। এর অর্থ এই নয় যে তুমি কিছুই করছ "&amp;"না। তোমার প্রত্যাশা কমানো হয়তো স্বজ্ঞাততার বিপরীত মনে হতে পারে কিন্তু তা নয়। যখন তুমি তোমার প্রত্যাশা কমাচ্ছ। তুমি তাদের ছাড়িয়ে যাওয়ার প্রবণতা রাখো এবং সর্বদা তাদের ছাড়িয়ে যাওয়ার মাধ্যমে তুমি অনেক ভালো কাজ করে শেষ পর্যন্ত অনেক বেশি সুখী হও। প্রতিব"&amp;"ার যখন তুমি উঁচুতে লক্ষ্য রাখো এবং সোজা হয়ে পড়ে যাও, তখন তুমি তোমার মনকে নেতিবাচকভাবে ধাক্কা দিচ্ছ। [https://path2inspiration.com/blogs/news/lower-your-f-expectations-1](https://path2inspiration.com/blogs/news/lower-your-f-expectations-1)")</f>
        <v>তোমার প্রত্যাশা কম করো তুমি নিজের কাছ থেকে কী আশা করো? মানুষ তোমার কাছ থেকে কী আশা করে? সমাজ তোমার কাছ থেকে কী আশা করে? আমরা কি এই চাহিদা নিয়ে আমাদের জীবনযাপন করি না - এক ধরণের বানোয়াট অবচেতন চাহিদা যার জন্য আমাদের অবশ্যই কিছু প্রত্যাশা অর্জন করতে হবে? যদি আমাদের প্রত্যাশা না থাকে? আমাদের জীবন কি আরও ভালো হবে? আমরা কি রাস্তায় পাগলের মতো শেষ হব? আরও শান্ত এবং শান্তিতে থাকব? যদি তুমি কোন পার্টিতে যাও, এবং তুমি নিশ্চিত যে অনুষ্ঠানটি অসাধারণ হবে। বেশিরভাগ সময় তুমি হতাশ হতে যাচ্ছ। তুমি অনেক উঁচুতে তুলেছ, অনেক উঁচুতে। এর পরিবর্তে তুমি যদি নিজেই সান্তার কাছে থাকো। যাই ঘটুক না কেন আমি নিজেকে উপভোগ করার চেষ্টা করব। এবং তুমি মুহূর্তটি উপভোগ করো। পার্থক্যটা দেখো? তোমার প্রত্যাশা কমানোর অর্থ এই নয় যে তুমি তোমার সেরাটা দিচ্ছে না। এর অর্থ এই নয় যে তুমি কিছুই করছ না। তোমার প্রত্যাশা কমানো হয়তো স্বজ্ঞাততার বিপরীত মনে হতে পারে কিন্তু তা নয়। যখন তুমি তোমার প্রত্যাশা কমাচ্ছ। তুমি তাদের ছাড়িয়ে যাওয়ার প্রবণতা রাখো এবং সর্বদা তাদের ছাড়িয়ে যাওয়ার মাধ্যমে তুমি অনেক ভালো কাজ করে শেষ পর্যন্ত অনেক বেশি সুখী হও। প্রতিবার যখন তুমি উঁচুতে লক্ষ্য রাখো এবং সোজা হয়ে পড়ে যাও, তখন তুমি তোমার মনকে নেতিবাচকভাবে ধাক্কা দিচ্ছ। [https://path2inspiration.com/blogs/news/lower-your-f-expectations-1](https://path2inspiration.com/blogs/news/lower-your-f-expectations-1)</v>
      </c>
    </row>
    <row r="2580" spans="1:3" ht="15" x14ac:dyDescent="0.25">
      <c r="A2580" s="3" t="s">
        <v>2573</v>
      </c>
      <c r="B2580" s="3" t="s">
        <v>1992</v>
      </c>
      <c r="C2580" s="4" t="str">
        <f ca="1">IFERROR(__xludf.DUMMYFUNCTION("GOOGLETRANSLATE(A2580, ""auto"", ""bn"")"),"ওষুধের মাত্রা বৃদ্ধির লক্ষণগুলি কি কাজ মিস করার একটি গ্রহণযোগ্য কারণ? আমি মাত্র কয়েকদিন ধরে বর্ধিত ডোজ গ্রহণ করছি, কিন্তু গতকাল দিনের শেষে আমার স্বামী আমাকে কাজ থেকে তুলে নিয়ে যাওয়ার সময় আমার মাথা ঘোরাচ্ছিল। আজ সকালে আমি বলতে পারছি না যে আমি কি শুধু এ"&amp;"টি নিয়ে উদ্বিগ্ন, নাকি এখনও আমার মাথা ঘোরাচ্ছে। আমি জানি না। গাড়ি চালানোর বিষয়ে আমি নার্ভাস, এবং আমার মাথা এত ঝাপসা এবং টিনিটাসের কারণে কর্মক্ষেত্রে খারাপ কাজ করছি। এছাড়াও, আমি আগেও, বছর আগেও ডোজ বাড়িয়েছি, এবং তারপরও প্রথম কয়েক সপ্তাহে একই রকম পার্"&amp;"শ্বপ্রতিক্রিয়া হয়েছিল, তাই আমি এটি নিয়ে চিন্তিত নই। আমি কেবল স্কুলের পরিবর্তে কর্মক্ষেত্রে এই সামঞ্জস্যের সময়কাল পরিচালনা করার বিষয়ে চিন্তিত। বিশেষ করে যেহেতু আমরা নতুন বছর এবং বড়দিনের জন্য ছুটি নিয়ে এসেছি, তাই অসুস্থতার জন্য জিজ্ঞাসা করা বোকামি মন"&amp;"ে হয়...")</f>
        <v>ওষুধের মাত্রা বৃদ্ধির লক্ষণগুলি কি কাজ মিস করার একটি গ্রহণযোগ্য কারণ? আমি মাত্র কয়েকদিন ধরে বর্ধিত ডোজ গ্রহণ করছি, কিন্তু গতকাল দিনের শেষে আমার স্বামী আমাকে কাজ থেকে তুলে নিয়ে যাওয়ার সময় আমার মাথা ঘোরাচ্ছিল। আজ সকালে আমি বলতে পারছি না যে আমি কি শুধু এটি নিয়ে উদ্বিগ্ন, নাকি এখনও আমার মাথা ঘোরাচ্ছে। আমি জানি না। গাড়ি চালানোর বিষয়ে আমি নার্ভাস, এবং আমার মাথা এত ঝাপসা এবং টিনিটাসের কারণে কর্মক্ষেত্রে খারাপ কাজ করছি। এছাড়াও, আমি আগেও, বছর আগেও ডোজ বাড়িয়েছি, এবং তারপরও প্রথম কয়েক সপ্তাহে একই রকম পার্শ্বপ্রতিক্রিয়া হয়েছিল, তাই আমি এটি নিয়ে চিন্তিত নই। আমি কেবল স্কুলের পরিবর্তে কর্মক্ষেত্রে এই সামঞ্জস্যের সময়কাল পরিচালনা করার বিষয়ে চিন্তিত। বিশেষ করে যেহেতু আমরা নতুন বছর এবং বড়দিনের জন্য ছুটি নিয়ে এসেছি, তাই অসুস্থতার জন্য জিজ্ঞাসা করা বোকামি মনে হয়...</v>
      </c>
    </row>
    <row r="2581" spans="1:3" ht="15" x14ac:dyDescent="0.25">
      <c r="A2581" s="3" t="s">
        <v>2574</v>
      </c>
      <c r="B2581" s="3" t="s">
        <v>1992</v>
      </c>
      <c r="C2581" s="4" t="str">
        <f ca="1">IFERROR(__xludf.DUMMYFUNCTION("GOOGLETRANSLATE(A2581, ""auto"", ""bn"")"),"আমার কাজে যেতে সমস্যা হচ্ছে। এটা কি উদ্বেগ নাকি অলসতা? ১৫ বছর বয়সে প্রথম চাকরি শুরু করার পর থেকেই আমি একই চক্রে আছি। আমার বয়স এখন ৩১। সবসময়ই শুরু হয় একটা অসাধারণ চাকরি পাওয়ার মাধ্যমে। আমি নিজের কাছে শপথ করি যে আমি চাকরিতে সফল হব এবং কখনোই একটা দিনও মিস "&amp;"করব না, যদি না আমি সত্যিই অসুস্থ থাকি, কখনোই ছুটি নেব না ইত্যাদি। সাধারণত প্রথম কয়েক সপ্তাহ থেকে মাস পর্যন্ত আমি বেশ ভালো থাকি। তারপর সকালে ঘুম থেকে ওঠা কঠিন থেকে কঠিনতর হতে থাকে। তারপর একদিন সকালে আমি একেবারেই উঠতে পারি না। তারপর পরে এমন দুটি সকাল হয় যে"&amp;" আমি একেবারেই উঠতে পারি না... তারপর পুরো এক সপ্তাহ। এদিকে, আমার বস, যিনি সাধারণত শুরুতে খুব বোধগম্য, তিনি কম সহানুভূতিশীল হতে শুরু করেন। ওহ, আমি সত্যি কথা বলতে, আমি তাদের কাছে মিথ্যা বলেছি। আমি তাদের বলি যে আমি ফ্লু, খাবারে বিষক্রিয়া, মাইগ্রেন, গাড়ির ঝা"&amp;"মেলা, অসুস্থ বিড়াল, অসুস্থ প্রেমিক, মাসিকের ব্যথা... তারা জানে আমি মিথ্যা বলছি, এবং আমি জানি তারাও জানে। আমার শেষ চাকরির সময় আমি শুরু থেকেই আমার উদ্বেগ সম্পর্কে সৎ থাকার চেষ্টা করেছিলাম। আমি কাজের ব্যবস্থা পরিবর্তন করার জন্য অনুরোধ করেছিলাম, কিন্তু আমাক"&amp;"ে তা দেওয়া হয়নি। এটাই ছিল সবকিছুর শুরু। তারপর আমাকে বিভ্রান্ত এবং হতাশ ম্যানেজারদের সাথে মিটিংয়ে টেনে আনা হয় যারা সাধারণত বলে ""তুমি ভালো কাজ করো এবং যখন তুমি এখানে থাকো তখন এত কঠোর পরিশ্রম করো... তুমি কখনোই এখানে থাকো না"" এবং ""তোমার এত সম্ভাবনা আছে"&amp;"""। আমি ক্ষমা চাই, আমি নিজেকে মারধর করি, নিজেকে জোরে লাথি মারি এবং আবার নিজের কাছে শপথ করি যে আমি সবকিছু বদলে দেব। আমি সবসময়... সবসময়... শেষ পর্যন্ত চাকরিচ্যুত হই। তারপর আমি নিজেকে আরও মারধর করি। আমার কী হয়েছে? আমি কেন কাজে যেতে পারি না!? অন্য সবার জন্"&amp;"য এটা এত সহজ। এমনকি উদ্বেগ এবং বিষণ্ণতায় ভোগা মানুষরাও প্রতিদিন, অথবা অন্তত বেশিরভাগ দিন কাজে যেতে সক্ষম বলে মনে হয়। তারা উচ্চাকাঙ্ক্ষী এবং সফল। তারা অর্থ উপার্জন করে এবং তাদের বিল পরিশোধ করে। এদিকে, আমার আশ্চর্যজনক প্রেমিককে আমাকে সমর্থন করতে হয় যখন আ"&amp;"মি মনে করি আমি তাকে ব্যবহার করি কারণ আমি কেবল একটি বিষ্ঠা যে কোনও কারণ ছাড়াই কাজে যেতে পারি না? আমি নিজেকে বোঝাই যে আমার কোনও পরোয়া নেই এবং এমনকি জোরে জোরে বলি। কিন্তু আমি করি। আমি খুব যত্নশীল। যে দিনগুলিতে আমি যেতে পারি না, সেই দিনগুলিতে কেমন লাগে? আমি"&amp;" ক্লান্ত বোধ করি। ক্লান্তির বাইরেও ক্লান্ত। কোনও কারণ ছাড়াই আমি দুঃখিত এবং চাপ অনুভব করি। আমি খিটখিটে এবং চিন্তিত বোধ করি। তাছাড়া, আমার মনে হয় সবাই আমাকে ঘৃণা করে, এবং আমি আমার জীবনের প্রতিটি ক্ষেত্রে ব্যর্থ। তাছাড়া, আমার মনে হয় আমি কেবল একজন অলস পরাজি"&amp;"ত ব্যক্তি। সেই দিনগুলিতে আমার প্রেমিক আমাকে উৎসাহিত করে, এবং আমাদের সাধারণত একটি দুর্দান্ত দিন কাটে। যদিও সে সবসময় আমার সাথে ছুটি কাটানোর জন্য বিরক্ত হয়। মাঝে মাঝে আমার মনে হয় আমার জীবনে আরও অনেক কিছু করার আছে যা আমি অন্য সবকিছু করার জন্য ছুটি কাটানোর "&amp;"ন্যায্যতা দিতে পারি, তাই আমি কম অভিভূত বোধ করি। সেই দিনগুলিতে আমি সাধারণত সারাদিন ঘুমিয়ে থাকি। আমি গুগলে অনুসন্ধান করার চেষ্টা করেছি যে উদ্বেগে আক্রান্ত অন্য কেউ এইভাবে অনুভব করে কিনা। কিছুই আসে বলে মনে হচ্ছে না। আরেকটি চাকরি হারানোর পর আমি আবার একই অবস্"&amp;"থানে ফিরে এসেছি। আমার কোনও রেফারেন্স নেই, কোনও চাকরির সম্ভাবনা নেই, আমার জীবনবৃত্তান্ত স্বল্পমেয়াদী চাকরিতে পূর্ণ। আমার কোন দক্ষতা নেই এবং আমি কখনোই স্কুল শেষ করিনি কারণ পড়াশোনা এবং পড়াশোনা আমাকে কাজের চেয়ে বেশি উদ্বিগ্ন করে তোলে। তাছাড়া, আমি জানি না"&amp;" কিভাবে আমি সবসময় ভালো বেতনের চাকরি নিয়ে আমার পায়ে দাঁড়াই। কিন্তু এবার, আমার মনে হয় আমার ভাগ্য ফুরিয়ে গেছে। জানুয়ারি মাস এবং ক্রিসমাসের ঠিক আগে চাকরিচ্যুত হওয়ার পর আমার আর কোন চাকরি নেই। আমার কোনও রেফারেন্স নেই। আমার অনেক ঋণ এবং বিল আছে। তাছাড়া, "&amp;"আমি কী করব তাও বুঝতে পারছি না। তাছাড়া, আমি আমার বুদ্ধির শেষ প্রান্তে। দয়া করে কেউ সাহায্য করুন। আপনি যদি এই চক্রের মধ্য দিয়ে থাকেন, তাহলে আপনি কীভাবে বেরিয়ে এসেছেন? আমার জীবনে আমি কী করতে চাই সে সম্পর্কে আমার অনেক উচ্চাকাঙ্ক্ষা এবং ধারণা রয়েছে। আমি জ"&amp;"ানি আমার অসাধারণ কিছু করার কথা। তাছাড়া, আমি নিজেকে একত্রিত করতে পারছি না!")</f>
        <v>আমার কাজে যেতে সমস্যা হচ্ছে। এটা কি উদ্বেগ নাকি অলসতা? ১৫ বছর বয়সে প্রথম চাকরি শুরু করার পর থেকেই আমি একই চক্রে আছি। আমার বয়স এখন ৩১। সবসময়ই শুরু হয় একটা অসাধারণ চাকরি পাওয়ার মাধ্যমে। আমি নিজের কাছে শপথ করি যে আমি চাকরিতে সফল হব এবং কখনোই একটা দিনও মিস করব না, যদি না আমি সত্যিই অসুস্থ থাকি, কখনোই ছুটি নেব না ইত্যাদি। সাধারণত প্রথম কয়েক সপ্তাহ থেকে মাস পর্যন্ত আমি বেশ ভালো থাকি। তারপর সকালে ঘুম থেকে ওঠা কঠিন থেকে কঠিনতর হতে থাকে। তারপর একদিন সকালে আমি একেবারেই উঠতে পারি না। তারপর পরে এমন দুটি সকাল হয় যে আমি একেবারেই উঠতে পারি না... তারপর পুরো এক সপ্তাহ। এদিকে, আমার বস, যিনি সাধারণত শুরুতে খুব বোধগম্য, তিনি কম সহানুভূতিশীল হতে শুরু করেন। ওহ, আমি সত্যি কথা বলতে, আমি তাদের কাছে মিথ্যা বলেছি। আমি তাদের বলি যে আমি ফ্লু, খাবারে বিষক্রিয়া, মাইগ্রেন, গাড়ির ঝামেলা, অসুস্থ বিড়াল, অসুস্থ প্রেমিক, মাসিকের ব্যথা... তারা জানে আমি মিথ্যা বলছি, এবং আমি জানি তারাও জানে। আমার শেষ চাকরির সময় আমি শুরু থেকেই আমার উদ্বেগ সম্পর্কে সৎ থাকার চেষ্টা করেছিলাম। আমি কাজের ব্যবস্থা পরিবর্তন করার জন্য অনুরোধ করেছিলাম, কিন্তু আমাকে তা দেওয়া হয়নি। এটাই ছিল সবকিছুর শুরু। তারপর আমাকে বিভ্রান্ত এবং হতাশ ম্যানেজারদের সাথে মিটিংয়ে টেনে আনা হয় যারা সাধারণত বলে "তুমি ভালো কাজ করো এবং যখন তুমি এখানে থাকো তখন এত কঠোর পরিশ্রম করো... তুমি কখনোই এখানে থাকো না" এবং "তোমার এত সম্ভাবনা আছে"। আমি ক্ষমা চাই, আমি নিজেকে মারধর করি, নিজেকে জোরে লাথি মারি এবং আবার নিজের কাছে শপথ করি যে আমি সবকিছু বদলে দেব। আমি সবসময়... সবসময়... শেষ পর্যন্ত চাকরিচ্যুত হই। তারপর আমি নিজেকে আরও মারধর করি। আমার কী হয়েছে? আমি কেন কাজে যেতে পারি না!? অন্য সবার জন্য এটা এত সহজ। এমনকি উদ্বেগ এবং বিষণ্ণতায় ভোগা মানুষরাও প্রতিদিন, অথবা অন্তত বেশিরভাগ দিন কাজে যেতে সক্ষম বলে মনে হয়। তারা উচ্চাকাঙ্ক্ষী এবং সফল। তারা অর্থ উপার্জন করে এবং তাদের বিল পরিশোধ করে। এদিকে, আমার আশ্চর্যজনক প্রেমিককে আমাকে সমর্থন করতে হয় যখন আমি মনে করি আমি তাকে ব্যবহার করি কারণ আমি কেবল একটি বিষ্ঠা যে কোনও কারণ ছাড়াই কাজে যেতে পারি না? আমি নিজেকে বোঝাই যে আমার কোনও পরোয়া নেই এবং এমনকি জোরে জোরে বলি। কিন্তু আমি করি। আমি খুব যত্নশীল। যে দিনগুলিতে আমি যেতে পারি না, সেই দিনগুলিতে কেমন লাগে? আমি ক্লান্ত বোধ করি। ক্লান্তির বাইরেও ক্লান্ত। কোনও কারণ ছাড়াই আমি দুঃখিত এবং চাপ অনুভব করি। আমি খিটখিটে এবং চিন্তিত বোধ করি। তাছাড়া, আমার মনে হয় সবাই আমাকে ঘৃণা করে, এবং আমি আমার জীবনের প্রতিটি ক্ষেত্রে ব্যর্থ। তাছাড়া, আমার মনে হয় আমি কেবল একজন অলস পরাজিত ব্যক্তি। সেই দিনগুলিতে আমার প্রেমিক আমাকে উৎসাহিত করে, এবং আমাদের সাধারণত একটি দুর্দান্ত দিন কাটে। যদিও সে সবসময় আমার সাথে ছুটি কাটানোর জন্য বিরক্ত হয়। মাঝে মাঝে আমার মনে হয় আমার জীবনে আরও অনেক কিছু করার আছে যা আমি অন্য সবকিছু করার জন্য ছুটি কাটানোর ন্যায্যতা দিতে পারি, তাই আমি কম অভিভূত বোধ করি। সেই দিনগুলিতে আমি সাধারণত সারাদিন ঘুমিয়ে থাকি। আমি গুগলে অনুসন্ধান করার চেষ্টা করেছি যে উদ্বেগে আক্রান্ত অন্য কেউ এইভাবে অনুভব করে কিনা। কিছুই আসে বলে মনে হচ্ছে না। আরেকটি চাকরি হারানোর পর আমি আবার একই অবস্থানে ফিরে এসেছি। আমার কোনও রেফারেন্স নেই, কোনও চাকরির সম্ভাবনা নেই, আমার জীবনবৃত্তান্ত স্বল্পমেয়াদী চাকরিতে পূর্ণ। আমার কোন দক্ষতা নেই এবং আমি কখনোই স্কুল শেষ করিনি কারণ পড়াশোনা এবং পড়াশোনা আমাকে কাজের চেয়ে বেশি উদ্বিগ্ন করে তোলে। তাছাড়া, আমি জানি না কিভাবে আমি সবসময় ভালো বেতনের চাকরি নিয়ে আমার পায়ে দাঁড়াই। কিন্তু এবার, আমার মনে হয় আমার ভাগ্য ফুরিয়ে গেছে। জানুয়ারি মাস এবং ক্রিসমাসের ঠিক আগে চাকরিচ্যুত হওয়ার পর আমার আর কোন চাকরি নেই। আমার কোনও রেফারেন্স নেই। আমার অনেক ঋণ এবং বিল আছে। তাছাড়া, আমি কী করব তাও বুঝতে পারছি না। তাছাড়া, আমি আমার বুদ্ধির শেষ প্রান্তে। দয়া করে কেউ সাহায্য করুন। আপনি যদি এই চক্রের মধ্য দিয়ে থাকেন, তাহলে আপনি কীভাবে বেরিয়ে এসেছেন? আমার জীবনে আমি কী করতে চাই সে সম্পর্কে আমার অনেক উচ্চাকাঙ্ক্ষা এবং ধারণা রয়েছে। আমি জানি আমার অসাধারণ কিছু করার কথা। তাছাড়া, আমি নিজেকে একত্রিত করতে পারছি না!</v>
      </c>
    </row>
    <row r="2582" spans="1:3" ht="15" x14ac:dyDescent="0.25">
      <c r="A2582" s="3" t="s">
        <v>2575</v>
      </c>
      <c r="B2582" s="3" t="s">
        <v>1992</v>
      </c>
      <c r="C2582" s="4" t="str">
        <f ca="1">IFERROR(__xludf.DUMMYFUNCTION("GOOGLETRANSLATE(A2582, ""auto"", ""bn"")"),"আমার দিনটা এখনও পর্যন্ত। মাত্র দুপুর ১টা। আচ্ছা, আজ আমার প্যানিক অ্যাটাক হয়েছে। ক্যামেরার মতো সাধারণ কিছু আমার দিকে তাক করা হয়েছে। আমি এতে অবিশ্বাস্যভাবে লজ্জিত। এর পেছনে একটা কারণ থাকলেও, ক্যামেরা নিয়ে এটা বোকামিপূর্ণ মনে হচ্ছে। আমি কিছু বলতে চাইনি, ক"&amp;"িন্তু আমি বলছি, কারণ আমি বাড়ি ফিরে ভেবেছি। প্যানিক অ্যাটাক কেন গুরুত্বপূর্ণ? এমন কিছু নিয়ে কেন আমি সবসময় এত লজ্জিত বোধ করি যা নিয়ে তোমার কখনও লজ্জিত হওয়া উচিত নয়? এটা কী? কেন মানুষ মনোযোগের জন্য এটা করে? কারণ আমি নিশ্চিত যে যখন আমি শ্বাস নিতে কষ্ট প"&amp;"াচ্ছি, বেগুনি হয়ে যাচ্ছি এবং নিজেকে বোকা বানাচ্ছি, তখন আমি মনোযোগ চাই না। আমি এটা বুঝতে পারছি না। যদি তুমি সত্যিই এটা কেমন ছিল তা অনুভব করে থাকো, তাহলে তুমি আর কখনও এটা করতে না। এটা কঠিন। এবং যা ঘটছে তা কারো কাছে স্বীকার করা আরও কঠিন। *হায়* এটি একটি দীর"&amp;"্ঘ সপ্তাহ হতে চলেছে।")</f>
        <v>আমার দিনটা এখনও পর্যন্ত। মাত্র দুপুর ১টা। আচ্ছা, আজ আমার প্যানিক অ্যাটাক হয়েছে। ক্যামেরার মতো সাধারণ কিছু আমার দিকে তাক করা হয়েছে। আমি এতে অবিশ্বাস্যভাবে লজ্জিত। এর পেছনে একটা কারণ থাকলেও, ক্যামেরা নিয়ে এটা বোকামিপূর্ণ মনে হচ্ছে। আমি কিছু বলতে চাইনি, কিন্তু আমি বলছি, কারণ আমি বাড়ি ফিরে ভেবেছি। প্যানিক অ্যাটাক কেন গুরুত্বপূর্ণ? এমন কিছু নিয়ে কেন আমি সবসময় এত লজ্জিত বোধ করি যা নিয়ে তোমার কখনও লজ্জিত হওয়া উচিত নয়? এটা কী? কেন মানুষ মনোযোগের জন্য এটা করে? কারণ আমি নিশ্চিত যে যখন আমি শ্বাস নিতে কষ্ট পাচ্ছি, বেগুনি হয়ে যাচ্ছি এবং নিজেকে বোকা বানাচ্ছি, তখন আমি মনোযোগ চাই না। আমি এটা বুঝতে পারছি না। যদি তুমি সত্যিই এটা কেমন ছিল তা অনুভব করে থাকো, তাহলে তুমি আর কখনও এটা করতে না। এটা কঠিন। এবং যা ঘটছে তা কারো কাছে স্বীকার করা আরও কঠিন। *হায়* এটি একটি দীর্ঘ সপ্তাহ হতে চলেছে।</v>
      </c>
    </row>
    <row r="2583" spans="1:3" ht="15" x14ac:dyDescent="0.25">
      <c r="A2583" s="3" t="s">
        <v>2576</v>
      </c>
      <c r="B2583" s="3" t="s">
        <v>1992</v>
      </c>
      <c r="C2583" s="4" t="str">
        <f ca="1">IFERROR(__xludf.DUMMYFUNCTION("GOOGLETRANSLATE(A2583, ""auto"", ""bn"")"),"কেউ কি আমাকে সাহায্য করতে পারেন? আমি আগে কখনও এই সমস্যার মুখোমুখি হইনি। আমি আসলে জানি না যে আমার এই সমস্যাটিকে কীভাবে শ্রেণীবদ্ধ করা যায়, আমি বলতে পারছি না এটি কি কেবল উদ্বেগ নাকি আরও কিছু কারণ আমার সাথে আগে কখনও এটি ঘটেনি, এবং আমার আসলে এটিই কিনা তা জান"&amp;"ার জন্যও কোনও উদ্বেগ ছিল না। তাহলে, আমার দাদুর সাথে দেখা করার পর থেকে এই ""আক্রমণ"" শুরু হয়েছে। তার ডিমেনশিয়া এবং আলঝাইমারের প্রাথমিক পর্যায়ে রয়েছে। এই থ্যাঙ্কসগিভিংয়ে (তিনি দেশের বাইরে থাকেন) তাকে দেখতে যাওয়ার আগে এক বছর ধরে আমি তার সাথে খুব বেশি ক"&amp;"থা বলিনি বা তাকে দেখতে যাইনি এবং তাকে দেখে সত্যিই আমার মন খারাপ হয়ে গিয়েছিল। আমি জানি না কীভাবে এটি ব্যাখ্যা করব, সে এখনও পুরোপুরি চলে যায়নি, তবে তার বাস্তবতার ফাটলগুলি বড় আকারে দেখা দিতে শুরু করেছে, এবং আমার একটি বিশাল অংশ, যতই স্বার্থপর শোনাক না কেন"&amp;", চিন্তিত যে এটি শেষ পর্যন্ত আমার সাথেও ঘটবে। এই চিন্তা আমাকে এমন এক সর্পিল অবস্থায় ফেলে দেয় যা থেকে বেরিয়ে আসা কঠিন। আমি ভাববো যে আমি আমার চোখের কোণ থেকে কিছু একটা দেখতে পাচ্ছি, যেমনটা আগে দেখতাম, কিন্তু এখন আমার মস্তিষ্ক তাৎক্ষণিকভাবে তাকে ভাববে, এবং"&amp;" সে এখন কেমন দেখাচ্ছে/কার্যকলাপ করছে এবং একদিন আমি কেমন হতে পারি। আমি এটা ঝেড়ে ফেলতে পারি, কিন্তু এলোমেলো চিন্তা আমার মাথায় আসে এবং আমি সেগুলো বারবার আসা থেকে বিরত রাখতে পারছি না। তাছাড়া, আমার মনে হচ্ছে এটা বলা গুরুত্বপূর্ণ কারণ আমার ""আক্রমণ"" তাকে দে"&amp;"খার পরই ঘটেছে এবং আমার মনে হচ্ছে এগুলো কোনো না কোনোভাবে তার সম্পর্কে চিন্তা করার কারণে আমার বারবার আসা খারাপ চিন্তার একটি গঠন। (আমি জানি আমি খারাপ মানুষ বলে মনে হতে পারি কারণ সে এই পরিস্থিতির মধ্য দিয়ে যাচ্ছে, এটা তার দোষ নয়, এবং আমি তাকে আমার সমস্ত হৃদ"&amp;"য় দিয়ে ভালোবাসি, কিন্তু আমি সত্যিই আমার অনুভূতিকে থামাতে পারছি না, এমনকি এই অনুভূতি এবং এই চিন্তাভাবনাগুলি থাকার জন্যও আমার ভয়ঙ্কর অনুভূতি হয়।) আক্রমণগুলি এলোমেলোভাবে ঘটবে কিন্তু ছোট কিছু সবসময় তাদের ট্রিগার করবে। উদাহরণস্বরূপ, আমি খুব বেশিক্ষণ এক অব"&amp;"স্থানে শুয়ে থাকব এবং আমার হাত বা পা ঘুমাতে শুরু করবে। আমার একটা সহজ চিন্তা আসবে, যদি এই ঝিঁঝিঁ পোকা আরও খারাপ হয়ে যায় এবং আমি যুক্তি দিতে পারার আগেই যে আমি ঠিক আছি অথবা এমনকি নিজেও প্রতিক্রিয়া জানাতে পারি, তাহলে আমার শরীর সবচেয়ে খারাপভাবে প্রতিক্রিয"&amp;"়া দেখাবে, এমনকি আমার শরীরের প্রতিক্রিয়ার কারণে আমি নিশ্চিত হয়ে যাব যে কিছু ভুল হতে চলেছে। এটা এমন যে আমি আমার শরীরের অনুভূতি নিয়ন্ত্রণ করার ক্ষমতা হারিয়ে ফেলি এবং এটি নিজেই কাজ করে। এটা এমন যেন আমি আমার শরীরের সাথে কথা বলছি এবং এটিকে শান্ত করার চেষ্ট"&amp;"া করছি, কিন্তু আমার শরীর আমাকে বলছে এটা এমন মনে হচ্ছে যেন অবশ্যই কিছু ভুল আছে। তাছাড়া, এটা এমন মনে হচ্ছে যে আমি মারা যাচ্ছি এবং আমার শরীরের সাথে কিছু ঘটছে যা আমাকে যেকোনো মুহূর্তে মারা যাবে। আমি জানি না কিভাবে এটি সঠিকভাবে ব্যাখ্যা করব কারণ এটি ঘটলে এটি "&amp;"এতটাই অবাস্তব মনে হয়, তবে সবচেয়ে ভালো উদাহরণ হল এটি এমন মনে হচ্ছে যে, এক সেকেন্ডের কিছু অংশের মধ্যেই, অন্য কেউ আমার শরীরে এসে সমস্ত আবেগ নিয়ন্ত্রণ করছে এবং আমার জন্য যুক্তিসঙ্গত করছে এবং আমি যা করতে পারি তা হল এটি মোকাবেলা করা। আমি নিজেকে বলবো যে আমি ঠ"&amp;"িক আছি এবং কিছুই ঠিক হয়নি, কিন্তু আমার শরীর সত্যিই অনুভব করবে যে আমার কিছু একটার জন্য প্রস্তুত হওয়া দরকার, যেন ভয়ঙ্কর কিছু একটা ঘটতে চলেছে। আমার পা ঠান্ডা হয়ে যাবে, আমার মাথা লাল হয়ে যাবে এবং আমার মাথা ঘোরা শুরু হবে, কারণ IFA ভেবেছিল যে আমি আর চিন্ত"&amp;"িত নই কারণ আমি চিন্তিত যে আমার শরীর সবকিছুর উপর কীভাবে প্রতিক্রিয়া দেখাচ্ছে। তারপর, যখন মনে হবে যে অভিজ্ঞতা কতটা তীব্র তার কারণে আমি অজ্ঞান হয়ে যাচ্ছি, তখন আবেগ শুরু হয়, তখন মনে হয় যেন আমার প্রতিটি আবেগের জন্য ""চালু এবং বন্ধ"" সুইচ বারবার চালু এবং বন"&amp;"্ধ করা হচ্ছে। এটি আক্ষরিক অর্থেই জ্বলে ওঠে, এবং মনে হয় যেন আমি একটি ব্যাটারি যা 0% পর্যন্ত নিঃশেষ হয়ে যাচ্ছে এবং কয়েক সেকেন্ডের মধ্যে বারবার 100% পর্যন্ত চার্জ হচ্ছে, অথবা যেন আমি একজন পাইলট যে কেবল অটোপাইলটে উড়েছি এবং তারপর চোখের পলকে, উড়ার সময়, আম"&amp;"াকে জানতে হবে সবকিছু কী করে এবং কীভাবে এমন একটি বিমান উড়াতে হয় যা আমি কখনও উড়তে শিখিনি। যখন এমনটা ঘটে তখন আমি কেবল কান্না করতে পারি এবং আমার মা বা ভাইকে ফোন করার চেষ্টা করি, যারা আমাকে পাগল মনে করে, কেন আমি কাঁদছি এবং কাঁপছি তা ব্যাখ্যা করার চেষ্টা করে"&amp;" কিন্তু আংশিকভাবে এবং প্রতিক্রিয়াশীলভাবে কথা বলছি। এটা আমার নিয়ন্ত্রণের বাইরে। আমি আগে কখনও এমন কিছু অনুভব করিনি। আমি সাধারণত এই মুহুর্তে আমার শরীর নিয়ে চিন্তা করা সম্পূর্ণভাবে বন্ধ করে দিই, কারণ যা আমার শরীরকে ভয় পেয়েছিল তা আমার আবেগে চলে যায়, এবং "&amp;"আমি কেবল আবেগগুলিকে নিয়ন্ত্রণ করার চেষ্টা করি কারণ আবেগগুলি প্রাথমিক আক্রমণের চেয়েও খারাপ। তারপর সবকিছু আসার সাথে সাথেই সবকিছু শেষ হয়ে যায়। আমার মনে হয় আমি আবার আমার আবেগ, যুক্তি এবং শরীরের নিয়ন্ত্রণে আছি। আমি সাধারণত এর পরে আমার বালিশে চিৎকার করি এ"&amp;"বং জেনে শান্ত হই যে এটি শেষ হয়ে গেছে কিন্তু আবার ঘটছে এই ভেবে কাঁদি। এটি প্রায় 5 মিনিটের মধ্যে ঘটবে। এটি আমার পক্ষে ভাগ করে নেওয়া কঠিন এবং যদি আপনি এতদূর এসে থাকেন তবে আমি সত্যিই এটির জন্য কৃতজ্ঞ, আমি কখনও ভাবিনি যে আমার মানসিক স্বাস্থ্যের জন্য সাহায্য"&amp;"ের জন্য আমাকে পৌঁছাতে হবে, এবং এটি করা ভয়ঙ্কর। থ্যাঙ্কসগিভিংয়ের পর থেকে আমার কাছে মাত্র 3 বার এটি ঘটেছে, তবে প্রতিটি সময়ই ঠিক ততটাই খারাপ। যদি তুমি জানো এটা কী, এমনকি যদি এটা শুধু উদ্বেগের বিষয় হয়, অথবা হয়তো তুমি এটার সাথে মোকাবিলাও করো, তাহলে যেকোন"&amp;"ো প্রতিক্রিয়া আমাকে আরও ভালো বোধ করতে সাহায্য করবে এবং একাকী বোধ করবে না।")</f>
        <v>কেউ কি আমাকে সাহায্য করতে পারেন? আমি আগে কখনও এই সমস্যার মুখোমুখি হইনি। আমি আসলে জানি না যে আমার এই সমস্যাটিকে কীভাবে শ্রেণীবদ্ধ করা যায়, আমি বলতে পারছি না এটি কি কেবল উদ্বেগ নাকি আরও কিছু কারণ আমার সাথে আগে কখনও এটি ঘটেনি, এবং আমার আসলে এটিই কিনা তা জানার জন্যও কোনও উদ্বেগ ছিল না। তাহলে, আমার দাদুর সাথে দেখা করার পর থেকে এই "আক্রমণ" শুরু হয়েছে। তার ডিমেনশিয়া এবং আলঝাইমারের প্রাথমিক পর্যায়ে রয়েছে। এই থ্যাঙ্কসগিভিংয়ে (তিনি দেশের বাইরে থাকেন) তাকে দেখতে যাওয়ার আগে এক বছর ধরে আমি তার সাথে খুব বেশি কথা বলিনি বা তাকে দেখতে যাইনি এবং তাকে দেখে সত্যিই আমার মন খারাপ হয়ে গিয়েছিল। আমি জানি না কীভাবে এটি ব্যাখ্যা করব, সে এখনও পুরোপুরি চলে যায়নি, তবে তার বাস্তবতার ফাটলগুলি বড় আকারে দেখা দিতে শুরু করেছে, এবং আমার একটি বিশাল অংশ, যতই স্বার্থপর শোনাক না কেন, চিন্তিত যে এটি শেষ পর্যন্ত আমার সাথেও ঘটবে। এই চিন্তা আমাকে এমন এক সর্পিল অবস্থায় ফেলে দেয় যা থেকে বেরিয়ে আসা কঠিন। আমি ভাববো যে আমি আমার চোখের কোণ থেকে কিছু একটা দেখতে পাচ্ছি, যেমনটা আগে দেখতাম, কিন্তু এখন আমার মস্তিষ্ক তাৎক্ষণিকভাবে তাকে ভাববে, এবং সে এখন কেমন দেখাচ্ছে/কার্যকলাপ করছে এবং একদিন আমি কেমন হতে পারি। আমি এটা ঝেড়ে ফেলতে পারি, কিন্তু এলোমেলো চিন্তা আমার মাথায় আসে এবং আমি সেগুলো বারবার আসা থেকে বিরত রাখতে পারছি না। তাছাড়া, আমার মনে হচ্ছে এটা বলা গুরুত্বপূর্ণ কারণ আমার "আক্রমণ" তাকে দেখার পরই ঘটেছে এবং আমার মনে হচ্ছে এগুলো কোনো না কোনোভাবে তার সম্পর্কে চিন্তা করার কারণে আমার বারবার আসা খারাপ চিন্তার একটি গঠন। (আমি জানি আমি খারাপ মানুষ বলে মনে হতে পারি কারণ সে এই পরিস্থিতির মধ্য দিয়ে যাচ্ছে, এটা তার দোষ নয়, এবং আমি তাকে আমার সমস্ত হৃদয় দিয়ে ভালোবাসি, কিন্তু আমি সত্যিই আমার অনুভূতিকে থামাতে পারছি না, এমনকি এই অনুভূতি এবং এই চিন্তাভাবনাগুলি থাকার জন্যও আমার ভয়ঙ্কর অনুভূতি হয়।) আক্রমণগুলি এলোমেলোভাবে ঘটবে কিন্তু ছোট কিছু সবসময় তাদের ট্রিগার করবে। উদাহরণস্বরূপ, আমি খুব বেশিক্ষণ এক অবস্থানে শুয়ে থাকব এবং আমার হাত বা পা ঘুমাতে শুরু করবে। আমার একটা সহজ চিন্তা আসবে, যদি এই ঝিঁঝিঁ পোকা আরও খারাপ হয়ে যায় এবং আমি যুক্তি দিতে পারার আগেই যে আমি ঠিক আছি অথবা এমনকি নিজেও প্রতিক্রিয়া জানাতে পারি, তাহলে আমার শরীর সবচেয়ে খারাপভাবে প্রতিক্রিয়া দেখাবে, এমনকি আমার শরীরের প্রতিক্রিয়ার কারণে আমি নিশ্চিত হয়ে যাব যে কিছু ভুল হতে চলেছে। এটা এমন যে আমি আমার শরীরের অনুভূতি নিয়ন্ত্রণ করার ক্ষমতা হারিয়ে ফেলি এবং এটি নিজেই কাজ করে। এটা এমন যেন আমি আমার শরীরের সাথে কথা বলছি এবং এটিকে শান্ত করার চেষ্টা করছি, কিন্তু আমার শরীর আমাকে বলছে এটা এমন মনে হচ্ছে যেন অবশ্যই কিছু ভুল আছে। তাছাড়া, এটা এমন মনে হচ্ছে যে আমি মারা যাচ্ছি এবং আমার শরীরের সাথে কিছু ঘটছে যা আমাকে যেকোনো মুহূর্তে মারা যাবে। আমি জানি না কিভাবে এটি সঠিকভাবে ব্যাখ্যা করব কারণ এটি ঘটলে এটি এতটাই অবাস্তব মনে হয়, তবে সবচেয়ে ভালো উদাহরণ হল এটি এমন মনে হচ্ছে যে, এক সেকেন্ডের কিছু অংশের মধ্যেই, অন্য কেউ আমার শরীরে এসে সমস্ত আবেগ নিয়ন্ত্রণ করছে এবং আমার জন্য যুক্তিসঙ্গত করছে এবং আমি যা করতে পারি তা হল এটি মোকাবেলা করা। আমি নিজেকে বলবো যে আমি ঠিক আছি এবং কিছুই ঠিক হয়নি, কিন্তু আমার শরীর সত্যিই অনুভব করবে যে আমার কিছু একটার জন্য প্রস্তুত হওয়া দরকার, যেন ভয়ঙ্কর কিছু একটা ঘটতে চলেছে। আমার পা ঠান্ডা হয়ে যাবে, আমার মাথা লাল হয়ে যাবে এবং আমার মাথা ঘোরা শুরু হবে, কারণ IFA ভেবেছিল যে আমি আর চিন্তিত নই কারণ আমি চিন্তিত যে আমার শরীর সবকিছুর উপর কীভাবে প্রতিক্রিয়া দেখাচ্ছে। তারপর, যখন মনে হবে যে অভিজ্ঞতা কতটা তীব্র তার কারণে আমি অজ্ঞান হয়ে যাচ্ছি, তখন আবেগ শুরু হয়, তখন মনে হয় যেন আমার প্রতিটি আবেগের জন্য "চালু এবং বন্ধ" সুইচ বারবার চালু এবং বন্ধ করা হচ্ছে। এটি আক্ষরিক অর্থেই জ্বলে ওঠে, এবং মনে হয় যেন আমি একটি ব্যাটারি যা 0% পর্যন্ত নিঃশেষ হয়ে যাচ্ছে এবং কয়েক সেকেন্ডের মধ্যে বারবার 100% পর্যন্ত চার্জ হচ্ছে, অথবা যেন আমি একজন পাইলট যে কেবল অটোপাইলটে উড়েছি এবং তারপর চোখের পলকে, উড়ার সময়, আমাকে জানতে হবে সবকিছু কী করে এবং কীভাবে এমন একটি বিমান উড়াতে হয় যা আমি কখনও উড়তে শিখিনি। যখন এমনটা ঘটে তখন আমি কেবল কান্না করতে পারি এবং আমার মা বা ভাইকে ফোন করার চেষ্টা করি, যারা আমাকে পাগল মনে করে, কেন আমি কাঁদছি এবং কাঁপছি তা ব্যাখ্যা করার চেষ্টা করে কিন্তু আংশিকভাবে এবং প্রতিক্রিয়াশীলভাবে কথা বলছি। এটা আমার নিয়ন্ত্রণের বাইরে। আমি আগে কখনও এমন কিছু অনুভব করিনি। আমি সাধারণত এই মুহুর্তে আমার শরীর নিয়ে চিন্তা করা সম্পূর্ণভাবে বন্ধ করে দিই, কারণ যা আমার শরীরকে ভয় পেয়েছিল তা আমার আবেগে চলে যায়, এবং আমি কেবল আবেগগুলিকে নিয়ন্ত্রণ করার চেষ্টা করি কারণ আবেগগুলি প্রাথমিক আক্রমণের চেয়েও খারাপ। তারপর সবকিছু আসার সাথে সাথেই সবকিছু শেষ হয়ে যায়। আমার মনে হয় আমি আবার আমার আবেগ, যুক্তি এবং শরীরের নিয়ন্ত্রণে আছি। আমি সাধারণত এর পরে আমার বালিশে চিৎকার করি এবং জেনে শান্ত হই যে এটি শেষ হয়ে গেছে কিন্তু আবার ঘটছে এই ভেবে কাঁদি। এটি প্রায় 5 মিনিটের মধ্যে ঘটবে। এটি আমার পক্ষে ভাগ করে নেওয়া কঠিন এবং যদি আপনি এতদূর এসে থাকেন তবে আমি সত্যিই এটির জন্য কৃতজ্ঞ, আমি কখনও ভাবিনি যে আমার মানসিক স্বাস্থ্যের জন্য সাহায্যের জন্য আমাকে পৌঁছাতে হবে, এবং এটি করা ভয়ঙ্কর। থ্যাঙ্কসগিভিংয়ের পর থেকে আমার কাছে মাত্র 3 বার এটি ঘটেছে, তবে প্রতিটি সময়ই ঠিক ততটাই খারাপ। যদি তুমি জানো এটা কী, এমনকি যদি এটা শুধু উদ্বেগের বিষয় হয়, অথবা হয়তো তুমি এটার সাথে মোকাবিলাও করো, তাহলে যেকোনো প্রতিক্রিয়া আমাকে আরও ভালো বোধ করতে সাহায্য করবে এবং একাকী বোধ করবে না।</v>
      </c>
    </row>
    <row r="2584" spans="1:3" ht="15" x14ac:dyDescent="0.25">
      <c r="A2584" s="3" t="s">
        <v>2577</v>
      </c>
      <c r="B2584" s="3" t="s">
        <v>1992</v>
      </c>
      <c r="C2584" s="4" t="str">
        <f ca="1">IFERROR(__xludf.DUMMYFUNCTION("GOOGLETRANSLATE(A2584, ""auto"", ""bn"")"),"থেরাপিস্ট সুইচ? অন্য পরামর্শ-- আমি ইতিমধ্যেই r/Anxiety Depression-এ ঠিক এই জিনিসটি পোস্ট করেছি। আমি কারো পরামর্শের জন্য মরিয়া, তাই আমি এটি এখানে কপি-পেস্ট করছি। আমি প্রথমে সেখানে পোস্ট করেছি কারণ এটি ছোট। আমার থেরাপিস্ট উদ্বেগ বা বিষণ্ণতায় বিশেষজ্ঞ নন, "&amp;"তিনি বিবাহ পরামর্শে বিশেষজ্ঞ। আমি বলতে পারি। সেশনের সময় তিনি কেবল আমার নতুন প্রেমিকের দিকেই কথোপকথন পরিচালনা করতে চান। আমি স্কুল ছেড়ে দিয়েছিলাম কাজ করার জন্য এবং উদ্বেগ, বিষণ্ণতা এবং ADD-এর সাথে আমার সমস্যাগুলি সমাধান করার জন্য, *বব যখন মনে করে যে আমার"&amp;" 2 মাসের প্রেমিক সন্তান চাইবে তখন কথা না বলার জন্য*। আমি এমনকি বাচ্চাও চাই না। সে কখনও জিজ্ঞাসাও করেনি। উফ। যে স্কুল থেকে আমি স্কুল ছেড়ে দিয়েছিলাম সে কোনও ধরণের চিঠি চায় যাতে নিশ্চিত করা যায় যে আমার স্কুল ছাড়ার কোনও বৈধ কারণ ছিল, যাতে আমি যে মাসে ছিল"&amp;"াম তার জন্য আমাকে তাদের টাকা দিতে না হয়। বব আমাকে একটি চিঠি লিখে ফ্যাক্স করেছে। তাই আমার কাছে একজন প্রকৃত থেরাপিস্টের কাছ থেকে একটি চিঠি আছে, কিন্তু আমি তাকে মাত্র 10 বার দেখেছি, এবং আমি চিঠিটি নিয়ে অসন্তুষ্ট। আমি জানি না এটা কীভাবে কাজ করে, কিন্তু যদি "&amp;"চিঠিটি আমার ক্ষেত্রে যথেষ্ট সহায়তা না দেয়? চিঠিতে তিনি আমার ডিপ্রেশন বা ADD উল্লেখ করেননি, তবে ভুল ওষুধের কথা উল্লেখ করেছেন। (আমি bu spar থেকে Xanax-এ স্যুইচ করেছি, তিনি bu spar উল্লেখ করেছেন।) আমার কি আবার পুরনো থেরাপিস্টের কাছে যেতে হবে, চিঠি সংশোধনের"&amp;" জন্য জিজ্ঞাসা করতে হবে, নাকি ভুল চিঠিটি যথেষ্ট? আমার কি পরিবর্তে/অতিরিক্ত আমার প্রাথমিক চিকিৎসার ডাক্তারের কাছ থেকে চিঠি পেতে হবে? আমি আমার কাছের একজন থেরাপিস্টকে পেয়েছি যিনি উদ্বেগের ক্ষেত্রে বিশেষজ্ঞ (আমি যখন ফোন করার সাহস পাব তখন আমি পরিবর্তন করতে চা"&amp;"ই), আমি কি তার কাছ থেকে প্রথম দেখাতে চিঠি পেতে পারি? আমি কি তাকে উদ্বেগের উপর মনোযোগ দিতে পারি কিনা তা দেখা উচিত? সে কি এমনকি উদ্বেগের সমাধান করতে জানে? আমি সন্দেহ করতে শুরু করেছি যে সে জানে কিনা, গতবার যখন গিয়েছিলাম তখন আমি বলেছিলাম যে আমি সম্ভবত এই চাক"&amp;"রির জন্য আবেদন করতে যাচ্ছি যা আমি চাইছিলাম, কিন্তু আবেদন করতে ভয় পাচ্ছিলাম, এবং সে বলল, ""এই মুহুর্তে, আমার কোন আস্থা নেই যে আপনি এর জন্য আবেদন করবেন। মোটেও না।"" এখন আমার কোন আস্থা নেই যে আমি আবেদন করব, ধন্যবাদ। আমার শুধু পরামর্শের প্রয়োজন। আমি এই বিষয়ে"&amp;" খুব চিন্তিত। আজ সকালে স্কুল থেকে আমাকে ইমেল করা হয়েছে এবং আমি বুঝতে পারছি না তাদের কী বলব।")</f>
        <v>থেরাপিস্ট সুইচ? অন্য পরামর্শ-- আমি ইতিমধ্যেই r/Anxiety Depression-এ ঠিক এই জিনিসটি পোস্ট করেছি। আমি কারো পরামর্শের জন্য মরিয়া, তাই আমি এটি এখানে কপি-পেস্ট করছি। আমি প্রথমে সেখানে পোস্ট করেছি কারণ এটি ছোট। আমার থেরাপিস্ট উদ্বেগ বা বিষণ্ণতায় বিশেষজ্ঞ নন, তিনি বিবাহ পরামর্শে বিশেষজ্ঞ। আমি বলতে পারি। সেশনের সময় তিনি কেবল আমার নতুন প্রেমিকের দিকেই কথোপকথন পরিচালনা করতে চান। আমি স্কুল ছেড়ে দিয়েছিলাম কাজ করার জন্য এবং উদ্বেগ, বিষণ্ণতা এবং ADD-এর সাথে আমার সমস্যাগুলি সমাধান করার জন্য, *বব যখন মনে করে যে আমার 2 মাসের প্রেমিক সন্তান চাইবে তখন কথা না বলার জন্য*। আমি এমনকি বাচ্চাও চাই না। সে কখনও জিজ্ঞাসাও করেনি। উফ। যে স্কুল থেকে আমি স্কুল ছেড়ে দিয়েছিলাম সে কোনও ধরণের চিঠি চায় যাতে নিশ্চিত করা যায় যে আমার স্কুল ছাড়ার কোনও বৈধ কারণ ছিল, যাতে আমি যে মাসে ছিলাম তার জন্য আমাকে তাদের টাকা দিতে না হয়। বব আমাকে একটি চিঠি লিখে ফ্যাক্স করেছে। তাই আমার কাছে একজন প্রকৃত থেরাপিস্টের কাছ থেকে একটি চিঠি আছে, কিন্তু আমি তাকে মাত্র 10 বার দেখেছি, এবং আমি চিঠিটি নিয়ে অসন্তুষ্ট। আমি জানি না এটা কীভাবে কাজ করে, কিন্তু যদি চিঠিটি আমার ক্ষেত্রে যথেষ্ট সহায়তা না দেয়? চিঠিতে তিনি আমার ডিপ্রেশন বা ADD উল্লেখ করেননি, তবে ভুল ওষুধের কথা উল্লেখ করেছেন। (আমি bu spar থেকে Xanax-এ স্যুইচ করেছি, তিনি bu spar উল্লেখ করেছেন।) আমার কি আবার পুরনো থেরাপিস্টের কাছে যেতে হবে, চিঠি সংশোধনের জন্য জিজ্ঞাসা করতে হবে, নাকি ভুল চিঠিটি যথেষ্ট? আমার কি পরিবর্তে/অতিরিক্ত আমার প্রাথমিক চিকিৎসার ডাক্তারের কাছ থেকে চিঠি পেতে হবে? আমি আমার কাছের একজন থেরাপিস্টকে পেয়েছি যিনি উদ্বেগের ক্ষেত্রে বিশেষজ্ঞ (আমি যখন ফোন করার সাহস পাব তখন আমি পরিবর্তন করতে চাই), আমি কি তার কাছ থেকে প্রথম দেখাতে চিঠি পেতে পারি? আমি কি তাকে উদ্বেগের উপর মনোযোগ দিতে পারি কিনা তা দেখা উচিত? সে কি এমনকি উদ্বেগের সমাধান করতে জানে? আমি সন্দেহ করতে শুরু করেছি যে সে জানে কিনা, গতবার যখন গিয়েছিলাম তখন আমি বলেছিলাম যে আমি সম্ভবত এই চাকরির জন্য আবেদন করতে যাচ্ছি যা আমি চাইছিলাম, কিন্তু আবেদন করতে ভয় পাচ্ছিলাম, এবং সে বলল, "এই মুহুর্তে, আমার কোন আস্থা নেই যে আপনি এর জন্য আবেদন করবেন। মোটেও না।" এখন আমার কোন আস্থা নেই যে আমি আবেদন করব, ধন্যবাদ। আমার শুধু পরামর্শের প্রয়োজন। আমি এই বিষয়ে খুব চিন্তিত। আজ সকালে স্কুল থেকে আমাকে ইমেল করা হয়েছে এবং আমি বুঝতে পারছি না তাদের কী বলব।</v>
      </c>
    </row>
    <row r="2585" spans="1:3" ht="15" x14ac:dyDescent="0.25">
      <c r="A2585" s="3" t="s">
        <v>2578</v>
      </c>
      <c r="B2585" s="3" t="s">
        <v>1992</v>
      </c>
      <c r="C2585" s="4" t="str">
        <f ca="1">IFERROR(__xludf.DUMMYFUNCTION("GOOGLETRANSLATE(A2585, ""auto"", ""bn"")"),"আর কেউ কি কখনও উদ্বেগ নিয়ে ক্রমাগত উদ্বেগ/আতঙ্কের আক্রমণে ভুগছেন, যদি না এগিয়ে যাওয়ার ক্ষমতা থাকে? সত্যি বলতে, আমি ভেবেছিলাম আমি সবকিছু দেখেছি। কিন্তু এখন আমার এক ধরণের উদ্বেগ আছে যা আমার এগিয়ে যাওয়ার ক্ষমতা ভেঙে দিয়েছে। মনে হচ্ছে আমি নিজের চিন্তাভা"&amp;"বনা দেখে ভয় পাচ্ছি, এবং এটা খুবই অদ্ভুত, কারণ আসলে কিছুই ভুল নয়, কিন্তু আমি এতটাই আতঙ্কিত/সম্পূর্ণ উদ্বেগের মধ্যে আছি যে এটি ভয়াবহ। এটা অনেকটা মেটা-উদ্বেগের মতো। যেকোনো পরামর্শ/গল্প/সাহায্য সত্যিই প্রশংসিত হবে।")</f>
        <v>আর কেউ কি কখনও উদ্বেগ নিয়ে ক্রমাগত উদ্বেগ/আতঙ্কের আক্রমণে ভুগছেন, যদি না এগিয়ে যাওয়ার ক্ষমতা থাকে? সত্যি বলতে, আমি ভেবেছিলাম আমি সবকিছু দেখেছি। কিন্তু এখন আমার এক ধরণের উদ্বেগ আছে যা আমার এগিয়ে যাওয়ার ক্ষমতা ভেঙে দিয়েছে। মনে হচ্ছে আমি নিজের চিন্তাভাবনা দেখে ভয় পাচ্ছি, এবং এটা খুবই অদ্ভুত, কারণ আসলে কিছুই ভুল নয়, কিন্তু আমি এতটাই আতঙ্কিত/সম্পূর্ণ উদ্বেগের মধ্যে আছি যে এটি ভয়াবহ। এটা অনেকটা মেটা-উদ্বেগের মতো। যেকোনো পরামর্শ/গল্প/সাহায্য সত্যিই প্রশংসিত হবে।</v>
      </c>
    </row>
    <row r="2586" spans="1:3" ht="15" x14ac:dyDescent="0.25">
      <c r="A2586" s="3" t="s">
        <v>2579</v>
      </c>
      <c r="B2586" s="3" t="s">
        <v>1992</v>
      </c>
      <c r="C2586" s="4" t="str">
        <f ca="1">IFERROR(__xludf.DUMMYFUNCTION("GOOGLETRANSLATE(A2586, ""auto"", ""bn"")"),"আক্কেল দাঁত অপসারণের উদ্বেগ। কয়েক ঘন্টার মধ্যে আমার দুটি আক্কেল দাঁত (আমার মুখের বাম দিকে) অপসারণ করা হচ্ছে। এই প্রথম আমি এরকম কিছু করছি, এবং আমি খুব নার্ভাস। ডেন্টিস্টের অফিসে প্রবেশ করার সময় আমি কীভাবে শান্ত থাকব? আমার মনে হচ্ছে প্রক্রিয়া শুরু হলে আম"&amp;"ি অজ্ঞান হয়ে যাব।")</f>
        <v>আক্কেল দাঁত অপসারণের উদ্বেগ। কয়েক ঘন্টার মধ্যে আমার দুটি আক্কেল দাঁত (আমার মুখের বাম দিকে) অপসারণ করা হচ্ছে। এই প্রথম আমি এরকম কিছু করছি, এবং আমি খুব নার্ভাস। ডেন্টিস্টের অফিসে প্রবেশ করার সময় আমি কীভাবে শান্ত থাকব? আমার মনে হচ্ছে প্রক্রিয়া শুরু হলে আমি অজ্ঞান হয়ে যাব।</v>
      </c>
    </row>
    <row r="2587" spans="1:3" ht="15" x14ac:dyDescent="0.25">
      <c r="A2587" s="3" t="s">
        <v>2580</v>
      </c>
      <c r="B2587" s="3" t="s">
        <v>1992</v>
      </c>
      <c r="C2587" s="4" t="str">
        <f ca="1">IFERROR(__xludf.DUMMYFUNCTION("GOOGLETRANSLATE(A2587, ""auto"", ""bn"")"),"অপরিচিত কারো সাথে কথা বলার চেষ্টা করলে আমার খুব ভালো লাগে... অপরিচিত কারো সাথে কথা বলার কি কোন সঠিক উপায় আছে?")</f>
        <v>অপরিচিত কারো সাথে কথা বলার চেষ্টা করলে আমার খুব ভালো লাগে... অপরিচিত কারো সাথে কথা বলার কি কোন সঠিক উপায় আছে?</v>
      </c>
    </row>
    <row r="2588" spans="1:3" ht="15" x14ac:dyDescent="0.25">
      <c r="A2588" s="3" t="s">
        <v>2581</v>
      </c>
      <c r="B2588" s="3" t="s">
        <v>1992</v>
      </c>
      <c r="C2588" s="4" t="str">
        <f ca="1">IFERROR(__xludf.DUMMYFUNCTION("GOOGLETRANSLATE(A2588, ""auto"", ""bn"")"),"রাতের বেলা হৃদস্পন্দন কষ্টের কারণ হে বন্ধুরা, প্রায় এক মাস আগে আমার সবচেয়ে খারাপ প্যানিক অ্যাটাক হয়েছিল। পরের দুই সপ্তাহ ধরে আমার প্রতিদিন প্যানিক অ্যাটাক হয়েছিল। তারপর থেকে এটি শান্ত হতে শুরু করে, কিন্তু তারপর থেকে আমি দিনে বেশ কয়েকবার (প্রতি ১০ মিন"&amp;"িটে একাধিকবার) আমার নাড়ি পরীক্ষা করে আসছি। আমি CBD কার্তুজ অর্ডার করেছিলাম এই আশায় যে এটি সাহায্য করবে কারণ আগাছা আসলে এখন সমস্যাটিকে আরও খারাপ করে তুলছে। আসন্ন আক্রমণ প্রতিরোধ করে CBD অসাধারণভাবে সাহায্য করে বলে মনে হচ্ছে, ধরে নিচ্ছি আমি এটি অনুমান করত"&amp;"ে পারি। (আমার তীব্র প্যানিক অ্যাটাকের পরে ডাক্তারের কাছে গিয়েছিলাম, তিনি বলেছিলেন যে এটি কেবল আতঙ্ক এবং আমাকে আবার সাইকের কাছে রেফার করেছিলেন। সাইক আমাকে ফোন করতে মোট দুই সপ্তাহ সময় নিয়েছিল, তারপর আমি মনোরোগ বিশেষজ্ঞের কাছে যেতে বলেছিলাম এবং আমার থেকে "&amp;"২০ মাইলের মধ্যে আর কোনও মনোরোগ বিশেষজ্ঞ নেই.... আমি কি কাইজারের জন্য অর্থ প্রদান করছি?) এটা ভয়াবহ। আমি আমার পাশে ঘুমাতে পারতাম, এটি আমার প্রিয় ছিল। আমি আমার নাড়ির বন্দী বোধ করি। তাছাড়া, আমি যখন দাঁড়িয়ে থাকি, হাঁটছি, হেডফোন দিয়ে শুনি তখন আমি এটি অনু"&amp;"ভব করতে পারি। তাছাড়া, ঘুমানোর চেষ্টা করলেও আমি এটা শুনতে পাই, তাই এই থ্রেডটি পোস্ট করছি। এখন ভোর ৩টা, আর আমি এর সমাধান খুঁজছি। যখন আমি আমার হৃদস্পন্দন অনুভব করতে এবং শুনতে পাই তখন এটা আমাকে পাগল করে তোলে। যখন আমি এটা শুনতে পাই না, তখন আমি ক্রমাগত আমার ঘাড"&amp;"়ে আঙুল চেপে ধরি যাতে নিশ্চিত হতে পারি যে আমার হৃদস্পন্দন এখনও চলছে। আমি শুধু ঘুমাতে চাই... তার উপরে টিনিটাস খুব খারাপভাবে শুরু হয়েছে।")</f>
        <v>রাতের বেলা হৃদস্পন্দন কষ্টের কারণ হে বন্ধুরা, প্রায় এক মাস আগে আমার সবচেয়ে খারাপ প্যানিক অ্যাটাক হয়েছিল। পরের দুই সপ্তাহ ধরে আমার প্রতিদিন প্যানিক অ্যাটাক হয়েছিল। তারপর থেকে এটি শান্ত হতে শুরু করে, কিন্তু তারপর থেকে আমি দিনে বেশ কয়েকবার (প্রতি ১০ মিনিটে একাধিকবার) আমার নাড়ি পরীক্ষা করে আসছি। আমি CBD কার্তুজ অর্ডার করেছিলাম এই আশায় যে এটি সাহায্য করবে কারণ আগাছা আসলে এখন সমস্যাটিকে আরও খারাপ করে তুলছে। আসন্ন আক্রমণ প্রতিরোধ করে CBD অসাধারণভাবে সাহায্য করে বলে মনে হচ্ছে, ধরে নিচ্ছি আমি এটি অনুমান করতে পারি। (আমার তীব্র প্যানিক অ্যাটাকের পরে ডাক্তারের কাছে গিয়েছিলাম, তিনি বলেছিলেন যে এটি কেবল আতঙ্ক এবং আমাকে আবার সাইকের কাছে রেফার করেছিলেন। সাইক আমাকে ফোন করতে মোট দুই সপ্তাহ সময় নিয়েছিল, তারপর আমি মনোরোগ বিশেষজ্ঞের কাছে যেতে বলেছিলাম এবং আমার থেকে ২০ মাইলের মধ্যে আর কোনও মনোরোগ বিশেষজ্ঞ নেই.... আমি কি কাইজারের জন্য অর্থ প্রদান করছি?) এটা ভয়াবহ। আমি আমার পাশে ঘুমাতে পারতাম, এটি আমার প্রিয় ছিল। আমি আমার নাড়ির বন্দী বোধ করি। তাছাড়া, আমি যখন দাঁড়িয়ে থাকি, হাঁটছি, হেডফোন দিয়ে শুনি তখন আমি এটি অনুভব করতে পারি। তাছাড়া, ঘুমানোর চেষ্টা করলেও আমি এটা শুনতে পাই, তাই এই থ্রেডটি পোস্ট করছি। এখন ভোর ৩টা, আর আমি এর সমাধান খুঁজছি। যখন আমি আমার হৃদস্পন্দন অনুভব করতে এবং শুনতে পাই তখন এটা আমাকে পাগল করে তোলে। যখন আমি এটা শুনতে পাই না, তখন আমি ক্রমাগত আমার ঘাড়ে আঙুল চেপে ধরি যাতে নিশ্চিত হতে পারি যে আমার হৃদস্পন্দন এখনও চলছে। আমি শুধু ঘুমাতে চাই... তার উপরে টিনিটাস খুব খারাপভাবে শুরু হয়েছে।</v>
      </c>
    </row>
    <row r="2589" spans="1:3" ht="15" x14ac:dyDescent="0.25">
      <c r="A2589" s="3" t="s">
        <v>2582</v>
      </c>
      <c r="B2589" s="3" t="s">
        <v>1992</v>
      </c>
      <c r="C2589" s="4" t="str">
        <f ca="1">IFERROR(__xludf.DUMMYFUNCTION("GOOGLETRANSLATE(A2589, ""auto"", ""bn"")"),"কাজে যাচ্ছি, ২০১৭ সালের মার্চ মাস থেকে আমি আমার কাজে ব্যস্ত এবং প্রথম কয়েক মাস আমি যখনই কাজে যেতাম তখনই খুব উদ্বিগ্ন বোধ করতাম কারণ আমি খুব ভয় পেতাম যে কোনও ভুল হয়ে যাবে। আমার মনে হয় আমার সহকর্মীরা আমাকে পছন্দ করে এবং আমি তাদের অনুরোধে সবকিছু করি এবং "&amp;"আমার কাজগুলি সম্পন্ন করি কিন্তু কোনও কারণে, আজ আমি আবার উদ্বিগ্ন বোধ করছি। আমাকে ২ মিনিটের মধ্যে চলে যেতে হবে, এবং আমি খুব চাপে আছি এবং কেন জানি না। তাছাড়া, আমি কেন এটি টাইপ করছি তাও জানি না। তাছাড়া, আমি মনে করি এটি দিয়ে কাউকে ব্যক্তিগতভাবে বিরক্ত করতে"&amp;" চাই না, তাই আমি এটি পোস্ট করছি যেখানে লোকেরা এটি খুলতে বা উপেক্ষা করতে পারে... দুঃখিত")</f>
        <v>কাজে যাচ্ছি, ২০১৭ সালের মার্চ মাস থেকে আমি আমার কাজে ব্যস্ত এবং প্রথম কয়েক মাস আমি যখনই কাজে যেতাম তখনই খুব উদ্বিগ্ন বোধ করতাম কারণ আমি খুব ভয় পেতাম যে কোনও ভুল হয়ে যাবে। আমার মনে হয় আমার সহকর্মীরা আমাকে পছন্দ করে এবং আমি তাদের অনুরোধে সবকিছু করি এবং আমার কাজগুলি সম্পন্ন করি কিন্তু কোনও কারণে, আজ আমি আবার উদ্বিগ্ন বোধ করছি। আমাকে ২ মিনিটের মধ্যে চলে যেতে হবে, এবং আমি খুব চাপে আছি এবং কেন জানি না। তাছাড়া, আমি কেন এটি টাইপ করছি তাও জানি না। তাছাড়া, আমি মনে করি এটি দিয়ে কাউকে ব্যক্তিগতভাবে বিরক্ত করতে চাই না, তাই আমি এটি পোস্ট করছি যেখানে লোকেরা এটি খুলতে বা উপেক্ষা করতে পারে... দুঃখিত</v>
      </c>
    </row>
    <row r="2590" spans="1:3" ht="15" x14ac:dyDescent="0.25">
      <c r="A2590" s="3" t="s">
        <v>2583</v>
      </c>
      <c r="B2590" s="3" t="s">
        <v>1992</v>
      </c>
      <c r="C2590" s="4" t="str">
        <f ca="1">IFERROR(__xludf.DUMMYFUNCTION("GOOGLETRANSLATE(A2590, ""auto"", ""bn"")"),"আমার প্রতিশ্রুতি আছে, কিন্তু আমার উদ্বেগ আমার জীবনের যেকোনো সম্ভাবনাকে ধ্বংস করে দেবে, আমার জীবনের গল্পটি সংক্ষিপ্ত করে। আমি একজন কলেজ স্নাতক, ফিনান্স মেজর। সত্যিই ব্যক্তিত্ববান ছেলে। অ্যাথলেটিক। পরিশ্রমী। আমার সাধারণ জ্ঞান আছে। আমি সম্ভবত শেষ ব্যক্তি যে "&amp;"বেশিরভাগ মানুষই পঙ্গুত্বপূর্ণ উদ্বেগে ভুগছেন বলে মনে করেন। বিশেষ করে, স্বাস্থ্য উদ্বেগ, কিন্তু সাধারণ উদ্বেগও। উদাহরণস্বরূপ, আমার মাথাব্যথা হয়, এবং তারপরে আমি তাদের সম্পর্কে চিন্তা করা বন্ধ করতে পারি না, তাই তারা আরও খারাপ হয়, এবং তারপরে আমাকে মস্তিষ্কে"&amp;"র স্ক্যান করতে হয় যাতে আমি নিশ্চিত হতে পারি যে কিছুই ভুল নয়। তারপর আমার মনে হয় তারা কিছু মিস করেছে। অথবা আমার পেটে ব্যথা হয়, এবং আমি এন্ডোস্কোপি করতে যাই এবং বুঝতে পারি সবকিছু ঠিক আছে, কিন্তু এখনও ভাবছি এটি প্যানক্রিয়াটাইটিস হতে পারে কিনা। গত 3 সপ্তা"&amp;"হ ধরে আমার বাম পায়ে ব্যথা এবং আমার সারা শরীরে কিছু মোচড় হচ্ছে, এবং এখন ভয় পাচ্ছি যে আমার ALS আছে। যদি পঙ্গুত্বপূর্ণ স্বাস্থ্য উদ্বেগের এই রোগ না থাকত তবে আমি আমার জীবনে অনেক কিছু অর্জন করতে পারতাম। আমার মনে হচ্ছে আমি মিস করছি, এবং আমি আমার নিজের সবচেয়"&amp;"ে খারাপ শত্রু কিন্তু যাই হোক না কেন আমি উদ্বিগ্ন হওয়া বন্ধ করতে পারি। কারো কাছে কি কোন পরামর্শ আছে, আমি সত্যিই এটি কাজে লাগাতে পারি। একজন শ্বেতাঙ্গ হিসেবেও আমি মনে করি যদি আপনি উদ্বিগ্ন না হন এবং কিছু গুরুতর ভুল হয়। আমার সাহায্যের প্রয়োজন।")</f>
        <v>আমার প্রতিশ্রুতি আছে, কিন্তু আমার উদ্বেগ আমার জীবনের যেকোনো সম্ভাবনাকে ধ্বংস করে দেবে, আমার জীবনের গল্পটি সংক্ষিপ্ত করে। আমি একজন কলেজ স্নাতক, ফিনান্স মেজর। সত্যিই ব্যক্তিত্ববান ছেলে। অ্যাথলেটিক। পরিশ্রমী। আমার সাধারণ জ্ঞান আছে। আমি সম্ভবত শেষ ব্যক্তি যে বেশিরভাগ মানুষই পঙ্গুত্বপূর্ণ উদ্বেগে ভুগছেন বলে মনে করেন। বিশেষ করে, স্বাস্থ্য উদ্বেগ, কিন্তু সাধারণ উদ্বেগও। উদাহরণস্বরূপ, আমার মাথাব্যথা হয়, এবং তারপরে আমি তাদের সম্পর্কে চিন্তা করা বন্ধ করতে পারি না, তাই তারা আরও খারাপ হয়, এবং তারপরে আমাকে মস্তিষ্কের স্ক্যান করতে হয় যাতে আমি নিশ্চিত হতে পারি যে কিছুই ভুল নয়। তারপর আমার মনে হয় তারা কিছু মিস করেছে। অথবা আমার পেটে ব্যথা হয়, এবং আমি এন্ডোস্কোপি করতে যাই এবং বুঝতে পারি সবকিছু ঠিক আছে, কিন্তু এখনও ভাবছি এটি প্যানক্রিয়াটাইটিস হতে পারে কিনা। গত 3 সপ্তাহ ধরে আমার বাম পায়ে ব্যথা এবং আমার সারা শরীরে কিছু মোচড় হচ্ছে, এবং এখন ভয় পাচ্ছি যে আমার ALS আছে। যদি পঙ্গুত্বপূর্ণ স্বাস্থ্য উদ্বেগের এই রোগ না থাকত তবে আমি আমার জীবনে অনেক কিছু অর্জন করতে পারতাম। আমার মনে হচ্ছে আমি মিস করছি, এবং আমি আমার নিজের সবচেয়ে খারাপ শত্রু কিন্তু যাই হোক না কেন আমি উদ্বিগ্ন হওয়া বন্ধ করতে পারি। কারো কাছে কি কোন পরামর্শ আছে, আমি সত্যিই এটি কাজে লাগাতে পারি। একজন শ্বেতাঙ্গ হিসেবেও আমি মনে করি যদি আপনি উদ্বিগ্ন না হন এবং কিছু গুরুতর ভুল হয়। আমার সাহায্যের প্রয়োজন।</v>
      </c>
    </row>
    <row r="2591" spans="1:3" ht="15" x14ac:dyDescent="0.25">
      <c r="A2591" s="3" t="s">
        <v>2584</v>
      </c>
      <c r="B2591" s="3" t="s">
        <v>1992</v>
      </c>
      <c r="C2591" s="4" t="str">
        <f ca="1">IFERROR(__xludf.DUMMYFUNCTION("GOOGLETRANSLATE(A2591, ""auto"", ""bn"")"),"অন্যরা আমাকে কী ভাববে তা নিয়ে আমি চিন্তিত, আমি নিশ্চিত যে অনেকেই আছেন যারা তাদের সম্পর্কে কী ভাববে তা নিয়ে খুব চিন্তিত এবং আমি কেবল জানতে চাই যে অন্যরা কীভাবে এটি মোকাবেলা করে? আমি নিজেকে সাহায্য করার জন্য যথাসাধ্য চেষ্টা করছি, তাই যেকোনো পরামর্শই ভালো "&amp;"হবে। সম্প্রতি কিছু ঘটনা ঘটেছে এবং আমার মনে হয় আমার সম্পর্কে গুজব ছড়িয়ে পড়েছে এবং আমি অবিশ্বাস্যভাবে ভীত এবং লোকেরা আমাকে নিয়ে কী ভাবছে তা কেবল ভয়ঙ্কর জিনিসগুলিই ভাবতে পারি। এটি আমাকে সত্যিই ক্লান্ত করে তোলে।")</f>
        <v>অন্যরা আমাকে কী ভাববে তা নিয়ে আমি চিন্তিত, আমি নিশ্চিত যে অনেকেই আছেন যারা তাদের সম্পর্কে কী ভাববে তা নিয়ে খুব চিন্তিত এবং আমি কেবল জানতে চাই যে অন্যরা কীভাবে এটি মোকাবেলা করে? আমি নিজেকে সাহায্য করার জন্য যথাসাধ্য চেষ্টা করছি, তাই যেকোনো পরামর্শই ভালো হবে। সম্প্রতি কিছু ঘটনা ঘটেছে এবং আমার মনে হয় আমার সম্পর্কে গুজব ছড়িয়ে পড়েছে এবং আমি অবিশ্বাস্যভাবে ভীত এবং লোকেরা আমাকে নিয়ে কী ভাবছে তা কেবল ভয়ঙ্কর জিনিসগুলিই ভাবতে পারি। এটি আমাকে সত্যিই ক্লান্ত করে তোলে।</v>
      </c>
    </row>
    <row r="2592" spans="1:3" ht="15" x14ac:dyDescent="0.25">
      <c r="A2592" s="3" t="s">
        <v>2585</v>
      </c>
      <c r="B2592" s="3" t="s">
        <v>1992</v>
      </c>
      <c r="C2592" s="4" t="str">
        <f ca="1">IFERROR(__xludf.DUMMYFUNCTION("GOOGLETRANSLATE(A2592, ""auto"", ""bn"")"),"দীর্ঘস্থায়ী পেটের শব্দ ৪ দিন আগে থেকে আমার পেটে গর্জন, চাপাচাপি এবং অদ্ভুত শব্দ হচ্ছে, কোনও লক্ষণ দেখা যাচ্ছে না। সাধারণত, এটি কেবল ক্ষুধার্ত অবস্থায়ই ঘটত, কিন্তু এখন কিছুই সাহায্য করছে বলে মনে হচ্ছে না। এই শব্দগুলির পরিমাণ নিয়ে আমি একটু চিন্তিত - এবং "&amp;"আমি ভাবছি যে এটি কি সেই ধরণের জিনিস যা অবশেষে ভালো হয়ে যায়? আমি ধরে নিচ্ছি যে আমার উদ্বেগের কারণে এটি আরও খারাপ হতে পারে, কারণ আমি এই জিনিসগুলিতে মনোযোগ দেওয়ার প্রবণতা রাখি এবং একটি চক্রে আটকে থাকি - যেকোনো ধরণের শব্দ শুনতে।")</f>
        <v>দীর্ঘস্থায়ী পেটের শব্দ ৪ দিন আগে থেকে আমার পেটে গর্জন, চাপাচাপি এবং অদ্ভুত শব্দ হচ্ছে, কোনও লক্ষণ দেখা যাচ্ছে না। সাধারণত, এটি কেবল ক্ষুধার্ত অবস্থায়ই ঘটত, কিন্তু এখন কিছুই সাহায্য করছে বলে মনে হচ্ছে না। এই শব্দগুলির পরিমাণ নিয়ে আমি একটু চিন্তিত - এবং আমি ভাবছি যে এটি কি সেই ধরণের জিনিস যা অবশেষে ভালো হয়ে যায়? আমি ধরে নিচ্ছি যে আমার উদ্বেগের কারণে এটি আরও খারাপ হতে পারে, কারণ আমি এই জিনিসগুলিতে মনোযোগ দেওয়ার প্রবণতা রাখি এবং একটি চক্রে আটকে থাকি - যেকোনো ধরণের শব্দ শুনতে।</v>
      </c>
    </row>
    <row r="2593" spans="1:3" ht="15" x14ac:dyDescent="0.25">
      <c r="A2593" s="3" t="s">
        <v>2586</v>
      </c>
      <c r="B2593" s="3" t="s">
        <v>1992</v>
      </c>
      <c r="C2593" s="4" t="str">
        <f ca="1">IFERROR(__xludf.DUMMYFUNCTION("GOOGLETRANSLATE(A2593, ""auto"", ""bn"")"),"মজা করার সময় নিজেকে অপরাধবোধ থেকে কীভাবে রক্ষা করব? যদি আমি মজা করার জন্য একদিনও ছুটি নিই, তাহলে আমার উদ্বেগ শুরু হয় এবং আমি আমার সমস্ত কাজ নিয়ে ভাবতে থাকি। যখন আমার কোনও গুরুত্বপূর্ণ কাজ থাকে না তখনও এটি ঘটে এবং সত্যিকার অর্থে আমি আমার জীবন উপভোগ করতে"&amp;" পারছি না।")</f>
        <v>মজা করার সময় নিজেকে অপরাধবোধ থেকে কীভাবে রক্ষা করব? যদি আমি মজা করার জন্য একদিনও ছুটি নিই, তাহলে আমার উদ্বেগ শুরু হয় এবং আমি আমার সমস্ত কাজ নিয়ে ভাবতে থাকি। যখন আমার কোনও গুরুত্বপূর্ণ কাজ থাকে না তখনও এটি ঘটে এবং সত্যিকার অর্থে আমি আমার জীবন উপভোগ করতে পারছি না।</v>
      </c>
    </row>
    <row r="2594" spans="1:3" ht="15" x14ac:dyDescent="0.25">
      <c r="A2594" s="3" t="s">
        <v>2587</v>
      </c>
      <c r="B2594" s="3" t="s">
        <v>1992</v>
      </c>
      <c r="C2594" s="4" t="str">
        <f ca="1">IFERROR(__xludf.DUMMYFUNCTION("GOOGLETRANSLATE(A2594, ""auto"", ""bn"")"),"তোমাকে শুধু এটা করতে হবে। মাঝে মাঝে, যদি তুমি ভালো হতে চাও, তাহলে তোমার পরিস্থিতি থেকে বেরিয়ে আসতে হবে, তুমি যেমনই অনুভব করো না কেন। অথবা তুমি সবসময় এখন কেমন অনুভব করবে তা অনুভব করবে। তোমাকে শুধু উঠে এগিয়ে যেতে হবে, যদি উদ্বেগ আসে, শুধু বলতে হবে ""এগিয"&amp;"়ে যাও, তুমি যা করতে চাও তাই করো, আমি কিছুতেই রাজি নই।"" এগিয়ে যাও!!!!!")</f>
        <v>তোমাকে শুধু এটা করতে হবে। মাঝে মাঝে, যদি তুমি ভালো হতে চাও, তাহলে তোমার পরিস্থিতি থেকে বেরিয়ে আসতে হবে, তুমি যেমনই অনুভব করো না কেন। অথবা তুমি সবসময় এখন কেমন অনুভব করবে তা অনুভব করবে। তোমাকে শুধু উঠে এগিয়ে যেতে হবে, যদি উদ্বেগ আসে, শুধু বলতে হবে "এগিয়ে যাও, তুমি যা করতে চাও তাই করো, আমি কিছুতেই রাজি নই।" এগিয়ে যাও!!!!!</v>
      </c>
    </row>
    <row r="2595" spans="1:3" ht="15" x14ac:dyDescent="0.25">
      <c r="A2595" s="3" t="s">
        <v>2588</v>
      </c>
      <c r="B2595" s="3" t="s">
        <v>1992</v>
      </c>
      <c r="C2595" s="4" t="str">
        <f ca="1">IFERROR(__xludf.DUMMYFUNCTION("GOOGLETRANSLATE(A2595, ""auto"", ""bn"")"),"উদ্বেগের জন্য কীভাবে ডাক্তার দেখাবেন? এখানে পটভূমি। আমার বয়স ১৮ বছরের বেশি, আমি ক্যালিফোর্নিয়ায় থাকি, আমার বাবা-মায়ের বীমা আছে, এবং আমি আমার উদ্বেগের জন্য কখনও কোনও ডাক্তারের কাছে যাইনি। আমার প্যানিক অ্যাটাক খুব বেশি হয়ে উঠছে, এবং আমি কর্মক্ষেত্রে এট"&amp;"ির প্রভাব আর অনুভব করতে পারছি না। আমি বছরের পর বছর ধরে চেষ্টা করেছি এবং আমার বাবা-মা উদ্বেগ এবং প্যানিক অ্যাটাকের জন্য সাহায্য নেওয়ার চেষ্টা করার ক্ষেত্রে আমাকে সমর্থন করছেন না। আমি একজন ডাক্তারের কাছে যেতে চাই কারণ আমার মনে হয় তারা কিছু পরীক্ষা করতে পা"&amp;"রেন এবং আমাকে বুঝতে সাহায্য করতে পারেন যে আমার কোনও ধরণের ব্যাধি আছে কিনা। ব্যাপারটা হল... আমি চাই না আমার পরিবার জানুক। আমি এর থেকে বাঁচার কোনও উপায় দেখতে পাচ্ছি না কারণ আমি যদি কোনও ডাক্তারের কাছে যাই তবে তারা আমাদের বীমার মাধ্যমে আমার পরিদর্শন সম্পর্ক"&amp;"ে জানতে পারবে। এখানে কেউ কি উদ্বেগের জন্য ডাক্তারের কাছে গেছেন? খরচ সম্পর্কে কি আপনার ধারণা আছে বা এটি গোপন রাখার জন্য আমার কী করা উচিত? জাহান্নাম, এমনকি কিছু প্রথম পদক্ষেপও সাহায্য করবে, আমি কোথা থেকে শুরু করব তাও জানি না।")</f>
        <v>উদ্বেগের জন্য কীভাবে ডাক্তার দেখাবেন? এখানে পটভূমি। আমার বয়স ১৮ বছরের বেশি, আমি ক্যালিফোর্নিয়ায় থাকি, আমার বাবা-মায়ের বীমা আছে, এবং আমি আমার উদ্বেগের জন্য কখনও কোনও ডাক্তারের কাছে যাইনি। আমার প্যানিক অ্যাটাক খুব বেশি হয়ে উঠছে, এবং আমি কর্মক্ষেত্রে এটির প্রভাব আর অনুভব করতে পারছি না। আমি বছরের পর বছর ধরে চেষ্টা করেছি এবং আমার বাবা-মা উদ্বেগ এবং প্যানিক অ্যাটাকের জন্য সাহায্য নেওয়ার চেষ্টা করার ক্ষেত্রে আমাকে সমর্থন করছেন না। আমি একজন ডাক্তারের কাছে যেতে চাই কারণ আমার মনে হয় তারা কিছু পরীক্ষা করতে পারেন এবং আমাকে বুঝতে সাহায্য করতে পারেন যে আমার কোনও ধরণের ব্যাধি আছে কিনা। ব্যাপারটা হল... আমি চাই না আমার পরিবার জানুক। আমি এর থেকে বাঁচার কোনও উপায় দেখতে পাচ্ছি না কারণ আমি যদি কোনও ডাক্তারের কাছে যাই তবে তারা আমাদের বীমার মাধ্যমে আমার পরিদর্শন সম্পর্কে জানতে পারবে। এখানে কেউ কি উদ্বেগের জন্য ডাক্তারের কাছে গেছেন? খরচ সম্পর্কে কি আপনার ধারণা আছে বা এটি গোপন রাখার জন্য আমার কী করা উচিত? জাহান্নাম, এমনকি কিছু প্রথম পদক্ষেপও সাহায্য করবে, আমি কোথা থেকে শুরু করব তাও জানি না।</v>
      </c>
    </row>
    <row r="2596" spans="1:3" ht="15" x14ac:dyDescent="0.25">
      <c r="A2596" s="3" t="s">
        <v>2589</v>
      </c>
      <c r="B2596" s="3" t="s">
        <v>1992</v>
      </c>
      <c r="C2596" s="4" t="str">
        <f ca="1">IFERROR(__xludf.DUMMYFUNCTION("GOOGLETRANSLATE(A2596, ""auto"", ""bn"")"),"আমার সত্যিই কারো সাথে কথা বলা দরকার, আমার এখন তীব্র আতঙ্কের আক্রমণ হচ্ছে। সবাইকে হ্যালো, আমি এখানে খুব বেশি পোস্ট করি না, তবে এই মুহূর্তে কীভাবে শান্ত হওয়া যায় সে সম্পর্কে কিছু পরামর্শ আমার কাজে লাগতে পারে। তাই আমি ভিন্ন ধরণের জন্মনিয়ন্ত্রণ গ্রহণ শুরু কর"&amp;"েছি, এবং এটি আমার উদ্বেগকে আরও বাড়িয়ে তুলেছে। আমি প্যানিক অ্যাটাক, বমি বমি ভাব, হাইপারভেন্টিলেটিং, দ্রুত হৃদস্পন্দন এবং মাথা ঘোরার কথা বলছি। আমি সবেমাত্র একটি উদ্বেগের স্বপ্ন থেকে জেগে উঠলাম, এবং আমার খুব শীঘ্রই প্রচুর ঘাম হচ্ছে। তাছাড়া, আমি কাঁপছি এবং"&amp;" আমার শ্বাস নিয়ন্ত্রণ করতে কষ্ট হচ্ছে। দয়া করে সাহায্য করুন, আমাকে শান্ত হতে সাহায্য করার জন্য এখনই কারো সাথে কথা বলা দরকার।")</f>
        <v>আমার সত্যিই কারো সাথে কথা বলা দরকার, আমার এখন তীব্র আতঙ্কের আক্রমণ হচ্ছে। সবাইকে হ্যালো, আমি এখানে খুব বেশি পোস্ট করি না, তবে এই মুহূর্তে কীভাবে শান্ত হওয়া যায় সে সম্পর্কে কিছু পরামর্শ আমার কাজে লাগতে পারে। তাই আমি ভিন্ন ধরণের জন্মনিয়ন্ত্রণ গ্রহণ শুরু করেছি, এবং এটি আমার উদ্বেগকে আরও বাড়িয়ে তুলেছে। আমি প্যানিক অ্যাটাক, বমি বমি ভাব, হাইপারভেন্টিলেটিং, দ্রুত হৃদস্পন্দন এবং মাথা ঘোরার কথা বলছি। আমি সবেমাত্র একটি উদ্বেগের স্বপ্ন থেকে জেগে উঠলাম, এবং আমার খুব শীঘ্রই প্রচুর ঘাম হচ্ছে। তাছাড়া, আমি কাঁপছি এবং আমার শ্বাস নিয়ন্ত্রণ করতে কষ্ট হচ্ছে। দয়া করে সাহায্য করুন, আমাকে শান্ত হতে সাহায্য করার জন্য এখনই কারো সাথে কথা বলা দরকার।</v>
      </c>
    </row>
    <row r="2597" spans="1:3" ht="15" x14ac:dyDescent="0.25">
      <c r="A2597" s="3" t="s">
        <v>2590</v>
      </c>
      <c r="B2597" s="3" t="s">
        <v>1992</v>
      </c>
      <c r="C2597" s="4" t="str">
        <f ca="1">IFERROR(__xludf.DUMMYFUNCTION("GOOGLETRANSLATE(A2597, ""auto"", ""bn"")"),"অ্যাম্বুলেন্সে উদ্বেগ/আতঙ্কের আক্রমণের খবর। সকাল ৭টায় কাজ থেকে বাড়ি ফিরছিলাম, আমার হৃদস্পন্দন রকেটের চেয়েও বেশি অনুভব করলাম এবং লালচে ভাব, ঘাম এবং বুকে তীব্র ব্যথা দেখতে পেলাম। আমি গাড়ি থামিয়ে ১১১ নম্বরে ফোন করলাম, এবং তারা একটি অ্যাম্বুলেন্স পাঠালো।"&amp;" অ্যাম্বুলেন্সের কর্মীরা অসাধারণ ছিলেন, তাদের সমস্ত পরীক্ষা করা হয়েছে এবং সবকিছু ঠিকঠাক হয়েছে, স্বাভাবিক রক্তচাপ, স্বাভাবিক হৃদপিণ্ড, ফুসফুস সবকিছুই ভালো। তারা আমাকে বলেছিলেন যে উদ্বেগ কীভাবে শরীরে প্রভাব ফেলতে পারে এবং এটি কীভাবে ভয়াবহ হতে পারে এবং চি"&amp;"ন্তার কিছু নেই। তারা আমার ফলাফল আমার জিপির কাছে পাঠিয়েছে এবং আমি ডাক্তারের অ্যাপয়েন্টমেন্ট নিয়েছি। আমার আগেও উদ্বেগের আক্রমণ হয়েছে, কিন্তু সম্প্রতি এটি খুব কাছাকাছি পৌঁছেছে এবং আমার উদ্বেগের খবর আপলোড হচ্ছে। যখন আমি ডাক্তারের কাছে যাই, তারা আমাকে সাহা"&amp;"য্য করার জন্য কী করবেন, ওষুধ? থেরাপি? কী হবে? অনেক ধন্যবাদ বন্ধুরা।")</f>
        <v>অ্যাম্বুলেন্সে উদ্বেগ/আতঙ্কের আক্রমণের খবর। সকাল ৭টায় কাজ থেকে বাড়ি ফিরছিলাম, আমার হৃদস্পন্দন রকেটের চেয়েও বেশি অনুভব করলাম এবং লালচে ভাব, ঘাম এবং বুকে তীব্র ব্যথা দেখতে পেলাম। আমি গাড়ি থামিয়ে ১১১ নম্বরে ফোন করলাম, এবং তারা একটি অ্যাম্বুলেন্স পাঠালো। অ্যাম্বুলেন্সের কর্মীরা অসাধারণ ছিলেন, তাদের সমস্ত পরীক্ষা করা হয়েছে এবং সবকিছু ঠিকঠাক হয়েছে, স্বাভাবিক রক্তচাপ, স্বাভাবিক হৃদপিণ্ড, ফুসফুস সবকিছুই ভালো। তারা আমাকে বলেছিলেন যে উদ্বেগ কীভাবে শরীরে প্রভাব ফেলতে পারে এবং এটি কীভাবে ভয়াবহ হতে পারে এবং চিন্তার কিছু নেই। তারা আমার ফলাফল আমার জিপির কাছে পাঠিয়েছে এবং আমি ডাক্তারের অ্যাপয়েন্টমেন্ট নিয়েছি। আমার আগেও উদ্বেগের আক্রমণ হয়েছে, কিন্তু সম্প্রতি এটি খুব কাছাকাছি পৌঁছেছে এবং আমার উদ্বেগের খবর আপলোড হচ্ছে। যখন আমি ডাক্তারের কাছে যাই, তারা আমাকে সাহায্য করার জন্য কী করবেন, ওষুধ? থেরাপি? কী হবে? অনেক ধন্যবাদ বন্ধুরা।</v>
      </c>
    </row>
    <row r="2598" spans="1:3" ht="15" x14ac:dyDescent="0.25">
      <c r="A2598" s="3" t="s">
        <v>2591</v>
      </c>
      <c r="B2598" s="3" t="s">
        <v>1992</v>
      </c>
      <c r="C2598" s="4" t="str">
        <f ca="1">IFERROR(__xludf.DUMMYFUNCTION("GOOGLETRANSLATE(A2598, ""auto"", ""bn"")"),"আসলে কাজ করার জন্য খুব বেশি উদ্বিগ্ন। হ্যাঁ... হ্যাঁ। শিরোনামে এটাই। আমি সবকিছু নিয়েই উদ্বিগ্ন: গাড়ি চালানো, স্বাস্থ্য, কাজ, সম্পর্ক... তালিকাটি আরও দীর্ঘ। আমি আমার সারা জীবন কিছুটা হলেও সাধারণ উদ্বেগের সাথে মোকাবিলা করেছি, কিন্তু গত বছরে, এটি এতটাই খার"&amp;"াপ হয়ে গেছে যে আমি আর বাঁচতে পারছি না। আমি নির্দিষ্ট করে বলতে পারি এমন কোনও নির্দিষ্ট কারণ নেই: আমি কোনও দুর্ঘটনার শিকার হইনি, আমি কোনও ধরণের অসুস্থতা বা আঘাতের শিকার হইনি, এমনকি আমি একটি অত্যন্ত চাপপূর্ণ চাকরিও ছেড়ে দিয়েছি। আমার, সর্বোপরি, *আরও ভালো* "&amp;"করা উচিত ছিল, কিন্তু আমি তা করছি না। আমার দৈনন্দিন জীবনে আমি যে প্রতিটি ছোটখাটো ঘটনার মুখোমুখি হই তা আমাকে সম্পূর্ণরূপে বন্ধ করে দেয়। কখনও কখনও আমি কেবল শ্বাস নিতে পারি না, কখনও কখনও আমি সম্পূর্ণরূপে ফাঁকা জায়গা খুঁজে পাই এবং সময় নষ্ট করি। কিছু দিন, এট"&amp;"ি এতটাই খারাপ যে আমি সত্যিই বিশ্বাস করি যে আমি বাস্তবতার সাথে সম্পূর্ণরূপে যোগাযোগ হারিয়ে ফেলছি এবং পাগল হয়ে যাচ্ছি। আমি স্কিজোফ্রেনিয়ার প্রাথমিক পর্যায়ের মানুষদের একই রকম অভিজ্ঞতার কথা পড়েছি, এবং বেশিরভাগ মানুষের ক্ষেত্রেই এটি আমার বয়সের কাছাকাছি স"&amp;"ময়ে শুরু হয়। (স্বাস্থ্য উদ্বেগ সম্পর্কে কিছু অংশ দেখুন।) এটা ভয়াবহ। এভাবে বেঁচে থাকার কোনও উপায় নেই, কিন্তু ভবিষ্যতের ব্যাপারে আমি খুব হতাশ বোধ করি। বাহ, আমি যতবার আত্মহত্যার কথা ভাবি, তাতে আমার আর কোনও ভবিষ্যৎ আছে বলে মনে হয় না। এর কারণে আমার মানসিক"&amp;" শান্তি কেড়ে নেওয়া হয়েছে এবং আমি আর এটা সহ্য করতে পারছি না।")</f>
        <v>আসলে কাজ করার জন্য খুব বেশি উদ্বিগ্ন। হ্যাঁ... হ্যাঁ। শিরোনামে এটাই। আমি সবকিছু নিয়েই উদ্বিগ্ন: গাড়ি চালানো, স্বাস্থ্য, কাজ, সম্পর্ক... তালিকাটি আরও দীর্ঘ। আমি আমার সারা জীবন কিছুটা হলেও সাধারণ উদ্বেগের সাথে মোকাবিলা করেছি, কিন্তু গত বছরে, এটি এতটাই খারাপ হয়ে গেছে যে আমি আর বাঁচতে পারছি না। আমি নির্দিষ্ট করে বলতে পারি এমন কোনও নির্দিষ্ট কারণ নেই: আমি কোনও দুর্ঘটনার শিকার হইনি, আমি কোনও ধরণের অসুস্থতা বা আঘাতের শিকার হইনি, এমনকি আমি একটি অত্যন্ত চাপপূর্ণ চাকরিও ছেড়ে দিয়েছি। আমার, সর্বোপরি, *আরও ভালো* করা উচিত ছিল, কিন্তু আমি তা করছি না। আমার দৈনন্দিন জীবনে আমি যে প্রতিটি ছোটখাটো ঘটনার মুখোমুখি হই তা আমাকে সম্পূর্ণরূপে বন্ধ করে দেয়। কখনও কখনও আমি কেবল শ্বাস নিতে পারি না, কখনও কখনও আমি সম্পূর্ণরূপে ফাঁকা জায়গা খুঁজে পাই এবং সময় নষ্ট করি। কিছু দিন, এটি এতটাই খারাপ যে আমি সত্যিই বিশ্বাস করি যে আমি বাস্তবতার সাথে সম্পূর্ণরূপে যোগাযোগ হারিয়ে ফেলছি এবং পাগল হয়ে যাচ্ছি। আমি স্কিজোফ্রেনিয়ার প্রাথমিক পর্যায়ের মানুষদের একই রকম অভিজ্ঞতার কথা পড়েছি, এবং বেশিরভাগ মানুষের ক্ষেত্রেই এটি আমার বয়সের কাছাকাছি সময়ে শুরু হয়। (স্বাস্থ্য উদ্বেগ সম্পর্কে কিছু অংশ দেখুন।) এটা ভয়াবহ। এভাবে বেঁচে থাকার কোনও উপায় নেই, কিন্তু ভবিষ্যতের ব্যাপারে আমি খুব হতাশ বোধ করি। বাহ, আমি যতবার আত্মহত্যার কথা ভাবি, তাতে আমার আর কোনও ভবিষ্যৎ আছে বলে মনে হয় না। এর কারণে আমার মানসিক শান্তি কেড়ে নেওয়া হয়েছে এবং আমি আর এটা সহ্য করতে পারছি না।</v>
      </c>
    </row>
    <row r="2599" spans="1:3" ht="15" x14ac:dyDescent="0.25">
      <c r="A2599" s="3" t="s">
        <v>2592</v>
      </c>
      <c r="B2599" s="3" t="s">
        <v>1992</v>
      </c>
      <c r="C2599" s="4" t="str">
        <f ca="1">IFERROR(__xludf.DUMMYFUNCTION("GOOGLETRANSLATE(A2599, ""auto"", ""bn"")"),"প্রচণ্ড উদ্বেগ সবাইকে হ্যালো, সম্প্রতি আমি একটি জিনিস নিয়ে খুব বেশি উদ্বিগ্ন। তৃতীয় বিশ্বযুদ্ধ। এখন আমি জানি এটা সম্ভবত অদ্ভুত, কিন্তু এটা এতটাই খারাপ যে আমি মূলত সারাদিন বিছানায় শুয়ে সংবাদ আপডেট ইত্যাদি দেখছি। আমার সাহায্যের প্রয়োজন.... কেউ কি আমাকে"&amp;" সাহায্য করতে পারবেন?")</f>
        <v>প্রচণ্ড উদ্বেগ সবাইকে হ্যালো, সম্প্রতি আমি একটি জিনিস নিয়ে খুব বেশি উদ্বিগ্ন। তৃতীয় বিশ্বযুদ্ধ। এখন আমি জানি এটা সম্ভবত অদ্ভুত, কিন্তু এটা এতটাই খারাপ যে আমি মূলত সারাদিন বিছানায় শুয়ে সংবাদ আপডেট ইত্যাদি দেখছি। আমার সাহায্যের প্রয়োজন.... কেউ কি আমাকে সাহায্য করতে পারবেন?</v>
      </c>
    </row>
    <row r="2600" spans="1:3" ht="15" x14ac:dyDescent="0.25">
      <c r="A2600" s="3" t="s">
        <v>2593</v>
      </c>
      <c r="B2600" s="3" t="s">
        <v>1992</v>
      </c>
      <c r="C2600" s="4" t="str">
        <f ca="1">IFERROR(__xludf.DUMMYFUNCTION("GOOGLETRANSLATE(A2600, ""auto"", ""bn"")"),"অনলাইনে এই বিষয়ে কখনো কথা বলিনি কিন্তু ভেবেছিলাম চেষ্টা করে দেখব। (গল্প) আমি আমার গল্প শুরু করতে চাই এই বলে যে রাতের আগে আমি যে কথা বলেছিলাম তার আগে আমার কখনও উদ্বেগের ইতিহাস ছিল না, অন্তত দীর্ঘস্থায়ী উদ্বেগ ছিল না। দিনটি ছিল ২০১৬ সালের ১০ আগস্ট, আমার জন"&amp;"্মদিনের আগের দিন এবং আমি আমার বন্ধুদের ভিডিও গেম খেলতে এবং আড্ডা দেওয়ার জন্য আমন্ত্রণ জানিয়েছিলাম। আমার এক বন্ধুকে পরে চলে যেতে হয়েছিল, বাকি বন্ধুরা রাত কাটাচ্ছিল। রাতটি আমার খুব স্পষ্ট মনে আছে কারণ এই রাতটি আমার জীবনকে পুরোপুরি বদলে দিয়েছে। আমি অ্যাম"&amp;"াজন থেকে ১২ প্যাকেট ব্লু রেড বুলের একটি কিনেছিলাম, এবং তারা যে রাতে এসেছিল সেই রাতেই এটি ডেলিভারি করা হয়েছিল, এবং আমি সম্ভবত ৩-৪ প্যাকেট পান করেছিলাম, আমার অন্য দুই বন্ধু প্রায় একই পরিমাণে পান করেছিল। যাই হোক, আমি রেড বুল পান করেছিলাম এবং প্রথমে আমি রেড"&amp;" বুলের স্বাভাবিক প্রভাব অনুভব করিনি (যেমন, চিন্তিত হওয়া, ঘুম থেকে ওঠা ইত্যাদি) কিন্তু তারপর রেড বুল খাওয়ার প্রায় ২ ঘন্টা পরে আমি বোর্ড গেম খেলতে গিয়ে উদ্বিগ্ন বোধ করতে শুরু করি। এবং অবশেষে এটি একটি গুরুতর উদ্বেগের সমস্যায় পরিণত হতে শুরু করে, এবং আমি "&amp;"ভয় পেতে শুরু করি যে আমার হৃদরোগ বা অন্য কিছু হতে পারে। এটি কেবল আরও খারাপ হতে থাকে, এবং অবশেষে আমি আক্ষরিক অর্থেই কাঁদতে থাকি কারণ আমি ভেবেছিলাম আমি আমার জীবনের শেষ মুহূর্তগুলি অনুভব করছি। যাই হোক, আমি অবশেষে ঘুমিয়ে পড়ি এবং জেগে উঠলে অন্যরকম অনুভূতি হয়"&amp;", কিন্তু আমি প্রায় 4-5 ঘন্টার মতো সামান্য ঘুমের সাথে জেগে উঠি। পরে আমি কেবল একটি ব্যাপক উদ্বেগ অনুভব করতে শুরু করি। আমার হৃদস্পন্দন ছাদ ছুঁড়ে ফেলেছিল, এবং আমি আমার জীবনের জন্য ভয় পেয়েছিলাম। অবশেষে এক বা দুই দিন ধরে এই অনুভূতি থাকার পরে আমি চিন্তা করতে"&amp;" শুরু করি যে আমি আর কখনও একই রকম বোধ করব না। ঘটনার প্রায় 2 দিন পরে আমি ডাক্তারের কাছে গিয়েছিলাম, এবং তিনি আমাকে প্রোজ্যাক লিখে দিয়েছিলেন। আমি প্রোজ্যাক নিয়েছিলাম এই আশায় যে এটি কোনও তাৎক্ষণিক নিরাময় হবে। যদিও এটি কোনও নিরাময় ছিল না, এটি অবশ্যই সাহা"&amp;"য্য করেছিল। প্রেসক্রিপশনটি তাৎক্ষণিকভাবে সাহায্য করেনি, তবে অবশেষে কয়েক মাস ধরে এটি গ্রহণ করার পরে এটি আমার উদ্বেগের রক্ষণাবেক্ষণ এবং এটি নিয়ন্ত্রণে রাখার মতো ছিল। আমি এটি দীর্ঘ সময় ধরে নিয়েছিলাম (আমি ভুলে গেছি কতক্ষণ)। প্রাকৃতিক ওষুধ সেবন মস্তিষ্কের "&amp;"উপর প্রভাব ফেলতে পারে, এই বিষয়টি জেনে আমি যত তাড়াতাড়ি সম্ভব তা ত্যাগ করতে চেয়েছিলাম। সম্প্রতি আমি এটি ত্যাগ করেছি, কিন্তু ২০১৮ সালের ডিসেম্বরের শুরুতে আমি আবারও এক ধরণের উদ্বেগ অনুভব করতে শুরু করি এবং এতে আমি ক্লান্ত। আমি কেবল সেই রাতের আগে আমার জীবন "&amp;"ফিরে পেতে চাই। কারো কি কোন পরামর্শ আছে?")</f>
        <v>অনলাইনে এই বিষয়ে কখনো কথা বলিনি কিন্তু ভেবেছিলাম চেষ্টা করে দেখব। (গল্প) আমি আমার গল্প শুরু করতে চাই এই বলে যে রাতের আগে আমি যে কথা বলেছিলাম তার আগে আমার কখনও উদ্বেগের ইতিহাস ছিল না, অন্তত দীর্ঘস্থায়ী উদ্বেগ ছিল না। দিনটি ছিল ২০১৬ সালের ১০ আগস্ট, আমার জন্মদিনের আগের দিন এবং আমি আমার বন্ধুদের ভিডিও গেম খেলতে এবং আড্ডা দেওয়ার জন্য আমন্ত্রণ জানিয়েছিলাম। আমার এক বন্ধুকে পরে চলে যেতে হয়েছিল, বাকি বন্ধুরা রাত কাটাচ্ছিল। রাতটি আমার খুব স্পষ্ট মনে আছে কারণ এই রাতটি আমার জীবনকে পুরোপুরি বদলে দিয়েছে। আমি অ্যামাজন থেকে ১২ প্যাকেট ব্লু রেড বুলের একটি কিনেছিলাম, এবং তারা যে রাতে এসেছিল সেই রাতেই এটি ডেলিভারি করা হয়েছিল, এবং আমি সম্ভবত ৩-৪ প্যাকেট পান করেছিলাম, আমার অন্য দুই বন্ধু প্রায় একই পরিমাণে পান করেছিল। যাই হোক, আমি রেড বুল পান করেছিলাম এবং প্রথমে আমি রেড বুলের স্বাভাবিক প্রভাব অনুভব করিনি (যেমন, চিন্তিত হওয়া, ঘুম থেকে ওঠা ইত্যাদি) কিন্তু তারপর রেড বুল খাওয়ার প্রায় ২ ঘন্টা পরে আমি বোর্ড গেম খেলতে গিয়ে উদ্বিগ্ন বোধ করতে শুরু করি। এবং অবশেষে এটি একটি গুরুতর উদ্বেগের সমস্যায় পরিণত হতে শুরু করে, এবং আমি ভয় পেতে শুরু করি যে আমার হৃদরোগ বা অন্য কিছু হতে পারে। এটি কেবল আরও খারাপ হতে থাকে, এবং অবশেষে আমি আক্ষরিক অর্থেই কাঁদতে থাকি কারণ আমি ভেবেছিলাম আমি আমার জীবনের শেষ মুহূর্তগুলি অনুভব করছি। যাই হোক, আমি অবশেষে ঘুমিয়ে পড়ি এবং জেগে উঠলে অন্যরকম অনুভূতি হয়, কিন্তু আমি প্রায় 4-5 ঘন্টার মতো সামান্য ঘুমের সাথে জেগে উঠি। পরে আমি কেবল একটি ব্যাপক উদ্বেগ অনুভব করতে শুরু করি। আমার হৃদস্পন্দন ছাদ ছুঁড়ে ফেলেছিল, এবং আমি আমার জীবনের জন্য ভয় পেয়েছিলাম। অবশেষে এক বা দুই দিন ধরে এই অনুভূতি থাকার পরে আমি চিন্তা করতে শুরু করি যে আমি আর কখনও একই রকম বোধ করব না। ঘটনার প্রায় 2 দিন পরে আমি ডাক্তারের কাছে গিয়েছিলাম, এবং তিনি আমাকে প্রোজ্যাক লিখে দিয়েছিলেন। আমি প্রোজ্যাক নিয়েছিলাম এই আশায় যে এটি কোনও তাৎক্ষণিক নিরাময় হবে। যদিও এটি কোনও নিরাময় ছিল না, এটি অবশ্যই সাহায্য করেছিল। প্রেসক্রিপশনটি তাৎক্ষণিকভাবে সাহায্য করেনি, তবে অবশেষে কয়েক মাস ধরে এটি গ্রহণ করার পরে এটি আমার উদ্বেগের রক্ষণাবেক্ষণ এবং এটি নিয়ন্ত্রণে রাখার মতো ছিল। আমি এটি দীর্ঘ সময় ধরে নিয়েছিলাম (আমি ভুলে গেছি কতক্ষণ)। প্রাকৃতিক ওষুধ সেবন মস্তিষ্কের উপর প্রভাব ফেলতে পারে, এই বিষয়টি জেনে আমি যত তাড়াতাড়ি সম্ভব তা ত্যাগ করতে চেয়েছিলাম। সম্প্রতি আমি এটি ত্যাগ করেছি, কিন্তু ২০১৮ সালের ডিসেম্বরের শুরুতে আমি আবারও এক ধরণের উদ্বেগ অনুভব করতে শুরু করি এবং এতে আমি ক্লান্ত। আমি কেবল সেই রাতের আগে আমার জীবন ফিরে পেতে চাই। কারো কি কোন পরামর্শ আছে?</v>
      </c>
    </row>
    <row r="2601" spans="1:3" ht="15" x14ac:dyDescent="0.25">
      <c r="A2601" s="3" t="s">
        <v>2594</v>
      </c>
      <c r="B2601" s="3" t="s">
        <v>1992</v>
      </c>
      <c r="C2601" s="4" t="str">
        <f ca="1">IFERROR(__xludf.DUMMYFUNCTION("GOOGLETRANSLATE(A2601, ""auto"", ""bn"")"),"অকার্যকর পরিবারের উদ্বেগ। শারীরিক নির্যাতন এবং বিশ্বাসঘাতকতার জন্য সতর্কীকরণ। আমার বয়স ১৮, এখনও হাই স্কুলে পড়ি এবং বর্তমানে আমার দুই বাবা-মা এবং আমার ২০ বছর বয়সী ভাইয়ের সাথে থাকি। আমার পরিবার সবসময়ই অকার্যকর ছিল, কিন্তু আমার মনে হয় পরিস্থিতি দ্রুত খ"&amp;"ারাপ হচ্ছে। বড় হওয়ার সাথে সাথে আমার সবসময় মনে হয়েছে যে আমার বাবা-মা একে অপরকে ঘৃণা করতেন। তারা মারামারি করতেন, কাচ ভাঙতেন এবং একে অপরকে আঘাত করার হুমকি দিতেন। আমি সত্যিই বুঝতে পারি না যে কীভাবে এবং কেন তারা এত দশক ধরে একসাথে আছেন। আমরা দরিদ্র ছিলাম এব"&amp;"ং খারাপ বাড়িতে থাকতাম যেখানে অনেক সময় বিদ্যুৎ এবং জল থাকত না, সাধারণত তেলাপোকা এবং ইঁদুর সর্বত্র ছুটে বেড়াত। আমি তিনজনের মধ্যে সবার ছোট; আমি, আমার ভাই এবং আমার বোন, যে সবচেয়ে বড়। আমার সবসময় মনে হয়েছে যে আমাকে খারাপ সন্তান হিসেবে বিবেচনা করা হত, এবং"&amp;" আমি বলব যে আমি অনেক চিৎকার করতাম এবং কাঁদতাম। কিন্তু যখনই আমি কিছু খারাপ করতাম তখন আমার মা আমার উপর চিৎকার করতেন, এবং আমি কথা বলতাম, এবং সে এতটাই রেগে যেত যে সে আমার মুখের কাছে আমাকে ধাক্কা দেওয়ার জন্য বেল্ট দিয়ে তাড়া করত। অবশ্যই, আমি সবসময় দৌড়ে গিয"&amp;"়ে নিজেকে একটি ঘরে আটকে রাখতাম, আর সে আমার কাছে পৌঁছানোর চেষ্টা করে দরজায় একটা ফুটো করে দিত যার ফলে শাস্তি আরও খারাপ হত। এইরকম অনেক বছর পর আমার মনে হয় আমার মায়ের সাথে আর কোনও সম্পর্ক নেই, শুধু আমরা মাঝে মাঝে একে অপরের সাথে মজা করে কথা বলি। আমি কী ভাবি "&amp;"বা আমার সাথে কী ঘটছে তা নিয়ে আমি তার সাথে মোটেও কথা বলি না কারণ সে আমাকে ভয় দেখায়। সে সত্যিই ভাবছে কেন আমি তার সাথে কোনও বিষয়ে কথা বলি না, এবং মনে হয় যেন আমার প্রতি তার শিষ্যত্ব বাইবেল দ্বারা ন্যায্য। আমার মনে হয় এর অনেক কিছুই আমার উদ্বেগের কারণ হয়"&amp;"েছে এবং এর কারণে আমি আমার বাবা-মায়ের প্রতি অনেক বিরক্তি অনুভব করি। কিন্তু যখন আমি ঘর ছেড়ে যাওয়ার কথা ভাবতে শুরু করি তখন আমার অপরাধবোধও হয়, কারণ আমার মা আমাকে বলেন যে আমি পরিবারের একমাত্র ব্যক্তি যে আসলে তার প্রতি মনোযোগ দেয়। যাই হোক, আমি বড় হওয়ার স"&amp;"াথে সাথে আমি শিখেছি যে ঝামেলা না করার জন্য আমার মুখ বন্ধ রাখার চেষ্টা করতে হবে। এবং মাঝে মাঝে স্বাভাবিক ঝগড়া ছাড়াও আমার বাবা-মায়ের মধ্যে এটি তুলনামূলকভাবে ঠিক আছে। কিন্তু এখন ক্রিসমাসের আগের দিন থেকে তারা একে অপরের উপর রেগে আছে, একই ঘরে একসাথে ঘুমাচ্ছে"&amp;" না, এমনকি একে অপরের সাথে কথাও বলছে না। আমার বাবা এটা শুরু করেছিলেন কারণ তিনি আমার মাকে বিল পরিশোধ না করার এবং তার সমস্ত টাকা এমন জিনিসপত্রের জন্য ব্যয় করার অভিযোগ করেছিলেন যা তার প্রয়োজন হয় না, যার কোনও অর্থ হয় না কারণ আমার বাবা আমার মায়ের চেয়ে অনে"&amp;"ক বেশি আয় করেন, এবং আমার বাবার টাকা এত তাড়াতাড়ি উধাও হয়ে যায় বলে বিল পরিশোধ করার জন্য আমার মাকে ডাবল শিফটে কাজ করতে হয়। আমার এবং আমার ভাইয়ের ক্রিসমাস ভালো কাটানোর জন্য আমার মা অতিরিক্ত ঘন্টা কাজ করেছিলেন। আমার বাবা কারও জন্য একেবারেই কিছু খরচ করেনন"&amp;"ি। আমার বোন, তার স্বামী এবং আমার মা এমনকি তাকে উপহারও কিনে দেননি। তাই এখন থেকে, আমার মা ডাবল শিফটে কাজ করছেন, এবং এখন যখনই তিনি ঘুমান তখন আমার বাবা কেবল ঘন্টার পর ঘন্টা ঘুম থেকে উঠে চলে যান। আর এটা দিনের মাঝামাঝি সময় নয়, রাত ১১টার দিকে যখন আমার মা কাজ করে"&amp;"ন। রাত ১০টা থেকে সন্ধ্যা ৬টা পর্যন্ত। সে আজ রাতে এটা করেছে, আর আমার পেটে শুধু এটা অনুভব করেছি যে সে কিছু একটা কাদা করছে, বিশেষ করে কারণ সে যাওয়ার ঠিক আগে গোসল করে ফেলেছিল এবং ফিরে এসে সোজা লন্ড্রি রুমে চলে গেছে, কে জানে কী করছে কারণ সে কারোর লন্ড্রি করে "&amp;"না। আমার বাবা-মা ঝগড়া করার সময় একে অপরকে ঘুমানোর জন্য দোষারোপ করলেও লাভ নেই। এটা আমাকে খুব অস্বস্তিতে ফেলতে শুরু করেছে। আমি সম্ভবত আমার মাকে এই বিষয়ে বলার কথা ভাবছি, কিন্তু আমি খুব ভয় পাচ্ছি কারণ আমার বাবা-মা ঝগড়া করলে আমার উদ্বেগের আক্রমণ হয়। আমি শ"&amp;"ুধু বাইরে যেতে চাই, কিন্তু আমি আমার ভাইকে একা এই পরিস্থিতি মোকাবেলা করতে দিতে চাই না (সে অটিস্টিক)। আমার মা আমাকে বলেছেন যে তিনি আমাদের বাবাকে ঘর থেকে বের করে দেবেন যদি সে তার জিনিসপত্র ঠিক না করে, কিন্তু আমি চাই না যে আমি এতে জড়াই কারণ সে রাগ করবে এবং হ"&amp;"িংস্র হতে পারে। এটা আমাকে একেবারেই ভয় পাইয়ে দেয়, আর এটাকে উপেক্ষা করা ছাড়া আর কিছুই করতে বাধা দেয় না, যা আমার পক্ষে মূলত অসম্ভব। আমি বুঝতে পারছি না কী করব, আর আমি আর কিছু না করে থাকতে পারছি না। আমি চাই না যে এই পরিস্থিতি ক্রমশ বাড়তে থাকুক যতক্ষণ না এটি আ"&amp;"রও গুরুতর কিছুতে পরিণত হয়। কেউ কি জানেন আমি কীভাবে এর সাথে মোকাবিলা করতে পারি? আমি সম্প্রতি খুব চাপের মধ্যে আছি।")</f>
        <v>অকার্যকর পরিবারের উদ্বেগ। শারীরিক নির্যাতন এবং বিশ্বাসঘাতকতার জন্য সতর্কীকরণ। আমার বয়স ১৮, এখনও হাই স্কুলে পড়ি এবং বর্তমানে আমার দুই বাবা-মা এবং আমার ২০ বছর বয়সী ভাইয়ের সাথে থাকি। আমার পরিবার সবসময়ই অকার্যকর ছিল, কিন্তু আমার মনে হয় পরিস্থিতি দ্রুত খারাপ হচ্ছে। বড় হওয়ার সাথে সাথে আমার সবসময় মনে হয়েছে যে আমার বাবা-মা একে অপরকে ঘৃণা করতেন। তারা মারামারি করতেন, কাচ ভাঙতেন এবং একে অপরকে আঘাত করার হুমকি দিতেন। আমি সত্যিই বুঝতে পারি না যে কীভাবে এবং কেন তারা এত দশক ধরে একসাথে আছেন। আমরা দরিদ্র ছিলাম এবং খারাপ বাড়িতে থাকতাম যেখানে অনেক সময় বিদ্যুৎ এবং জল থাকত না, সাধারণত তেলাপোকা এবং ইঁদুর সর্বত্র ছুটে বেড়াত। আমি তিনজনের মধ্যে সবার ছোট; আমি, আমার ভাই এবং আমার বোন, যে সবচেয়ে বড়। আমার সবসময় মনে হয়েছে যে আমাকে খারাপ সন্তান হিসেবে বিবেচনা করা হত, এবং আমি বলব যে আমি অনেক চিৎকার করতাম এবং কাঁদতাম। কিন্তু যখনই আমি কিছু খারাপ করতাম তখন আমার মা আমার উপর চিৎকার করতেন, এবং আমি কথা বলতাম, এবং সে এতটাই রেগে যেত যে সে আমার মুখের কাছে আমাকে ধাক্কা দেওয়ার জন্য বেল্ট দিয়ে তাড়া করত। অবশ্যই, আমি সবসময় দৌড়ে গিয়ে নিজেকে একটি ঘরে আটকে রাখতাম, আর সে আমার কাছে পৌঁছানোর চেষ্টা করে দরজায় একটা ফুটো করে দিত যার ফলে শাস্তি আরও খারাপ হত। এইরকম অনেক বছর পর আমার মনে হয় আমার মায়ের সাথে আর কোনও সম্পর্ক নেই, শুধু আমরা মাঝে মাঝে একে অপরের সাথে মজা করে কথা বলি। আমি কী ভাবি বা আমার সাথে কী ঘটছে তা নিয়ে আমি তার সাথে মোটেও কথা বলি না কারণ সে আমাকে ভয় দেখায়। সে সত্যিই ভাবছে কেন আমি তার সাথে কোনও বিষয়ে কথা বলি না, এবং মনে হয় যেন আমার প্রতি তার শিষ্যত্ব বাইবেল দ্বারা ন্যায্য। আমার মনে হয় এর অনেক কিছুই আমার উদ্বেগের কারণ হয়েছে এবং এর কারণে আমি আমার বাবা-মায়ের প্রতি অনেক বিরক্তি অনুভব করি। কিন্তু যখন আমি ঘর ছেড়ে যাওয়ার কথা ভাবতে শুরু করি তখন আমার অপরাধবোধও হয়, কারণ আমার মা আমাকে বলেন যে আমি পরিবারের একমাত্র ব্যক্তি যে আসলে তার প্রতি মনোযোগ দেয়। যাই হোক, আমি বড় হওয়ার সাথে সাথে আমি শিখেছি যে ঝামেলা না করার জন্য আমার মুখ বন্ধ রাখার চেষ্টা করতে হবে। এবং মাঝে মাঝে স্বাভাবিক ঝগড়া ছাড়াও আমার বাবা-মায়ের মধ্যে এটি তুলনামূলকভাবে ঠিক আছে। কিন্তু এখন ক্রিসমাসের আগের দিন থেকে তারা একে অপরের উপর রেগে আছে, একই ঘরে একসাথে ঘুমাচ্ছে না, এমনকি একে অপরের সাথে কথাও বলছে না। আমার বাবা এটা শুরু করেছিলেন কারণ তিনি আমার মাকে বিল পরিশোধ না করার এবং তার সমস্ত টাকা এমন জিনিসপত্রের জন্য ব্যয় করার অভিযোগ করেছিলেন যা তার প্রয়োজন হয় না, যার কোনও অর্থ হয় না কারণ আমার বাবা আমার মায়ের চেয়ে অনেক বেশি আয় করেন, এবং আমার বাবার টাকা এত তাড়াতাড়ি উধাও হয়ে যায় বলে বিল পরিশোধ করার জন্য আমার মাকে ডাবল শিফটে কাজ করতে হয়। আমার এবং আমার ভাইয়ের ক্রিসমাস ভালো কাটানোর জন্য আমার মা অতিরিক্ত ঘন্টা কাজ করেছিলেন। আমার বাবা কারও জন্য একেবারেই কিছু খরচ করেননি। আমার বোন, তার স্বামী এবং আমার মা এমনকি তাকে উপহারও কিনে দেননি। তাই এখন থেকে, আমার মা ডাবল শিফটে কাজ করছেন, এবং এখন যখনই তিনি ঘুমান তখন আমার বাবা কেবল ঘন্টার পর ঘন্টা ঘুম থেকে উঠে চলে যান। আর এটা দিনের মাঝামাঝি সময় নয়, রাত ১১টার দিকে যখন আমার মা কাজ করেন। রাত ১০টা থেকে সন্ধ্যা ৬টা পর্যন্ত। সে আজ রাতে এটা করেছে, আর আমার পেটে শুধু এটা অনুভব করেছি যে সে কিছু একটা কাদা করছে, বিশেষ করে কারণ সে যাওয়ার ঠিক আগে গোসল করে ফেলেছিল এবং ফিরে এসে সোজা লন্ড্রি রুমে চলে গেছে, কে জানে কী করছে কারণ সে কারোর লন্ড্রি করে না। আমার বাবা-মা ঝগড়া করার সময় একে অপরকে ঘুমানোর জন্য দোষারোপ করলেও লাভ নেই। এটা আমাকে খুব অস্বস্তিতে ফেলতে শুরু করেছে। আমি সম্ভবত আমার মাকে এই বিষয়ে বলার কথা ভাবছি, কিন্তু আমি খুব ভয় পাচ্ছি কারণ আমার বাবা-মা ঝগড়া করলে আমার উদ্বেগের আক্রমণ হয়। আমি শুধু বাইরে যেতে চাই, কিন্তু আমি আমার ভাইকে একা এই পরিস্থিতি মোকাবেলা করতে দিতে চাই না (সে অটিস্টিক)। আমার মা আমাকে বলেছেন যে তিনি আমাদের বাবাকে ঘর থেকে বের করে দেবেন যদি সে তার জিনিসপত্র ঠিক না করে, কিন্তু আমি চাই না যে আমি এতে জড়াই কারণ সে রাগ করবে এবং হিংস্র হতে পারে। এটা আমাকে একেবারেই ভয় পাইয়ে দেয়, আর এটাকে উপেক্ষা করা ছাড়া আর কিছুই করতে বাধা দেয় না, যা আমার পক্ষে মূলত অসম্ভব। আমি বুঝতে পারছি না কী করব, আর আমি আর কিছু না করে থাকতে পারছি না। আমি চাই না যে এই পরিস্থিতি ক্রমশ বাড়তে থাকুক যতক্ষণ না এটি আরও গুরুতর কিছুতে পরিণত হয়। কেউ কি জানেন আমি কীভাবে এর সাথে মোকাবিলা করতে পারি? আমি সম্প্রতি খুব চাপের মধ্যে আছি।</v>
      </c>
    </row>
    <row r="2602" spans="1:3" ht="15" x14ac:dyDescent="0.25">
      <c r="A2602" s="3" t="s">
        <v>2595</v>
      </c>
      <c r="B2602" s="3" t="s">
        <v>1992</v>
      </c>
      <c r="C2602" s="4" t="str">
        <f ca="1">IFERROR(__xludf.DUMMYFUNCTION("GOOGLETRANSLATE(A2602, ""auto"", ""bn"")"),"আজ থেরাপিস্টের কাছে গেলাম আজই প্রথমবার থেরাপিস্টের কাছে গেলাম! আজ তার কাছে অতিরিক্ত কোনও ক্লায়েন্ট না থাকায় আমরা ২ ঘন্টারও বেশি সময় ধরে কথা বললাম। শেষে সে বলল যে আমি সম্ভবত ফিরে এসে তাকে পরবর্তী চেকআপের জন্য যা পাইনি তার সব কথা বলব। এটা মজার, কারণ আমরা"&amp;" খুব বেশি উদ্দেশ্যমূলক অগ্রগতি করতে পারিনি, কিন্তু যখন আমি তার অফিস থেকে বেরিয়ে এলাম, তখনই আমি নিজের সম্পর্কে অনেক ভালো বোধ করলাম এবং অনেক বেশি আত্মবিশ্বাসী বোধ করলাম। কিছুটা দ্বিধাগ্রস্ত হতে পেরে ভালো লাগলো। আমার মনে হচ্ছে আমি এখন এই উদ্বেগকে কাটিয়ে উ"&amp;"ঠতে পারব!")</f>
        <v>আজ থেরাপিস্টের কাছে গেলাম আজই প্রথমবার থেরাপিস্টের কাছে গেলাম! আজ তার কাছে অতিরিক্ত কোনও ক্লায়েন্ট না থাকায় আমরা ২ ঘন্টারও বেশি সময় ধরে কথা বললাম। শেষে সে বলল যে আমি সম্ভবত ফিরে এসে তাকে পরবর্তী চেকআপের জন্য যা পাইনি তার সব কথা বলব। এটা মজার, কারণ আমরা খুব বেশি উদ্দেশ্যমূলক অগ্রগতি করতে পারিনি, কিন্তু যখন আমি তার অফিস থেকে বেরিয়ে এলাম, তখনই আমি নিজের সম্পর্কে অনেক ভালো বোধ করলাম এবং অনেক বেশি আত্মবিশ্বাসী বোধ করলাম। কিছুটা দ্বিধাগ্রস্ত হতে পেরে ভালো লাগলো। আমার মনে হচ্ছে আমি এখন এই উদ্বেগকে কাটিয়ে উঠতে পারব!</v>
      </c>
    </row>
    <row r="2603" spans="1:3" ht="15" x14ac:dyDescent="0.25">
      <c r="A2603" s="3" t="s">
        <v>2596</v>
      </c>
      <c r="B2603" s="3" t="s">
        <v>1992</v>
      </c>
      <c r="C2603" s="4" t="str">
        <f ca="1">IFERROR(__xludf.DUMMYFUNCTION("GOOGLETRANSLATE(A2603, ""auto"", ""bn"")"),"আমার বয়ফ্রেন্ড পাশে না থাকলে আমি ঘুমাতে পারি না। বাড়ি সবসময় শান্ত এবং একা থাকে। সাধারণত, যখন আমি এখানে থাকি তখন আমি ভিডিও গেম, বই ইত্যাদির সাথে নিজেকে ব্যস্ত রাখি। কিন্তু অবশ্যই রাতে যখন বিশ্রামের সময় হয়, তখন আমার চিন্তাভাবনা ছুটে যায় এবং দিনের বেলা"&amp;"য় আমি সাধারণত যে ভয়গুলি সম্পর্কে ভাবি না তা আবার জেগে ওঠে। সম্প্রতি আমি এবং আমার বয়ফ্রেন্ড একসাথে ঘুমাতে শুরু করেছি, এবং প্রায় তাৎক্ষণিকভাবে ঘুমিয়ে পড়তে পারি, ঘন্টার পর ঘন্টা ছাদের দিকে তাকিয়ে থাকার পরিবর্তে। আমি আরামদায়ক, এবং যখন আমি তার সাথে থাক"&amp;"ি তখন আসলে আরাম করতে পারি। তবে, ভালো ঘুমের জন্য আমি তার উপর নির্ভর করতে পারি না; আমরা একসাথে থাকি না। আমি কীভাবে চোখ বন্ধ করে কিছু চেষ্টা করব সে সম্পর্কে কোন পরামর্শ? আমি চা, দুধ এবং সাদা শব্দের মতো কিছু জিনিস চেষ্টা করেছি। আমি মেলাটোনিন সাপ্লিমেন্ট চেষ্ট"&amp;"া করতে যাচ্ছি, কিন্তু আবারও আমি কিছুর উপর নির্ভর করতে চাই না।")</f>
        <v>আমার বয়ফ্রেন্ড পাশে না থাকলে আমি ঘুমাতে পারি না। বাড়ি সবসময় শান্ত এবং একা থাকে। সাধারণত, যখন আমি এখানে থাকি তখন আমি ভিডিও গেম, বই ইত্যাদির সাথে নিজেকে ব্যস্ত রাখি। কিন্তু অবশ্যই রাতে যখন বিশ্রামের সময় হয়, তখন আমার চিন্তাভাবনা ছুটে যায় এবং দিনের বেলায় আমি সাধারণত যে ভয়গুলি সম্পর্কে ভাবি না তা আবার জেগে ওঠে। সম্প্রতি আমি এবং আমার বয়ফ্রেন্ড একসাথে ঘুমাতে শুরু করেছি, এবং প্রায় তাৎক্ষণিকভাবে ঘুমিয়ে পড়তে পারি, ঘন্টার পর ঘন্টা ছাদের দিকে তাকিয়ে থাকার পরিবর্তে। আমি আরামদায়ক, এবং যখন আমি তার সাথে থাকি তখন আসলে আরাম করতে পারি। তবে, ভালো ঘুমের জন্য আমি তার উপর নির্ভর করতে পারি না; আমরা একসাথে থাকি না। আমি কীভাবে চোখ বন্ধ করে কিছু চেষ্টা করব সে সম্পর্কে কোন পরামর্শ? আমি চা, দুধ এবং সাদা শব্দের মতো কিছু জিনিস চেষ্টা করেছি। আমি মেলাটোনিন সাপ্লিমেন্ট চেষ্টা করতে যাচ্ছি, কিন্তু আবারও আমি কিছুর উপর নির্ভর করতে চাই না।</v>
      </c>
    </row>
    <row r="2604" spans="1:3" ht="15" x14ac:dyDescent="0.25">
      <c r="A2604" s="3" t="s">
        <v>2597</v>
      </c>
      <c r="B2604" s="3" t="s">
        <v>1992</v>
      </c>
      <c r="C2604" s="4" t="str">
        <f ca="1">IFERROR(__xludf.DUMMYFUNCTION("GOOGLETRANSLATE(A2604, ""auto"", ""bn"")"),"কলেজের দুশ্চিন্তা আমার বিশ্ববিদ্যালয়কে প্রায় ধ্বংস করে দিয়েছে। এর জন্য আমি দ্বিতীয় বর্ষের দ্বিতীয় সেমিস্টারের কথা বারবার বলছি। কলেজের ইমেইল খোলার সাহসও পাচ্ছি না কারণ আমি এটা মোকাবেলা করতে চাই না। আমার স্টুডেন্ট অ্যাকাউন্টে লগ ইন করার ধারণাটি আমাকে প্রায় "&amp;"আতঙ্কিত করে তোলে। তোমরা কীভাবে এটা কাটিয়েছ? আমি কয়েক সপ্তাহের মধ্যে ফিরে যাচ্ছি, আর এটা নিয়ে আমি ভয় পাচ্ছি।")</f>
        <v>কলেজের দুশ্চিন্তা আমার বিশ্ববিদ্যালয়কে প্রায় ধ্বংস করে দিয়েছে। এর জন্য আমি দ্বিতীয় বর্ষের দ্বিতীয় সেমিস্টারের কথা বারবার বলছি। কলেজের ইমেইল খোলার সাহসও পাচ্ছি না কারণ আমি এটা মোকাবেলা করতে চাই না। আমার স্টুডেন্ট অ্যাকাউন্টে লগ ইন করার ধারণাটি আমাকে প্রায় আতঙ্কিত করে তোলে। তোমরা কীভাবে এটা কাটিয়েছ? আমি কয়েক সপ্তাহের মধ্যে ফিরে যাচ্ছি, আর এটা নিয়ে আমি ভয় পাচ্ছি।</v>
      </c>
    </row>
    <row r="2605" spans="1:3" ht="15" x14ac:dyDescent="0.25">
      <c r="A2605" s="3" t="s">
        <v>2598</v>
      </c>
      <c r="B2605" s="3" t="s">
        <v>1992</v>
      </c>
      <c r="C2605" s="4" t="str">
        <f ca="1">IFERROR(__xludf.DUMMYFUNCTION("GOOGLETRANSLATE(A2605, ""auto"", ""bn"")"),"সম্পর্কের মধ্যে উদ্বেগ। পরামর্শ? আমি পুরো গল্পটা তোমাকে বলে রাখি, আমি আমার বন্ধু স্যামের সাথে চলে এসেছি, আমি প্রায় ৬ মাস ধরে তার সাথে থাকছি এবং আমরা ঘনিষ্ঠ হতে শুরু করেছি, এবং আমরা এখন এক বছর ধরে একসাথে আছি। আমি জানি স্যামের চেয়ে ভালো আর কাউকে পাব না এব"&amp;"ং আমি এই সত্যটি মেনে নিয়েছি। আমার উদ্বেগ এমনভাবে প্রকাশ পেয়েছে যা আমি আগে কখনও দেখিনি। স্যামের কাছ থেকে আমার সবচেয়ে খারাপ উদ্বেগের আক্রমণ পেয়েছি, স্যামের কাছ থেকে আমি সবচেয়ে বেশি আত্ম-বিদ্বেষ পেয়েছি। স্যাম কিছুটা তুচ্ছ এবং খুব রাগান্বিত ব্যক্তি, যখন"&amp;" স্যাম রেগে যায়, আমি উদ্বিগ্ন হয়ে পড়ি এবং আমি চুপ করে থাকি। তারপর স্যাম আমাকে ছোট করে, এবং আমাকে এমন মনে করে যে আমি তাকে সান্ত্বনা দেওয়ার জন্য কিছুই করছি না, যার ফলে আমি আরও বেশি উদ্বিগ্ন হয়ে পড়ি। আমি জানি না কীভাবে কোনও ধরণের নেতিবাচক আবেগ সামলাতে "&amp;"হয়। যদি স্যাম রাগ, দুঃখ বা উদ্বেগের কোনও আবেগ দেখায়, আমি কেবল চুপ করে থাকি, কারণ আমি জানি না কীভাবে এটি সামলাতে হয় বা ঠিক করতে হয়। যোগাযোগ আমার সবচেয়ে বড় দুর্বলতা। আরেকটি দুর্বলতা হলো আবেগ, আর এই দুটো একসাথে একটা বাজে কথা। উদ্বেগ আমাকে ক্রমাগত আমাদে"&amp;"র সম্পর্ক নিয়ে প্রশ্ন তুলতে এবং সন্দেহ করতে বাধ্য করেছে। আমরা একসাথে ভালো কাজ করি, কিন্তু সবসময় একটা কণ্ঠস্বর বলে যে না। এটা আমাকে, স্যামকে এবং অন্যদের নিয়ে মজা করে। এটা যেন একটা ছোট্ট কণ্ঠস্বর যা আমার চিন্তাভাবনাকে হাইজ্যাক করে এবং আমার এমন চিন্তাভাবন"&amp;"া তৈরি করে যার সাথে আমি একমত নই। স্যাম এবং আমার কখনও তর্ক হয়নি, কিন্তু আমরা অনেকবার দুবার উদ্বেগের আক্রমণ করেছি; স্যাম রেগে যায়, আমি উদ্বিগ্ন হয়ে পড়ি, স্যাম আরও বেশি রেগে যায় কারণ আমি কিছু করি না, স্যাম উদ্বিগ্ন হয়ে পড়ে, তারপর আমি আরও উদ্বিগ্ন হয়ে"&amp;" পড়ি। এটা একটা বাজে কথা। আর প্রতিবার যখনই আমরা এইসব করি, আমার মনে হয় আমার চিন্তাভাবনা ঠিক করার জন্য আমাকে ওষুধ খেতে হবে।")</f>
        <v>সম্পর্কের মধ্যে উদ্বেগ। পরামর্শ? আমি পুরো গল্পটা তোমাকে বলে রাখি, আমি আমার বন্ধু স্যামের সাথে চলে এসেছি, আমি প্রায় ৬ মাস ধরে তার সাথে থাকছি এবং আমরা ঘনিষ্ঠ হতে শুরু করেছি, এবং আমরা এখন এক বছর ধরে একসাথে আছি। আমি জানি স্যামের চেয়ে ভালো আর কাউকে পাব না এবং আমি এই সত্যটি মেনে নিয়েছি। আমার উদ্বেগ এমনভাবে প্রকাশ পেয়েছে যা আমি আগে কখনও দেখিনি। স্যামের কাছ থেকে আমার সবচেয়ে খারাপ উদ্বেগের আক্রমণ পেয়েছি, স্যামের কাছ থেকে আমি সবচেয়ে বেশি আত্ম-বিদ্বেষ পেয়েছি। স্যাম কিছুটা তুচ্ছ এবং খুব রাগান্বিত ব্যক্তি, যখন স্যাম রেগে যায়, আমি উদ্বিগ্ন হয়ে পড়ি এবং আমি চুপ করে থাকি। তারপর স্যাম আমাকে ছোট করে, এবং আমাকে এমন মনে করে যে আমি তাকে সান্ত্বনা দেওয়ার জন্য কিছুই করছি না, যার ফলে আমি আরও বেশি উদ্বিগ্ন হয়ে পড়ি। আমি জানি না কীভাবে কোনও ধরণের নেতিবাচক আবেগ সামলাতে হয়। যদি স্যাম রাগ, দুঃখ বা উদ্বেগের কোনও আবেগ দেখায়, আমি কেবল চুপ করে থাকি, কারণ আমি জানি না কীভাবে এটি সামলাতে হয় বা ঠিক করতে হয়। যোগাযোগ আমার সবচেয়ে বড় দুর্বলতা। আরেকটি দুর্বলতা হলো আবেগ, আর এই দুটো একসাথে একটা বাজে কথা। উদ্বেগ আমাকে ক্রমাগত আমাদের সম্পর্ক নিয়ে প্রশ্ন তুলতে এবং সন্দেহ করতে বাধ্য করেছে। আমরা একসাথে ভালো কাজ করি, কিন্তু সবসময় একটা কণ্ঠস্বর বলে যে না। এটা আমাকে, স্যামকে এবং অন্যদের নিয়ে মজা করে। এটা যেন একটা ছোট্ট কণ্ঠস্বর যা আমার চিন্তাভাবনাকে হাইজ্যাক করে এবং আমার এমন চিন্তাভাবনা তৈরি করে যার সাথে আমি একমত নই। স্যাম এবং আমার কখনও তর্ক হয়নি, কিন্তু আমরা অনেকবার দুবার উদ্বেগের আক্রমণ করেছি; স্যাম রেগে যায়, আমি উদ্বিগ্ন হয়ে পড়ি, স্যাম আরও বেশি রেগে যায় কারণ আমি কিছু করি না, স্যাম উদ্বিগ্ন হয়ে পড়ে, তারপর আমি আরও উদ্বিগ্ন হয়ে পড়ি। এটা একটা বাজে কথা। আর প্রতিবার যখনই আমরা এইসব করি, আমার মনে হয় আমার চিন্তাভাবনা ঠিক করার জন্য আমাকে ওষুধ খেতে হবে।</v>
      </c>
    </row>
    <row r="2606" spans="1:3" ht="15" x14ac:dyDescent="0.25">
      <c r="A2606" s="3" t="s">
        <v>2599</v>
      </c>
      <c r="B2606" s="3" t="s">
        <v>1992</v>
      </c>
      <c r="C2606" s="4" t="str">
        <f ca="1">IFERROR(__xludf.DUMMYFUNCTION("GOOGLETRANSLATE(A2606, ""auto"", ""bn"")"),"সম্ভাব্য অভিবাসন নিয়ে উদ্বিগ্ন। **শুরুতেই বলতে চাই;** আমি আয়ারল্যান্ডের ১৭ বছর বয়সী একজন ছেলে। আমার প্যানিক ডিসঅর্ডারের কারণে আমাকে দেশের বাইরে ছুটি কাটাতে যাওয়া বন্ধ করতে হয়েছে, যা আমার বাবা-মা সত্যিই বুঝতে পেরেছেন। আমার সমস্যা হল, আমার কাকা, যিনি ন"&amp;"িউ ইয়র্কে ভালোবাসেন, তিনি আমার বাবাকে এমন একটি চাকরির প্রস্তাব দিয়েছেন যেখানে তিনি আয়ারল্যান্ডের চেয়ে বেশি অর্থ উপার্জন করবেন। আমার বাবা আগামী মাসে আমাকে দুই সপ্তাহের জন্য নিয়ে যেতে চান যাতে দেখেন চাকরিটি তার জন্য কাজ করে কিনা। আমি সত্যিই এই বিষয়ে উ"&amp;"দ্বিগ্ন, এবং যদি আমরা অন্যত্র চলে যাই, তাহলে আমাকে আবার হাই স্কুলের শেষ দুই/তিন বছর বসে থাকতে হবে, এবং আমার বড় বোন সেখানে থাকবে না। এটি কীভাবে সামলাতে হবে সে সম্পর্কে কারো কি কোন পরামর্শ/টিপস আছে?")</f>
        <v>সম্ভাব্য অভিবাসন নিয়ে উদ্বিগ্ন। **শুরুতেই বলতে চাই;** আমি আয়ারল্যান্ডের ১৭ বছর বয়সী একজন ছেলে। আমার প্যানিক ডিসঅর্ডারের কারণে আমাকে দেশের বাইরে ছুটি কাটাতে যাওয়া বন্ধ করতে হয়েছে, যা আমার বাবা-মা সত্যিই বুঝতে পেরেছেন। আমার সমস্যা হল, আমার কাকা, যিনি নিউ ইয়র্কে ভালোবাসেন, তিনি আমার বাবাকে এমন একটি চাকরির প্রস্তাব দিয়েছেন যেখানে তিনি আয়ারল্যান্ডের চেয়ে বেশি অর্থ উপার্জন করবেন। আমার বাবা আগামী মাসে আমাকে দুই সপ্তাহের জন্য নিয়ে যেতে চান যাতে দেখেন চাকরিটি তার জন্য কাজ করে কিনা। আমি সত্যিই এই বিষয়ে উদ্বিগ্ন, এবং যদি আমরা অন্যত্র চলে যাই, তাহলে আমাকে আবার হাই স্কুলের শেষ দুই/তিন বছর বসে থাকতে হবে, এবং আমার বড় বোন সেখানে থাকবে না। এটি কীভাবে সামলাতে হবে সে সম্পর্কে কারো কি কোন পরামর্শ/টিপস আছে?</v>
      </c>
    </row>
    <row r="2607" spans="1:3" ht="15" x14ac:dyDescent="0.25">
      <c r="A2607" s="3" t="s">
        <v>2600</v>
      </c>
      <c r="B2607" s="3" t="s">
        <v>1992</v>
      </c>
      <c r="C2607" s="4" t="str">
        <f ca="1">IFERROR(__xludf.DUMMYFUNCTION("GOOGLETRANSLATE(A2607, ""auto"", ""bn"")"),"আগামী মাসে আক্কেল দাঁত তোলার ব্যাপারে চিন্তিত আমি জানি ফেব্রুয়ারী আসতে এখনও অনেক সময় বাকি, কিন্তু আমার আক্কেল দাঁত তোলার চিন্তা না করে পারছি না। সবগুলো একসাথে তুলে ফেলা হচ্ছে, আর এর জন্য আমাকে জেনারেল অ্যানেস্থেসিয়া দিতে হচ্ছে, তবুও আমি এখনও আতঙ্কিত! আ"&amp;"মি প্যানিক অ্যাটাক করতে চাই না এবং অস্ত্রোপচার করা লোকদের সামনে নিজেকে বিব্রত করতে চাই না। আমি জানি না আপাতত এবং কখন এটি আসলে ঘটবে তা নিয়ে কীভাবে চিন্তা না করা যায়।")</f>
        <v>আগামী মাসে আক্কেল দাঁত তোলার ব্যাপারে চিন্তিত আমি জানি ফেব্রুয়ারী আসতে এখনও অনেক সময় বাকি, কিন্তু আমার আক্কেল দাঁত তোলার চিন্তা না করে পারছি না। সবগুলো একসাথে তুলে ফেলা হচ্ছে, আর এর জন্য আমাকে জেনারেল অ্যানেস্থেসিয়া দিতে হচ্ছে, তবুও আমি এখনও আতঙ্কিত! আমি প্যানিক অ্যাটাক করতে চাই না এবং অস্ত্রোপচার করা লোকদের সামনে নিজেকে বিব্রত করতে চাই না। আমি জানি না আপাতত এবং কখন এটি আসলে ঘটবে তা নিয়ে কীভাবে চিন্তা না করা যায়।</v>
      </c>
    </row>
    <row r="2608" spans="1:3" ht="15" x14ac:dyDescent="0.25">
      <c r="A2608" s="3" t="s">
        <v>2601</v>
      </c>
      <c r="B2608" s="3" t="s">
        <v>1992</v>
      </c>
      <c r="C2608" s="4" t="str">
        <f ca="1">IFERROR(__xludf.DUMMYFUNCTION("GOOGLETRANSLATE(A2608, ""auto"", ""bn"")"),"উদ্বেগ আমার সম্পর্ক নষ্ট করছে। আমি অনেক দিন ধরে এই সাব-এর উপর লুকিয়ে আছি, কিন্তু আমার সম্পর্কের সাথে ভয়াবহ কিছু ঘটেছে। আমি সত্যিই কারো সাথে কথা বলতে চাই কিন্তু কে জানি না, এবং রেডিটে কী ঘটেছিল তার পুরো গল্পটি প্রকাশ করতে আমি ভয় পাচ্ছি। আমি জানি না এটি "&amp;"সাব-এর ক্ষেত্রে কীভাবে কাজ করে কিনা তবে যদি অন্য কোনও পুরুষ থাকে যার সম্পর্কের ক্ষেত্রে বিশ্বাসের সমস্যা থাকে তবে উদ্বেগের কারণ হতে পারে। আমি কারও সাথে কথা বলার এবং পরামর্শ নেওয়ার জন্য কৃতজ্ঞ থাকব। তদুপরি, আমি ভয় পাচ্ছি এবং মনে হচ্ছে আমি বন্ধ হয়ে যাচ্ছ"&amp;"ি। তদুপরি, আমি ঘুমাতে পারছি না, এবং আমার মনে হচ্ছে আমি বমি করতে যাচ্ছি। তদুপরি, এটি পোস্ট করা আমার অদ্ভুত লাগছে, তবে আমি আর কী করব জানি না, এবং আমি আশা করি এটি কাজ করবে। তদুপরি, রেডিট যদি এইভাবে কাজ না করে তবে আমি দুঃখিত। আমি ভেবেছিলাম এটি চেষ্টা করার যোগ"&amp;"্য ছিল।")</f>
        <v>উদ্বেগ আমার সম্পর্ক নষ্ট করছে। আমি অনেক দিন ধরে এই সাব-এর উপর লুকিয়ে আছি, কিন্তু আমার সম্পর্কের সাথে ভয়াবহ কিছু ঘটেছে। আমি সত্যিই কারো সাথে কথা বলতে চাই কিন্তু কে জানি না, এবং রেডিটে কী ঘটেছিল তার পুরো গল্পটি প্রকাশ করতে আমি ভয় পাচ্ছি। আমি জানি না এটি সাব-এর ক্ষেত্রে কীভাবে কাজ করে কিনা তবে যদি অন্য কোনও পুরুষ থাকে যার সম্পর্কের ক্ষেত্রে বিশ্বাসের সমস্যা থাকে তবে উদ্বেগের কারণ হতে পারে। আমি কারও সাথে কথা বলার এবং পরামর্শ নেওয়ার জন্য কৃতজ্ঞ থাকব। তদুপরি, আমি ভয় পাচ্ছি এবং মনে হচ্ছে আমি বন্ধ হয়ে যাচ্ছি। তদুপরি, আমি ঘুমাতে পারছি না, এবং আমার মনে হচ্ছে আমি বমি করতে যাচ্ছি। তদুপরি, এটি পোস্ট করা আমার অদ্ভুত লাগছে, তবে আমি আর কী করব জানি না, এবং আমি আশা করি এটি কাজ করবে। তদুপরি, রেডিট যদি এইভাবে কাজ না করে তবে আমি দুঃখিত। আমি ভেবেছিলাম এটি চেষ্টা করার যোগ্য ছিল।</v>
      </c>
    </row>
    <row r="2609" spans="1:3" ht="15" x14ac:dyDescent="0.25">
      <c r="A2609" s="3" t="s">
        <v>2602</v>
      </c>
      <c r="B2609" s="3" t="s">
        <v>1992</v>
      </c>
      <c r="C2609" s="4" t="str">
        <f ca="1">IFERROR(__xludf.DUMMYFUNCTION("GOOGLETRANSLATE(A2609, ""auto"", ""bn"")"),"আমি কি আমার বাবা-মায়ের অজান্তেই উদ্বেগের জন্য প্রেসক্রিপশন পেতে পারি, কারণ আমি বিস্তারিত বলতে চাই না, কিন্তু ব্যক্তিগত কারণে আমি মূলত আমার বাবা-মাকে আমার উদ্বেগ/বিষণ্ণতার কথা বলতে পারি না? আমার উদ্বেগের প্রেসক্রিপশনের প্রয়োজন কারণ আমার উদ্বেগ মূলত আমার জ"&amp;"ীবনকে ধ্বংস করে দিচ্ছে। যখনই আমি উদ্বেগজনক পরিস্থিতিতে পড়ি তখনই আমার বমি বমি ভাব হয়। মানে প্রতিবারই। আমি ডেটেও যেতে পারি না কারণ আমাকে সবসময় বমি বমি ভাবের অজুহাত দেখাতে হয়। আমার বয়স ১৮ এবং আমার বাবা-মায়ের অজান্তেই আমার বীমা বীমা নিয়ে আমার ডাক্তারের"&amp;" সাথে অ্যাপয়েন্টমেন্ট করতে চাই। এটা কি সম্ভব এবং তারা কি জানতে পারবে?")</f>
        <v>আমি কি আমার বাবা-মায়ের অজান্তেই উদ্বেগের জন্য প্রেসক্রিপশন পেতে পারি, কারণ আমি বিস্তারিত বলতে চাই না, কিন্তু ব্যক্তিগত কারণে আমি মূলত আমার বাবা-মাকে আমার উদ্বেগ/বিষণ্ণতার কথা বলতে পারি না? আমার উদ্বেগের প্রেসক্রিপশনের প্রয়োজন কারণ আমার উদ্বেগ মূলত আমার জীবনকে ধ্বংস করে দিচ্ছে। যখনই আমি উদ্বেগজনক পরিস্থিতিতে পড়ি তখনই আমার বমি বমি ভাব হয়। মানে প্রতিবারই। আমি ডেটেও যেতে পারি না কারণ আমাকে সবসময় বমি বমি ভাবের অজুহাত দেখাতে হয়। আমার বয়স ১৮ এবং আমার বাবা-মায়ের অজান্তেই আমার বীমা বীমা নিয়ে আমার ডাক্তারের সাথে অ্যাপয়েন্টমেন্ট করতে চাই। এটা কি সম্ভব এবং তারা কি জানতে পারবে?</v>
      </c>
    </row>
    <row r="2610" spans="1:3" ht="15" x14ac:dyDescent="0.25">
      <c r="A2610" s="3" t="s">
        <v>2603</v>
      </c>
      <c r="B2610" s="3" t="s">
        <v>1992</v>
      </c>
      <c r="C2610" s="4" t="str">
        <f ca="1">IFERROR(__xludf.DUMMYFUNCTION("GOOGLETRANSLATE(A2610, ""auto"", ""bn"")"),"এটা কি অন্য কারো অভিজ্ঞতার মতো শোনাচ্ছে? আমি সবসময় ভাবতাম যে আমার মধ্যে কোনও সমস্যা আছে। আমি ভুলে যাই, আমি জিনিসপত্র হারিয়ে ফেলি এবং কীভাবে তা জানি না। তাছাড়া, ছোটবেলায় আমার কোনও বন্ধু ছিল না। তাই আমি এই কথাটি বলে শুরু করতে যাচ্ছি যে আমার কখনও উদ্বেগ "&amp;"ধরা পড়েনি, এবং আমি এমন একটি সমস্যা দেখতে পাচ্ছি যেখানে কোনও সমস্যা নেই। আমি একজন থেরাপিস্টের সাহায্য নেওয়ার চেষ্টা করছি যিনি আমাকে দেখতে সাহায্য করবেন যে আমার কোনও সমস্যা আছে কিনা, কিন্তু আমার মা বলছেন যে তিনি আমাকে সঠিক একজন খুঁজে পেতে চেয়েছিলেন। প্রথ"&amp;"মে, তিনি আমাকে একজন গির্জার পরামর্শদাতার সাথে কথা বলতে চেয়েছিলেন, কিন্তু আমি তা করার কোনও উপায় ছিল না, এবং আমি এটি খুব স্পষ্ট করে দিয়েছিলাম। তিনি বলেন যে আমার কোনও সমস্যা নেই এবং তারও আমার মতো একই সমস্যা রয়েছে। এখন এই সব বলার পরেও, আমার মনে হয় আমার উ"&amp;"দ্বেগ আছে। আমি জিনিসগুলি নিয়ে অনেক চিন্তা করি এবং আমি আমার মাথায় সেগুলি নিয়ে অনেক চিন্তা করি। আমি সবসময় চিন্তিত থাকি যে, মানুষ আমার সম্পর্কে কী ভাবছে, আমি যা কিছু করি বা বলি, সবসময় নিজেকে সন্দেহ করি এবং এটা ক্লান্তিকর। কিন্তু আমার মনে হয় না যে উদ্বেগ আ"&amp;"মাকে কিছু করতে বাধা দেয়, এটা আমাকে শুধু খারাপ বোধ করে। আমার প্যানিক অ্যাটাক বা অন্য কিছু হয় না। আমি আমার অভিজ্ঞতার উদাহরণ হিসেবে একটি গল্প বলতে যাচ্ছি, কিন্তু এটি পড়ার আসলে কোনও প্রয়োজন নেই। একদিন আমি স্কুলে এই দামি আর্ট মার্কার (কমিক) নিয়ে এসেছিলাম। কয়েক"&amp;" ঘন্টা পরে আমি করিয়ার মেঝেতে দেখলাম, বাক্সটি লেখায় ঢাকা, যার একটি মার্কার নেই। আমি নিশ্চিত ছিলাম না যে আমি যে ক্লাসে ছিলাম, সেখানে তাদের সাথে ঝামেলা করার পর আমি এটি ফেলে এসেছি, নাকি কেউ এটি ফেলে গেছে। সেখানে একটি নোটকার্ডও লেখা ছিল। আমি একজন শিক্ষককে বললা"&amp;"ম এবং তাৎক্ষণিকভাবে অনুশোচনা করলাম। আমি অনেক কিছু ভাবলাম: *যদি লেখাটি আমার বন্ধুদের হয়? যদি আমি এটি ফেলে দেই? সেই নোটকার্ডটি পরিচিত লাগছিল? কেন আমি মনে করতে পারছি না কী হয়েছে? আমার কী হয়েছে?* সারাদিন এটাই আমাকে খেয়েছে। আমি আমার বন্ধুদের পিছনে গেলাম, কার্য"&amp;"ত তাদের জিজ্ঞাসাবাদ করলাম। শেষের বন্ধুর সাথে কথা বলার আগে আমার হৃদস্পন্দন জোরে জোরে হচ্ছিল, প্রার্থনা করছিলাম যেন আমি লাইনের বাইরে না যাই। আর আমিও ছিলাম না। সে বলল যে আমি যা দেখেছি তার কিছুই সে করেনি। আমি এখনও এ ব্যাপারে নিশ্চিত ছিলাম না, তবে আমার একটু ভা"&amp;"লো লাগছে। কেউ কি এর সাথে সম্পর্কিত? আমি গভীর রাতে উদ্বেগ নিয়ে গুগলিং করেছি, কিন্তু আমি প্রকৃত অভিজ্ঞতা শুনতে চেয়েছিলাম। যখনই আমি লক্ষণগুলি সহ পরীক্ষাগুলি করি তখনই এটি আমাকে সর্বদা পথের মাঝখানে ফেলে দেয়।")</f>
        <v>এটা কি অন্য কারো অভিজ্ঞতার মতো শোনাচ্ছে? আমি সবসময় ভাবতাম যে আমার মধ্যে কোনও সমস্যা আছে। আমি ভুলে যাই, আমি জিনিসপত্র হারিয়ে ফেলি এবং কীভাবে তা জানি না। তাছাড়া, ছোটবেলায় আমার কোনও বন্ধু ছিল না। তাই আমি এই কথাটি বলে শুরু করতে যাচ্ছি যে আমার কখনও উদ্বেগ ধরা পড়েনি, এবং আমি এমন একটি সমস্যা দেখতে পাচ্ছি যেখানে কোনও সমস্যা নেই। আমি একজন থেরাপিস্টের সাহায্য নেওয়ার চেষ্টা করছি যিনি আমাকে দেখতে সাহায্য করবেন যে আমার কোনও সমস্যা আছে কিনা, কিন্তু আমার মা বলছেন যে তিনি আমাকে সঠিক একজন খুঁজে পেতে চেয়েছিলেন। প্রথমে, তিনি আমাকে একজন গির্জার পরামর্শদাতার সাথে কথা বলতে চেয়েছিলেন, কিন্তু আমি তা করার কোনও উপায় ছিল না, এবং আমি এটি খুব স্পষ্ট করে দিয়েছিলাম। তিনি বলেন যে আমার কোনও সমস্যা নেই এবং তারও আমার মতো একই সমস্যা রয়েছে। এখন এই সব বলার পরেও, আমার মনে হয় আমার উদ্বেগ আছে। আমি জিনিসগুলি নিয়ে অনেক চিন্তা করি এবং আমি আমার মাথায় সেগুলি নিয়ে অনেক চিন্তা করি। আমি সবসময় চিন্তিত থাকি যে, মানুষ আমার সম্পর্কে কী ভাবছে, আমি যা কিছু করি বা বলি, সবসময় নিজেকে সন্দেহ করি এবং এটা ক্লান্তিকর। কিন্তু আমার মনে হয় না যে উদ্বেগ আমাকে কিছু করতে বাধা দেয়, এটা আমাকে শুধু খারাপ বোধ করে। আমার প্যানিক অ্যাটাক বা অন্য কিছু হয় না। আমি আমার অভিজ্ঞতার উদাহরণ হিসেবে একটি গল্প বলতে যাচ্ছি, কিন্তু এটি পড়ার আসলে কোনও প্রয়োজন নেই। একদিন আমি স্কুলে এই দামি আর্ট মার্কার (কমিক) নিয়ে এসেছিলাম। কয়েক ঘন্টা পরে আমি করিয়ার মেঝেতে দেখলাম, বাক্সটি লেখায় ঢাকা, যার একটি মার্কার নেই। আমি নিশ্চিত ছিলাম না যে আমি যে ক্লাসে ছিলাম, সেখানে তাদের সাথে ঝামেলা করার পর আমি এটি ফেলে এসেছি, নাকি কেউ এটি ফেলে গেছে। সেখানে একটি নোটকার্ডও লেখা ছিল। আমি একজন শিক্ষককে বললাম এবং তাৎক্ষণিকভাবে অনুশোচনা করলাম। আমি অনেক কিছু ভাবলাম: *যদি লেখাটি আমার বন্ধুদের হয়? যদি আমি এটি ফেলে দেই? সেই নোটকার্ডটি পরিচিত লাগছিল? কেন আমি মনে করতে পারছি না কী হয়েছে? আমার কী হয়েছে?* সারাদিন এটাই আমাকে খেয়েছে। আমি আমার বন্ধুদের পিছনে গেলাম, কার্যত তাদের জিজ্ঞাসাবাদ করলাম। শেষের বন্ধুর সাথে কথা বলার আগে আমার হৃদস্পন্দন জোরে জোরে হচ্ছিল, প্রার্থনা করছিলাম যেন আমি লাইনের বাইরে না যাই। আর আমিও ছিলাম না। সে বলল যে আমি যা দেখেছি তার কিছুই সে করেনি। আমি এখনও এ ব্যাপারে নিশ্চিত ছিলাম না, তবে আমার একটু ভালো লাগছে। কেউ কি এর সাথে সম্পর্কিত? আমি গভীর রাতে উদ্বেগ নিয়ে গুগলিং করেছি, কিন্তু আমি প্রকৃত অভিজ্ঞতা শুনতে চেয়েছিলাম। যখনই আমি লক্ষণগুলি সহ পরীক্ষাগুলি করি তখনই এটি আমাকে সর্বদা পথের মাঝখানে ফেলে দেয়।</v>
      </c>
    </row>
    <row r="2611" spans="1:3" ht="15" x14ac:dyDescent="0.25">
      <c r="A2611" s="3" t="s">
        <v>2604</v>
      </c>
      <c r="B2611" s="3" t="s">
        <v>1992</v>
      </c>
      <c r="C2611" s="4" t="str">
        <f ca="1">IFERROR(__xludf.DUMMYFUNCTION("GOOGLETRANSLATE(A2611, ""auto"", ""bn"")"),"২০১৯ সালে প্রবেশের জন্য তোমাদের উৎসাহ, আমি চাই তোমরা যখন কঠিন সময়ের মধ্য দিয়ে যাও, তখন তোমরা সবাই এই কথাটা মনে রাখো: তোমরা সাহসী, তোমরা শক্তিশালী, তোমরা অসাধারণ, তোমাদের ভালোবাসা পাও, তোমরা এটা করতে পারো! আমি জানি উদ্বেগ কতটা কঠিন এবং তা কতটা যন্ত্রণাদা"&amp;"য়ক, কিন্তু শুধু এটুকু জানি যে তোমরা এর মধ্য দিয়ে যেতে পারো। তোমরা ইতিমধ্যেই এতদূর এসে পৌঁছেছ, তাই কখনও হাল ছাড়ো না! যতই কঠিন হোক, যতই যন্ত্রণার মধ্যে থাকো না কেন, আমি প্রতিশ্রুতি দিচ্ছি, সবকিছু ঠিক হয়ে যাবে এবং তুমি ঠিক হয়ে যাবে। তোমাদের উদ্বেগ পুরোপ"&amp;"ুরি দূর নাও হতে পারে, কিন্তু বিশ্বাস করো, এটা ভালো হয়ে যাবে। আমি তোমাদের উপর বিশ্বাস করি। তোমরা এটা করতে পারো! কারো কথা বলার প্রয়োজন হলে আমি এখানে আছি লেফটেন্যান্ট;৩")</f>
        <v>২০১৯ সালে প্রবেশের জন্য তোমাদের উৎসাহ, আমি চাই তোমরা যখন কঠিন সময়ের মধ্য দিয়ে যাও, তখন তোমরা সবাই এই কথাটা মনে রাখো: তোমরা সাহসী, তোমরা শক্তিশালী, তোমরা অসাধারণ, তোমাদের ভালোবাসা পাও, তোমরা এটা করতে পারো! আমি জানি উদ্বেগ কতটা কঠিন এবং তা কতটা যন্ত্রণাদায়ক, কিন্তু শুধু এটুকু জানি যে তোমরা এর মধ্য দিয়ে যেতে পারো। তোমরা ইতিমধ্যেই এতদূর এসে পৌঁছেছ, তাই কখনও হাল ছাড়ো না! যতই কঠিন হোক, যতই যন্ত্রণার মধ্যে থাকো না কেন, আমি প্রতিশ্রুতি দিচ্ছি, সবকিছু ঠিক হয়ে যাবে এবং তুমি ঠিক হয়ে যাবে। তোমাদের উদ্বেগ পুরোপুরি দূর নাও হতে পারে, কিন্তু বিশ্বাস করো, এটা ভালো হয়ে যাবে। আমি তোমাদের উপর বিশ্বাস করি। তোমরা এটা করতে পারো! কারো কথা বলার প্রয়োজন হলে আমি এখানে আছি লেফটেন্যান্ট;৩</v>
      </c>
    </row>
    <row r="2612" spans="1:3" ht="15" x14ac:dyDescent="0.25">
      <c r="A2612" s="3" t="s">
        <v>2605</v>
      </c>
      <c r="B2612" s="3" t="s">
        <v>1992</v>
      </c>
      <c r="C2612" s="4" t="str">
        <f ca="1">IFERROR(__xludf.DUMMYFUNCTION("GOOGLETRANSLATE(A2612, ""auto"", ""bn"")"),"আমার ঘর থেকে বের হতে ভয় পাচ্ছি (আমার খারাপ ইংরেজির জন্য দুঃখিত) চার মাস আগে আমার প্যানিক ডিসঅর্ডার ধরা পড়েছিল, এবং তখন থেকে আমি ওষুধ খাচ্ছি। ছয় মাস আগেও আমি ধীরে ধীরে নিজেকে আলাদা করে ফেলি, বন্ধুবান্ধব এবং শিক্ষকদের সাথে যোগাযোগ বন্ধ করে দিই, কলেজ এবং "&amp;"থেরাপিতে যাওয়া বন্ধ করে দিই। আমি কেবল আমার বাড়িতেই নিরাপদ বোধ করি। মানে, আমার মনে হয় আমি আগের মতো জায়গার মধ্যে নেই। তাছাড়া, আমার মনে হয় জীবন এবং আমার মধ্যে কিছু একটা ভেঙে গেছে। আমি ছয় মাস আগের মতো নিজেকে আমার ঘরে আটকে রাখি কারণ আমার মনে হয় আমার ঘর"&amp;"ের বাইরে আর কিছু নেই। তাছাড়া, আমি আমার ঘর ছেড়ে সেই জায়গায় জীবন চালিয়ে যেতে খুব ভয় পাই যেখানে পরিস্থিতি আরও খারাপ হওয়ার আগে আমি চলে এসেছিলাম, কিন্তু আমি জানি যে আমি চিরকাল এভাবে বাঁচতে পারব না। তাছাড়া, আমি হতাশ।")</f>
        <v>আমার ঘর থেকে বের হতে ভয় পাচ্ছি (আমার খারাপ ইংরেজির জন্য দুঃখিত) চার মাস আগে আমার প্যানিক ডিসঅর্ডার ধরা পড়েছিল, এবং তখন থেকে আমি ওষুধ খাচ্ছি। ছয় মাস আগেও আমি ধীরে ধীরে নিজেকে আলাদা করে ফেলি, বন্ধুবান্ধব এবং শিক্ষকদের সাথে যোগাযোগ বন্ধ করে দিই, কলেজ এবং থেরাপিতে যাওয়া বন্ধ করে দিই। আমি কেবল আমার বাড়িতেই নিরাপদ বোধ করি। মানে, আমার মনে হয় আমি আগের মতো জায়গার মধ্যে নেই। তাছাড়া, আমার মনে হয় জীবন এবং আমার মধ্যে কিছু একটা ভেঙে গেছে। আমি ছয় মাস আগের মতো নিজেকে আমার ঘরে আটকে রাখি কারণ আমার মনে হয় আমার ঘরের বাইরে আর কিছু নেই। তাছাড়া, আমি আমার ঘর ছেড়ে সেই জায়গায় জীবন চালিয়ে যেতে খুব ভয় পাই যেখানে পরিস্থিতি আরও খারাপ হওয়ার আগে আমি চলে এসেছিলাম, কিন্তু আমি জানি যে আমি চিরকাল এভাবে বাঁচতে পারব না। তাছাড়া, আমি হতাশ।</v>
      </c>
    </row>
    <row r="2613" spans="1:3" ht="15" x14ac:dyDescent="0.25">
      <c r="A2613" s="3" t="s">
        <v>2606</v>
      </c>
      <c r="B2613" s="3" t="s">
        <v>1992</v>
      </c>
      <c r="C2613" s="4" t="str">
        <f ca="1">IFERROR(__xludf.DUMMYFUNCTION("GOOGLETRANSLATE(A2613, ""auto"", ""bn"")"),"আমি ভেঙে পড়ছি, আমি বুঝতে পারছি আমার সাথে কী ঘটছে। এক বছর আগে, আমি বেশ খুশি ছিলাম। গত ছয় মাসে আমি ছোট ছোট জিনিস লক্ষ্য করেছি। সম্প্রতি আমার আত্মহত্যার চিন্তাভাবনা তৈরি হয়েছে... আজ রাতে আমি এমন কিছু শুনতে পাচ্ছি যা সেখানে নেই আমার মনে হচ্ছে কিছু একটা ঘটত"&amp;"ে চলেছে... আমি ঘুমাতে পারছি না... আমি খেতে পারছি না... তাছাড়া, আমার সাহায্যের প্রয়োজন।")</f>
        <v>আমি ভেঙে পড়ছি, আমি বুঝতে পারছি আমার সাথে কী ঘটছে। এক বছর আগে, আমি বেশ খুশি ছিলাম। গত ছয় মাসে আমি ছোট ছোট জিনিস লক্ষ্য করেছি। সম্প্রতি আমার আত্মহত্যার চিন্তাভাবনা তৈরি হয়েছে... আজ রাতে আমি এমন কিছু শুনতে পাচ্ছি যা সেখানে নেই আমার মনে হচ্ছে কিছু একটা ঘটতে চলেছে... আমি ঘুমাতে পারছি না... আমি খেতে পারছি না... তাছাড়া, আমার সাহায্যের প্রয়োজন।</v>
      </c>
    </row>
    <row r="2614" spans="1:3" ht="15" x14ac:dyDescent="0.25">
      <c r="A2614" s="3" t="s">
        <v>2607</v>
      </c>
      <c r="B2614" s="3" t="s">
        <v>1992</v>
      </c>
      <c r="C2614" s="4" t="str">
        <f ca="1">IFERROR(__xludf.DUMMYFUNCTION("GOOGLETRANSLATE(A2614, ""auto"", ""bn"")"),"কলেজে উদ্বেগ মোকাবেলা কলেজে পড়ার সময় উদ্বেগ মোকাবেলা করার জন্য কারো কি কোন পরামর্শ আছে? আমি আমার শহর থেকে অনেক দূরে স্কুলে যাই, এবং সহায়তা ব্যবস্থাও আছে। বন্ধু তৈরি, আমার ক্লাস এবং সবকিছু নিয়ে আমি অনেক চিন্তিত। তাছাড়া, আমি আমার স্কুলের মানসিক সহায়তা"&amp;" পরিষেবাগুলিতে যাওয়ার চেষ্টা করেছি, কিন্তু এটি অনেক বেশি বুকিং করা হয়েছে। তাছাড়া, বসন্তে ফিরে যেতে আমার সত্যিই ভয় লাগছে।")</f>
        <v>কলেজে উদ্বেগ মোকাবেলা কলেজে পড়ার সময় উদ্বেগ মোকাবেলা করার জন্য কারো কি কোন পরামর্শ আছে? আমি আমার শহর থেকে অনেক দূরে স্কুলে যাই, এবং সহায়তা ব্যবস্থাও আছে। বন্ধু তৈরি, আমার ক্লাস এবং সবকিছু নিয়ে আমি অনেক চিন্তিত। তাছাড়া, আমি আমার স্কুলের মানসিক সহায়তা পরিষেবাগুলিতে যাওয়ার চেষ্টা করেছি, কিন্তু এটি অনেক বেশি বুকিং করা হয়েছে। তাছাড়া, বসন্তে ফিরে যেতে আমার সত্যিই ভয় লাগছে।</v>
      </c>
    </row>
    <row r="2615" spans="1:3" ht="15" x14ac:dyDescent="0.25">
      <c r="A2615" s="3" t="s">
        <v>2608</v>
      </c>
      <c r="B2615" s="3" t="s">
        <v>1992</v>
      </c>
      <c r="C2615" s="4" t="str">
        <f ca="1">IFERROR(__xludf.DUMMYFUNCTION("GOOGLETRANSLATE(A2615, ""auto"", ""bn"")"),"সম্প্রতি আমার সাথে কিছু অদ্ভুত ঘটনা ঘটছে। গত এক সপ্তাহ ধরে আমার মনে হচ্ছে আমি মারা যাচ্ছি, আত্মহত্যা বা অন্য কিছুর মতো নয়, ঠিক যেন আমি মারা যাচ্ছি, যেন কোনও মারাত্মক গাড়ি দুর্ঘটনায় পড়ছি নাকি পড়ে মারা যাচ্ছি। আমার কখনও এই অনুভূতি হয়নি এবং কেন এমন হচ্"&amp;"ছে তাও আমার কোনও ধারণা নেই। তাছাড়া, আমি ঘুমাতে পারছি না কারণ আমার মনে হচ্ছে যদি আমি ঘুমিয়ে পড়ি তবে আমি জেগে উঠব না। তাছাড়া, আমি নিশ্চিত নই কী করব, যেকোনো সাহায্যের জন্য কৃতজ্ঞ থাকব। ধন্যবাদ বন্ধুরা।")</f>
        <v>সম্প্রতি আমার সাথে কিছু অদ্ভুত ঘটনা ঘটছে। গত এক সপ্তাহ ধরে আমার মনে হচ্ছে আমি মারা যাচ্ছি, আত্মহত্যা বা অন্য কিছুর মতো নয়, ঠিক যেন আমি মারা যাচ্ছি, যেন কোনও মারাত্মক গাড়ি দুর্ঘটনায় পড়ছি নাকি পড়ে মারা যাচ্ছি। আমার কখনও এই অনুভূতি হয়নি এবং কেন এমন হচ্ছে তাও আমার কোনও ধারণা নেই। তাছাড়া, আমি ঘুমাতে পারছি না কারণ আমার মনে হচ্ছে যদি আমি ঘুমিয়ে পড়ি তবে আমি জেগে উঠব না। তাছাড়া, আমি নিশ্চিত নই কী করব, যেকোনো সাহায্যের জন্য কৃতজ্ঞ থাকব। ধন্যবাদ বন্ধুরা।</v>
      </c>
    </row>
    <row r="2616" spans="1:3" ht="15" x14ac:dyDescent="0.25">
      <c r="A2616" s="3" t="s">
        <v>2609</v>
      </c>
      <c r="B2616" s="3" t="s">
        <v>1992</v>
      </c>
      <c r="C2616" s="4" t="str">
        <f ca="1">IFERROR(__xludf.DUMMYFUNCTION("GOOGLETRANSLATE(A2616, ""auto"", ""bn"")"),"আমার আবার ফিরে যেতে ভয় লাগছে। আমি তো কয়েকদিন আগেও খুঁজেছিলাম। এমনকি সপ্তাহখানেক আগেও। আমি আমার মনোবিজ্ঞানীর সাথে কথা বলেছি, আর এটা সাহায্য করেছে। যাইহোক, গত রাতে, আমার মনে হচ্ছিল যেন খারাপ লাগছে। যখন আমার প্রথমবার প্যানিক অ্যাটাক হয়েছিল, তখন আবারও প্যানি"&amp;"ক অ্যাটাক হওয়ার ভয় ছিল। আমার উদ্বেগের প্রথম স্তরে ফিরে যেতে ভয় হচ্ছিল। আমি শুধু চাই যেন সবাই আমাকে জানায় যে সবকিছু ঠিক হয়ে যাবে এবং শীঘ্রই সবকিছু শেষ হয়ে যাবে।")</f>
        <v>আমার আবার ফিরে যেতে ভয় লাগছে। আমি তো কয়েকদিন আগেও খুঁজেছিলাম। এমনকি সপ্তাহখানেক আগেও। আমি আমার মনোবিজ্ঞানীর সাথে কথা বলেছি, আর এটা সাহায্য করেছে। যাইহোক, গত রাতে, আমার মনে হচ্ছিল যেন খারাপ লাগছে। যখন আমার প্রথমবার প্যানিক অ্যাটাক হয়েছিল, তখন আবারও প্যানিক অ্যাটাক হওয়ার ভয় ছিল। আমার উদ্বেগের প্রথম স্তরে ফিরে যেতে ভয় হচ্ছিল। আমি শুধু চাই যেন সবাই আমাকে জানায় যে সবকিছু ঠিক হয়ে যাবে এবং শীঘ্রই সবকিছু শেষ হয়ে যাবে।</v>
      </c>
    </row>
    <row r="2617" spans="1:3" ht="15" x14ac:dyDescent="0.25">
      <c r="A2617" s="3" t="s">
        <v>2610</v>
      </c>
      <c r="B2617" s="3" t="s">
        <v>1992</v>
      </c>
      <c r="C2617" s="4" t="str">
        <f ca="1">IFERROR(__xludf.DUMMYFUNCTION("GOOGLETRANSLATE(A2617, ""auto"", ""bn"")"),"যখন আপনার উদ্বেগ থাকে তখন সমাজের সাথে কীভাবে মোকাবিলা করবেন আমি মধ্যপ্রাচ্যে থাকি, এবং আমি সবসময় আমার উদ্বেগ দূর করার জন্য একজন মনোরোগ বিশেষজ্ঞের কাছে যেতে চেয়েছিলাম, কিন্তু সমস্যা হল যখন আমি সাহায্য নিতে যাই তখন লোকেরা আপনাকে মানসিকভাবে অসুস্থ এবং পাগল"&amp;" বলে অভিযোগ করবে এবং এমন কিছু করবে যা আপনাকে লজ্জা দেবে এবং কেউ আর কখনও আপনার সাথে কথা বলবে না! এই ধরণের লোকদের সাথে কীভাবে মোকাবিলা করবেন তার জন্য কিছু টিপস বা কিছু গল্পের সত্যিই প্রয়োজন।")</f>
        <v>যখন আপনার উদ্বেগ থাকে তখন সমাজের সাথে কীভাবে মোকাবিলা করবেন আমি মধ্যপ্রাচ্যে থাকি, এবং আমি সবসময় আমার উদ্বেগ দূর করার জন্য একজন মনোরোগ বিশেষজ্ঞের কাছে যেতে চেয়েছিলাম, কিন্তু সমস্যা হল যখন আমি সাহায্য নিতে যাই তখন লোকেরা আপনাকে মানসিকভাবে অসুস্থ এবং পাগল বলে অভিযোগ করবে এবং এমন কিছু করবে যা আপনাকে লজ্জা দেবে এবং কেউ আর কখনও আপনার সাথে কথা বলবে না! এই ধরণের লোকদের সাথে কীভাবে মোকাবিলা করবেন তার জন্য কিছু টিপস বা কিছু গল্পের সত্যিই প্রয়োজন।</v>
      </c>
    </row>
    <row r="2618" spans="1:3" ht="15" x14ac:dyDescent="0.25">
      <c r="A2618" s="3" t="s">
        <v>2611</v>
      </c>
      <c r="B2618" s="3" t="s">
        <v>1992</v>
      </c>
      <c r="C2618" s="4" t="str">
        <f ca="1">IFERROR(__xludf.DUMMYFUNCTION("GOOGLETRANSLATE(A2618, ""auto"", ""bn"")"),"গত বছর আমি আবারও অসুস্থ হয়ে পড়ি এবং উচ্চ মাত্রার ওষুধ এবং আরও একটি নতুন ওষুধ যোগ করার মাধ্যমে আমি তা থেকে বেরিয়ে আসতে সক্ষম হই। আমি একশ শতাংশ ছিলাম না, তবে প্রতিদিন কিছুটা সুস্থ হয়ে উঠতে পেরেছি। গত এক মাস ধরে আমি ছুটিতে আছি (আমি একজন শিক্ষক) এবং আমার "&amp;"মূল কারণ যা শিক্ষকতা থেকে দূরে থাকা সত্ত্বেও আমি আবার লক্ষণগুলি অনুভব করছি। যখনই আমি জনাকীর্ণ এলাকায়, বিশেষ করে শপিং মলে যাই তখনই এটি ঘটে। আমার দৃষ্টি ঝাপসা হয়ে যায়, আমার মুখ এবং বুক গরম হয়ে যায় এবং আমার হাঁটু ভেঙে পড়ার মতো মনে হয়। আমি ছুটিতে থাকার"&amp;" সময় আমার ওষুধ ঠিক সময়মতো খাচ্ছি না। আমি সত্যিই আশা করি এটি এই কারণেই। তদুপরি, আমি আগামীকাল থেকে পড়ানো শুরু করব, এবং আমি খুব চিন্তিত যে আমি আবার সেই লক্ষণগুলি অনুভব করব। এটি সত্যিই খুব হতাশাজনক, এবং আমি স্কুল বছরটি এতটা চিন্তিত বোধ করে শুরু করতে চাই না"&amp;"।")</f>
        <v>গত বছর আমি আবারও অসুস্থ হয়ে পড়ি এবং উচ্চ মাত্রার ওষুধ এবং আরও একটি নতুন ওষুধ যোগ করার মাধ্যমে আমি তা থেকে বেরিয়ে আসতে সক্ষম হই। আমি একশ শতাংশ ছিলাম না, তবে প্রতিদিন কিছুটা সুস্থ হয়ে উঠতে পেরেছি। গত এক মাস ধরে আমি ছুটিতে আছি (আমি একজন শিক্ষক) এবং আমার মূল কারণ যা শিক্ষকতা থেকে দূরে থাকা সত্ত্বেও আমি আবার লক্ষণগুলি অনুভব করছি। যখনই আমি জনাকীর্ণ এলাকায়, বিশেষ করে শপিং মলে যাই তখনই এটি ঘটে। আমার দৃষ্টি ঝাপসা হয়ে যায়, আমার মুখ এবং বুক গরম হয়ে যায় এবং আমার হাঁটু ভেঙে পড়ার মতো মনে হয়। আমি ছুটিতে থাকার সময় আমার ওষুধ ঠিক সময়মতো খাচ্ছি না। আমি সত্যিই আশা করি এটি এই কারণেই। তদুপরি, আমি আগামীকাল থেকে পড়ানো শুরু করব, এবং আমি খুব চিন্তিত যে আমি আবার সেই লক্ষণগুলি অনুভব করব। এটি সত্যিই খুব হতাশাজনক, এবং আমি স্কুল বছরটি এতটা চিন্তিত বোধ করে শুরু করতে চাই না।</v>
      </c>
    </row>
    <row r="2619" spans="1:3" ht="15" x14ac:dyDescent="0.25">
      <c r="A2619" s="3" t="s">
        <v>2612</v>
      </c>
      <c r="B2619" s="3" t="s">
        <v>1992</v>
      </c>
      <c r="C2619" s="4" t="str">
        <f ca="1">IFERROR(__xludf.DUMMYFUNCTION("GOOGLETRANSLATE(A2619, ""auto"", ""bn"")"),"উদ্বেগ/ভীতি নিয়ে উড়ছি শুক্রবার ভেগাসে সপ্তাহান্তে বেড়াতে যাচ্ছি, রবিবার ফিরে আসছি। আমি আগেও উড়ে এসেছি, কিন্তু এখনকার মতো এতটা উদ্বেগ আমার ছিল না। বিমানে ওঠার আগে আমার এশিয়ান ভ্রমণের পরিকল্পনা আছে। আগামীকাল থেকে শুরু করে ফিরে আসার পর পর্যন্ত কোনও অ্যা"&amp;"ফিন নেই। আমার ট্যাবলেটের সাথে কিছু শব্দ-বাতিলকারী হেডফোনও নিচ্ছি, যাতে সিনেমা এবং শো আগে থেকেই লোড করা থাকে। কিন্তু আমি ভাবতে পারছি না যে বিমানে উঠলে আমার খুব খারাপ লাগবে। আমি কিছুটা ক্লাস্ট্রোফোবিয়ায় ভুগছি, সময়ের সাথে সাথে আরও খারাপ হয়ে যাচ্ছি। উচ্চত"&amp;"ার ভয়। সাধারণত ভয়ঙ্কর কিছু ঘটবে বলে ভীত। গত ৪ বছরে আমি ২ জন স্বামী হারিয়েছি, তাই আমি বুঝতে পারছি যে PTSD, ভীতি এবং উদ্বেগ কোথা থেকে আসে। কিন্তু আমি চাই না যে এই জিনিসগুলি আমার জীবনকে সীমাবদ্ধ করে। আমি কখনও ভেগাসে যাইনি, আমি আমার শ্যালিকার সাথে যাচ্ছি, "&amp;"যিনি আমার সবচেয়ে ভালো বন্ধু। সম্ভবত এটাই একমাত্র সময় যেখানে আমি এটা করতে পারব, আর আমি এটা মিস করতে চাই না। কারো কাছে কি কোন টিপস, আইডিয়া বা কিছু আছে যা আমাকে এই দুটি বিমান ভ্রমণের মধ্য দিয়ে যেতে সাহায্য করবে? আমি ক্লাস্ট্রোফোবিক সমস্যা নিয়ে বেশি চিন্তিত "&amp;"এবং আমার মনে হয় সবই এরকম। আগাম ধন্যবাদ। ওরফে? Â‹? Â")</f>
        <v>উদ্বেগ/ভীতি নিয়ে উড়ছি শুক্রবার ভেগাসে সপ্তাহান্তে বেড়াতে যাচ্ছি, রবিবার ফিরে আসছি। আমি আগেও উড়ে এসেছি, কিন্তু এখনকার মতো এতটা উদ্বেগ আমার ছিল না। বিমানে ওঠার আগে আমার এশিয়ান ভ্রমণের পরিকল্পনা আছে। আগামীকাল থেকে শুরু করে ফিরে আসার পর পর্যন্ত কোনও অ্যাফিন নেই। আমার ট্যাবলেটের সাথে কিছু শব্দ-বাতিলকারী হেডফোনও নিচ্ছি, যাতে সিনেমা এবং শো আগে থেকেই লোড করা থাকে। কিন্তু আমি ভাবতে পারছি না যে বিমানে উঠলে আমার খুব খারাপ লাগবে। আমি কিছুটা ক্লাস্ট্রোফোবিয়ায় ভুগছি, সময়ের সাথে সাথে আরও খারাপ হয়ে যাচ্ছি। উচ্চতার ভয়। সাধারণত ভয়ঙ্কর কিছু ঘটবে বলে ভীত। গত ৪ বছরে আমি ২ জন স্বামী হারিয়েছি, তাই আমি বুঝতে পারছি যে PTSD, ভীতি এবং উদ্বেগ কোথা থেকে আসে। কিন্তু আমি চাই না যে এই জিনিসগুলি আমার জীবনকে সীমাবদ্ধ করে। আমি কখনও ভেগাসে যাইনি, আমি আমার শ্যালিকার সাথে যাচ্ছি, যিনি আমার সবচেয়ে ভালো বন্ধু। সম্ভবত এটাই একমাত্র সময় যেখানে আমি এটা করতে পারব, আর আমি এটা মিস করতে চাই না। কারো কাছে কি কোন টিপস, আইডিয়া বা কিছু আছে যা আমাকে এই দুটি বিমান ভ্রমণের মধ্য দিয়ে যেতে সাহায্য করবে? আমি ক্লাস্ট্রোফোবিক সমস্যা নিয়ে বেশি চিন্তিত এবং আমার মনে হয় সবই এরকম। আগাম ধন্যবাদ। ওরফে? Â‹? Â</v>
      </c>
    </row>
    <row r="2620" spans="1:3" ht="15" x14ac:dyDescent="0.25">
      <c r="A2620" s="3" t="s">
        <v>2613</v>
      </c>
      <c r="B2620" s="3" t="s">
        <v>1992</v>
      </c>
      <c r="C2620" s="4" t="str">
        <f ca="1">IFERROR(__xludf.DUMMYFUNCTION("GOOGLETRANSLATE(A2620, ""auto"", ""bn"")"),"৩ বছর ধরে বিভিন্ন ওষুধ ব্যবহার করেও যদি এখনও কোন ওষুধ খুঁজে না পাও, তাহলে তুমি কী করবে? আমি ৫ বছর ধরে ওষুধ খাচ্ছি। প্রথম যে ওষুধটি ব্যবহার করেছিলাম তা ২ বছর ধরে কাজ করেছিল, তারপর ধীরে ধীরে কাজ করা বন্ধ করে দিয়েছিল। তারপর থেকে, আমার ভাগ্য খারাপ যে আমি এমন"&amp;" কিছু খুঁজে পেয়েছি যা দুই মাসেরও বেশি সময় ধরে কাজ করবে অথবা এমন একটি ওষুধ যা আমাকে ভয়ঙ্কর পার্শ্বপ্রতিক্রিয়া দেয় না। আমি একটি জিন পরীক্ষা করিয়েছিলাম এবং অনেক ওষুধের পার্শ্বপ্রতিক্রিয়ার ঝুঁকি বেশি থাকে। আমি ৫ মাস আগে লাইকাল এবং ক্লোনিডিন শুরু করেছিল"&amp;"াম, এবং আমি ভেবেছিলাম যে তারা কাজ করবে, কিন্তু তারা আমাকে শারীরিকভাবে আরও খারাপ বোধ করতে শুরু করে এবং তারা এখন তেমন ভালো কাজ করছে না। তাছাড়া, নতুন ওষুধ ব্যবহার করে আমি নার্ভাস হয়ে যাচ্ছি। তাছাড়া, আমার মনে হচ্ছে ওষুধ খাওয়া থেকে আমার বিরতি নেওয়া দরকার, ক"&amp;"িন্তু আমি ভয় পাচ্ছি যে এগুলো ছাড়া আমার অবস্থা আরও খারাপ হয়ে যাবে। তাছাড়া, আমি ৪ সপ্তাহের বেশি সময় ধরে কোনও ওষুধ খাইনি। তাছাড়া, আমি জানি না কী করব...")</f>
        <v>৩ বছর ধরে বিভিন্ন ওষুধ ব্যবহার করেও যদি এখনও কোন ওষুধ খুঁজে না পাও, তাহলে তুমি কী করবে? আমি ৫ বছর ধরে ওষুধ খাচ্ছি। প্রথম যে ওষুধটি ব্যবহার করেছিলাম তা ২ বছর ধরে কাজ করেছিল, তারপর ধীরে ধীরে কাজ করা বন্ধ করে দিয়েছিল। তারপর থেকে, আমার ভাগ্য খারাপ যে আমি এমন কিছু খুঁজে পেয়েছি যা দুই মাসেরও বেশি সময় ধরে কাজ করবে অথবা এমন একটি ওষুধ যা আমাকে ভয়ঙ্কর পার্শ্বপ্রতিক্রিয়া দেয় না। আমি একটি জিন পরীক্ষা করিয়েছিলাম এবং অনেক ওষুধের পার্শ্বপ্রতিক্রিয়ার ঝুঁকি বেশি থাকে। আমি ৫ মাস আগে লাইকাল এবং ক্লোনিডিন শুরু করেছিলাম, এবং আমি ভেবেছিলাম যে তারা কাজ করবে, কিন্তু তারা আমাকে শারীরিকভাবে আরও খারাপ বোধ করতে শুরু করে এবং তারা এখন তেমন ভালো কাজ করছে না। তাছাড়া, নতুন ওষুধ ব্যবহার করে আমি নার্ভাস হয়ে যাচ্ছি। তাছাড়া, আমার মনে হচ্ছে ওষুধ খাওয়া থেকে আমার বিরতি নেওয়া দরকার, কিন্তু আমি ভয় পাচ্ছি যে এগুলো ছাড়া আমার অবস্থা আরও খারাপ হয়ে যাবে। তাছাড়া, আমি ৪ সপ্তাহের বেশি সময় ধরে কোনও ওষুধ খাইনি। তাছাড়া, আমি জানি না কী করব...</v>
      </c>
    </row>
    <row r="2621" spans="1:3" ht="15" x14ac:dyDescent="0.25">
      <c r="A2621" s="3" t="s">
        <v>2614</v>
      </c>
      <c r="B2621" s="3" t="s">
        <v>1992</v>
      </c>
      <c r="C2621" s="4" t="str">
        <f ca="1">IFERROR(__xludf.DUMMYFUNCTION("GOOGLETRANSLATE(A2621, ""auto"", ""bn"")"),"মৃত্যুর ভয় আমার ১৪ বছর বয়স থেকেই উদ্বেগ এবং প্যানিক অ্যাটাক হচ্ছে। SSRI অনেক সাহায্য করে। কিন্তু গত দুই বছরে আমি আমার ছেলেকে হারিয়েছি এবং তারপর অসুস্থ হয়ে পড়েছি এবং বিভিন্ন দীর্ঘস্থায়ী অসুস্থতায় আক্রান্ত হয়েছি যা ক্লান্তিতে ব্যথা সৃষ্টি করে। এই বছ"&amp;"রের শুরুতে আমার অন্য একটি ওষুধের সাথে ওষুধের মিথস্ক্রিয়ার কারণে আমি SSRI ছেড়ে দিয়েছিলাম। গর্ভবতী থাকাকালীন আমি এর আগেও SSRI ছেড়ে দিয়েছিলাম ইত্যাদি কয়েকটি সমস্যায়। কিন্তু এবার আমার প্যানিক অ্যাটাক এবং অনুপ্রবেশকারী উদ্বেগজনক চিন্তাভাবনা আগের চেয়ে অ"&amp;"নেক খারাপ হয়ে গেছে। প্রায় অবিরাম আসন্ন ধ্বংসের অনুভূতি নিয়ে বেঁচে আছি। আমি আবার জোলফ্টে ফিরে এসেছি কারণ আমি আর এটা সহ্য করতে পারছি না। আমি এমন পর্যায়ে পৌঁছেছি যেখানে আমি হাসপাতালে যাওয়ার জন্য ভিক্ষা করছিলাম এবং নিশ্চিত ছিলাম যে আমি মারা যাচ্ছি। জোলফ্"&amp;"ট এখন থেমে গেছে তাই আমার কম্পন ইত্যাদির মতো প্যানিক অ্যাটাক নেই, কিন্তু আমি মারা যাব এমন ক্রমাগত অনুভূতি এখনও আছে। আমার পরিবার কী করবে এবং তারা আমাকে ছাড়া কীভাবে চলবে তা নিয়ে ভাবছি। অথবা আমি যখন আমার বারে যাচ্ছি তখন যদি কেউ আমাকে গুলি করে। সারা দিন প্রত"&amp;"িদিন। আমি জানি এর একটা কারণ হল আমার সবসময় স্বাস্থ্যগত উদ্বেগ ছিল এবং অসুস্থ হওয়া এবং আমার স্বাস্থ্যগত সমস্যা আছে জানতে পারা, এর সাথে খাপ খাইয়ে নেওয়া কঠিন। কিন্তু আক্ষরিক অর্থেই প্রতিদিনই আমি আবার স্বাভাবিক বোধ করতে চাই। কোন পরামর্শ?")</f>
        <v>মৃত্যুর ভয় আমার ১৪ বছর বয়স থেকেই উদ্বেগ এবং প্যানিক অ্যাটাক হচ্ছে। SSRI অনেক সাহায্য করে। কিন্তু গত দুই বছরে আমি আমার ছেলেকে হারিয়েছি এবং তারপর অসুস্থ হয়ে পড়েছি এবং বিভিন্ন দীর্ঘস্থায়ী অসুস্থতায় আক্রান্ত হয়েছি যা ক্লান্তিতে ব্যথা সৃষ্টি করে। এই বছরের শুরুতে আমার অন্য একটি ওষুধের সাথে ওষুধের মিথস্ক্রিয়ার কারণে আমি SSRI ছেড়ে দিয়েছিলাম। গর্ভবতী থাকাকালীন আমি এর আগেও SSRI ছেড়ে দিয়েছিলাম ইত্যাদি কয়েকটি সমস্যায়। কিন্তু এবার আমার প্যানিক অ্যাটাক এবং অনুপ্রবেশকারী উদ্বেগজনক চিন্তাভাবনা আগের চেয়ে অনেক খারাপ হয়ে গেছে। প্রায় অবিরাম আসন্ন ধ্বংসের অনুভূতি নিয়ে বেঁচে আছি। আমি আবার জোলফ্টে ফিরে এসেছি কারণ আমি আর এটা সহ্য করতে পারছি না। আমি এমন পর্যায়ে পৌঁছেছি যেখানে আমি হাসপাতালে যাওয়ার জন্য ভিক্ষা করছিলাম এবং নিশ্চিত ছিলাম যে আমি মারা যাচ্ছি। জোলফ্ট এখন থেমে গেছে তাই আমার কম্পন ইত্যাদির মতো প্যানিক অ্যাটাক নেই, কিন্তু আমি মারা যাব এমন ক্রমাগত অনুভূতি এখনও আছে। আমার পরিবার কী করবে এবং তারা আমাকে ছাড়া কীভাবে চলবে তা নিয়ে ভাবছি। অথবা আমি যখন আমার বারে যাচ্ছি তখন যদি কেউ আমাকে গুলি করে। সারা দিন প্রতিদিন। আমি জানি এর একটা কারণ হল আমার সবসময় স্বাস্থ্যগত উদ্বেগ ছিল এবং অসুস্থ হওয়া এবং আমার স্বাস্থ্যগত সমস্যা আছে জানতে পারা, এর সাথে খাপ খাইয়ে নেওয়া কঠিন। কিন্তু আক্ষরিক অর্থেই প্রতিদিনই আমি আবার স্বাভাবিক বোধ করতে চাই। কোন পরামর্শ?</v>
      </c>
    </row>
    <row r="2622" spans="1:3" ht="15" x14ac:dyDescent="0.25">
      <c r="A2622" s="3" t="s">
        <v>2615</v>
      </c>
      <c r="B2622" s="3" t="s">
        <v>1992</v>
      </c>
      <c r="C2622" s="4" t="str">
        <f ca="1">IFERROR(__xludf.DUMMYFUNCTION("GOOGLETRANSLATE(A2622, ""auto"", ""bn"")"),"প্রথমবারের মতো স্ট্রিপ ক্লাবে যাওয়ার জন্য উদ্বেগ। তাই আমার মহিলাদের সাথে কথা বলার অভিজ্ঞতা খুব কম বা কোনও অভিজ্ঞতাই ছিল না এবং আমার প্রত্যাখ্যানের ভয় আছে। আমি আমার ঘনিষ্ঠ বন্ধুদের আমার সমস্যার কথা বলেছিলাম, এবং তারা আমাকে জিজ্ঞাসা করেছিল যে আমি কি কখনও ক"&amp;"োনও মহিলাকে নগ্ন দেখেছি। আমি তাদের বলেছিলাম যে অনলাইন পর্ন ছাড়া, আমি বাস্তব জীবনে কখনও এটি দেখিনি। তাই তারা আমাকে তাদের সাথে একটি স্ট্রিপ ক্লাবে যেতে বাধ্য করছে। কিন্তু আমি এখন অত্যন্ত আতঙ্কিত এবং আমি জানি না কিভাবে তাদের সাথে যোগাযোগ করব। আমার উদ্বেগ এত"&amp;"টাই তীব্র যে আমি ক্লাবের দরজা দিয়ে ঢুকে পড়ার জন্যও কান্নায় ভেঙে পড়তে যাচ্ছি। আমি জানি না কিভাবে এই ধরণের উদ্বেগ সামলাবো।")</f>
        <v>প্রথমবারের মতো স্ট্রিপ ক্লাবে যাওয়ার জন্য উদ্বেগ। তাই আমার মহিলাদের সাথে কথা বলার অভিজ্ঞতা খুব কম বা কোনও অভিজ্ঞতাই ছিল না এবং আমার প্রত্যাখ্যানের ভয় আছে। আমি আমার ঘনিষ্ঠ বন্ধুদের আমার সমস্যার কথা বলেছিলাম, এবং তারা আমাকে জিজ্ঞাসা করেছিল যে আমি কি কখনও কোনও মহিলাকে নগ্ন দেখেছি। আমি তাদের বলেছিলাম যে অনলাইন পর্ন ছাড়া, আমি বাস্তব জীবনে কখনও এটি দেখিনি। তাই তারা আমাকে তাদের সাথে একটি স্ট্রিপ ক্লাবে যেতে বাধ্য করছে। কিন্তু আমি এখন অত্যন্ত আতঙ্কিত এবং আমি জানি না কিভাবে তাদের সাথে যোগাযোগ করব। আমার উদ্বেগ এতটাই তীব্র যে আমি ক্লাবের দরজা দিয়ে ঢুকে পড়ার জন্যও কান্নায় ভেঙে পড়তে যাচ্ছি। আমি জানি না কিভাবে এই ধরণের উদ্বেগ সামলাবো।</v>
      </c>
    </row>
    <row r="2623" spans="1:3" ht="15" x14ac:dyDescent="0.25">
      <c r="A2623" s="3" t="s">
        <v>2616</v>
      </c>
      <c r="B2623" s="3" t="s">
        <v>1992</v>
      </c>
      <c r="C2623" s="4" t="str">
        <f ca="1">IFERROR(__xludf.DUMMYFUNCTION("GOOGLETRANSLATE(A2623, ""auto"", ""bn"")"),"আমি যখন কথা বলি তখন নিজেকে এত বোকা মনে হয় যে, আমার সবসময় তোতলাতে থাকে যেন আমার জিভ আমার মুখের চেয়ে বড়, আর আমি সবসময় আমার কথাগুলো এলোমেলো করে ফেলি এবং কোন অর্থই বের করতে পারি না। মনে হয় আমি আর ভাবতে পারছি না অথবা যখন আমি চেষ্টা করি তখন আমার মন খালি হয়ে যা"&amp;"য়। এর আগে কি আর কেউ কখনও এইরকম অনুভব করেছে?")</f>
        <v>আমি যখন কথা বলি তখন নিজেকে এত বোকা মনে হয় যে, আমার সবসময় তোতলাতে থাকে যেন আমার জিভ আমার মুখের চেয়ে বড়, আর আমি সবসময় আমার কথাগুলো এলোমেলো করে ফেলি এবং কোন অর্থই বের করতে পারি না। মনে হয় আমি আর ভাবতে পারছি না অথবা যখন আমি চেষ্টা করি তখন আমার মন খালি হয়ে যায়। এর আগে কি আর কেউ কখনও এইরকম অনুভব করেছে?</v>
      </c>
    </row>
    <row r="2624" spans="1:3" ht="15" x14ac:dyDescent="0.25">
      <c r="A2624" s="3" t="s">
        <v>2617</v>
      </c>
      <c r="B2624" s="3" t="s">
        <v>1992</v>
      </c>
      <c r="C2624" s="4" t="str">
        <f ca="1">IFERROR(__xludf.DUMMYFUNCTION("GOOGLETRANSLATE(A2624, ""auto"", ""bn"")"),"অন্য কেউ কি দুশ্চিন্তার কারণে গাড়ি কিনতে পারেনি? তুমি এটা কিভাবে করলে? আমি কখনোই খারাপ ড্রাইভার ছিলাম না, কিন্তু কয়েক বছর ধরে আমার গাড়ি ছিল না। যাইহোক, আমার একটির প্রয়োজন এবং আমার এটির খুব প্রয়োজন। আমার সামাজিক জীবন খুব ব্যয়বহুল কারণ আমাকে সর্বত্র L"&amp;"yft-এ যেতে হয়, এবং আমি কোথাও রাত কাটানোর জন্য বা লোকেরা আমাকে অসুবিধাজনক সময়ে জায়গায় নিয়ে যাওয়ার জন্য বোকা অজুহাত খুঁজি। এই কারণেই আমার একটি কিনতে সমস্যা হচ্ছে: আমাকে গবেষণা করতে হবে, ডিলারের কাছে যেতে হবে, দাম দর কষাকষি করতে হবে (যা করতে আমি সত্যিই"&amp;" স্বাচ্ছন্দ্য বোধ করি না), বীমা করতে হবে, DMV-তে নিবন্ধন করতে হবে এবং বাড়িতে এটি পার্ক করার জন্য একটি জায়গা খুঁজে বের করতে হবে। তারপর আমাকে যেখানে থাকি সেখানে ট্র্যাফিকের সাথে অভ্যস্ত হতে হবে। আমি এখনকার মতো ঘনবসতিপূর্ণ জায়গায় কখনও নিয়মিত ড্রাইভার ছি"&amp;"লাম না এবং আমি এখনকার মতো 9-5 বছর বয়সী চাকরিতে গাড়ি চালাইনি। আমি আবার গাড়ি চালানো শুরু করতে ভয় পাই, এবং আমার প্রায় এক মাস সময় আছে যে আমি আর সবকিছুর জন্য পাবলিক ট্রান্সপোর্ট এবং Lyft-এর উপর নির্ভর করতে পারি না। কেউ কি এই পরিস্থিতিতে পড়েছেন? আর কেউ ক"&amp;"ি আমাকে একটা গাড়ি দিতে পারবেন?^^/s")</f>
        <v>অন্য কেউ কি দুশ্চিন্তার কারণে গাড়ি কিনতে পারেনি? তুমি এটা কিভাবে করলে? আমি কখনোই খারাপ ড্রাইভার ছিলাম না, কিন্তু কয়েক বছর ধরে আমার গাড়ি ছিল না। যাইহোক, আমার একটির প্রয়োজন এবং আমার এটির খুব প্রয়োজন। আমার সামাজিক জীবন খুব ব্যয়বহুল কারণ আমাকে সর্বত্র Lyft-এ যেতে হয়, এবং আমি কোথাও রাত কাটানোর জন্য বা লোকেরা আমাকে অসুবিধাজনক সময়ে জায়গায় নিয়ে যাওয়ার জন্য বোকা অজুহাত খুঁজি। এই কারণেই আমার একটি কিনতে সমস্যা হচ্ছে: আমাকে গবেষণা করতে হবে, ডিলারের কাছে যেতে হবে, দাম দর কষাকষি করতে হবে (যা করতে আমি সত্যিই স্বাচ্ছন্দ্য বোধ করি না), বীমা করতে হবে, DMV-তে নিবন্ধন করতে হবে এবং বাড়িতে এটি পার্ক করার জন্য একটি জায়গা খুঁজে বের করতে হবে। তারপর আমাকে যেখানে থাকি সেখানে ট্র্যাফিকের সাথে অভ্যস্ত হতে হবে। আমি এখনকার মতো ঘনবসতিপূর্ণ জায়গায় কখনও নিয়মিত ড্রাইভার ছিলাম না এবং আমি এখনকার মতো 9-5 বছর বয়সী চাকরিতে গাড়ি চালাইনি। আমি আবার গাড়ি চালানো শুরু করতে ভয় পাই, এবং আমার প্রায় এক মাস সময় আছে যে আমি আর সবকিছুর জন্য পাবলিক ট্রান্সপোর্ট এবং Lyft-এর উপর নির্ভর করতে পারি না। কেউ কি এই পরিস্থিতিতে পড়েছেন? আর কেউ কি আমাকে একটা গাড়ি দিতে পারবেন?^^/s</v>
      </c>
    </row>
    <row r="2625" spans="1:3" ht="15" x14ac:dyDescent="0.25">
      <c r="A2625" s="3" t="s">
        <v>2618</v>
      </c>
      <c r="B2625" s="3" t="s">
        <v>1992</v>
      </c>
      <c r="C2625" s="4" t="str">
        <f ca="1">IFERROR(__xludf.DUMMYFUNCTION("GOOGLETRANSLATE(A2625, ""auto"", ""bn"")"),"আমি একটা একক খেলোয়াড়ের খেলা খেলতেও উদ্বিগ্ন হই কারণ আমি ভয় পাই যে আমি আমার অতীতের মতো বোকামি বুঝতে পারছি না। আমি এতটাই এড়িয়ে চলি যে আমি একটা খেলাও খেলি না, কারণ যদি আমি নিজেকে আরও খারাপ করতে দেখি, তাহলে নিজেকে একজন ব্যক্তি হিসেবে আরও খারাপ হয়ে উঠতে "&amp;"দেখব। আমি জানি যুক্তিসঙ্গতভাবে এটা হাস্যকর, কিন্তু এখনও আমার এমনই অনুভূতি হয়।")</f>
        <v>আমি একটা একক খেলোয়াড়ের খেলা খেলতেও উদ্বিগ্ন হই কারণ আমি ভয় পাই যে আমি আমার অতীতের মতো বোকামি বুঝতে পারছি না। আমি এতটাই এড়িয়ে চলি যে আমি একটা খেলাও খেলি না, কারণ যদি আমি নিজেকে আরও খারাপ করতে দেখি, তাহলে নিজেকে একজন ব্যক্তি হিসেবে আরও খারাপ হয়ে উঠতে দেখব। আমি জানি যুক্তিসঙ্গতভাবে এটা হাস্যকর, কিন্তু এখনও আমার এমনই অনুভূতি হয়।</v>
      </c>
    </row>
    <row r="2626" spans="1:3" ht="15" x14ac:dyDescent="0.25">
      <c r="A2626" s="3" t="s">
        <v>2619</v>
      </c>
      <c r="B2626" s="3" t="s">
        <v>1992</v>
      </c>
      <c r="C2626" s="4" t="str">
        <f ca="1">IFERROR(__xludf.DUMMYFUNCTION("GOOGLETRANSLATE(A2626, ""auto"", ""bn"")"),"আর কেউ কি ৫-এইচপিটি সাপ্লিমেন্টটি ব্যবহার করে দেখেছেন? আমার কাউন্সেলর সম্প্রতি এটি সুপারিশ করেছিলেন এবং অবশেষে আমি এটি ব্যবহার করে দেখেছি। এখন পর্যন্ত কোনও তন্দ্রাচ্ছন্নতা অনুভব হয়নি, তবে অন্যথায় আমি লক্ষণীয়ভাবে শান্ত হয়েছি। এটি প্লেসিবো প্রভাব হতে পা"&amp;"রে তবে আমি এটি গ্রহণ করব।")</f>
        <v>আর কেউ কি ৫-এইচপিটি সাপ্লিমেন্টটি ব্যবহার করে দেখেছেন? আমার কাউন্সেলর সম্প্রতি এটি সুপারিশ করেছিলেন এবং অবশেষে আমি এটি ব্যবহার করে দেখেছি। এখন পর্যন্ত কোনও তন্দ্রাচ্ছন্নতা অনুভব হয়নি, তবে অন্যথায় আমি লক্ষণীয়ভাবে শান্ত হয়েছি। এটি প্লেসিবো প্রভাব হতে পারে তবে আমি এটি গ্রহণ করব।</v>
      </c>
    </row>
    <row r="2627" spans="1:3" ht="15" x14ac:dyDescent="0.25">
      <c r="A2627" s="3" t="s">
        <v>2620</v>
      </c>
      <c r="B2627" s="3" t="s">
        <v>1992</v>
      </c>
      <c r="C2627" s="4" t="str">
        <f ca="1">IFERROR(__xludf.DUMMYFUNCTION("GOOGLETRANSLATE(A2627, ""auto"", ""bn"")"),"প্যানিক অ্যাটাকের সময় কি কারো হৃদস্পন্দন কমে যায়? আমারও এই সমস্যা, আর মাঝে মাঝে আমি অজ্ঞান হয়ে যাই। আমি আর কারো এই সমস্যা আছে বলে শুনিনি।")</f>
        <v>প্যানিক অ্যাটাকের সময় কি কারো হৃদস্পন্দন কমে যায়? আমারও এই সমস্যা, আর মাঝে মাঝে আমি অজ্ঞান হয়ে যাই। আমি আর কারো এই সমস্যা আছে বলে শুনিনি।</v>
      </c>
    </row>
    <row r="2628" spans="1:3" ht="15" x14ac:dyDescent="0.25">
      <c r="A2628" s="3" t="s">
        <v>2621</v>
      </c>
      <c r="B2628" s="3" t="s">
        <v>1992</v>
      </c>
      <c r="C2628" s="4" t="str">
        <f ca="1">IFERROR(__xludf.DUMMYFUNCTION("GOOGLETRANSLATE(A2628, ""auto"", ""bn"")"),"আমার সব ভেঙে পড়া বন্ধুরা, আমরা কি সুস্থ বন্ধুদের সাথে ডেট করার যোগ্য? সম্প্রতি আমি এক মেয়েকে বলেছিলাম যে সে অবশ্যই তা প্রত্যাখ্যান করবে, কিন্তু সে তা করেনি, সে আগ্রহী বলে মনে হচ্ছে, অন্তত আমার তাই মনে হয়। কিন্তু এখন আমার মনে হচ্ছে যে আমি আমার সমস্ত ঝামে"&amp;"লা দিয়ে তার সুখ নষ্ট করে দিতে পারি, এটা আমার কাছে খুবই স্বার্থপর মনে হচ্ছে।")</f>
        <v>আমার সব ভেঙে পড়া বন্ধুরা, আমরা কি সুস্থ বন্ধুদের সাথে ডেট করার যোগ্য? সম্প্রতি আমি এক মেয়েকে বলেছিলাম যে সে অবশ্যই তা প্রত্যাখ্যান করবে, কিন্তু সে তা করেনি, সে আগ্রহী বলে মনে হচ্ছে, অন্তত আমার তাই মনে হয়। কিন্তু এখন আমার মনে হচ্ছে যে আমি আমার সমস্ত ঝামেলা দিয়ে তার সুখ নষ্ট করে দিতে পারি, এটা আমার কাছে খুবই স্বার্থপর মনে হচ্ছে।</v>
      </c>
    </row>
    <row r="2629" spans="1:3" ht="15" x14ac:dyDescent="0.25">
      <c r="A2629" s="3" t="s">
        <v>2622</v>
      </c>
      <c r="B2629" s="3" t="s">
        <v>1992</v>
      </c>
      <c r="C2629" s="4" t="str">
        <f ca="1">IFERROR(__xludf.DUMMYFUNCTION("GOOGLETRANSLATE(A2629, ""auto"", ""bn"")"),"মানসিক প্রশান্তির জন্য অতিরিক্ত হার্ট টেস্টের জন্য ডাক্তারের কাছে পরামর্শ প্রয়োজন (পাগল শোনাচ্ছে না)। গত ২-৩ সপ্তাহ ধরে আমি বুকে ব্যথা অনুভব করছি যা আসতে আসতে চলে আসছে (২৪ বছর বয়সী মহিলা)। গত বুধবার আমি এর জন্য আমার ডাক্তারের কাছে গিয়েছিলাম, এবং তারা এ"&amp;"কটি EKG করেছিলেন যা স্বাভাবিক অবস্থায় ফিরে এসেছে। তিনি আমাকে বলেছিলেন যে আমি কেবল উদ্বেগ অনুভব করছি (যা তিনি ইতিমধ্যেই আমার ইতিহাস সম্পর্কে জানতেন, যার মধ্যে আমি যে ওষুধগুলি খাচ্ছি তাও ছিল।) আমি ভেবেছিলাম এতে আমার মন শান্ত হবে এবং বুকের ব্যথা যদি উদ্বেগ "&amp;"হয় তবে তা চলে যাবে, কিন্তু তারা তা করেনি। আমি চিন্তিত যে EKG যথেষ্ট নয়, এবং আমার মনে হচ্ছে আমার আরও মানসিক শান্তির প্রয়োজন (সত্যিই কেবল কমপক্ষে একটি প্রতিধ্বনি)। আমি কীভাবে প্রতিধ্বনি বা একজন কার্ডিওলজিস্টের কাছে রেফারেলের অনুরোধ করতে পারি এবং তাকে গুর"&amp;"ুত্ব সহকারে নেওয়া উচিত (যেহেতু তিনি ইতিমধ্যেই জানেন যে আমার উদ্বেগ আছে)? পার্শ্ব দ্রষ্টব্য: আমার নানীর জন্মগত ভালভ হার্টের সমস্যা ছিল, কিন্তু এটি ৬০ বছর বা তার কাছাকাছি না হওয়া পর্যন্ত তাকে প্রভাবিত করেনি। আমার ডাক্তার এই বিষয়ে জানেন না কারণ আমি গত সপ্"&amp;"তাহান্তে আমার মায়ের কাছ থেকে এটি সম্পর্কে জেনেছি। তাই এটাও ব্যথার জন্য আমার উদ্বেগ কমাতে সাহায্য করছে না। আমি ২০১৪ সাল থেকে GAD/উদ্বেগের আক্রমণে ভুগছি, কিন্তু পূর্ণ-উদ্বেগের আক্রমণের বাইরে আমার আর কখনও বুকে ব্যথা হয়নি, তাই এই শারীরিক লক্ষণগুলির কারণে আম"&amp;"ি ক্রমাগত আরও উদ্বেগের মধ্যে রয়েছি, এবং অজানা হার্টের সমস্যার কারণে ঘুম থেকে না ওঠার ভয়ে আমি রাতে ঘুমাতে পারছি না। আমি উদ্বিগ্ন যে এটি শীঘ্রই আমার পূর্ণকালীন চাকরিতে প্রভাব ফেলতে শুরু করবে। যেকোনো সাহায্যের জন্য আমি খুবই কৃতজ্ঞ। আমার মনে হচ্ছে আমি এটি হ"&amp;"ারিয়ে ফেলছি, এবং আমি জানি না আমি আরও কতটা নিতে পারি।")</f>
        <v>মানসিক প্রশান্তির জন্য অতিরিক্ত হার্ট টেস্টের জন্য ডাক্তারের কাছে পরামর্শ প্রয়োজন (পাগল শোনাচ্ছে না)। গত ২-৩ সপ্তাহ ধরে আমি বুকে ব্যথা অনুভব করছি যা আসতে আসতে চলে আসছে (২৪ বছর বয়সী মহিলা)। গত বুধবার আমি এর জন্য আমার ডাক্তারের কাছে গিয়েছিলাম, এবং তারা একটি EKG করেছিলেন যা স্বাভাবিক অবস্থায় ফিরে এসেছে। তিনি আমাকে বলেছিলেন যে আমি কেবল উদ্বেগ অনুভব করছি (যা তিনি ইতিমধ্যেই আমার ইতিহাস সম্পর্কে জানতেন, যার মধ্যে আমি যে ওষুধগুলি খাচ্ছি তাও ছিল।) আমি ভেবেছিলাম এতে আমার মন শান্ত হবে এবং বুকের ব্যথা যদি উদ্বেগ হয় তবে তা চলে যাবে, কিন্তু তারা তা করেনি। আমি চিন্তিত যে EKG যথেষ্ট নয়, এবং আমার মনে হচ্ছে আমার আরও মানসিক শান্তির প্রয়োজন (সত্যিই কেবল কমপক্ষে একটি প্রতিধ্বনি)। আমি কীভাবে প্রতিধ্বনি বা একজন কার্ডিওলজিস্টের কাছে রেফারেলের অনুরোধ করতে পারি এবং তাকে গুরুত্ব সহকারে নেওয়া উচিত (যেহেতু তিনি ইতিমধ্যেই জানেন যে আমার উদ্বেগ আছে)? পার্শ্ব দ্রষ্টব্য: আমার নানীর জন্মগত ভালভ হার্টের সমস্যা ছিল, কিন্তু এটি ৬০ বছর বা তার কাছাকাছি না হওয়া পর্যন্ত তাকে প্রভাবিত করেনি। আমার ডাক্তার এই বিষয়ে জানেন না কারণ আমি গত সপ্তাহান্তে আমার মায়ের কাছ থেকে এটি সম্পর্কে জেনেছি। তাই এটাও ব্যথার জন্য আমার উদ্বেগ কমাতে সাহায্য করছে না। আমি ২০১৪ সাল থেকে GAD/উদ্বেগের আক্রমণে ভুগছি, কিন্তু পূর্ণ-উদ্বেগের আক্রমণের বাইরে আমার আর কখনও বুকে ব্যথা হয়নি, তাই এই শারীরিক লক্ষণগুলির কারণে আমি ক্রমাগত আরও উদ্বেগের মধ্যে রয়েছি, এবং অজানা হার্টের সমস্যার কারণে ঘুম থেকে না ওঠার ভয়ে আমি রাতে ঘুমাতে পারছি না। আমি উদ্বিগ্ন যে এটি শীঘ্রই আমার পূর্ণকালীন চাকরিতে প্রভাব ফেলতে শুরু করবে। যেকোনো সাহায্যের জন্য আমি খুবই কৃতজ্ঞ। আমার মনে হচ্ছে আমি এটি হারিয়ে ফেলছি, এবং আমি জানি না আমি আরও কতটা নিতে পারি।</v>
      </c>
    </row>
    <row r="2630" spans="1:3" ht="15" x14ac:dyDescent="0.25">
      <c r="A2630" s="3" t="s">
        <v>2623</v>
      </c>
      <c r="B2630" s="3" t="s">
        <v>1992</v>
      </c>
      <c r="C2630" s="4" t="str">
        <f ca="1">IFERROR(__xludf.DUMMYFUNCTION("GOOGLETRANSLATE(A2630, ""auto"", ""bn"")"),"সাহায্য তো আমি শুধু এটুকুই বলতে চাই যে গত বছর অষ্টম শ্রেণীতে থাকাকালীন স্কুলে আক্রমণের ঘটনা আমাকে অনেক প্রভাবিত করেছিল, মাঝে মাঝে মনোযোগ দিতে বা শিক্ষকের কথা শুনতেও কষ্ট হচ্ছিল এবং এই বছর পরিস্থিতি আরও খারাপ হয়েছে (আমার ওষুধ শেষ হয়ে গেছে এবং মনোরোগ বিশে"&amp;"ষজ্ঞ এক মাসের জন্য বন্ধ), এবং আমি একটি মেয়েকে ডেকে আনার পরিকল্পনা করছি, তাই এটি কমাতে কোনও কৌশল বা খাওয়ার পদ্ধতি অনেক অর্থবহ হবে।")</f>
        <v>সাহায্য তো আমি শুধু এটুকুই বলতে চাই যে গত বছর অষ্টম শ্রেণীতে থাকাকালীন স্কুলে আক্রমণের ঘটনা আমাকে অনেক প্রভাবিত করেছিল, মাঝে মাঝে মনোযোগ দিতে বা শিক্ষকের কথা শুনতেও কষ্ট হচ্ছিল এবং এই বছর পরিস্থিতি আরও খারাপ হয়েছে (আমার ওষুধ শেষ হয়ে গেছে এবং মনোরোগ বিশেষজ্ঞ এক মাসের জন্য বন্ধ), এবং আমি একটি মেয়েকে ডেকে আনার পরিকল্পনা করছি, তাই এটি কমাতে কোনও কৌশল বা খাওয়ার পদ্ধতি অনেক অর্থবহ হবে।</v>
      </c>
    </row>
    <row r="2631" spans="1:3" ht="15" x14ac:dyDescent="0.25">
      <c r="A2631" s="3" t="s">
        <v>2624</v>
      </c>
      <c r="B2631" s="3" t="s">
        <v>1992</v>
      </c>
      <c r="C2631" s="4" t="str">
        <f ca="1">IFERROR(__xludf.DUMMYFUNCTION("GOOGLETRANSLATE(A2631, ""auto"", ""bn"")"),"[NSFW] পরিস্থিতি আগের চেয়েও খারাপ হয়ে গেছে/পরবর্তী অ্যাপয়েন্টমেন্টে যেতে সাহায্যের প্রয়োজন **আরও এগিয়ে যাওয়ার আগে, অনুগ্রহ করে বুঝতে হবে যে আমি কোনওভাবেই LGBT+ সম্প্রদায়ের বিরুদ্ধে নই। আমি সমাবেশ, বিক্ষোভ এবং অন্যান্য সম্পর্কিত অনুষ্ঠানে গিয়ে তাদে"&amp;"র সক্রিয়ভাবে সমর্থন করি।** তাই, শুরুতেই বলতে পারি, আমি একজন ১৫ বছর বয়সী ছেলে, খুব, খুব কঠিন সময় পার করছি। আমার GAD এবং ADHD আছে। আমার GAD এর ব্যাপারটা হল, এটি আমাকে সমকামী হওয়ার ধারণা নিয়ে ভয় পায়, যদিও এটি সম্পূর্ণ অসম্ভব। কিন্তু আজ, উদ্বেগ আগের চে"&amp;"য়েও খারাপ। আমি নিম্নলিখিত ঘটনাগুলি বিস্তারিতভাবে ব্যাখ্যা করার চেষ্টা করব: যতটা আমি মনে করতে পারি। তাই দয়া করে এটিও মনে রাখবেন। এটি শুরু হয়েছিল যখন আমি স্নান করতে যাচ্ছিলাম এবং আমার চিন্তাভাবনাগুলি বন্য হয়ে উঠছিল। আমি একজন প্রভাবশালী পুরুষ হওয়ার কথা "&amp;"ভাবছিলাম কারণ আমি অনেক মহিলার আশেপাশে থাকি যারা আজ্ঞাবহ পুরুষদের নিয়ে মজা করে। আমি তাদের একজন ছিলাম। তদুপরি, আমার এমন একটি জিনিস আছে যেখানে আমি ক্রমাগত অনুভব করি যে আমার চিন্তাভাবনা বাস্তবে পরিণত হচ্ছে, তাই আমি অনুভব করেছি যে এটি একটি বিচ্ছিন্ন অবস্থায় "&amp;"প্রায় একটি সম্মোহনী অবস্থা। তাছাড়া, স্নান করতে করতে আমি আতঙ্কিত হয়ে পড়লাম। লিঙ্গ ভূমিকা সীমাবদ্ধ করার কথা ভাবতে শুরু করলাম এবং আমি আসলে কতটা আজ্ঞাবহ ব্যক্তি তা ভাবতে শুরু করলাম। আমি কল্পনা করলাম যে আধিপত্য আমাকে স্নানের মধ্য দিয়ে ছেড়ে দেবে এবং ভাবলা"&amp;"ম ""শুধুমাত্র মেয়েরা আজ্ঞাবহ""। আমার মন লাফিয়ে উঠল যে আমার মধ্যে একটি অর্থপূর্ণ ফেটিশ আছে যা আমাকে ভয়ও জাগিয়ে তোলে, তারপর আমার ছেলেদের পছন্দ করার ধারণা। আমি অনুভব করলাম যে একই বিচ্ছিন্ন অবস্থা আবার দেখা দিয়েছে। আমি স্নান থেকে বেরিয়ে এলাম এবং এটি নিয"&amp;"়ে চিন্তা করার এবং পোশাক পরার মধ্যে আমার আরও মেয়েলি অনুভূতি এবং আবেশেতা অনুভব করলাম। তাছাড়া, আমি আবেশে পরিণত হতে শুরু করলাম, এবং আমার মনে হল আমি সমকামী হয়ে গেছি। আমি জানি না কি করব কারণ এটি আগের চেয়েও বেশি বাস্তব বোধ করে। মূল সমস্যা হল, আমি আগামী বুধবা"&amp;"র পর্যন্ত আমার থেরাপিস্টের সাথে দেখা করি না তাই আমি জানি না কিভাবে এ থেকে বেরিয়ে আসব। যেকোনো পরামর্শ এবং/অথবা সহায়তার প্রশংসা করা হবে। আমার পরবর্তী অ্যাপয়েন্টমেন্টে যেতে আমার কেবল সাহায্যের প্রয়োজন এবং এক সপ্তাহেরও বেশি সময় ধরে আমি একটিও পাইনি।")</f>
        <v>[NSFW] পরিস্থিতি আগের চেয়েও খারাপ হয়ে গেছে/পরবর্তী অ্যাপয়েন্টমেন্টে যেতে সাহায্যের প্রয়োজন **আরও এগিয়ে যাওয়ার আগে, অনুগ্রহ করে বুঝতে হবে যে আমি কোনওভাবেই LGBT+ সম্প্রদায়ের বিরুদ্ধে নই। আমি সমাবেশ, বিক্ষোভ এবং অন্যান্য সম্পর্কিত অনুষ্ঠানে গিয়ে তাদের সক্রিয়ভাবে সমর্থন করি।** তাই, শুরুতেই বলতে পারি, আমি একজন ১৫ বছর বয়সী ছেলে, খুব, খুব কঠিন সময় পার করছি। আমার GAD এবং ADHD আছে। আমার GAD এর ব্যাপারটা হল, এটি আমাকে সমকামী হওয়ার ধারণা নিয়ে ভয় পায়, যদিও এটি সম্পূর্ণ অসম্ভব। কিন্তু আজ, উদ্বেগ আগের চেয়েও খারাপ। আমি নিম্নলিখিত ঘটনাগুলি বিস্তারিতভাবে ব্যাখ্যা করার চেষ্টা করব: যতটা আমি মনে করতে পারি। তাই দয়া করে এটিও মনে রাখবেন। এটি শুরু হয়েছিল যখন আমি স্নান করতে যাচ্ছিলাম এবং আমার চিন্তাভাবনাগুলি বন্য হয়ে উঠছিল। আমি একজন প্রভাবশালী পুরুষ হওয়ার কথা ভাবছিলাম কারণ আমি অনেক মহিলার আশেপাশে থাকি যারা আজ্ঞাবহ পুরুষদের নিয়ে মজা করে। আমি তাদের একজন ছিলাম। তদুপরি, আমার এমন একটি জিনিস আছে যেখানে আমি ক্রমাগত অনুভব করি যে আমার চিন্তাভাবনা বাস্তবে পরিণত হচ্ছে, তাই আমি অনুভব করেছি যে এটি একটি বিচ্ছিন্ন অবস্থায় প্রায় একটি সম্মোহনী অবস্থা। তাছাড়া, স্নান করতে করতে আমি আতঙ্কিত হয়ে পড়লাম। লিঙ্গ ভূমিকা সীমাবদ্ধ করার কথা ভাবতে শুরু করলাম এবং আমি আসলে কতটা আজ্ঞাবহ ব্যক্তি তা ভাবতে শুরু করলাম। আমি কল্পনা করলাম যে আধিপত্য আমাকে স্নানের মধ্য দিয়ে ছেড়ে দেবে এবং ভাবলাম "শুধুমাত্র মেয়েরা আজ্ঞাবহ"। আমার মন লাফিয়ে উঠল যে আমার মধ্যে একটি অর্থপূর্ণ ফেটিশ আছে যা আমাকে ভয়ও জাগিয়ে তোলে, তারপর আমার ছেলেদের পছন্দ করার ধারণা। আমি অনুভব করলাম যে একই বিচ্ছিন্ন অবস্থা আবার দেখা দিয়েছে। আমি স্নান থেকে বেরিয়ে এলাম এবং এটি নিয়ে চিন্তা করার এবং পোশাক পরার মধ্যে আমার আরও মেয়েলি অনুভূতি এবং আবেশেতা অনুভব করলাম। তাছাড়া, আমি আবেশে পরিণত হতে শুরু করলাম, এবং আমার মনে হল আমি সমকামী হয়ে গেছি। আমি জানি না কি করব কারণ এটি আগের চেয়েও বেশি বাস্তব বোধ করে। মূল সমস্যা হল, আমি আগামী বুধবার পর্যন্ত আমার থেরাপিস্টের সাথে দেখা করি না তাই আমি জানি না কিভাবে এ থেকে বেরিয়ে আসব। যেকোনো পরামর্শ এবং/অথবা সহায়তার প্রশংসা করা হবে। আমার পরবর্তী অ্যাপয়েন্টমেন্টে যেতে আমার কেবল সাহায্যের প্রয়োজন এবং এক সপ্তাহেরও বেশি সময় ধরে আমি একটিও পাইনি।</v>
      </c>
    </row>
    <row r="2632" spans="1:3" ht="15" x14ac:dyDescent="0.25">
      <c r="A2632" s="3" t="s">
        <v>2625</v>
      </c>
      <c r="B2632" s="3" t="s">
        <v>1992</v>
      </c>
      <c r="C2632" s="4" t="str">
        <f ca="1">IFERROR(__xludf.DUMMYFUNCTION("GOOGLETRANSLATE(A2632, ""auto"", ""bn"")"),"নস্টালজিয়া। আমি প্রায় ৩০ সেকেন্ড ধরে ইনস্টাগ্রাম ডাউনলোড করে আমার পুরনো অ্যাকাউন্টটি দেখছিলাম, আর এখন আমি বিষণ্ণ এবং মানসিকভাবে অসুস্থ, তাই আমি বিছানায় শুয়ে আছি, ইচ্ছে করছে আমি ঘুমাতে পারি অথবা এখানে বসে না থেকে অন্য কিছু করতে পারি। আগে আমার মনে হতো আমি "&amp;"আমার বন্ধুদের সাথেই আছি, আর এখন আমি তাদের প্রায় কারো সাথেই কথা বলি না এবং নিজেকে খুব একা মনে হয়।")</f>
        <v>নস্টালজিয়া। আমি প্রায় ৩০ সেকেন্ড ধরে ইনস্টাগ্রাম ডাউনলোড করে আমার পুরনো অ্যাকাউন্টটি দেখছিলাম, আর এখন আমি বিষণ্ণ এবং মানসিকভাবে অসুস্থ, তাই আমি বিছানায় শুয়ে আছি, ইচ্ছে করছে আমি ঘুমাতে পারি অথবা এখানে বসে না থেকে অন্য কিছু করতে পারি। আগে আমার মনে হতো আমি আমার বন্ধুদের সাথেই আছি, আর এখন আমি তাদের প্রায় কারো সাথেই কথা বলি না এবং নিজেকে খুব একা মনে হয়।</v>
      </c>
    </row>
    <row r="2633" spans="1:3" ht="15" x14ac:dyDescent="0.25">
      <c r="A2633" s="3" t="s">
        <v>2626</v>
      </c>
      <c r="B2633" s="3" t="s">
        <v>1992</v>
      </c>
      <c r="C2633" s="4" t="str">
        <f ca="1">IFERROR(__xludf.DUMMYFUNCTION("GOOGLETRANSLATE(A2633, ""auto"", ""bn"")"),"আমার খুব কষ্ট হচ্ছে, আমি সবেমাত্র কিছু উদ্বেগ/বিষণ্ণতার ওষুধ খাওয়া শুরু করেছি। আমি প্রায় এক মাস ধরে এটি খাচ্ছি এবং সামগ্রিকভাবে, আমার মনে হয় এটি সাহায্য করছে। গত এক সপ্তাহ ধরে আমার খুব কষ্ট হচ্ছে যখন আমি হতাশ বোধ করি। আমার মনে হচ্ছে আমার একটি আলিঙ্গন এ"&amp;"বং কেবল একটি দীর্ঘ কথা বলা দরকার। আমি জানি না কিভাবে নিজেকে ঠিক করব।")</f>
        <v>আমার খুব কষ্ট হচ্ছে, আমি সবেমাত্র কিছু উদ্বেগ/বিষণ্ণতার ওষুধ খাওয়া শুরু করেছি। আমি প্রায় এক মাস ধরে এটি খাচ্ছি এবং সামগ্রিকভাবে, আমার মনে হয় এটি সাহায্য করছে। গত এক সপ্তাহ ধরে আমার খুব কষ্ট হচ্ছে যখন আমি হতাশ বোধ করি। আমার মনে হচ্ছে আমার একটি আলিঙ্গন এবং কেবল একটি দীর্ঘ কথা বলা দরকার। আমি জানি না কিভাবে নিজেকে ঠিক করব।</v>
      </c>
    </row>
    <row r="2634" spans="1:3" ht="15" x14ac:dyDescent="0.25">
      <c r="A2634" s="3" t="s">
        <v>2627</v>
      </c>
      <c r="B2634" s="3" t="s">
        <v>1992</v>
      </c>
      <c r="C2634" s="4" t="str">
        <f ca="1">IFERROR(__xludf.DUMMYFUNCTION("GOOGLETRANSLATE(A2634, ""auto"", ""bn"")"),"উদ্বেগ/আতঙ্কের আক্রমণ কতক্ষণ স্থায়ী হতে পারে? আমি বেশ কয়েক বছর ধরে তীব্র উদ্বেগ, প্যানিক ডিসঅর্ডার এবং মনোফোনিকের সাথে লড়াই করছি। আমার দিনে অন্তত একবার প্যানিক অ্যাটাক হয়, তবে সাধারণত এগুলি নিয়ন্ত্রণ করা যায়। গত কয়েকদিন ধরে, আমার তীব্র প্যানিক অ্যা"&amp;"টাক হয়েছে যা মনে হয় 12 ঘন্টারও বেশি সময় ধরে স্থায়ী হয়েছে এবং খুব অল্প সময়ের জন্য, প্রায় অলক্ষিত বিরতি ছিল। এগুলি এতটাই তীব্র ছিল যে আমাকে স্কুল ছেড়ে যেতে হয়েছিল। এর কোনও স্পষ্ট কারণও ছিল না কারণ ক্লাস চলাকালীন যখনই আমাকে নির্দিষ্ট শব্দ বন্ধ করার "&amp;"প্রয়োজন হয় তখন আমি ইয়ারপ্লাগ পরে থাকি এবং এর আগে কোনও কিছু নিয়ে চিন্তিত ছিলাম না। এছাড়াও, কয়েক বছর আগে প্রায় এক মাস ধরে এমন সময় ছিল যখন আমার ক্রমাগত শ্বাসকষ্ট হচ্ছিল এবং সঠিকভাবে শ্বাস নিতে পারছিলাম না, কিন্তু আমি যে ডাক্তারের কাছে গিয়েছিলাম তারা"&amp;" এর কোনও শারীরিক কারণ খুঁজে পাননি। তারা এমনকি বুকের এক্স-রেও করেছিলেন এবং কিছুই খুঁজে পাননি। এটি কি খুব দীর্ঘস্থায়ী প্যানিক অ্যাটাক হতে পারে? এছাড়াও, গভীর শ্বাস ছাড়া এটি পরিচালনা করার জন্য কি কোনও টিপস আছে? আক্রমণের সময় আমি সাধারণত শান্ত হওয়ার জন্য য"&amp;"থেষ্ট গভীর শ্বাস নিতে পারি না তাই এটি কার্যকর হয় না।")</f>
        <v>উদ্বেগ/আতঙ্কের আক্রমণ কতক্ষণ স্থায়ী হতে পারে? আমি বেশ কয়েক বছর ধরে তীব্র উদ্বেগ, প্যানিক ডিসঅর্ডার এবং মনোফোনিকের সাথে লড়াই করছি। আমার দিনে অন্তত একবার প্যানিক অ্যাটাক হয়, তবে সাধারণত এগুলি নিয়ন্ত্রণ করা যায়। গত কয়েকদিন ধরে, আমার তীব্র প্যানিক অ্যাটাক হয়েছে যা মনে হয় 12 ঘন্টারও বেশি সময় ধরে স্থায়ী হয়েছে এবং খুব অল্প সময়ের জন্য, প্রায় অলক্ষিত বিরতি ছিল। এগুলি এতটাই তীব্র ছিল যে আমাকে স্কুল ছেড়ে যেতে হয়েছিল। এর কোনও স্পষ্ট কারণও ছিল না কারণ ক্লাস চলাকালীন যখনই আমাকে নির্দিষ্ট শব্দ বন্ধ করার প্রয়োজন হয় তখন আমি ইয়ারপ্লাগ পরে থাকি এবং এর আগে কোনও কিছু নিয়ে চিন্তিত ছিলাম না। এছাড়াও, কয়েক বছর আগে প্রায় এক মাস ধরে এমন সময় ছিল যখন আমার ক্রমাগত শ্বাসকষ্ট হচ্ছিল এবং সঠিকভাবে শ্বাস নিতে পারছিলাম না, কিন্তু আমি যে ডাক্তারের কাছে গিয়েছিলাম তারা এর কোনও শারীরিক কারণ খুঁজে পাননি। তারা এমনকি বুকের এক্স-রেও করেছিলেন এবং কিছুই খুঁজে পাননি। এটি কি খুব দীর্ঘস্থায়ী প্যানিক অ্যাটাক হতে পারে? এছাড়াও, গভীর শ্বাস ছাড়া এটি পরিচালনা করার জন্য কি কোনও টিপস আছে? আক্রমণের সময় আমি সাধারণত শান্ত হওয়ার জন্য যথেষ্ট গভীর শ্বাস নিতে পারি না তাই এটি কার্যকর হয় না।</v>
      </c>
    </row>
    <row r="2635" spans="1:3" ht="15" x14ac:dyDescent="0.25">
      <c r="A2635" s="3" t="s">
        <v>2628</v>
      </c>
      <c r="B2635" s="3" t="s">
        <v>1992</v>
      </c>
      <c r="C2635" s="4" t="str">
        <f ca="1">IFERROR(__xludf.DUMMYFUNCTION("GOOGLETRANSLATE(A2635, ""auto"", ""bn"")"),"দুই সন্ন্যাসী এবং একজন মহিলা **আমি এই জেন গল্পটি খুব ভালোবাসি। আমার বলা কথাগুলো নিয়ে যখন আমার সামাজিক উদ্বেগ থাকে, তখন আমি এটিকে খুবই সহায়ক বলে মনে করি।** *""একজন সিনিয়র সন্ন্যাসী এবং একজন জুনিয়র সন্ন্যাসী একসাথে ভ্রমণ করছিলেন। এক পর্যায়ে, তারা একটি "&amp;"তীব্র স্রোতের ধারে এসে পৌঁছালেন। সন্ন্যাসীরা যখন নদী পার হওয়ার প্রস্তুতি নিচ্ছিলেন, তখন তারা দেখতে পেলেন একজন খুব তরুণী এবং সুন্দরী মহিলাও পার হওয়ার চেষ্টা করছেন। যুবতী জিজ্ঞাসা করলেন যে তারা কি তাকে পার হতে সাহায্য করতে পারেন।* *দুই সন্ন্যাসী একে অপরের"&amp;" দিকে তাকালেন কারণ তারা কোনও মহিলাকে স্পর্শ না করার প্রতিজ্ঞা করেছিলেন।* *তারপর, কোনও কথা না বলে, বয়স্ক সন্ন্যাসী মহিলাটিকে তুলে নিয়ে নদীর ওপারে নিয়ে গেলেন, তাকে আলতো করে অন্য পাশে বসিয়ে দিলেন এবং তার যাত্রা চালিয়ে গেলেন।* *ছোট সন্ন্যাসী বিশ্বাস করতে"&amp;" পারছিলেন না যে কী ঘটেছে। তার সঙ্গীর সাথে পুনরায় যোগদানের পর, তিনি নির্বাক হয়ে গেলেন, এবং তাদের মধ্যে কোনও কথা না বলে এক ঘন্টা কেটে গেল।* *আরও দুই ঘন্টা কেটে গেল, তারপর তিন ঘন্টা, অবশেষে ছোট সন্ন্যাসী নিজেকে আর ধরে রাখতে পারলেন, এবং অস্পষ্টভাবে বললেন, ভ"&amp;"িক্ষু হিসেবে, আমাদের কোনও মহিলার অনুমতি নেই, তাহলে আপনি কীভাবে সেই মহিলাকে কাঁধে বহন করতে পারেন? Â* *বড় সন্ন্যাসী তার দিকে তাকালেন এবং উত্তর দিল, ভাই, আমি ওকে নদীর ওপারে রেখে এসেছি, তুমি এখনও ওকে বয়ে নিয়ে যাচ্ছ কেন? Â* [*https://www.kindspring.org/st"&amp;"ory/view.php?sid=63753*](https://www.kindspring.org/story/view.php?sid=63753)")</f>
        <v>দুই সন্ন্যাসী এবং একজন মহিলা **আমি এই জেন গল্পটি খুব ভালোবাসি। আমার বলা কথাগুলো নিয়ে যখন আমার সামাজিক উদ্বেগ থাকে, তখন আমি এটিকে খুবই সহায়ক বলে মনে করি।** *"একজন সিনিয়র সন্ন্যাসী এবং একজন জুনিয়র সন্ন্যাসী একসাথে ভ্রমণ করছিলেন। এক পর্যায়ে, তারা একটি তীব্র স্রোতের ধারে এসে পৌঁছালেন। সন্ন্যাসীরা যখন নদী পার হওয়ার প্রস্তুতি নিচ্ছিলেন, তখন তারা দেখতে পেলেন একজন খুব তরুণী এবং সুন্দরী মহিলাও পার হওয়ার চেষ্টা করছেন। যুবতী জিজ্ঞাসা করলেন যে তারা কি তাকে পার হতে সাহায্য করতে পারেন।* *দুই সন্ন্যাসী একে অপরের দিকে তাকালেন কারণ তারা কোনও মহিলাকে স্পর্শ না করার প্রতিজ্ঞা করেছিলেন।* *তারপর, কোনও কথা না বলে, বয়স্ক সন্ন্যাসী মহিলাটিকে তুলে নিয়ে নদীর ওপারে নিয়ে গেলেন, তাকে আলতো করে অন্য পাশে বসিয়ে দিলেন এবং তার যাত্রা চালিয়ে গেলেন।* *ছোট সন্ন্যাসী বিশ্বাস করতে পারছিলেন না যে কী ঘটেছে। তার সঙ্গীর সাথে পুনরায় যোগদানের পর, তিনি নির্বাক হয়ে গেলেন, এবং তাদের মধ্যে কোনও কথা না বলে এক ঘন্টা কেটে গেল।* *আরও দুই ঘন্টা কেটে গেল, তারপর তিন ঘন্টা, অবশেষে ছোট সন্ন্যাসী নিজেকে আর ধরে রাখতে পারলেন, এবং অস্পষ্টভাবে বললেন, ভিক্ষু হিসেবে, আমাদের কোনও মহিলার অনুমতি নেই, তাহলে আপনি কীভাবে সেই মহিলাকে কাঁধে বহন করতে পারেন? Â* *বড় সন্ন্যাসী তার দিকে তাকালেন এবং উত্তর দিল, ভাই, আমি ওকে নদীর ওপারে রেখে এসেছি, তুমি এখনও ওকে বয়ে নিয়ে যাচ্ছ কেন? Â* [*https://www.kindspring.org/story/view.php?sid=63753*](https://www.kindspring.org/story/view.php?sid=63753)</v>
      </c>
    </row>
    <row r="2636" spans="1:3" ht="15" x14ac:dyDescent="0.25">
      <c r="A2636" s="3" t="s">
        <v>2629</v>
      </c>
      <c r="B2636" s="3" t="s">
        <v>1992</v>
      </c>
      <c r="C2636" s="4" t="str">
        <f ca="1">IFERROR(__xludf.DUMMYFUNCTION("GOOGLETRANSLATE(A2636, ""auto"", ""bn"")"),"যখন আমি মদ পান করি (একবার বিয়ার হলেও) আমার দুশ্চিন্তা চলে যায়। আমার কি প্রতিদিন সকালে একটি বিয়ার পান করা শুরু করা উচিত?")</f>
        <v>যখন আমি মদ পান করি (একবার বিয়ার হলেও) আমার দুশ্চিন্তা চলে যায়। আমার কি প্রতিদিন সকালে একটি বিয়ার পান করা শুরু করা উচিত?</v>
      </c>
    </row>
    <row r="2637" spans="1:3" ht="15" x14ac:dyDescent="0.25">
      <c r="A2637" s="3" t="s">
        <v>2630</v>
      </c>
      <c r="B2637" s="3" t="s">
        <v>1992</v>
      </c>
      <c r="C2637" s="4" t="str">
        <f ca="1">IFERROR(__xludf.DUMMYFUNCTION("GOOGLETRANSLATE(A2637, ""auto"", ""bn"")"),"কাজের তীব্র উদ্বেগ মোকাবেলা করা আমি একজন উচ্চ বিদ্যালয়ের শিক্ষার্থী, আমার আগামী শরৎকালে কলেজের জন্য টাকা জমানো শুরু করা উচিত (ধন্যবাদ, টিউশনের জন্য নয় (হ্যাঁ স্কলারশিপের জন্য নয়), বরং দৈনন্দিন খরচ এবং এই জাতীয় জিনিসপত্রের জন্য)। আমার মনে হয় আমি Foodw"&amp;"ise-এ ক্যাশিয়ার হিসেবে চাকরি পেয়েছি, যদি আমি চাই, তাহলে লাইনে দাঁড়িয়ে আছি, কিন্তু আমি ইতিমধ্যেই এটা নিয়ে উদ্বিগ্ন বোধ করছি। গত বছর Sonic-এ আমার প্রথম (এবং শেষ) চাকরিতে আমার খারাপ সময় কেটেছিল। ম্যানেজমেন্ট খারাপ ছিল, তারা প্রায়শই উচ্চাভিলাষী ছিল এবং"&amp;"/অথবা আপনি যদি কিছু ভুল করেন তবে আপনি সম্পূর্ণ বোকা বলে আপনার সাথে আচরণ করত (যদিও কেউ আপনাকে প্রথমেই ব্যাখ্যা না করে)। আমার প্রশিক্ষণটি পুরো ৫ মিনিট স্থায়ী ছিল, এবং আমি প্রথম কয়েক সপ্তাহ রাগান্বিত গ্রাহকদের সাথে মোকাবিলা করে কাটিয়েছি কারণ আমি সঠিকভাবে "&amp;"অর্ডার ইনপুট করতে বা বিভিন্ন ধরণের আইসক্রিম সঠিকভাবে তৈরি করতে জানতাম না। ভবনটি ছোট এবং সংকীর্ণ ছিল, এবং আমি রান্নাঘরের শব্দ এবং ক্রমাগত সাইরেনের অর্ডার দেওয়ার কোনও শব্দই শুনতে পাচ্ছিলাম না। আইনত যখন আমার নাবালক হওয়ার কথা ছিল, তখন তারা আমাকে প্রায়শই বা"&amp;"ইরে যেতে বলত। তারপর আরও একটি কাজ করতে বলত - কাপ এবং স্ট্রগুলি খুব দ্রুত মজুত করে রাখো - নোংরা বাসনপত্র পরিষ্কার করো - আইসক্রিম মেশিনগুলি মুছে ফেলো - কিছু লেবু এবং লেবু কেটে ফেলো - এবং আমি ইতিমধ্যেই বাইরে থাকার পরে আরও 30+ মিনিটের জন্য সেখানে থাকতাম। তারা "&amp;"ভুলে গিয়েছিল যে আমি পুরো দিনের কাজ করার জন্য আমাকে বেতন দিতে, এবং আমার মা যদি না ধরতেন তবে তা দিয়ে পালিয়ে যেত। আমার মনে হয়েছিল যে তারা যেকোনো সুযোগে আমাকে খারাপ করে দেবে। আমি প্রতিদিন কাজে যাওয়ার সময় ভয়ানক উদ্বেগ অনুভব করতাম। একবার আমি গাড়িতে হাইপ"&amp;"ারভেন্টিলেট করতে শুরু করি এবং আমার হাত সম্পূর্ণরূপে অবশ হয়ে যাওয়া এবং আটকে যাওয়ার কারণে আমার মা আমাকে প্রায় জরুরি বিভাগে নিয়ে যাচ্ছিলেন। এর কয়েক সপ্তাহ পরে আমি ছেড়ে দিয়েছিলাম কারণ এটি আর মূল্যবান বলে মনে হচ্ছিল না। এখন আমি চিন্তিত যে আমার নতুন চাক"&amp;"রিতেও একই জিনিস ঘটবে। অথবা আরও খারাপ, যদি আমি আসলে সমস্যাটি হই, কাজের পরিবেশ নয়? যদি আমি প্যানিক অ্যাটাক না করে কাজে যেতে না পারি, তাহলে একজন প্রাপ্তবয়স্ক হিসেবে আমি কীভাবে কাজ করব? কারো কি কোন পরামর্শ আছে?")</f>
        <v>কাজের তীব্র উদ্বেগ মোকাবেলা করা আমি একজন উচ্চ বিদ্যালয়ের শিক্ষার্থী, আমার আগামী শরৎকালে কলেজের জন্য টাকা জমানো শুরু করা উচিত (ধন্যবাদ, টিউশনের জন্য নয় (হ্যাঁ স্কলারশিপের জন্য নয়), বরং দৈনন্দিন খরচ এবং এই জাতীয় জিনিসপত্রের জন্য)। আমার মনে হয় আমি Foodwise-এ ক্যাশিয়ার হিসেবে চাকরি পেয়েছি, যদি আমি চাই, তাহলে লাইনে দাঁড়িয়ে আছি, কিন্তু আমি ইতিমধ্যেই এটা নিয়ে উদ্বিগ্ন বোধ করছি। গত বছর Sonic-এ আমার প্রথম (এবং শেষ) চাকরিতে আমার খারাপ সময় কেটেছিল। ম্যানেজমেন্ট খারাপ ছিল, তারা প্রায়শই উচ্চাভিলাষী ছিল এবং/অথবা আপনি যদি কিছু ভুল করেন তবে আপনি সম্পূর্ণ বোকা বলে আপনার সাথে আচরণ করত (যদিও কেউ আপনাকে প্রথমেই ব্যাখ্যা না করে)। আমার প্রশিক্ষণটি পুরো ৫ মিনিট স্থায়ী ছিল, এবং আমি প্রথম কয়েক সপ্তাহ রাগান্বিত গ্রাহকদের সাথে মোকাবিলা করে কাটিয়েছি কারণ আমি সঠিকভাবে অর্ডার ইনপুট করতে বা বিভিন্ন ধরণের আইসক্রিম সঠিকভাবে তৈরি করতে জানতাম না। ভবনটি ছোট এবং সংকীর্ণ ছিল, এবং আমি রান্নাঘরের শব্দ এবং ক্রমাগত সাইরেনের অর্ডার দেওয়ার কোনও শব্দই শুনতে পাচ্ছিলাম না। আইনত যখন আমার নাবালক হওয়ার কথা ছিল, তখন তারা আমাকে প্রায়শই বাইরে যেতে বলত। তারপর আরও একটি কাজ করতে বলত - কাপ এবং স্ট্রগুলি খুব দ্রুত মজুত করে রাখো - নোংরা বাসনপত্র পরিষ্কার করো - আইসক্রিম মেশিনগুলি মুছে ফেলো - কিছু লেবু এবং লেবু কেটে ফেলো - এবং আমি ইতিমধ্যেই বাইরে থাকার পরে আরও 30+ মিনিটের জন্য সেখানে থাকতাম। তারা ভুলে গিয়েছিল যে আমি পুরো দিনের কাজ করার জন্য আমাকে বেতন দিতে, এবং আমার মা যদি না ধরতেন তবে তা দিয়ে পালিয়ে যেত। আমার মনে হয়েছিল যে তারা যেকোনো সুযোগে আমাকে খারাপ করে দেবে। আমি প্রতিদিন কাজে যাওয়ার সময় ভয়ানক উদ্বেগ অনুভব করতাম। একবার আমি গাড়িতে হাইপারভেন্টিলেট করতে শুরু করি এবং আমার হাত সম্পূর্ণরূপে অবশ হয়ে যাওয়া এবং আটকে যাওয়ার কারণে আমার মা আমাকে প্রায় জরুরি বিভাগে নিয়ে যাচ্ছিলেন। এর কয়েক সপ্তাহ পরে আমি ছেড়ে দিয়েছিলাম কারণ এটি আর মূল্যবান বলে মনে হচ্ছিল না। এখন আমি চিন্তিত যে আমার নতুন চাকরিতেও একই জিনিস ঘটবে। অথবা আরও খারাপ, যদি আমি আসলে সমস্যাটি হই, কাজের পরিবেশ নয়? যদি আমি প্যানিক অ্যাটাক না করে কাজে যেতে না পারি, তাহলে একজন প্রাপ্তবয়স্ক হিসেবে আমি কীভাবে কাজ করব? কারো কি কোন পরামর্শ আছে?</v>
      </c>
    </row>
    <row r="2638" spans="1:3" ht="15" x14ac:dyDescent="0.25">
      <c r="A2638" s="3" t="s">
        <v>2631</v>
      </c>
      <c r="B2638" s="3" t="s">
        <v>1992</v>
      </c>
      <c r="C2638" s="4" t="str">
        <f ca="1">IFERROR(__xludf.DUMMYFUNCTION("GOOGLETRANSLATE(A2638, ""auto"", ""bn"")"),"আমি ভেবেছিলাম আমি সুস্থ হয়ে উঠেছি, কিন্তু আমি আবার সরে আসছি। এটা আমার প্রথম পোস্ট, আমি সাধারণত পোস্ট করি না বা কোনও মন্তব্য করি না... আমার বয়স ২১ বছর, আমি অস্ট্রেলিয়ায় থাকি। তাছাড়া, আমি খুব বন্ধুত্বপূর্ণ ছিলাম এবং সবই, কিন্তু ৩ বছর আগে, আমার প্রাক্তন"&amp;" আমার সাথে সম্পর্ক ছিন্ন করার পর, আমি আমার উচিত ছিল এমন সমস্ত সামাজিক যোগাযোগ এড়িয়ে চলতে শুরু করি, এমনকি আমার বাবা-মায়ের সাথেও, যার মধ্যে ছিল ২ বছর ধরে আমি বাড়িতে কাটিয়েছি এবং আক্ষরিক অর্থেই কিছুই করি না। যাইহোক, গত বছর, যেমনটা ভাবছিলাম, আমি কিছুটা স"&amp;"ুস্থ হয়ে উঠি, আমি বিশ্ববিদ্যালয়ে পড়া শুরু করি, এমনকি একটি ক্লাবে যোগদান করি, কিন্তু আমি খুব কমই তাদের কার্যকলাপে যাই, শুধু আমার বাবা-মাকে বলার জন্য যাতে তারা আমার সম্পর্কে চিন্তা না করে। IRL লোকেদের সাথে যোগাযোগ করতে সমস্যা হওয়া সত্ত্বেও, অনলাইন লোকেদ"&amp;"ের সাথে আচরণ করতে আমার কোনও সমস্যা নেই, আসলে, আমি অনলাইনে বেশ সক্রিয়, বিশেষ করে ডিসকর্ডে। কোনওভাবে, আমি ক্লাবের একজন ব্যক্তির সাথে বন্ধুত্ব করতে পেরেছি (বেশিরভাগই জাপানি সংস্কৃতি সম্পর্কে, এবং আমি এক সপ্তাহের জন্য, সেই ব্যক্তিও), যার নাম Abc। প্রথমে আমরা"&amp;" কেবল অনলাইনে কথা বলতাম, তারপর আমি তার বাড়িতে গেমিং এবং গান গাওয়ার জন্য আমন্ত্রণ পেতাম, তারপর আমরা আরও ঘনিষ্ঠ হয়ে উঠি, কিন্তু যেহেতু আমি নিজেকে ভালোভাবে জানি, তাই আমি সবসময় তাদের পার্টিতে বা ৫ জনের বেশি লোকের সাথে দেখা করতে অস্বীকার করতাম, যা আমাকে অস"&amp;"ুস্থ করে তুলতে শুরু করে। সবকিছু তখনও নিয়ন্ত্রণে ছিল, ৩১শে ডিসেম্বর পর্যন্ত, যখন তার এক বন্ধু (সংক্ষেপে বাম), যিনি আমাকে ফেসবুকে যুক্ত করেছিলেন, আমাকে তার পার্টিতে আসতে জোর দিয়েছিলেন। আমি ভেবেছিলাম Abcও আসবে, এবং আমি কতজন লোক আসবে তার নিশ্চিতকরণ চেয়েছিল"&amp;"াম। যখন আমি নিশ্চিত হয়েছিলাম যে এত বেশি লোক থাকবে না, তখন আমি আমার মাকে জিজ্ঞাসা করেছিলাম, তিনিও আমাকে যেতে উৎসাহিত করেছিলেন, তাই আমি এসেছিলাম। আমি আমার নিজের জায়গায় সময় কাটাতাম এবং যতটা সম্ভব বেশি লোকের সাথে যোগাযোগ না করার চেষ্টা করতাম, আমি অবশ্যই ব"&amp;"লতে পারি যে আমি সবসময় একা সময় কাটাতে পছন্দ করি। যাইহোক, সাহায্য না পেয়ে, পার্টির লোকেরা এসে আমাকে প্রশ্ন জিজ্ঞাসা করতে শুরু করে, এমনকি এমন প্রশ্নও যা আমি সবসময় এড়িয়ে চলি: সম্পর্ক সম্পর্কিত। আমি ভয় পেয়ে গেলাম এবং একটা অজুহাত দেখালাম যে আমার অনলাইন বন"&amp;"্ধুর সাথে কথা বলা দরকার, তারপর ঘন্টার পর ঘন্টা বাগানের বাইরে বসে রইলাম, আর যখন বুঝতে পারলাম ভোর ৪টা বেজে গেছে। ল আমাকে তার শোবার ঘর দিয়েছে, তাই আমি ভেতরে আসতাম, কারণ আমি কতটা ক্লান্ত ছিলাম, আমি অনিচ্ছাকৃতভাবে রাজি হয়ে গেলাম। পরের দিন আমরা ৬ জন দুপুরের খাব"&amp;"ার খেতে গেলাম, তারপর আমি লকে জিজ্ঞাসা করলাম যে সে কি আমাকে সিনেমা দেখতে নামাতে পারবে কারণ আমি অ্যাকোয়াম্যান দেখতে চাইছিলাম (তিনি অবাক হয়েছিলেন কারণ আমি একাই গিয়েছিলাম)। সেই রাতে বাড়ি ফিরে আসার পর, আমার মাথা ব্যাথা করছিল, এবং শব্দ শুনে আমি সত্যিই ভয় পেয়ে "&amp;"গেলাম। আমি আমার থেরাপিস্টের কাছে গেলাম, তাকে পরামর্শ দেওয়া হল যে আমার এখনও নিজেকে বন্ধ রাখার পরিবর্তে লোকেদের সাথে দেখা করা উচিত, এবং যদি আমার অবস্থা খারাপ হয় তাহলে তাকে একটি প্রেসক্রিপশন দেওয়া হল। আমি এখন ৩ দিন ধরে ঘরে বসে আছি, আমি এমনকি ভয়েস চ্যাটও করতে"&amp;" পারছি না, আমার বাবা-মায়ের সাথে কথা বলতে পারছি না বা যোগাযোগ সম্পর্কিত কিছু করতে পারছি না, আমি এখনও চ্যাট করতে পারছি না, কিন্তু লোকেদের দেখে আমার ভয় লাগে। যদি কারো কোন পরামর্শ বা কোন পরামর্শ থাকে যা আমার করা উচিত বলে মনে হয়, তাহলে দয়া করে আমাকে জানান! "&amp;"TSM...")</f>
        <v>আমি ভেবেছিলাম আমি সুস্থ হয়ে উঠেছি, কিন্তু আমি আবার সরে আসছি। এটা আমার প্রথম পোস্ট, আমি সাধারণত পোস্ট করি না বা কোনও মন্তব্য করি না... আমার বয়স ২১ বছর, আমি অস্ট্রেলিয়ায় থাকি। তাছাড়া, আমি খুব বন্ধুত্বপূর্ণ ছিলাম এবং সবই, কিন্তু ৩ বছর আগে, আমার প্রাক্তন আমার সাথে সম্পর্ক ছিন্ন করার পর, আমি আমার উচিত ছিল এমন সমস্ত সামাজিক যোগাযোগ এড়িয়ে চলতে শুরু করি, এমনকি আমার বাবা-মায়ের সাথেও, যার মধ্যে ছিল ২ বছর ধরে আমি বাড়িতে কাটিয়েছি এবং আক্ষরিক অর্থেই কিছুই করি না। যাইহোক, গত বছর, যেমনটা ভাবছিলাম, আমি কিছুটা সুস্থ হয়ে উঠি, আমি বিশ্ববিদ্যালয়ে পড়া শুরু করি, এমনকি একটি ক্লাবে যোগদান করি, কিন্তু আমি খুব কমই তাদের কার্যকলাপে যাই, শুধু আমার বাবা-মাকে বলার জন্য যাতে তারা আমার সম্পর্কে চিন্তা না করে। IRL লোকেদের সাথে যোগাযোগ করতে সমস্যা হওয়া সত্ত্বেও, অনলাইন লোকেদের সাথে আচরণ করতে আমার কোনও সমস্যা নেই, আসলে, আমি অনলাইনে বেশ সক্রিয়, বিশেষ করে ডিসকর্ডে। কোনওভাবে, আমি ক্লাবের একজন ব্যক্তির সাথে বন্ধুত্ব করতে পেরেছি (বেশিরভাগই জাপানি সংস্কৃতি সম্পর্কে, এবং আমি এক সপ্তাহের জন্য, সেই ব্যক্তিও), যার নাম Abc। প্রথমে আমরা কেবল অনলাইনে কথা বলতাম, তারপর আমি তার বাড়িতে গেমিং এবং গান গাওয়ার জন্য আমন্ত্রণ পেতাম, তারপর আমরা আরও ঘনিষ্ঠ হয়ে উঠি, কিন্তু যেহেতু আমি নিজেকে ভালোভাবে জানি, তাই আমি সবসময় তাদের পার্টিতে বা ৫ জনের বেশি লোকের সাথে দেখা করতে অস্বীকার করতাম, যা আমাকে অসুস্থ করে তুলতে শুরু করে। সবকিছু তখনও নিয়ন্ত্রণে ছিল, ৩১শে ডিসেম্বর পর্যন্ত, যখন তার এক বন্ধু (সংক্ষেপে বাম), যিনি আমাকে ফেসবুকে যুক্ত করেছিলেন, আমাকে তার পার্টিতে আসতে জোর দিয়েছিলেন। আমি ভেবেছিলাম Abcও আসবে, এবং আমি কতজন লোক আসবে তার নিশ্চিতকরণ চেয়েছিলাম। যখন আমি নিশ্চিত হয়েছিলাম যে এত বেশি লোক থাকবে না, তখন আমি আমার মাকে জিজ্ঞাসা করেছিলাম, তিনিও আমাকে যেতে উৎসাহিত করেছিলেন, তাই আমি এসেছিলাম। আমি আমার নিজের জায়গায় সময় কাটাতাম এবং যতটা সম্ভব বেশি লোকের সাথে যোগাযোগ না করার চেষ্টা করতাম, আমি অবশ্যই বলতে পারি যে আমি সবসময় একা সময় কাটাতে পছন্দ করি। যাইহোক, সাহায্য না পেয়ে, পার্টির লোকেরা এসে আমাকে প্রশ্ন জিজ্ঞাসা করতে শুরু করে, এমনকি এমন প্রশ্নও যা আমি সবসময় এড়িয়ে চলি: সম্পর্ক সম্পর্কিত। আমি ভয় পেয়ে গেলাম এবং একটা অজুহাত দেখালাম যে আমার অনলাইন বন্ধুর সাথে কথা বলা দরকার, তারপর ঘন্টার পর ঘন্টা বাগানের বাইরে বসে রইলাম, আর যখন বুঝতে পারলাম ভোর ৪টা বেজে গেছে। ল আমাকে তার শোবার ঘর দিয়েছে, তাই আমি ভেতরে আসতাম, কারণ আমি কতটা ক্লান্ত ছিলাম, আমি অনিচ্ছাকৃতভাবে রাজি হয়ে গেলাম। পরের দিন আমরা ৬ জন দুপুরের খাবার খেতে গেলাম, তারপর আমি লকে জিজ্ঞাসা করলাম যে সে কি আমাকে সিনেমা দেখতে নামাতে পারবে কারণ আমি অ্যাকোয়াম্যান দেখতে চাইছিলাম (তিনি অবাক হয়েছিলেন কারণ আমি একাই গিয়েছিলাম)। সেই রাতে বাড়ি ফিরে আসার পর, আমার মাথা ব্যাথা করছিল, এবং শব্দ শুনে আমি সত্যিই ভয় পেয়ে গেলাম। আমি আমার থেরাপিস্টের কাছে গেলাম, তাকে পরামর্শ দেওয়া হল যে আমার এখনও নিজেকে বন্ধ রাখার পরিবর্তে লোকেদের সাথে দেখা করা উচিত, এবং যদি আমার অবস্থা খারাপ হয় তাহলে তাকে একটি প্রেসক্রিপশন দেওয়া হল। আমি এখন ৩ দিন ধরে ঘরে বসে আছি, আমি এমনকি ভয়েস চ্যাটও করতে পারছি না, আমার বাবা-মায়ের সাথে কথা বলতে পারছি না বা যোগাযোগ সম্পর্কিত কিছু করতে পারছি না, আমি এখনও চ্যাট করতে পারছি না, কিন্তু লোকেদের দেখে আমার ভয় লাগে। যদি কারো কোন পরামর্শ বা কোন পরামর্শ থাকে যা আমার করা উচিত বলে মনে হয়, তাহলে দয়া করে আমাকে জানান! TSM...</v>
      </c>
    </row>
    <row r="2639" spans="1:3" ht="15" x14ac:dyDescent="0.25">
      <c r="A2639" s="3" t="s">
        <v>2632</v>
      </c>
      <c r="B2639" s="3" t="s">
        <v>1992</v>
      </c>
      <c r="C2639" s="4" t="str">
        <f ca="1">IFERROR(__xludf.DUMMYFUNCTION("GOOGLETRANSLATE(A2639, ""auto"", ""bn"")"),"বয়ফ্রেন্ড মারা যায়নি কিন্তু এখনও ঘুমাতে পারে না। আমার বয়ফ্রেন্ড একদিন সকালে গলা ব্যথা নিয়ে ঘুম থেকে ওঠে। এক সপ্তাহ পর তীব্র শ্বাসতন্ত্রের সমস্যা দেখা দেওয়ার কারণে তাকে ভেন্টিলেটর এবং ECHO (এক্সট্রাকর্পোরিয়াল মেমব্রেন অক্সিজেনেশন) দেওয়া হয়। অলৌকিকভাবে "&amp;"তাকে এক্সটিউবেশন করা হয় এবং ৩ সপ্তাহ পর ECHO খুলে নেওয়া হয়। ডাক্তাররা আশা করছেন তিনি সম্পূর্ণ সুস্থ হয়ে উঠবেন। অবশ্যই আমি ফলাফলের জন্য খুবই কৃতজ্ঞ। তবে, আমার উদ্বেগ নিয়ন্ত্রণের বাইরে। আমার এই ধরণের আক্রমণ হচ্ছে যেখানে আমি ঠান্ডা ঘামতে শুরু করি এবং মনে হ"&amp;"চ্ছে আমি অজ্ঞান হয়ে যাব। আমি আর ঘুমাতে পারছি না। তাছাড়া, রাতে আমার মন বন্ধ করতে পারছি না। তাছাড়া, আমার ক্রমাগত দুর্ঘটনার স্মৃতি, কোড, তাকে মৃত দেখা, চ্যাপলিন ইত্যাদির স্মৃতি মনে পড়ছে। এটি আতঙ্কিত না হয়ে তার সাথে থাকার ক্ষমতাকেও প্রভাবিত করছে। আমি নিশ্"&amp;"চিত নই যে এটি এমন কিছু যা সময়মতো নিজে থেকেই চলে যাবে নাকি এটি এমন কিছু যা সম্পর্কে আমার ডাক্তারের সাথে কথা বলা দরকার। আমার মনে আছে ডাক্তার আমাদের বলেছিলেন যে তার আরোগ্যলাভের কোনও এক সময়ে তিনি PTSD-তে ভুগতে পারেন, কিন্তু তারা আসলে প্রিয়জনদের জন্য এটি কেম"&amp;"ন তা নিয়ে কথা বলেন না।")</f>
        <v>বয়ফ্রেন্ড মারা যায়নি কিন্তু এখনও ঘুমাতে পারে না। আমার বয়ফ্রেন্ড একদিন সকালে গলা ব্যথা নিয়ে ঘুম থেকে ওঠে। এক সপ্তাহ পর তীব্র শ্বাসতন্ত্রের সমস্যা দেখা দেওয়ার কারণে তাকে ভেন্টিলেটর এবং ECHO (এক্সট্রাকর্পোরিয়াল মেমব্রেন অক্সিজেনেশন) দেওয়া হয়। অলৌকিকভাবে তাকে এক্সটিউবেশন করা হয় এবং ৩ সপ্তাহ পর ECHO খুলে নেওয়া হয়। ডাক্তাররা আশা করছেন তিনি সম্পূর্ণ সুস্থ হয়ে উঠবেন। অবশ্যই আমি ফলাফলের জন্য খুবই কৃতজ্ঞ। তবে, আমার উদ্বেগ নিয়ন্ত্রণের বাইরে। আমার এই ধরণের আক্রমণ হচ্ছে যেখানে আমি ঠান্ডা ঘামতে শুরু করি এবং মনে হচ্ছে আমি অজ্ঞান হয়ে যাব। আমি আর ঘুমাতে পারছি না। তাছাড়া, রাতে আমার মন বন্ধ করতে পারছি না। তাছাড়া, আমার ক্রমাগত দুর্ঘটনার স্মৃতি, কোড, তাকে মৃত দেখা, চ্যাপলিন ইত্যাদির স্মৃতি মনে পড়ছে। এটি আতঙ্কিত না হয়ে তার সাথে থাকার ক্ষমতাকেও প্রভাবিত করছে। আমি নিশ্চিত নই যে এটি এমন কিছু যা সময়মতো নিজে থেকেই চলে যাবে নাকি এটি এমন কিছু যা সম্পর্কে আমার ডাক্তারের সাথে কথা বলা দরকার। আমার মনে আছে ডাক্তার আমাদের বলেছিলেন যে তার আরোগ্যলাভের কোনও এক সময়ে তিনি PTSD-তে ভুগতে পারেন, কিন্তু তারা আসলে প্রিয়জনদের জন্য এটি কেমন তা নিয়ে কথা বলেন না।</v>
      </c>
    </row>
    <row r="2640" spans="1:3" ht="15" x14ac:dyDescent="0.25">
      <c r="A2640" s="3" t="s">
        <v>2633</v>
      </c>
      <c r="B2640" s="3" t="s">
        <v>1992</v>
      </c>
      <c r="C2640" s="4" t="str">
        <f ca="1">IFERROR(__xludf.DUMMYFUNCTION("GOOGLETRANSLATE(A2640, ""auto"", ""bn"")"),"আর কারো কি গাড়ি চালানোর উদ্বেগ আছে? আমি একজন বাচ্চার মা এবং সত্যি বলতে, এটি আরও খারাপ হয়ে গেছে। আমার মনে হয় তার কারণে আমি খুব উদ্বিগ্ন হয়ে পড়ি, এবং আমার মন আমার সবচেয়ে খারাপ শত্রু হয়ে ওঠে এবং আমি প্রতিটি পরিস্থিতির মধ্য দিয়ে যাই। আগামীকাল আমি আমার"&amp;" দাদীকে ২ ঘন্টা দূরে গাড়ি চালিয়ে নিয়ে যাব, এবং তারপরে আমাকে আরও ২ ঘন্টা গাড়ি চালিয়ে ফিরে যেতে হবে। আমি আগেও এই ড্রাইভ করেছি, এবং আমি সর্বদা একটি উদ্বিগ্ন জগাখিচুড়ি এবং আমি কেবল এটি ঘৃণা করি, আমি যেভাবে চাপ অনুভব করি এবং আক্ষরিক অর্থেই আমার বুকে এই ব"&amp;"্যথা অনুভব করি তা আমি ঘৃণা করি। আমি উপরের তলার একজন বড় লোকের প্রতি বিশ্বাসী এবং প্রার্থনা করার পরে আমি শান্ত বোধ করি, তবে তবুও আমি এখনও একটি গরম জগাখিচুড়ি। তদুপরি, আমি উদ্বেগ ঘৃণা করি, আমি ঘৃণা করি যে আমি আমার সন্তানের সাথে যতটা ইচ্ছা বাইরে যাই না কারণ "&amp;"আমি তাকে গাড়িতে দেখে আরও বেশি ভয় পাই। তদুপরি, আমি কেবল এই সবকিছু ঘৃণা করি এবং আমার মুখ থেকে বেরিয়ে আসার প্রয়োজন ছিল।")</f>
        <v>আর কারো কি গাড়ি চালানোর উদ্বেগ আছে? আমি একজন বাচ্চার মা এবং সত্যি বলতে, এটি আরও খারাপ হয়ে গেছে। আমার মনে হয় তার কারণে আমি খুব উদ্বিগ্ন হয়ে পড়ি, এবং আমার মন আমার সবচেয়ে খারাপ শত্রু হয়ে ওঠে এবং আমি প্রতিটি পরিস্থিতির মধ্য দিয়ে যাই। আগামীকাল আমি আমার দাদীকে ২ ঘন্টা দূরে গাড়ি চালিয়ে নিয়ে যাব, এবং তারপরে আমাকে আরও ২ ঘন্টা গাড়ি চালিয়ে ফিরে যেতে হবে। আমি আগেও এই ড্রাইভ করেছি, এবং আমি সর্বদা একটি উদ্বিগ্ন জগাখিচুড়ি এবং আমি কেবল এটি ঘৃণা করি, আমি যেভাবে চাপ অনুভব করি এবং আক্ষরিক অর্থেই আমার বুকে এই ব্যথা অনুভব করি তা আমি ঘৃণা করি। আমি উপরের তলার একজন বড় লোকের প্রতি বিশ্বাসী এবং প্রার্থনা করার পরে আমি শান্ত বোধ করি, তবে তবুও আমি এখনও একটি গরম জগাখিচুড়ি। তদুপরি, আমি উদ্বেগ ঘৃণা করি, আমি ঘৃণা করি যে আমি আমার সন্তানের সাথে যতটা ইচ্ছা বাইরে যাই না কারণ আমি তাকে গাড়িতে দেখে আরও বেশি ভয় পাই। তদুপরি, আমি কেবল এই সবকিছু ঘৃণা করি এবং আমার মুখ থেকে বেরিয়ে আসার প্রয়োজন ছিল।</v>
      </c>
    </row>
    <row r="2641" spans="1:3" ht="15" x14ac:dyDescent="0.25">
      <c r="A2641" s="3" t="s">
        <v>2634</v>
      </c>
      <c r="B2641" s="3" t="s">
        <v>1992</v>
      </c>
      <c r="C2641" s="4" t="str">
        <f ca="1">IFERROR(__xludf.DUMMYFUNCTION("GOOGLETRANSLATE(A2641, ""auto"", ""bn"")"),"আমার বন্ধু যখন প্রচণ্ড উদ্বেগের সাথে মোকাবিলা করছে, তখন আমি কীভাবে তাকে শখ ফিরে পেতে সাহায্য করব? হুম, আমার পোস্টটি অদৃশ্য হয়ে গেছে, তাই আমি আবার পোস্ট করছি। সম্প্রতি আমার এক পুরনো বন্ধুর সাথে আমার আবার যোগাযোগ হয়েছে। আমি সম্পূর্ণ ভুলে গিয়েছিলাম যে তার"&amp;" উদ্বেগ কতটা তীব্র ছিল। তাছাড়া, আমার মনে হয় গত কয়েক বছরে যখন আমরা যোগাযোগের বাইরে ছিলাম তখন এটি বেশ খারাপ হয়ে গেছে। তার একটি শখ ছিল যা সে পছন্দ করত এবং যতদিন আমি তাকে জানতাম ততদিন সে এতে অসাধারণ ছিল। এবং আজ সে আমাকে বলল যে তার উদ্বেগের কারণে সে বছরের "&amp;"পর বছর ধরে এটি করেনি। আমি জানি সে তার শারীরিক সুস্থতা এবং শখের অভাব নিয়ে অসন্তুষ্ট; এবং উচ্চ স্তরের চাকরির সাথে তার উচ্চ কার্যকারিতার উদ্বেগ রয়েছে। আমি কীভাবে তাকে শখ পুনরায় গ্রহণ করতে উৎসাহিত করব? (মনে সবচেয়ে গুরুত্বপূর্ণ যে চিন্তাটি আসে তা হল তার সা"&amp;"থে সেগুলি করার প্রস্তাব দেওয়া, কিন্তু এটি কখনও কাজ করেনি; এটি কেবল তাকে বিরক্ত করে।)")</f>
        <v>আমার বন্ধু যখন প্রচণ্ড উদ্বেগের সাথে মোকাবিলা করছে, তখন আমি কীভাবে তাকে শখ ফিরে পেতে সাহায্য করব? হুম, আমার পোস্টটি অদৃশ্য হয়ে গেছে, তাই আমি আবার পোস্ট করছি। সম্প্রতি আমার এক পুরনো বন্ধুর সাথে আমার আবার যোগাযোগ হয়েছে। আমি সম্পূর্ণ ভুলে গিয়েছিলাম যে তার উদ্বেগ কতটা তীব্র ছিল। তাছাড়া, আমার মনে হয় গত কয়েক বছরে যখন আমরা যোগাযোগের বাইরে ছিলাম তখন এটি বেশ খারাপ হয়ে গেছে। তার একটি শখ ছিল যা সে পছন্দ করত এবং যতদিন আমি তাকে জানতাম ততদিন সে এতে অসাধারণ ছিল। এবং আজ সে আমাকে বলল যে তার উদ্বেগের কারণে সে বছরের পর বছর ধরে এটি করেনি। আমি জানি সে তার শারীরিক সুস্থতা এবং শখের অভাব নিয়ে অসন্তুষ্ট; এবং উচ্চ স্তরের চাকরির সাথে তার উচ্চ কার্যকারিতার উদ্বেগ রয়েছে। আমি কীভাবে তাকে শখ পুনরায় গ্রহণ করতে উৎসাহিত করব? (মনে সবচেয়ে গুরুত্বপূর্ণ যে চিন্তাটি আসে তা হল তার সাথে সেগুলি করার প্রস্তাব দেওয়া, কিন্তু এটি কখনও কাজ করেনি; এটি কেবল তাকে বিরক্ত করে।)</v>
      </c>
    </row>
    <row r="2642" spans="1:3" ht="15" x14ac:dyDescent="0.25">
      <c r="A2642" s="3" t="s">
        <v>2635</v>
      </c>
      <c r="B2642" s="3" t="s">
        <v>1992</v>
      </c>
      <c r="C2642" s="4" t="str">
        <f ca="1">IFERROR(__xludf.DUMMYFUNCTION("GOOGLETRANSLATE(A2642, ""auto"", ""bn"")"),"কলেজের উপস্থাপনা সম্পর্কে কী করব জানি না আমি একটি বিজনেস স্কুলে পড়ি এবং বেশিরভাগ ক্লাসে প্রচুর উপস্থাপনা প্রয়োজন হয়। গত সেমিস্টারে আমার তীব্র প্যানিক অ্যাটাক হয়েছিল এবং আগে থেকেই বমি বমি ভাব হচ্ছিল। উপস্থাপনার অপেক্ষায় ক্লাসে বসে আমার খুব বমি বমি ভাব"&amp;" হয়। তাছাড়া, আমি বিটা ব্লকার ব্যবহার করেছি, কিন্তু এগুলো আমাকে প্রচণ্ড অসুস্থ করে তোলে, তাই আমি সেগুলোও নিতে পারছি না। তাছাড়া, আমি ভেবেছিলাম এগুলোই সমাধান হবে এবং এখন আমার কাছে কোন সমাধান নেই। তাছাড়া, আমি জানি না কী করব কারণ ক্লাসে আমার নাম বলার অপেক্"&amp;"ষা রাখলেই আমি অজ্ঞান হয়ে যেতে পারি এবং বমি বমি ভাব শুরু হয়ে যায়। তাছাড়া, আমি কোনও টোস্টমাস্টারে যোগ দিতে পারি না কারণ আমি ক্লাসে থাকাকালীন মিটিং চলে। আমাদের স্কুলে টোস্টমাস্টারও নেই। আমি উপস্থাপনা সহ ক্লাস বাদ দিতে পারি না কারণ আমি একটি পূর্ণ-সময়ের প"&amp;"্রোগ্রামে আছি যা এটির অনুমতি দেয় না। এবং আমার প্রায় 50% ক্লাসে উপস্থাপনা থাকে। আমি বেজোস নিতে চাই না কারণ আমি যত ওষুধই খাই না কেন, তা আমাকে অসুস্থ বা মাথা ঘোরায় এবং উপস্থাপনার সময় আমি অজ্ঞান হতে চাই না। আমি একজন হাইপোকন্ড্রিয়াক, এবং এর প্রতিক্রিয়ায়"&amp;" আমি মারা যাব বলে আমার মনে হয়। যদিও আমি জানি যে আমি এরকম, তবুও আমি এইরকম প্রতিক্রিয়া দেখাই। আমি জানি না কী করব কারণ আমি ক্লাস বাদ দিতে পারি না, এবং আমি ইতিমধ্যেই এই সেমিস্টারে শীঘ্রই উপস্থাপনা শুরু করছি। সবাই আমাকে শুধু চুষে খেতে এবং এটি করতে বলে কিন্তু"&amp;" তারা বুঝতে পারে না যে আমার বমি বমি ভাব কতটা কাছাকাছি চলে আসে এবং উপস্থাপনার আগে সারা রাত বমি বমি ভাব কেমন লাগে। আমি এমনকি কী করি আমার মনে হয় আমাকে এই ক্লাসগুলিতে ফেল করতে হবে কারণ আমি এই উপস্থাপনাগুলি করার কথা কল্পনাও করতে পারি না? এটা সম্ভব বলে মনে হয়"&amp;" না...")</f>
        <v>কলেজের উপস্থাপনা সম্পর্কে কী করব জানি না আমি একটি বিজনেস স্কুলে পড়ি এবং বেশিরভাগ ক্লাসে প্রচুর উপস্থাপনা প্রয়োজন হয়। গত সেমিস্টারে আমার তীব্র প্যানিক অ্যাটাক হয়েছিল এবং আগে থেকেই বমি বমি ভাব হচ্ছিল। উপস্থাপনার অপেক্ষায় ক্লাসে বসে আমার খুব বমি বমি ভাব হয়। তাছাড়া, আমি বিটা ব্লকার ব্যবহার করেছি, কিন্তু এগুলো আমাকে প্রচণ্ড অসুস্থ করে তোলে, তাই আমি সেগুলোও নিতে পারছি না। তাছাড়া, আমি ভেবেছিলাম এগুলোই সমাধান হবে এবং এখন আমার কাছে কোন সমাধান নেই। তাছাড়া, আমি জানি না কী করব কারণ ক্লাসে আমার নাম বলার অপেক্ষা রাখলেই আমি অজ্ঞান হয়ে যেতে পারি এবং বমি বমি ভাব শুরু হয়ে যায়। তাছাড়া, আমি কোনও টোস্টমাস্টারে যোগ দিতে পারি না কারণ আমি ক্লাসে থাকাকালীন মিটিং চলে। আমাদের স্কুলে টোস্টমাস্টারও নেই। আমি উপস্থাপনা সহ ক্লাস বাদ দিতে পারি না কারণ আমি একটি পূর্ণ-সময়ের প্রোগ্রামে আছি যা এটির অনুমতি দেয় না। এবং আমার প্রায় 50% ক্লাসে উপস্থাপনা থাকে। আমি বেজোস নিতে চাই না কারণ আমি যত ওষুধই খাই না কেন, তা আমাকে অসুস্থ বা মাথা ঘোরায় এবং উপস্থাপনার সময় আমি অজ্ঞান হতে চাই না। আমি একজন হাইপোকন্ড্রিয়াক, এবং এর প্রতিক্রিয়ায় আমি মারা যাব বলে আমার মনে হয়। যদিও আমি জানি যে আমি এরকম, তবুও আমি এইরকম প্রতিক্রিয়া দেখাই। আমি জানি না কী করব কারণ আমি ক্লাস বাদ দিতে পারি না, এবং আমি ইতিমধ্যেই এই সেমিস্টারে শীঘ্রই উপস্থাপনা শুরু করছি। সবাই আমাকে শুধু চুষে খেতে এবং এটি করতে বলে কিন্তু তারা বুঝতে পারে না যে আমার বমি বমি ভাব কতটা কাছাকাছি চলে আসে এবং উপস্থাপনার আগে সারা রাত বমি বমি ভাব কেমন লাগে। আমি এমনকি কী করি আমার মনে হয় আমাকে এই ক্লাসগুলিতে ফেল করতে হবে কারণ আমি এই উপস্থাপনাগুলি করার কথা কল্পনাও করতে পারি না? এটা সম্ভব বলে মনে হয় না...</v>
      </c>
    </row>
    <row r="2643" spans="1:3" ht="15" x14ac:dyDescent="0.25">
      <c r="A2643" s="3" t="s">
        <v>2636</v>
      </c>
      <c r="B2643" s="3" t="s">
        <v>1992</v>
      </c>
      <c r="C2643" s="4" t="str">
        <f ca="1">IFERROR(__xludf.DUMMYFUNCTION("GOOGLETRANSLATE(A2643, ""auto"", ""bn"")"),"আমার মনে হচ্ছে আমার প্রথম উদ্বেগের আক্রমণ হচ্ছে। আমি সবসময় জানতাম যে আমি একজন উদ্বিগ্ন ব্যক্তি, কিন্তু এখন আমি ভয় পাচ্ছি। তাছাড়া, আমার মনে হচ্ছে এটি টাইপ করলেই আমি এই পরিস্থিতি থেকে বেরিয়ে আসতে পারব। তাছাড়া, আমি সম্প্রতি ২০০ মিলিগ্রাম ওয়েলবুট্রিন খা"&amp;"ওয়া শুরু করেছি, ডিসেম্বরে আমার ১০০ মিলিগ্রাম ডোজ থেকে বাড়িয়ে। তাছাড়া, আমি সবসময় ভাবতাম আমার উদ্বেগের সমস্যা আছে, কিন্তু অনলাইনে লক্ষণগুলির সাথে তুলনা করে এখন আমি যা অনুভব করছি তা পড়ে, আমার মনে হয় এটি আমার প্রথম উদ্বেগের আক্রমণ। গত কয়েক দিনে এটি ৩ "&amp;"বার ঘটেছে। এটি শুরু হয়েছিল আমার বুক শক্ত হয়ে যাওয়া দিয়ে, তারপর হঠাৎ আমার শরীরের বিভিন্ন স্থানে ঝিঁঝিঁ পোকা, একের পর এক। আমি ভয় পেয়ে গেলাম, ভাবলাম আমার হৃদয়ে কিছু সমস্যা আছে, এবং এইভাবে, উন্মত্তভাবে গুগল করছি। প্রতি ১০-১৫ সেকেন্ডে আমার হৃদয় এবং পেট"&amp;"ে এই ডুবে যাওয়ার অনুভূতি হতে শুরু করে। মনে হচ্ছিল আমার হৃদয়ে বিদ্যুৎস্পৃষ্ট হচ্ছে এবং তারপর আগুন জ্বলছে। মনে হচ্ছিল আমার শরীর ক্রমাগত ডুবে যাওয়ার অনুভূতি পেতে থাকে যখন আপনি একটি খাড়া ড্রপ নিচে পড়ে যান কিন্তু সর্বত্র। আসন্ন ধ্বংসের এই ভয়। এটা ভয়াবহ "&amp;"অনুভূত হয়েছিল। মনে হচ্ছিল আমি মারা যাচ্ছি। একই সাথে আমার ব্রেন জ্যাপ হচ্ছে। আমার হৃদস্পন্দন বেড়ে যাচ্ছে, এবং আমার মনে হচ্ছে আমি মারা যাচ্ছি। তাছাড়া, আমি ফোনে আমার পরিচিত একজন ডাক্তারের সাথে যোগাযোগ করেছি যিনি বলেছিলেন যে এটি প্রত্যাহারের মতো শোনাচ্ছে ("&amp;"আমি গতকাল এবং তার আগের দিন আমার ওয়েলবুট্রিনের একটি ডোজ ভুলে গিয়েছিলাম), তবে আমি ১২ ঘন্টারও বেশি সময় আগে আমার ওষুধ খেয়েছি। সাধারণত যদি আমি প্রত্যাহারের অভিজ্ঞতা পাই তবে ইফেক্টর দিয়ে আমি বেশ দ্রুত ভালো বোধ করব। যাই হোক। আমি ভয় পাচ্ছি। এটা ভয়াবহ। আমি "&amp;"নিজেকে থামাতে পারছি না যেন আমি মারা যাচ্ছি।")</f>
        <v>আমার মনে হচ্ছে আমার প্রথম উদ্বেগের আক্রমণ হচ্ছে। আমি সবসময় জানতাম যে আমি একজন উদ্বিগ্ন ব্যক্তি, কিন্তু এখন আমি ভয় পাচ্ছি। তাছাড়া, আমার মনে হচ্ছে এটি টাইপ করলেই আমি এই পরিস্থিতি থেকে বেরিয়ে আসতে পারব। তাছাড়া, আমি সম্প্রতি ২০০ মিলিগ্রাম ওয়েলবুট্রিন খাওয়া শুরু করেছি, ডিসেম্বরে আমার ১০০ মিলিগ্রাম ডোজ থেকে বাড়িয়ে। তাছাড়া, আমি সবসময় ভাবতাম আমার উদ্বেগের সমস্যা আছে, কিন্তু অনলাইনে লক্ষণগুলির সাথে তুলনা করে এখন আমি যা অনুভব করছি তা পড়ে, আমার মনে হয় এটি আমার প্রথম উদ্বেগের আক্রমণ। গত কয়েক দিনে এটি ৩ বার ঘটেছে। এটি শুরু হয়েছিল আমার বুক শক্ত হয়ে যাওয়া দিয়ে, তারপর হঠাৎ আমার শরীরের বিভিন্ন স্থানে ঝিঁঝিঁ পোকা, একের পর এক। আমি ভয় পেয়ে গেলাম, ভাবলাম আমার হৃদয়ে কিছু সমস্যা আছে, এবং এইভাবে, উন্মত্তভাবে গুগল করছি। প্রতি ১০-১৫ সেকেন্ডে আমার হৃদয় এবং পেটে এই ডুবে যাওয়ার অনুভূতি হতে শুরু করে। মনে হচ্ছিল আমার হৃদয়ে বিদ্যুৎস্পৃষ্ট হচ্ছে এবং তারপর আগুন জ্বলছে। মনে হচ্ছিল আমার শরীর ক্রমাগত ডুবে যাওয়ার অনুভূতি পেতে থাকে যখন আপনি একটি খাড়া ড্রপ নিচে পড়ে যান কিন্তু সর্বত্র। আসন্ন ধ্বংসের এই ভয়। এটা ভয়াবহ অনুভূত হয়েছিল। মনে হচ্ছিল আমি মারা যাচ্ছি। একই সাথে আমার ব্রেন জ্যাপ হচ্ছে। আমার হৃদস্পন্দন বেড়ে যাচ্ছে, এবং আমার মনে হচ্ছে আমি মারা যাচ্ছি। তাছাড়া, আমি ফোনে আমার পরিচিত একজন ডাক্তারের সাথে যোগাযোগ করেছি যিনি বলেছিলেন যে এটি প্রত্যাহারের মতো শোনাচ্ছে (আমি গতকাল এবং তার আগের দিন আমার ওয়েলবুট্রিনের একটি ডোজ ভুলে গিয়েছিলাম), তবে আমি ১২ ঘন্টারও বেশি সময় আগে আমার ওষুধ খেয়েছি। সাধারণত যদি আমি প্রত্যাহারের অভিজ্ঞতা পাই তবে ইফেক্টর দিয়ে আমি বেশ দ্রুত ভালো বোধ করব। যাই হোক। আমি ভয় পাচ্ছি। এটা ভয়াবহ। আমি নিজেকে থামাতে পারছি না যেন আমি মারা যাচ্ছি।</v>
      </c>
    </row>
    <row r="2644" spans="1:3" ht="15" x14ac:dyDescent="0.25">
      <c r="A2644" s="3" t="s">
        <v>2637</v>
      </c>
      <c r="B2644" s="3" t="s">
        <v>1992</v>
      </c>
      <c r="C2644" s="4" t="str">
        <f ca="1">IFERROR(__xludf.DUMMYFUNCTION("GOOGLETRANSLATE(A2644, ""auto"", ""bn"")"),"DAE কি আসলেই একজন থেরাপিস্টের সাথে কথা বলার পরিবর্তে লক্ষণ/উদ্বেগ-সম্পর্কিত অনুভূতি গুগলে খোঁজ করে? শিরোনাম। আমি সবসময় একজন থেরাপিস্টের সাথে দেখা করতে এবং/অথবা আমার অনুভূতি সম্পর্কে মানুষের সাথে খোলামেলা কথা বলতে ভয় পাই।")</f>
        <v>DAE কি আসলেই একজন থেরাপিস্টের সাথে কথা বলার পরিবর্তে লক্ষণ/উদ্বেগ-সম্পর্কিত অনুভূতি গুগলে খোঁজ করে? শিরোনাম। আমি সবসময় একজন থেরাপিস্টের সাথে দেখা করতে এবং/অথবা আমার অনুভূতি সম্পর্কে মানুষের সাথে খোলামেলা কথা বলতে ভয় পাই।</v>
      </c>
    </row>
    <row r="2645" spans="1:3" ht="15" x14ac:dyDescent="0.25">
      <c r="A2645" s="3" t="s">
        <v>2638</v>
      </c>
      <c r="B2645" s="3" t="s">
        <v>1992</v>
      </c>
      <c r="C2645" s="4" t="str">
        <f ca="1">IFERROR(__xludf.DUMMYFUNCTION("GOOGLETRANSLATE(A2645, ""auto"", ""bn"")"),"আমি (১৯ মিনিট) আমার সবচেয়ে ভালো বন্ধুর (২০ মিনিট) সাথে আসক্ত, আমার উদ্বেগের কারণ হয়ে দাঁড়ায়। ভোর ৪টা বাজে, আর এই সমস্যাটা চলতে থাকায় ঘুমাতে পারছি না। আমার (১৯ মিনিট) একজন সবচেয়ে ভালো বন্ধু (২০ মিনিট) আছে এবং আমরা ছয় বছর ধরে একে অপরকে চিনি, এবং আমার"&amp;" মনে হয় আমি তার সাথে সত্যিই আসক্ত। আমরা একসাথে একই কাজ করতে উপভোগ করি যা ঠিক আছে, কিন্তু যখন সে আমার সাথে সময় কাটানোর পরিবর্তে তার মেয়ের সাথে দেখা করতে যায়, তখন আমি খুব উদ্বিগ্ন হতে পারি। আমি প্রথমবারের মতো ঈর্ষার অনুভূতি অনুভব করেছি, কারণ সে খুব সহজে"&amp;"ই মেয়েদের পেতে পারে, কিন্তু আমি কোনও মেয়েদের সাথে দেখা করতে পারি না, যা আমার উদ্বেগকে আরও তীব্র করে তোলে। এটা ঠিক আমাকে ছিঁড়ে ফেলার মতো। আমি বুঝতে পারি যে আমরা বড় হয়েছি, কিন্তু আমি তার কাছে ভাইয়ের মতো অনুভব করি এবং আমি তাকে হারাতে চাই না, এবং আমি এখ"&amp;"ন এটি নিয়ে খুব উদ্বিগ্ন, আমি কীভাবে আমার মনোভাব পরিবর্তন করতে পারি, এবং কেন আমি এমন?")</f>
        <v>আমি (১৯ মিনিট) আমার সবচেয়ে ভালো বন্ধুর (২০ মিনিট) সাথে আসক্ত, আমার উদ্বেগের কারণ হয়ে দাঁড়ায়। ভোর ৪টা বাজে, আর এই সমস্যাটা চলতে থাকায় ঘুমাতে পারছি না। আমার (১৯ মিনিট) একজন সবচেয়ে ভালো বন্ধু (২০ মিনিট) আছে এবং আমরা ছয় বছর ধরে একে অপরকে চিনি, এবং আমার মনে হয় আমি তার সাথে সত্যিই আসক্ত। আমরা একসাথে একই কাজ করতে উপভোগ করি যা ঠিক আছে, কিন্তু যখন সে আমার সাথে সময় কাটানোর পরিবর্তে তার মেয়ের সাথে দেখা করতে যায়, তখন আমি খুব উদ্বিগ্ন হতে পারি। আমি প্রথমবারের মতো ঈর্ষার অনুভূতি অনুভব করেছি, কারণ সে খুব সহজেই মেয়েদের পেতে পারে, কিন্তু আমি কোনও মেয়েদের সাথে দেখা করতে পারি না, যা আমার উদ্বেগকে আরও তীব্র করে তোলে। এটা ঠিক আমাকে ছিঁড়ে ফেলার মতো। আমি বুঝতে পারি যে আমরা বড় হয়েছি, কিন্তু আমি তার কাছে ভাইয়ের মতো অনুভব করি এবং আমি তাকে হারাতে চাই না, এবং আমি এখন এটি নিয়ে খুব উদ্বিগ্ন, আমি কীভাবে আমার মনোভাব পরিবর্তন করতে পারি, এবং কেন আমি এমন?</v>
      </c>
    </row>
    <row r="2646" spans="1:3" ht="15" x14ac:dyDescent="0.25">
      <c r="A2646" s="3" t="s">
        <v>2639</v>
      </c>
      <c r="B2646" s="3" t="s">
        <v>1992</v>
      </c>
      <c r="C2646" s="4" t="str">
        <f ca="1">IFERROR(__xludf.DUMMYFUNCTION("GOOGLETRANSLATE(A2646, ""auto"", ""bn"")"),"গত বছর এইবার আমি উদ্বেগের কারণে আমার শোবার ঘর থেকে বের হতে পারিনি, আজ আমি নিজেকে শান্ত করেছিলাম যে অস্ত্রোপচারের সময় প্যানিক অ্যাটাকের কারণে। আমি একজন ২২ বছর বয়সী ছেলে এবং এক বছর আগে আমার উদ্বেগ ভয়াবহ ছিল। আমি বেকার ছিলাম, আমার জীবন উদ্বেগের দ্বারা নিয"&amp;"়ন্ত্রিত ছিল। তাছাড়া, আমি গাড়ি চালাতে পারতাম না, বন্ধুদের সাথে বাইরে যেতে পারতাম না, সিনেমা দেখতে পারতাম না এবং কিছুক্ষণের জন্য আমার ঘর থেকে বের হতে পারতাম না। পরিস্থিতি এতটাই খারাপ হয়ে গেল যে আমার ওজন খুব কম হয়ে গেল এবং কয়েকদিন ধরে একটি মানসিক হাসপা"&amp;"তালে ছিলাম। আমি একজন থেরাপিস্টের সাথে দেখা করতে শুরু করলাম যিনি সপ্তাহে ৩ বার সিবিটি করতেন, এবং একজন মনোরোগ বিশেষজ্ঞের সাথে দেখা করে সঠিক ওষুধ খেয়েছিলাম। এখন আমি একটি বড় হাসপাতালের অপারেটিং রুমে একজন পূর্ণকালীন টেকনিশিয়ান হিসেবে কাজ করি, আমি সর্বদা গাড"&amp;"়ি চালাই, ডেটে যাই এবং সোমবার ইএমটি করার জন্য স্কুল শুরু করি। আজ আমি গ্যাস্ট্রিক বাইপাসের সময় সহায়তা করছিলাম। আমি সম্পূর্ণরূপে পরিষ্কার ছিলাম, একটি ক্যামেরা ধরেছিলাম যেখানে আমাকে এখনও মৃত থাকতে হবে, এবং কেবল আমি এবং ২ জন ডাক্তার, সবাই এই রোগীর চারপাশে ভ"&amp;"িড় করছি। এই অস্ত্রোপচারের সময় আমি প্রথমবার সাহায্য করিনি, কিন্তু এই ডাক্তারের সাথে আমার প্রথমবারের মতো, যিনি কুখ্যাতভাবে দুষ্টু, এবং এক পর্যায়ে ফ্যানে বিষ্ঠা আঘাত করতে শুরু করে। ঘরটি নীরব হয়ে গেল, উত্তেজনা চরমে পৌঁছে গেল এবং আমার উদ্বেগ আকাশচুম্বী হয়"&amp;"ে গেল। আমার মুখোশ কুয়াশাচ্ছন্ন হয়ে গেল, এবং আমি ঘামছিলাম, কিন্তু আমি আমার মুখ স্পর্শ করতে এবং আমার গ্লাভস দূষিত করতে পারছি না, তাই আমি আক্ষরিক অর্থেই আটকা পড়ে গেলাম। তারপর আমি যা শিখেছি তা মনে পড়ল, আমি আমার শ্বাস-প্রশ্বাস এবং ডাক্তারের কাজের উপর মনোযো"&amp;"গ দিতে শুরু করলাম। আমি মনে মনে উৎসাহব্যঞ্জক চিন্তাভাবনা করলাম, এবং এক মিনিটের মধ্যেই আমার উদ্বেগ আবার কমে গেল, এবং আমরা অস্ত্রোপচারটি সম্পন্ন করলাম। সবচেয়ে ভালো দিক? ডাক্তার আমাকে বললেন যে আমি দুর্দান্ত কাজ করেছি, এমন কিছু যা এমনকি নার্সরাও তাকে খুব কমই "&amp;"কাউকে বলতে শুনেছেন। এই পোস্টের মূল কথা? এক বছর আগে আমি কোথায় ছিলাম তা দেখার জন্য, মূলত উদ্বেগ থেকে শয্যাশায়ী। এখন আমি খুব পরিপূর্ণ জীবনযাপন করি এবং আমি যা চাই তা করি, আমার উদ্বেগ আমাকে করতে দেয় না। আপনি উন্নতি করতে পারেন এবং আপনার জীবন ফিরে পেতে পারেন।"&amp;" যদি আমি এটি করি, তাহলে আপনারা যে কেউ এটি করতে পারেন। আমি সবচেয়ে বড় যে পরামর্শটি দিতে পারি তা হল, দয়া করে সাহায্য নিন। আমি আতঙ্কিত ছিলাম কিন্তু এটি আমার জীবন বাঁচিয়েছে। আমি এখনও মাসে একবার থেরাপিতে যাই, এবং আমি এখনও আমার ওষুধ খাই, এবং এতে কোনও লজ্জা ন"&amp;"েই। তাছাড়া, আমি আশা করি এই পোস্টটি হয়তো তোমাদের মধ্যে একজনকেও অনুপ্রাণিত করবে। উদ্বেগ মোকাবেলা করা আমার সবচেয়ে কঠিন কাজ, এবং আমি ব্যর্থ হয়েছি কিন্তু চেষ্টা করা বন্ধ করিনি। কাউকে এভাবে বাঁচতে হবে না, এবং কাউকে একা এটি করতে হবে না। আমি এখানে সকলকে তোমার "&amp;"ভেতরের দানবদের জয় করার জন্য পরম শুভকামনা জানাই, এবং আমি তোমার উপর বিশ্বাস করি। যদি কারো কোন প্রশ্ন থাকে তবে নির্দ্বিধায় জিজ্ঞাসা করতে পারেন, এবং আমার PM সর্বদা যে কাউকে সাহায্য করার জন্য উন্মুক্ত!")</f>
        <v>গত বছর এইবার আমি উদ্বেগের কারণে আমার শোবার ঘর থেকে বের হতে পারিনি, আজ আমি নিজেকে শান্ত করেছিলাম যে অস্ত্রোপচারের সময় প্যানিক অ্যাটাকের কারণে। আমি একজন ২২ বছর বয়সী ছেলে এবং এক বছর আগে আমার উদ্বেগ ভয়াবহ ছিল। আমি বেকার ছিলাম, আমার জীবন উদ্বেগের দ্বারা নিয়ন্ত্রিত ছিল। তাছাড়া, আমি গাড়ি চালাতে পারতাম না, বন্ধুদের সাথে বাইরে যেতে পারতাম না, সিনেমা দেখতে পারতাম না এবং কিছুক্ষণের জন্য আমার ঘর থেকে বের হতে পারতাম না। পরিস্থিতি এতটাই খারাপ হয়ে গেল যে আমার ওজন খুব কম হয়ে গেল এবং কয়েকদিন ধরে একটি মানসিক হাসপাতালে ছিলাম। আমি একজন থেরাপিস্টের সাথে দেখা করতে শুরু করলাম যিনি সপ্তাহে ৩ বার সিবিটি করতেন, এবং একজন মনোরোগ বিশেষজ্ঞের সাথে দেখা করে সঠিক ওষুধ খেয়েছিলাম। এখন আমি একটি বড় হাসপাতালের অপারেটিং রুমে একজন পূর্ণকালীন টেকনিশিয়ান হিসেবে কাজ করি, আমি সর্বদা গাড়ি চালাই, ডেটে যাই এবং সোমবার ইএমটি করার জন্য স্কুল শুরু করি। আজ আমি গ্যাস্ট্রিক বাইপাসের সময় সহায়তা করছিলাম। আমি সম্পূর্ণরূপে পরিষ্কার ছিলাম, একটি ক্যামেরা ধরেছিলাম যেখানে আমাকে এখনও মৃত থাকতে হবে, এবং কেবল আমি এবং ২ জন ডাক্তার, সবাই এই রোগীর চারপাশে ভিড় করছি। এই অস্ত্রোপচারের সময় আমি প্রথমবার সাহায্য করিনি, কিন্তু এই ডাক্তারের সাথে আমার প্রথমবারের মতো, যিনি কুখ্যাতভাবে দুষ্টু, এবং এক পর্যায়ে ফ্যানে বিষ্ঠা আঘাত করতে শুরু করে। ঘরটি নীরব হয়ে গেল, উত্তেজনা চরমে পৌঁছে গেল এবং আমার উদ্বেগ আকাশচুম্বী হয়ে গেল। আমার মুখোশ কুয়াশাচ্ছন্ন হয়ে গেল, এবং আমি ঘামছিলাম, কিন্তু আমি আমার মুখ স্পর্শ করতে এবং আমার গ্লাভস দূষিত করতে পারছি না, তাই আমি আক্ষরিক অর্থেই আটকা পড়ে গেলাম। তারপর আমি যা শিখেছি তা মনে পড়ল, আমি আমার শ্বাস-প্রশ্বাস এবং ডাক্তারের কাজের উপর মনোযোগ দিতে শুরু করলাম। আমি মনে মনে উৎসাহব্যঞ্জক চিন্তাভাবনা করলাম, এবং এক মিনিটের মধ্যেই আমার উদ্বেগ আবার কমে গেল, এবং আমরা অস্ত্রোপচারটি সম্পন্ন করলাম। সবচেয়ে ভালো দিক? ডাক্তার আমাকে বললেন যে আমি দুর্দান্ত কাজ করেছি, এমন কিছু যা এমনকি নার্সরাও তাকে খুব কমই কাউকে বলতে শুনেছেন। এই পোস্টের মূল কথা? এক বছর আগে আমি কোথায় ছিলাম তা দেখার জন্য, মূলত উদ্বেগ থেকে শয্যাশায়ী। এখন আমি খুব পরিপূর্ণ জীবনযাপন করি এবং আমি যা চাই তা করি, আমার উদ্বেগ আমাকে করতে দেয় না। আপনি উন্নতি করতে পারেন এবং আপনার জীবন ফিরে পেতে পারেন। যদি আমি এটি করি, তাহলে আপনারা যে কেউ এটি করতে পারেন। আমি সবচেয়ে বড় যে পরামর্শটি দিতে পারি তা হল, দয়া করে সাহায্য নিন। আমি আতঙ্কিত ছিলাম কিন্তু এটি আমার জীবন বাঁচিয়েছে। আমি এখনও মাসে একবার থেরাপিতে যাই, এবং আমি এখনও আমার ওষুধ খাই, এবং এতে কোনও লজ্জা নেই। তাছাড়া, আমি আশা করি এই পোস্টটি হয়তো তোমাদের মধ্যে একজনকেও অনুপ্রাণিত করবে। উদ্বেগ মোকাবেলা করা আমার সবচেয়ে কঠিন কাজ, এবং আমি ব্যর্থ হয়েছি কিন্তু চেষ্টা করা বন্ধ করিনি। কাউকে এভাবে বাঁচতে হবে না, এবং কাউকে একা এটি করতে হবে না। আমি এখানে সকলকে তোমার ভেতরের দানবদের জয় করার জন্য পরম শুভকামনা জানাই, এবং আমি তোমার উপর বিশ্বাস করি। যদি কারো কোন প্রশ্ন থাকে তবে নির্দ্বিধায় জিজ্ঞাসা করতে পারেন, এবং আমার PM সর্বদা যে কাউকে সাহায্য করার জন্য উন্মুক্ত!</v>
      </c>
    </row>
    <row r="2647" spans="1:3" ht="15" x14ac:dyDescent="0.25">
      <c r="A2647" s="3" t="s">
        <v>2640</v>
      </c>
      <c r="B2647" s="3" t="s">
        <v>1992</v>
      </c>
      <c r="C2647" s="4" t="str">
        <f ca="1">IFERROR(__xludf.DUMMYFUNCTION("GOOGLETRANSLATE(A2647, ""auto"", ""bn"")"),"উৎসাহ না পাওয়াটা আমার কাছে ঘৃণার। আমার ত্রুটি আছে এবং আমি সেগুলো মেনে নিই। রাগ অসামাজিক, সামাজিক এবং সাধারণ উদ্বেগের কারণ হয়। কিন্তু আমি সত্যিই পরিবর্তনের চেষ্টা করছি। যখন তুমি আরও ভালো করার চেষ্টা করো এবং তুমি যা পাও তা হলো, তখন আমি ঘৃণা করি, কারণ এটি কে"&amp;"বল একটি দিন, যখন আমরা দেখব এটি কতদিন UPA-কে টিকিয়ে রাখে। অথবা তুমি XYZ করতে যাচ্ছ, যখন তুমি প্রতিশ্রুতি দিয়েছিলে যে তুমি ABC করবে কিন্তু তা হওয়ার আগেই ব্যর্থ হবে বলে আশা করা হচ্ছে।")</f>
        <v>উৎসাহ না পাওয়াটা আমার কাছে ঘৃণার। আমার ত্রুটি আছে এবং আমি সেগুলো মেনে নিই। রাগ অসামাজিক, সামাজিক এবং সাধারণ উদ্বেগের কারণ হয়। কিন্তু আমি সত্যিই পরিবর্তনের চেষ্টা করছি। যখন তুমি আরও ভালো করার চেষ্টা করো এবং তুমি যা পাও তা হলো, তখন আমি ঘৃণা করি, কারণ এটি কেবল একটি দিন, যখন আমরা দেখব এটি কতদিন UPA-কে টিকিয়ে রাখে। অথবা তুমি XYZ করতে যাচ্ছ, যখন তুমি প্রতিশ্রুতি দিয়েছিলে যে তুমি ABC করবে কিন্তু তা হওয়ার আগেই ব্যর্থ হবে বলে আশা করা হচ্ছে।</v>
      </c>
    </row>
    <row r="2648" spans="1:3" ht="15" x14ac:dyDescent="0.25">
      <c r="A2648" s="3" t="s">
        <v>2641</v>
      </c>
      <c r="B2648" s="3" t="s">
        <v>1992</v>
      </c>
      <c r="C2648" s="4" t="str">
        <f ca="1">IFERROR(__xludf.DUMMYFUNCTION("GOOGLETRANSLATE(A2648, ""auto"", ""bn"")"),"খারাপ/অভদ্র সহকর্মীদের সাথে কীভাবে মোকাবিলা করব? আমার সামাজিক উদ্বেগ এবং আত্মসম্মান খুবই খারাপ। আমাকে পছন্দ না করা লোকেদের নিয়ে আমার ভয়ঙ্কর উদ্বেগ আছে, এবং এর ফলে আমি সত্যিই আমার ব্যক্তিত্বকে খুব ভালো, খুব ভালো এবং যাদের আমি খুব ভালোভাবে চিনি না, যেমন স"&amp;"হকর্মীদের প্রতি দয়ালু হতে পেরেছি। তাছাড়া, আমি সম্প্রতি একজন পরিবেশক হিসেবে কাজ শুরু করেছি। তাছাড়া, আমি আরও বেশি বহির্মুখী হতে চেয়েছিলাম এবং অভদ্র এবং খারাপ লোকদের সাথে আমার ভয় এবং উদ্বেগ কাটিয়ে উঠতে চেয়েছিলাম একজন পরিবেশক হয়ে, যেখানে আমাকে প্রতিদিন"&amp;" এই ধরণের লোকদের সাথে মোকাবিলা করতে হয়। এটি ঠিক হয়ে গেছে, এবং যেহেতু আমি খুব ভালো, তাই খুব বেশি গ্রাহক আমার সাথে অভদ্র আচরণ করেননি। আমি সবসময় তাদের কাছে আমার পরিষেবা দেওয়ার সমস্যাগুলি বুঝতে পেরেছি, ইত্যাদি। কিন্তু আমার একজন সহকর্মী আছে যার সাথে, আমি ত"&amp;"ার সাথে ঠিকভাবে কিছু করতে পারি না। প্রতিবার যখন আমি ঝামেলা করি বা কোনও সমস্যা হয় (অথবা এমনকি একটি সৎ প্রশ্নও) সে আমার সাথে কথা বলে এবং আমাকে বোকা বানায়, সেই অবজ্ঞাপূর্ণ কণ্ঠে যেখানে সে প্রতিটি শব্দের উপর জোর দেয়। কখনও কখনও সে অন্যদের সাথেও আমার সম্পর্কে"&amp;" কথা বলে। এটাও সাহায্য করে না যে সে স্বাভাবিকভাবেই খুব বহির্মুখী এবং আত্মবিশ্বাসী ব্যক্তি, যা আমি সবসময় হতে চেয়েছি। আমি জানি যে কোনও সাধারণ মানুষ এটাকে কাটিয়ে উঠবে, অথবা শুধু বলবে ওকে চুদো, আমি ঠিক আছি এবং এটা ছেড়ে দেবে। কিন্তু এটা আমাকে প্রতিবার তার"&amp;" সাথে কাজ করার সময় বাথরুমে কাঁদতে বাধ্য করে। এটা আমার আত্মবিশ্বাস নষ্ট করে দিয়েছে এবং সত্যিই আমার আত্মসম্মানকে আরও খারাপ করে তুলেছে। এটা এমন পর্যায়ে পৌঁছেছে যে আমি আসলে সেখানে নিজেকে নিয়ে লজ্জিত হই এবং প্রতিবার যখনই আমি কাউকে অসুবিধায় ফেলি তখনই আমাকে"&amp;" চোখের জল ধরে রাখতে হয়। আমার উদ্বেগ আমাকে এত দুর্বল এবং শিশুর মতো বোধ করে। যেমন আমি ছোটখাটো জিনিস এবং মিথস্ক্রিয়ায় অতিষ্ঠ হয়ে পড়ি এবং আমি সহজেই এত অনিরাপদ এবং বিরক্ত হয়ে পড়ি। যেহেতু আমি নিজেকে তার থেকে দূরে রাখতে পারি না কারণ এমন দিন আসবে যখন আমাদে"&amp;"র একসাথে কাজ করতে হবে, আমি কীভাবে তা মোকাবেলা করব? আমি কীভাবে এটিকে আমাকে সম্পূর্ণরূপে ধ্বংস না করতে দেব? সত্যিই কষ্ট হয়, বিশেষ করে যখন সে আমার ছাড়া সবার সাথে এত ভালো আচরণ করে।")</f>
        <v>খারাপ/অভদ্র সহকর্মীদের সাথে কীভাবে মোকাবিলা করব? আমার সামাজিক উদ্বেগ এবং আত্মসম্মান খুবই খারাপ। আমাকে পছন্দ না করা লোকেদের নিয়ে আমার ভয়ঙ্কর উদ্বেগ আছে, এবং এর ফলে আমি সত্যিই আমার ব্যক্তিত্বকে খুব ভালো, খুব ভালো এবং যাদের আমি খুব ভালোভাবে চিনি না, যেমন সহকর্মীদের প্রতি দয়ালু হতে পেরেছি। তাছাড়া, আমি সম্প্রতি একজন পরিবেশক হিসেবে কাজ শুরু করেছি। তাছাড়া, আমি আরও বেশি বহির্মুখী হতে চেয়েছিলাম এবং অভদ্র এবং খারাপ লোকদের সাথে আমার ভয় এবং উদ্বেগ কাটিয়ে উঠতে চেয়েছিলাম একজন পরিবেশক হয়ে, যেখানে আমাকে প্রতিদিন এই ধরণের লোকদের সাথে মোকাবিলা করতে হয়। এটি ঠিক হয়ে গেছে, এবং যেহেতু আমি খুব ভালো, তাই খুব বেশি গ্রাহক আমার সাথে অভদ্র আচরণ করেননি। আমি সবসময় তাদের কাছে আমার পরিষেবা দেওয়ার সমস্যাগুলি বুঝতে পেরেছি, ইত্যাদি। কিন্তু আমার একজন সহকর্মী আছে যার সাথে, আমি তার সাথে ঠিকভাবে কিছু করতে পারি না। প্রতিবার যখন আমি ঝামেলা করি বা কোনও সমস্যা হয় (অথবা এমনকি একটি সৎ প্রশ্নও) সে আমার সাথে কথা বলে এবং আমাকে বোকা বানায়, সেই অবজ্ঞাপূর্ণ কণ্ঠে যেখানে সে প্রতিটি শব্দের উপর জোর দেয়। কখনও কখনও সে অন্যদের সাথেও আমার সম্পর্কে কথা বলে। এটাও সাহায্য করে না যে সে স্বাভাবিকভাবেই খুব বহির্মুখী এবং আত্মবিশ্বাসী ব্যক্তি, যা আমি সবসময় হতে চেয়েছি। আমি জানি যে কোনও সাধারণ মানুষ এটাকে কাটিয়ে উঠবে, অথবা শুধু বলবে ওকে চুদো, আমি ঠিক আছি এবং এটা ছেড়ে দেবে। কিন্তু এটা আমাকে প্রতিবার তার সাথে কাজ করার সময় বাথরুমে কাঁদতে বাধ্য করে। এটা আমার আত্মবিশ্বাস নষ্ট করে দিয়েছে এবং সত্যিই আমার আত্মসম্মানকে আরও খারাপ করে তুলেছে। এটা এমন পর্যায়ে পৌঁছেছে যে আমি আসলে সেখানে নিজেকে নিয়ে লজ্জিত হই এবং প্রতিবার যখনই আমি কাউকে অসুবিধায় ফেলি তখনই আমাকে চোখের জল ধরে রাখতে হয়। আমার উদ্বেগ আমাকে এত দুর্বল এবং শিশুর মতো বোধ করে। যেমন আমি ছোটখাটো জিনিস এবং মিথস্ক্রিয়ায় অতিষ্ঠ হয়ে পড়ি এবং আমি সহজেই এত অনিরাপদ এবং বিরক্ত হয়ে পড়ি। যেহেতু আমি নিজেকে তার থেকে দূরে রাখতে পারি না কারণ এমন দিন আসবে যখন আমাদের একসাথে কাজ করতে হবে, আমি কীভাবে তা মোকাবেলা করব? আমি কীভাবে এটিকে আমাকে সম্পূর্ণরূপে ধ্বংস না করতে দেব? সত্যিই কষ্ট হয়, বিশেষ করে যখন সে আমার ছাড়া সবার সাথে এত ভালো আচরণ করে।</v>
      </c>
    </row>
    <row r="2649" spans="1:3" ht="15" x14ac:dyDescent="0.25">
      <c r="A2649" s="3" t="s">
        <v>2642</v>
      </c>
      <c r="B2649" s="3" t="s">
        <v>1992</v>
      </c>
      <c r="C2649" s="4" t="str">
        <f ca="1">IFERROR(__xludf.DUMMYFUNCTION("GOOGLETRANSLATE(A2649, ""auto"", ""bn"")"),"খারাপ কিছু বলার নেই কিন্তু কেউ কি উদ্বেগের কারণে পেটের সমস্যায় ভুগেন (কোষ্ঠকাঠিন্য অথবা অতিরিক্ত বাথরুম ব্যবহার) যেমন আমি বলি খারাপ কিছু না করার জন্য, কিন্তু আমি এই মুহূর্তে এই (কোষ্ঠকাঠিন্য) মোকাবেলা করছি, এবং মনে হচ্ছে যখন আমার উদ্বেগ সত্যিই তীব্র হয়ে"&amp;" ওঠে তখন অন্য কারও এই সমস্যা হয়? যদি তাই হয় তাহলে আপনি কীভাবে এটি ঠিক করবেন?")</f>
        <v>খারাপ কিছু বলার নেই কিন্তু কেউ কি উদ্বেগের কারণে পেটের সমস্যায় ভুগেন (কোষ্ঠকাঠিন্য অথবা অতিরিক্ত বাথরুম ব্যবহার) যেমন আমি বলি খারাপ কিছু না করার জন্য, কিন্তু আমি এই মুহূর্তে এই (কোষ্ঠকাঠিন্য) মোকাবেলা করছি, এবং মনে হচ্ছে যখন আমার উদ্বেগ সত্যিই তীব্র হয়ে ওঠে তখন অন্য কারও এই সমস্যা হয়? যদি তাই হয় তাহলে আপনি কীভাবে এটি ঠিক করবেন?</v>
      </c>
    </row>
    <row r="2650" spans="1:3" ht="15" x14ac:dyDescent="0.25">
      <c r="A2650" s="3" t="s">
        <v>2643</v>
      </c>
      <c r="B2650" s="3" t="s">
        <v>1992</v>
      </c>
      <c r="C2650" s="4" t="str">
        <f ca="1">IFERROR(__xludf.DUMMYFUNCTION("GOOGLETRANSLATE(A2650, ""auto"", ""bn"")"),"থেরাপিস্টের খরচ বহন করতে না পারলে কীভাবে উদ্বেগে ডুবে যাব? উদ্বেগ আবার আমাকে গ্রাস করছে। এটা আসে, যায় এবং ঢেউ তোলে - আমি ধরে নিচ্ছি কিছু বিষণ্ণতার সাথে মিশে আছে, কিন্তু আমি জানি না কী হচ্ছে। আমার জীবনে অনেক আশ্চর্যজনক ঘটনা ঘটছে, কিন্তু আমি এই তৈরি নেতিবা"&amp;"চক ঘটনা/ভয় নিয়ে চিন্তা করা থামাতে পারছি না। আর আমার প্রেমিক প্রতিদিন আমার উদ্বেগ সম্পর্কে কথা বলতে শুনে বেশ ক্লান্ত। আসলে, আমার বেশিরভাগ উদ্বেগ আমাদের সম্পর্ক থেকে আসে - কিন্তু আমি নিশ্চিত যে এটি সব আমার মাথায়। আমি 10-11 বছর বয়স থেকেই উদ্বেগে ভুগছি, ত"&amp;"াই এটি তার নয়। আমি একজন থেরাপিস্টের খরচ বহন করতে পারি না, তবে আমি খুব খারাপভাবে কামনা করি যে আমি পারতাম। যখন লোকেরা এত গুরুতর উদ্বেগে ভোগে যে বিছানা থেকে উঠতেও কষ্ট হয় তখন তারা কীভাবে তাড়াহুড়ো করে?")</f>
        <v>থেরাপিস্টের খরচ বহন করতে না পারলে কীভাবে উদ্বেগে ডুবে যাব? উদ্বেগ আবার আমাকে গ্রাস করছে। এটা আসে, যায় এবং ঢেউ তোলে - আমি ধরে নিচ্ছি কিছু বিষণ্ণতার সাথে মিশে আছে, কিন্তু আমি জানি না কী হচ্ছে। আমার জীবনে অনেক আশ্চর্যজনক ঘটনা ঘটছে, কিন্তু আমি এই তৈরি নেতিবাচক ঘটনা/ভয় নিয়ে চিন্তা করা থামাতে পারছি না। আর আমার প্রেমিক প্রতিদিন আমার উদ্বেগ সম্পর্কে কথা বলতে শুনে বেশ ক্লান্ত। আসলে, আমার বেশিরভাগ উদ্বেগ আমাদের সম্পর্ক থেকে আসে - কিন্তু আমি নিশ্চিত যে এটি সব আমার মাথায়। আমি 10-11 বছর বয়স থেকেই উদ্বেগে ভুগছি, তাই এটি তার নয়। আমি একজন থেরাপিস্টের খরচ বহন করতে পারি না, তবে আমি খুব খারাপভাবে কামনা করি যে আমি পারতাম। যখন লোকেরা এত গুরুতর উদ্বেগে ভোগে যে বিছানা থেকে উঠতেও কষ্ট হয় তখন তারা কীভাবে তাড়াহুড়ো করে?</v>
      </c>
    </row>
    <row r="2651" spans="1:3" ht="15" x14ac:dyDescent="0.25">
      <c r="A2651" s="3" t="s">
        <v>2644</v>
      </c>
      <c r="B2651" s="3" t="s">
        <v>1992</v>
      </c>
      <c r="C2651" s="4" t="str">
        <f ca="1">IFERROR(__xludf.DUMMYFUNCTION("GOOGLETRANSLATE(A2651, ""auto"", ""bn"")"),"তোমাদের মধ্যে কতজন ওষুধ খাচ্ছো এবং এটা কি তোমাদের সাহায্য করে? আমার কাছে জোলফ্ট, ক্লোনোপিন এবং প্রোপ্রানোল আছে। আমার প্রিয় হল প্রোপ্রানোল কারণ এটি মূলত অ্যাড্রেনালিনকে ব্লক করে এবং তাই উদ্বেগের শারীরিক লক্ষণগুলিকে বাধা দেয়। আর কেউ কি ওষুধ খাচ্ছো?")</f>
        <v>তোমাদের মধ্যে কতজন ওষুধ খাচ্ছো এবং এটা কি তোমাদের সাহায্য করে? আমার কাছে জোলফ্ট, ক্লোনোপিন এবং প্রোপ্রানোল আছে। আমার প্রিয় হল প্রোপ্রানোল কারণ এটি মূলত অ্যাড্রেনালিনকে ব্লক করে এবং তাই উদ্বেগের শারীরিক লক্ষণগুলিকে বাধা দেয়। আর কেউ কি ওষুধ খাচ্ছো?</v>
      </c>
    </row>
    <row r="2652" spans="1:3" ht="15" x14ac:dyDescent="0.25">
      <c r="A2652" s="3" t="s">
        <v>2645</v>
      </c>
      <c r="B2652" s="3" t="s">
        <v>1992</v>
      </c>
      <c r="C2652" s="4" t="str">
        <f ca="1">IFERROR(__xludf.DUMMYFUNCTION("GOOGLETRANSLATE(A2652, ""auto"", ""bn"")"),"আমার ঘুমের মধ্যে হাঁটার সমস্যা নিয়ে আমি কী করব জানি না (এখন আমার বয়স ১৯)। শুরুতে সব ঠিক ছিল (ঘুমের সময় আমি কিছু কথা বলছিলাম), তারপর আমি বিছানায় পা দুটো আঁকড়ে ধরে বসতে শুরু করি, কয়েক মাস পর আমি বুঝতে পারি যে ঘুমের সময় আমার হাত বা হাত পেঁচিয়ে যাওয়া"&amp;"র কারণে আমি পেশী ব্যথায় জেগে উঠেছি। কয়েক সপ্তাহ আগে আমি বুঝতে পারি যে আমি হাঁটতে শুরু করেছি এবং ঘুম থেকে ওঠা পর্যন্ত নিজেকে আঘাত করতে শুরু করেছি। আমি কখনও সাহায্য চাইনি কারণ আমি জানি না কোথা থেকে শুরু করব। আমি এমন কিছু সম্ভাব্য কারণ খুঁজে বের করার জন্য "&amp;"তাকিয়েছিলাম যা আমাকে এই পরিস্থিতিতে ফেলেছে। ২ বছর আগে আমি সত্যিই হতাশাগ্রস্ত হয়ে পড়েছিলাম, আমার ২৯ কেজি ওজন কমে গেছে এবং তারপর থেকে আমি কখনও আগের মতো ছিলাম না। আমি জানি না এর সাথে সম্পর্কিত কিনা তবে আমি চেষ্টা করতে করতে ক্লান্ত হয়ে পড়েছি এবং ব্যর্থ হ"&amp;"তে শুরু করেছি যারা জিজ্ঞাসা করেছিলেন। আমি ইতিমধ্যেই নিজেকে ব্যান্ডেজ দিয়ে বেঁধেছি এবং ঘুমের ওষুধ খেয়েছি, কিন্তু কাজ করছে না।")</f>
        <v>আমার ঘুমের মধ্যে হাঁটার সমস্যা নিয়ে আমি কী করব জানি না (এখন আমার বয়স ১৯)। শুরুতে সব ঠিক ছিল (ঘুমের সময় আমি কিছু কথা বলছিলাম), তারপর আমি বিছানায় পা দুটো আঁকড়ে ধরে বসতে শুরু করি, কয়েক মাস পর আমি বুঝতে পারি যে ঘুমের সময় আমার হাত বা হাত পেঁচিয়ে যাওয়ার কারণে আমি পেশী ব্যথায় জেগে উঠেছি। কয়েক সপ্তাহ আগে আমি বুঝতে পারি যে আমি হাঁটতে শুরু করেছি এবং ঘুম থেকে ওঠা পর্যন্ত নিজেকে আঘাত করতে শুরু করেছি। আমি কখনও সাহায্য চাইনি কারণ আমি জানি না কোথা থেকে শুরু করব। আমি এমন কিছু সম্ভাব্য কারণ খুঁজে বের করার জন্য তাকিয়েছিলাম যা আমাকে এই পরিস্থিতিতে ফেলেছে। ২ বছর আগে আমি সত্যিই হতাশাগ্রস্ত হয়ে পড়েছিলাম, আমার ২৯ কেজি ওজন কমে গেছে এবং তারপর থেকে আমি কখনও আগের মতো ছিলাম না। আমি জানি না এর সাথে সম্পর্কিত কিনা তবে আমি চেষ্টা করতে করতে ক্লান্ত হয়ে পড়েছি এবং ব্যর্থ হতে শুরু করেছি যারা জিজ্ঞাসা করেছিলেন। আমি ইতিমধ্যেই নিজেকে ব্যান্ডেজ দিয়ে বেঁধেছি এবং ঘুমের ওষুধ খেয়েছি, কিন্তু কাজ করছে না।</v>
      </c>
    </row>
    <row r="2653" spans="1:3" ht="15" x14ac:dyDescent="0.25">
      <c r="A2653" s="3" t="s">
        <v>2646</v>
      </c>
      <c r="B2653" s="3" t="s">
        <v>1992</v>
      </c>
      <c r="C2653" s="4" t="str">
        <f ca="1">IFERROR(__xludf.DUMMYFUNCTION("GOOGLETRANSLATE(A2653, ""auto"", ""bn"")"),"অতিরিক্ত চিন্তাভাবনা বন্ধ করার উপায় (খুব গুরুতর সমস্যা)। আমি মাঝে মাঝে প্রায় ৩ ঘন্টা ঘুমাতে পারি না। এটা প্রায়ই হয় কিন্তু প্রতিদিন নয়, মাঝে মাঝে দিনের বেলায় এক ঘন্টা বা তারও বেশি সময় ধরে আমার মনে দাগ কেটে যায়। আমি এটা বন্ধ করার চেষ্টা করেছিলাম কিন্তু বা"&amp;"রবার ফিরে আসি। নেতিবাচকতা এবং খারাপ চিন্তাভাবনা সম্পর্কে অনেক চিন্তা করি, যা ঘটতে পারে এবং আমার ভালো জিনিস সম্পর্কেও হতে পারে। গত রাতে আমি এতটাই মগ্ন ছিলাম যে, আমাকে জিজ্ঞাসা করা একটি প্রশ্নের উত্তর আমি মনের ভেতরে দিয়ে দিয়েছিলাম, কিন্তু আমি তা মুখ দিয়ে "&amp;"বের করতে পারিনি এবং সবসময় নীরবতা ছিল। সবচেয়ে গুরুত্বপূর্ণ, যদিও আমি আসলে প্রশ্নের উত্তর দিয়েছি। সংক্ষেপে বলতে গেলে, আমার সমস্যা হল অতিরিক্ত চিন্তাভাবনা এবং নেতিবাচকতা। আমি জানি আমি ভালো বোধ করতে পারি কারণ আমি ২ দিন খুশি থাকি এবং পরের ২ দিন হতাশাগ্রস্ত থ"&amp;"াকি। এবং এভাবেই চলতে থাকে। দয়া করে সাহায্য করুন...")</f>
        <v>অতিরিক্ত চিন্তাভাবনা বন্ধ করার উপায় (খুব গুরুতর সমস্যা)। আমি মাঝে মাঝে প্রায় ৩ ঘন্টা ঘুমাতে পারি না। এটা প্রায়ই হয় কিন্তু প্রতিদিন নয়, মাঝে মাঝে দিনের বেলায় এক ঘন্টা বা তারও বেশি সময় ধরে আমার মনে দাগ কেটে যায়। আমি এটা বন্ধ করার চেষ্টা করেছিলাম কিন্তু বারবার ফিরে আসি। নেতিবাচকতা এবং খারাপ চিন্তাভাবনা সম্পর্কে অনেক চিন্তা করি, যা ঘটতে পারে এবং আমার ভালো জিনিস সম্পর্কেও হতে পারে। গত রাতে আমি এতটাই মগ্ন ছিলাম যে, আমাকে জিজ্ঞাসা করা একটি প্রশ্নের উত্তর আমি মনের ভেতরে দিয়ে দিয়েছিলাম, কিন্তু আমি তা মুখ দিয়ে বের করতে পারিনি এবং সবসময় নীরবতা ছিল। সবচেয়ে গুরুত্বপূর্ণ, যদিও আমি আসলে প্রশ্নের উত্তর দিয়েছি। সংক্ষেপে বলতে গেলে, আমার সমস্যা হল অতিরিক্ত চিন্তাভাবনা এবং নেতিবাচকতা। আমি জানি আমি ভালো বোধ করতে পারি কারণ আমি ২ দিন খুশি থাকি এবং পরের ২ দিন হতাশাগ্রস্ত থাকি। এবং এভাবেই চলতে থাকে। দয়া করে সাহায্য করুন...</v>
      </c>
    </row>
    <row r="2654" spans="1:3" ht="15" x14ac:dyDescent="0.25">
      <c r="A2654" s="3" t="s">
        <v>2647</v>
      </c>
      <c r="B2654" s="3" t="s">
        <v>1992</v>
      </c>
      <c r="C2654" s="4" t="str">
        <f ca="1">IFERROR(__xludf.DUMMYFUNCTION("GOOGLETRANSLATE(A2654, ""auto"", ""bn"")"),"গত দুই রাত ধরে ব্যায়াম করার আগে আমার একটা উদ্বেগের আক্রমণ হচ্ছে, যদিও আমি সফলভাবে এটি করেছি। তাই ছোটবেলায় হার্টের সমস্যার ভয় পাওয়ার পর ব্যায়াম করার সময় আমার একটা অদ্ভুত ভয় আছে। আমি ধীরে ধীরে নিয়মিত ব্যায়ামের রুটিনে ফিরে এসে এটি কাটিয়ে ওঠার চেষ্ট"&amp;"া করছি যাতে আমি ওজন কমাতে পারি কারণ আমি স্থূল। আমি আমার নববর্ষের সংকল্পগুলির মধ্যে একটি হিসেবে সিদ্ধান্ত নিয়েছিলাম যে আমার এই অতিরিক্ত ওজন অনেকটাই কমাতে হবে। তাছাড়া, আমি প্রথম রাতে ২৫ মিনিট, গত রাতে ৩৫ মিনিট, এবং এখন আমি আজ রাতে ৪৫ মিনিটের জন্য সফলভাবে ব"&amp;"্যায়াম করেছি। তাছাড়া, আমি গতি বা প্রবণতা পরিবর্তন করছি না। তাছাড়া, আমি শুধু আমার ব্যায়ামের সময় বাড়ানোর চেষ্টা করছি কারণ এটাই আমার প্রয়োজন। তাহলে আজ রাতে ব্যায়াম করার জন্য আমি কেন উদ্বিগ্ন বোধ করছি???? আমি আমার উদ্বিগ্ন গাধায় এত ক্লান্ত। আমি জানি ব্য"&amp;"ায়াম আমার জন্য ভালো। তাছাড়া, আমি জানি এটা আমাকে সাহায্য করবে, কিন্তু আমার স্বাস্থ্যগত সমস্যায় ভুগছে প্রায় ১০ বছর হয়ে গেছে, এবং এখন সম্ভবত আমার একটি প্রকৃত স্বাস্থ্যগত সমস্যা হওয়ার কাছাকাছি, কারণ তখন থেকে আমার ওজন আক্ষরিক অর্থেই দ্বিগুণ হয়ে গেছে।")</f>
        <v>গত দুই রাত ধরে ব্যায়াম করার আগে আমার একটা উদ্বেগের আক্রমণ হচ্ছে, যদিও আমি সফলভাবে এটি করেছি। তাই ছোটবেলায় হার্টের সমস্যার ভয় পাওয়ার পর ব্যায়াম করার সময় আমার একটা অদ্ভুত ভয় আছে। আমি ধীরে ধীরে নিয়মিত ব্যায়ামের রুটিনে ফিরে এসে এটি কাটিয়ে ওঠার চেষ্টা করছি যাতে আমি ওজন কমাতে পারি কারণ আমি স্থূল। আমি আমার নববর্ষের সংকল্পগুলির মধ্যে একটি হিসেবে সিদ্ধান্ত নিয়েছিলাম যে আমার এই অতিরিক্ত ওজন অনেকটাই কমাতে হবে। তাছাড়া, আমি প্রথম রাতে ২৫ মিনিট, গত রাতে ৩৫ মিনিট, এবং এখন আমি আজ রাতে ৪৫ মিনিটের জন্য সফলভাবে ব্যায়াম করেছি। তাছাড়া, আমি গতি বা প্রবণতা পরিবর্তন করছি না। তাছাড়া, আমি শুধু আমার ব্যায়ামের সময় বাড়ানোর চেষ্টা করছি কারণ এটাই আমার প্রয়োজন। তাহলে আজ রাতে ব্যায়াম করার জন্য আমি কেন উদ্বিগ্ন বোধ করছি???? আমি আমার উদ্বিগ্ন গাধায় এত ক্লান্ত। আমি জানি ব্যায়াম আমার জন্য ভালো। তাছাড়া, আমি জানি এটা আমাকে সাহায্য করবে, কিন্তু আমার স্বাস্থ্যগত সমস্যায় ভুগছে প্রায় ১০ বছর হয়ে গেছে, এবং এখন সম্ভবত আমার একটি প্রকৃত স্বাস্থ্যগত সমস্যা হওয়ার কাছাকাছি, কারণ তখন থেকে আমার ওজন আক্ষরিক অর্থেই দ্বিগুণ হয়ে গেছে।</v>
      </c>
    </row>
    <row r="2655" spans="1:3" ht="15" x14ac:dyDescent="0.25">
      <c r="A2655" s="3" t="s">
        <v>2648</v>
      </c>
      <c r="B2655" s="3" t="s">
        <v>1992</v>
      </c>
      <c r="C2655" s="4" t="str">
        <f ca="1">IFERROR(__xludf.DUMMYFUNCTION("GOOGLETRANSLATE(A2655, ""auto"", ""bn"")"),"আমি আমার সবচেয়ে ভালো বন্ধুকে এড়িয়ে চলছি। আমার সবচেয়ে ভালো বন্ধু, আজীবন, এই সপ্তাহান্তে এই এলাকায় আসছে এবং আমি তার পরীক্ষা এবং ফোন এড়িয়ে চলছি। কী ব্যাপার, আমি এখন আমার নিজের বন্ধুদের মুখোমুখিও হতে পারছি না।")</f>
        <v>আমি আমার সবচেয়ে ভালো বন্ধুকে এড়িয়ে চলছি। আমার সবচেয়ে ভালো বন্ধু, আজীবন, এই সপ্তাহান্তে এই এলাকায় আসছে এবং আমি তার পরীক্ষা এবং ফোন এড়িয়ে চলছি। কী ব্যাপার, আমি এখন আমার নিজের বন্ধুদের মুখোমুখিও হতে পারছি না।</v>
      </c>
    </row>
    <row r="2656" spans="1:3" ht="15" x14ac:dyDescent="0.25">
      <c r="A2656" s="3" t="s">
        <v>2649</v>
      </c>
      <c r="B2656" s="3" t="s">
        <v>1992</v>
      </c>
      <c r="C2656" s="4" t="str">
        <f ca="1">IFERROR(__xludf.DUMMYFUNCTION("GOOGLETRANSLATE(A2656, ""auto"", ""bn"")"),"থুতনি এবং নিচের ঠোঁটের চারপাশে পেশীর টান? সম্প্রতি আমার বেশ উদ্বেগ হচ্ছে এবং আজ আমার নিচের ঠোঁটের চারপাশের পেশীগুলির একপাশে টান অনুভূত হচ্ছে, মনে হচ্ছে যেন একটু হাসি পাচ্ছে কিন্তু যখন আমি তাকাই তখন তা নয় এবং কাঁধ এবং বাহুতে হালকা জ্বালাপোড়াও হচ্ছে। হয়ত"&amp;"ো, আমার আগেও একই রকম কিছু হয়েছে কিন্তু মাঝে মাঝে যখন এই ঘটনা ঘটে তখন মনে হয় যেন আবার প্রথমবারের মতো। আর কেউ কি এগুলো বুঝতে পারছেন?")</f>
        <v>থুতনি এবং নিচের ঠোঁটের চারপাশে পেশীর টান? সম্প্রতি আমার বেশ উদ্বেগ হচ্ছে এবং আজ আমার নিচের ঠোঁটের চারপাশের পেশীগুলির একপাশে টান অনুভূত হচ্ছে, মনে হচ্ছে যেন একটু হাসি পাচ্ছে কিন্তু যখন আমি তাকাই তখন তা নয় এবং কাঁধ এবং বাহুতে হালকা জ্বালাপোড়াও হচ্ছে। হয়তো, আমার আগেও একই রকম কিছু হয়েছে কিন্তু মাঝে মাঝে যখন এই ঘটনা ঘটে তখন মনে হয় যেন আবার প্রথমবারের মতো। আর কেউ কি এগুলো বুঝতে পারছেন?</v>
      </c>
    </row>
    <row r="2657" spans="1:3" ht="15" x14ac:dyDescent="0.25">
      <c r="A2657" s="3" t="s">
        <v>2650</v>
      </c>
      <c r="B2657" s="3" t="s">
        <v>1992</v>
      </c>
      <c r="C2657" s="4" t="str">
        <f ca="1">IFERROR(__xludf.DUMMYFUNCTION("GOOGLETRANSLATE(A2657, ""auto"", ""bn"")"),"উদ্বেগ এবং প্রেমের জীবন (অথবা বরং অভাব) নিয়ে আমি খুব বেশি উদ্বেগে ভুগছি। আমার মনে হয় কলেজ থেকে শীতকালীন ছুটিতে বাড়ি আসা একজনের প্রতি আমার সামান্য অনুভূতি আছে, এবং আমরা বেশ ভালোভাবেই অনুভব করি। (আজ আমাদের উচ্চপদস্থ কর্মকর্তা তাকে বলেছিলেন যে তার সাথে অন"&amp;"্য কেউ কাজ করছে, কিন্তু সে বলল। টাম্বলউইড আমার সাথে থাকতে পারে না।) কিন্তু আমার উদ্বেগ এবং নিরাপত্তাহীনতা বাধা হয়ে দাঁড়ায় এবং আমি কল্পনাও করতে পারি না যে সে আমাকে পছন্দ করবে LMAO। আমি চাইতাম আমি বোকা না হয়ে আমার শট নিতে পারতাম LMAO। আমি তার স্ন্যাপচ্য"&amp;"াট এবং নম্বর পেতে চাইছিলাম কিন্তু এত স্পষ্ট না হয়ে কীভাবে এটি চাইব তা আমি জানতাম না LMAO। আমি তাকে ইনস্টাগ্রামে অনুসরণ করেছি কিন্তু সেখানে তাকে মেসেজ করা আমার অদ্ভুত লাগছে। আমি নিজেকে দ্বিতীয়বার অনুমান না করে আক্ষরিক অর্থে কিছুই করতে পারি না তা আমার ঘৃণ"&amp;"া করে। আমার হৃদয় ব্যথা করে আমি কেবল জীবন, সম্পর্ক এবং সমস্ত সুযোগ-সুবিধা (এবং যদি তা হয় তবে এমনকি প্রত্যাখ্যানও) অনুভব করতে সক্ষম হতে চাই তবে আমি আক্ষরিক অর্থেই এই অপ্রতিরোধ্য ভয় এবং উদ্বেগের অনুভূতি ছাড়া কিছুই করতে পারি না।")</f>
        <v>উদ্বেগ এবং প্রেমের জীবন (অথবা বরং অভাব) নিয়ে আমি খুব বেশি উদ্বেগে ভুগছি। আমার মনে হয় কলেজ থেকে শীতকালীন ছুটিতে বাড়ি আসা একজনের প্রতি আমার সামান্য অনুভূতি আছে, এবং আমরা বেশ ভালোভাবেই অনুভব করি। (আজ আমাদের উচ্চপদস্থ কর্মকর্তা তাকে বলেছিলেন যে তার সাথে অন্য কেউ কাজ করছে, কিন্তু সে বলল। টাম্বলউইড আমার সাথে থাকতে পারে না।) কিন্তু আমার উদ্বেগ এবং নিরাপত্তাহীনতা বাধা হয়ে দাঁড়ায় এবং আমি কল্পনাও করতে পারি না যে সে আমাকে পছন্দ করবে LMAO। আমি চাইতাম আমি বোকা না হয়ে আমার শট নিতে পারতাম LMAO। আমি তার স্ন্যাপচ্যাট এবং নম্বর পেতে চাইছিলাম কিন্তু এত স্পষ্ট না হয়ে কীভাবে এটি চাইব তা আমি জানতাম না LMAO। আমি তাকে ইনস্টাগ্রামে অনুসরণ করেছি কিন্তু সেখানে তাকে মেসেজ করা আমার অদ্ভুত লাগছে। আমি নিজেকে দ্বিতীয়বার অনুমান না করে আক্ষরিক অর্থে কিছুই করতে পারি না তা আমার ঘৃণা করে। আমার হৃদয় ব্যথা করে আমি কেবল জীবন, সম্পর্ক এবং সমস্ত সুযোগ-সুবিধা (এবং যদি তা হয় তবে এমনকি প্রত্যাখ্যানও) অনুভব করতে সক্ষম হতে চাই তবে আমি আক্ষরিক অর্থেই এই অপ্রতিরোধ্য ভয় এবং উদ্বেগের অনুভূতি ছাড়া কিছুই করতে পারি না।</v>
      </c>
    </row>
    <row r="2658" spans="1:3" ht="15" x14ac:dyDescent="0.25">
      <c r="A2658" s="3" t="s">
        <v>2651</v>
      </c>
      <c r="B2658" s="3" t="s">
        <v>1992</v>
      </c>
      <c r="C2658" s="4" t="str">
        <f ca="1">IFERROR(__xludf.DUMMYFUNCTION("GOOGLETRANSLATE(A2658, ""auto"", ""bn"")"),"কিভাবে একটি নির্দিষ্ট ঔষধের জন্য মনোরোগ বিশেষজ্ঞের কাছে জিজ্ঞাসা করবো? তাহলে ৩ মাস অপেক্ষার তালিকায় থাকার পর অবশেষে আমি আমার মনোরোগ বিশেষজ্ঞের কাছে যেতে পারছি। আমার জেনারেল প্র্যাকটিশনার আমাকে জোলফ্ট এবং ওয়েলবুট্রিন লিখে দেওয়ার পর থেকে আমি ৩ মাস ধরে জোল"&amp;"ফ্ট এবং ওয়েলবুট্রিন খাচ্ছি। আমার উদ্বেগ এবং প্যানিক অ্যাটাকের জন্য আমি কিছু চেয়েছিলাম। তাছাড়া, আমার জিএডি এবং প্যানিক ডিসঅর্ডার আছে। একমাত্র ওষুধ যা কখনও সাহায্য করেছে এবং আমাকে আবর্জনার মতো অনুভব করেনি তা হল ক্লোনোপিন। আমি ৩ বছর ধরে .৫ মিলিগ্রাম খেয়েছ"&amp;"ি এবং কখনও আসক্ত হইনি। কয়েকবারই নিজেকে সহজেই ছাড়তে পেরেছি। আমি তার কাছে এগুলো চাইতে চাই, কিন্তু কীভাবে আমি এটা করবো যেন আমার বেঞ্জের সমস্যা আছে বলে মনে না হয়?")</f>
        <v>কিভাবে একটি নির্দিষ্ট ঔষধের জন্য মনোরোগ বিশেষজ্ঞের কাছে জিজ্ঞাসা করবো? তাহলে ৩ মাস অপেক্ষার তালিকায় থাকার পর অবশেষে আমি আমার মনোরোগ বিশেষজ্ঞের কাছে যেতে পারছি। আমার জেনারেল প্র্যাকটিশনার আমাকে জোলফ্ট এবং ওয়েলবুট্রিন লিখে দেওয়ার পর থেকে আমি ৩ মাস ধরে জোলফ্ট এবং ওয়েলবুট্রিন খাচ্ছি। আমার উদ্বেগ এবং প্যানিক অ্যাটাকের জন্য আমি কিছু চেয়েছিলাম। তাছাড়া, আমার জিএডি এবং প্যানিক ডিসঅর্ডার আছে। একমাত্র ওষুধ যা কখনও সাহায্য করেছে এবং আমাকে আবর্জনার মতো অনুভব করেনি তা হল ক্লোনোপিন। আমি ৩ বছর ধরে .৫ মিলিগ্রাম খেয়েছি এবং কখনও আসক্ত হইনি। কয়েকবারই নিজেকে সহজেই ছাড়তে পেরেছি। আমি তার কাছে এগুলো চাইতে চাই, কিন্তু কীভাবে আমি এটা করবো যেন আমার বেঞ্জের সমস্যা আছে বলে মনে না হয়?</v>
      </c>
    </row>
    <row r="2659" spans="1:3" ht="15" x14ac:dyDescent="0.25">
      <c r="A2659" s="3" t="s">
        <v>2652</v>
      </c>
      <c r="B2659" s="3" t="s">
        <v>1992</v>
      </c>
      <c r="C2659" s="4" t="str">
        <f ca="1">IFERROR(__xludf.DUMMYFUNCTION("GOOGLETRANSLATE(A2659, ""auto"", ""bn"")"),"আমার বিদেশী চাচাতো ভাইবোনেরা আমার ফোন ঘেঁটে আমার বার্তাগুলি পড়েছিল। সম্প্রতি আমি প্রথমবার দেশের বাইরে বেড়াতে গিয়েছিলাম এবং প্রচুর ছবি তুলেছিলাম। রাজ্যের অন্য একটি অংশে বাবার সাথে দেখা করার আগে আমাকে কিছুক্ষণের জন্য কয়েকজন চাচাতো ভাইবোনের সাথে থাকতে হয"&amp;"়েছিল। আমি তাদের তোলা ছবিগুলি দেখার জন্য আমার ফোন ব্যবহার করতে দিয়েছিলাম, কিন্তু জানতে পেরেছিলাম যে তারা কেবল আমার সমস্ত ছবিই দেখছে না, আমার মা এবং এক বন্ধুকে আমার বার্তাগুলিও পড়ে শোনাচ্ছে যার মধ্যে অত্যন্ত ব্যক্তিগত তথ্য ছিল। তাছাড়া, আমি প্রথমে খেয়াল "&amp;"করিনি কারণ আমি ধরে নিয়েছিলাম যে তারা কেবল ফোনের দিকেই তাকিয়ে আছে, তাহলে আমি কেন স্বয়ংক্রিয়ভাবে ধরে নেব যে কেউ কারও বার্তাগুলি দেখবে? তাছাড়া, আমার কিছু অ্যাপ পাসওয়ার্ড সুরক্ষিত আছে কিন্তু সবগুলো নয় কারণ এটি কেবল বিরক্তিকর হবে। বার্তাগুলির তথ্য অত্যন্"&amp;"ত আপোষজনক এবং জীবন ধ্বংসকারী ছিল এবং আমার মনে হচ্ছে আমি সম্পূর্ণরূপে বিভ্রান্ত। আমি নিশ্চিত নই কী করব। আমি নিশ্চিত নই কেন কেউ অন্য কারও বার্তাগুলি দেখবে। এটা অবিশ্বাস্যরকম হতাশাজনক কারণ অ্যাপ লকের মতো একটি সাধারণ অ্যাপ আমার এই ভ্রমণের স্মৃতি সংরক্ষণ করতে "&amp;"পারত, কিন্তু এখন আমি আর ফিরে যেতে চাই না।")</f>
        <v>আমার বিদেশী চাচাতো ভাইবোনেরা আমার ফোন ঘেঁটে আমার বার্তাগুলি পড়েছিল। সম্প্রতি আমি প্রথমবার দেশের বাইরে বেড়াতে গিয়েছিলাম এবং প্রচুর ছবি তুলেছিলাম। রাজ্যের অন্য একটি অংশে বাবার সাথে দেখা করার আগে আমাকে কিছুক্ষণের জন্য কয়েকজন চাচাতো ভাইবোনের সাথে থাকতে হয়েছিল। আমি তাদের তোলা ছবিগুলি দেখার জন্য আমার ফোন ব্যবহার করতে দিয়েছিলাম, কিন্তু জানতে পেরেছিলাম যে তারা কেবল আমার সমস্ত ছবিই দেখছে না, আমার মা এবং এক বন্ধুকে আমার বার্তাগুলিও পড়ে শোনাচ্ছে যার মধ্যে অত্যন্ত ব্যক্তিগত তথ্য ছিল। তাছাড়া, আমি প্রথমে খেয়াল করিনি কারণ আমি ধরে নিয়েছিলাম যে তারা কেবল ফোনের দিকেই তাকিয়ে আছে, তাহলে আমি কেন স্বয়ংক্রিয়ভাবে ধরে নেব যে কেউ কারও বার্তাগুলি দেখবে? তাছাড়া, আমার কিছু অ্যাপ পাসওয়ার্ড সুরক্ষিত আছে কিন্তু সবগুলো নয় কারণ এটি কেবল বিরক্তিকর হবে। বার্তাগুলির তথ্য অত্যন্ত আপোষজনক এবং জীবন ধ্বংসকারী ছিল এবং আমার মনে হচ্ছে আমি সম্পূর্ণরূপে বিভ্রান্ত। আমি নিশ্চিত নই কী করব। আমি নিশ্চিত নই কেন কেউ অন্য কারও বার্তাগুলি দেখবে। এটা অবিশ্বাস্যরকম হতাশাজনক কারণ অ্যাপ লকের মতো একটি সাধারণ অ্যাপ আমার এই ভ্রমণের স্মৃতি সংরক্ষণ করতে পারত, কিন্তু এখন আমি আর ফিরে যেতে চাই না।</v>
      </c>
    </row>
    <row r="2660" spans="1:3" ht="15" x14ac:dyDescent="0.25">
      <c r="A2660" s="3" t="s">
        <v>2653</v>
      </c>
      <c r="B2660" s="3" t="s">
        <v>1992</v>
      </c>
      <c r="C2660" s="4" t="str">
        <f ca="1">IFERROR(__xludf.DUMMYFUNCTION("GOOGLETRANSLATE(A2660, ""auto"", ""bn"")"),"সহানুভূতিশীল উদ্বেগ? আমি যাকে খুব ভালোবাসি, সে তীব্র উদ্বেগের সাথে মোকাবিলা করছে এবং আমার সাথে যোগাযোগ বিচ্ছিন্ন করে দিচ্ছে। সাহায্য করার এবং শোনার আমার প্রচেষ্টা ব্যর্থ হওয়ার পর, আমি ক্রমাগত ভয়ের অনুভূতি অনুভব করি। আমার বুক শক্ত হয়ে যায়, আমার পেট খার"&amp;"াপ হয়, আমার গলা টানটান হয়ে যায়, এবং আমি ঘড়ির দিকে তাকাই এই আশায় যে সময় দ্রুত থেকে দ্রুত চলে যায়। সামাজিক পরিস্থিতিতে না থাকলে আমি সাধারণত উদ্বেগ অনুভব করি না। কিন্তু আমি যখন একা থাকি তখনও এটি অবিরাম থাকে। আমার কি কেবল সহানুভূতিশীল প্যানিক অ্যাটাক হ"&amp;"চ্ছে? এটা কি একটা ব্যাপার?")</f>
        <v>সহানুভূতিশীল উদ্বেগ? আমি যাকে খুব ভালোবাসি, সে তীব্র উদ্বেগের সাথে মোকাবিলা করছে এবং আমার সাথে যোগাযোগ বিচ্ছিন্ন করে দিচ্ছে। সাহায্য করার এবং শোনার আমার প্রচেষ্টা ব্যর্থ হওয়ার পর, আমি ক্রমাগত ভয়ের অনুভূতি অনুভব করি। আমার বুক শক্ত হয়ে যায়, আমার পেট খারাপ হয়, আমার গলা টানটান হয়ে যায়, এবং আমি ঘড়ির দিকে তাকাই এই আশায় যে সময় দ্রুত থেকে দ্রুত চলে যায়। সামাজিক পরিস্থিতিতে না থাকলে আমি সাধারণত উদ্বেগ অনুভব করি না। কিন্তু আমি যখন একা থাকি তখনও এটি অবিরাম থাকে। আমার কি কেবল সহানুভূতিশীল প্যানিক অ্যাটাক হচ্ছে? এটা কি একটা ব্যাপার?</v>
      </c>
    </row>
    <row r="2661" spans="1:3" ht="15" x14ac:dyDescent="0.25">
      <c r="A2661" s="3" t="s">
        <v>2654</v>
      </c>
      <c r="B2661" s="3" t="s">
        <v>1992</v>
      </c>
      <c r="C2661" s="4" t="str">
        <f ca="1">IFERROR(__xludf.DUMMYFUNCTION("GOOGLETRANSLATE(A2661, ""auto"", ""bn"")"),"পৃথিবীতে নরক, হ্যালো (f18)। আমার সবসময়ই উদ্বেগ ছিল, কিন্তু গত তিন সপ্তাহ আমার জন্য নরক হয়ে আছে। কেউ বুঝতে পারছে কিনা তা দেখার জন্য আমি এই Subreddit-এর সাথে যোগাযোগ করছি। আমার মনে হচ্ছে আমি পাগল হয়ে যাচ্ছি। প্রায় তিন সপ্তাহ আগে আমি প্রথমবারের মতো একটি "&amp;"খাবার খেয়েছিলাম (হ্যাঁ, আমি জানি এটি করা বুদ্ধিমানের কাজ নয়) প্রথমবারের মতো এই ধরণের কিছু চেষ্টা করার সময়। যাই হোক, আমার এই প্যানিক অ্যাটাক হয়েছিল যেখানে আমি আমার জীবনের অভিজ্ঞতা আমার চোখের সামনে ভেসে উঠতে দেখেছি (সত্যিই। আমি জীবনে যা ঘটেছিল তার সবকিছ"&amp;"ুর স্বপ্ন দেখেছি) কয়েক ঘন্টা স্থায়ী হয়েছিল। আমি ভয় পেয়েছিলাম যে আমি কখনও এরকম কিছু অনুভব করিনি। আমার মাঝে মাঝে প্যানিক অ্যাটাক হয়েছিল, কিন্তু এটি অন্য কিছু ছিল। যাই হোক, সেই দিন থেকে আমি যখনই খাই তখন অসুস্থ বোধ করছি (আমি আর খেতে পারছি না) আমি নিজেকে"&amp;" অনুভব করছি না, আমি যখনই হাঁটি তখনই মাথা ঘোরাচ্ছি, আমার 24/7 ক্রমাগত ঝাপসা দৃষ্টি ছিল (পূর্বে কোনও দৃষ্টি সমস্যা হয়নি) ক্রমাগত মাথাব্যথা এবং আমার ঘাড়ে চাপ, সর্বত্র সামগ্রিক ব্যথা। বন্ধুরা, নাটকীয় হতে চাই না, কিন্তু আমার মনে হচ্ছে আমি মারা যাচ্ছি, আমি বু"&amp;"ঝতে পেরেছি এটা ব্যক্তিগত বিকৃতি হতে পারে এবং আমি এখনও এটা পুরোপুরি বুঝতে পারছি না। আমি আর এটা করতে পারছি না, আসলে আমি পারছি না। আমি একদিন আমার বয়ফ্রেন্ডের সাথে একটা পরিবার করতে চাই। তাছাড়া, আমি কলেজে যেতে চাই এবং একদিন আমার পছন্দের ক্ষেত্রে কাজ করতে চাই।"&amp;" আমার মনে হচ্ছে এটা আমার জীবন নষ্ট করে দিয়েছে। সত্যিই নাটকীয় হতে চাই না, কিন্তু আমার মনে হচ্ছে আমার জীবন শেষ। যদি তোমাদের কেউ কখনও এরকম কিছু অনুভব করে থাকো, তাহলে দয়া করে মন্তব্য করো অথবা আমাকে মেসেজ করো। আর আমি ডাক্তারের কাছে গিয়ে ব্যাখ্যা করেছি যে তা"&amp;"রা বলেছে আমার কিছুই হচ্ছে না। হা হা, আমাকে আরও বেশি পাগল করে তুলেছে, যেমনটা?? আর আমার একজন মনোরোগ বিশেষজ্ঞের সাথে অ্যাপয়েন্টমেন্ট আছে। কিন্তু সত্যি বলতে, কি অবস্থা ভালো হবে? দুঃখিত, এত দীর্ঘ সময় ধরে!!!")</f>
        <v>পৃথিবীতে নরক, হ্যালো (f18)। আমার সবসময়ই উদ্বেগ ছিল, কিন্তু গত তিন সপ্তাহ আমার জন্য নরক হয়ে আছে। কেউ বুঝতে পারছে কিনা তা দেখার জন্য আমি এই Subreddit-এর সাথে যোগাযোগ করছি। আমার মনে হচ্ছে আমি পাগল হয়ে যাচ্ছি। প্রায় তিন সপ্তাহ আগে আমি প্রথমবারের মতো একটি খাবার খেয়েছিলাম (হ্যাঁ, আমি জানি এটি করা বুদ্ধিমানের কাজ নয়) প্রথমবারের মতো এই ধরণের কিছু চেষ্টা করার সময়। যাই হোক, আমার এই প্যানিক অ্যাটাক হয়েছিল যেখানে আমি আমার জীবনের অভিজ্ঞতা আমার চোখের সামনে ভেসে উঠতে দেখেছি (সত্যিই। আমি জীবনে যা ঘটেছিল তার সবকিছুর স্বপ্ন দেখেছি) কয়েক ঘন্টা স্থায়ী হয়েছিল। আমি ভয় পেয়েছিলাম যে আমি কখনও এরকম কিছু অনুভব করিনি। আমার মাঝে মাঝে প্যানিক অ্যাটাক হয়েছিল, কিন্তু এটি অন্য কিছু ছিল। যাই হোক, সেই দিন থেকে আমি যখনই খাই তখন অসুস্থ বোধ করছি (আমি আর খেতে পারছি না) আমি নিজেকে অনুভব করছি না, আমি যখনই হাঁটি তখনই মাথা ঘোরাচ্ছি, আমার 24/7 ক্রমাগত ঝাপসা দৃষ্টি ছিল (পূর্বে কোনও দৃষ্টি সমস্যা হয়নি) ক্রমাগত মাথাব্যথা এবং আমার ঘাড়ে চাপ, সর্বত্র সামগ্রিক ব্যথা। বন্ধুরা, নাটকীয় হতে চাই না, কিন্তু আমার মনে হচ্ছে আমি মারা যাচ্ছি, আমি বুঝতে পেরেছি এটা ব্যক্তিগত বিকৃতি হতে পারে এবং আমি এখনও এটা পুরোপুরি বুঝতে পারছি না। আমি আর এটা করতে পারছি না, আসলে আমি পারছি না। আমি একদিন আমার বয়ফ্রেন্ডের সাথে একটা পরিবার করতে চাই। তাছাড়া, আমি কলেজে যেতে চাই এবং একদিন আমার পছন্দের ক্ষেত্রে কাজ করতে চাই। আমার মনে হচ্ছে এটা আমার জীবন নষ্ট করে দিয়েছে। সত্যিই নাটকীয় হতে চাই না, কিন্তু আমার মনে হচ্ছে আমার জীবন শেষ। যদি তোমাদের কেউ কখনও এরকম কিছু অনুভব করে থাকো, তাহলে দয়া করে মন্তব্য করো অথবা আমাকে মেসেজ করো। আর আমি ডাক্তারের কাছে গিয়ে ব্যাখ্যা করেছি যে তারা বলেছে আমার কিছুই হচ্ছে না। হা হা, আমাকে আরও বেশি পাগল করে তুলেছে, যেমনটা?? আর আমার একজন মনোরোগ বিশেষজ্ঞের সাথে অ্যাপয়েন্টমেন্ট আছে। কিন্তু সত্যি বলতে, কি অবস্থা ভালো হবে? দুঃখিত, এত দীর্ঘ সময় ধরে!!!</v>
      </c>
    </row>
    <row r="2662" spans="1:3" ht="15" x14ac:dyDescent="0.25">
      <c r="A2662" s="3" t="s">
        <v>2655</v>
      </c>
      <c r="B2662" s="3" t="s">
        <v>1992</v>
      </c>
      <c r="C2662" s="4" t="str">
        <f ca="1">IFERROR(__xludf.DUMMYFUNCTION("GOOGLETRANSLATE(A2662, ""auto"", ""bn"")"),"""অযৌক্তিক"" উদ্বেগের লজ্জায় আর কেউ ভুগছেন? হে রেডিট, সম্প্রতি আমার উদ্বেগ আরও খারাপ হচ্ছে। আজ দিনটি খুব খারাপ ছিল। আমি সাবরেডিটে অনেক কিছু পড়েছি যা আমাকে উদ্বেগের জন্য একটু বেশি ""স্বাভাবিক"" বোধ করতে সাহায্য করেছে। আমি যে জিনিসগুলির সাথে সম্পর্কিত হতে "&amp;"পারি তা পড়তে সত্যিই ভালো লাগছে। আমার মানসিক অসুস্থতার একটি দিক যা আমি সত্যিই উল্লেখ করতে দেখিনি তা সম্প্রতি আমাকে খুব বিরক্ত করছে। উদ্বেগ এবং মানসিক অসুস্থতায় আক্রান্ত অনেক লোকেরই কিছু নির্দিষ্ট আঘাত রয়েছে যা এর কারণ হয়ে দাঁড়িয়েছে। আমার এক ভালো বন্ধ"&amp;"ু যার সাথে আমি উদ্বেগের বিষয়ে কথা বলি, ছোটবেলায় তাকে যৌন নির্যাতন করা হয়েছিল। আমার আরেক বন্ধুর ৮ বছর বয়সে তার বাবা আত্মহত্যা করেছিলেন। আজই আমি এখানে একটি পোস্ট পড়লাম যেখানে একজন লোকের উদ্বেগ ছিল যার শুরু হয়েছিল তার সবচেয়ে ভালো বন্ধু তার পরিবারকে হত"&amp;"্যা করার পর। উদ্বিগ্ন অনেক মানুষ একাকী। ইত্যাদি। তালিকাটি আরও দীর্ঘ। আমার অতীতে আমার খুব কম ""ট্রমা"" আছে - যদি আপনি এটিকে বলতে পারেন। আমার একটি স্বাভাবিক জীবন আছে। একটি ভালো জীবন, এমনকি। কৃতজ্ঞ থাকার জন্য লক্ষ লক্ষ জিনিস। সর্বোপরি, আমার একজন অসাধারণ প্রে"&amp;"মময় এবং সহায়ক স্ত্রী আছে যে উদ্বেগের সাথে লড়াই করতে আমার যথাসাধ্য সাহায্য করে। যখন আমার উদ্বেগ বেড়ে যায়, তখন আমি আমার জীবনের সমস্ত দুর্দান্ত জিনিসগুলি না দেখে থাকতে পারি না এবং মানসিক অসুস্থতার সাথে লড়াই করার জন্য এক চরম লজ্জা অনুভব করি। আমার উদযাপন"&amp;" করার মতো এত কিছু থাকা সত্ত্বেও আমি কেন উদ্বিগ্ন এবং হতাশ হব? আমার থেরাপিস্ট সর্বদা আমাকে ""আমার এইভাবে অনুভব করা উচিত নয়"" এর মতো কথা বলতে দেখেন এবং আমাকে বলেন যে আমার এটি বন্ধ করা উচিত। কিন্তু এটা সত্যিই কঠিন। উদ্বেগে আক্রান্ত অন্যদের সাথে সম্পর্ক স্থা"&amp;"পন করার চেষ্টা করার সময়, আমি ইমপোস্টার সিনড্রোমে আক্রান্ত হতে শুরু করি কারণ আমি বুঝতে পারি কেন তাদের উদ্বেগ রয়েছে। এটা যুক্তিসঙ্গত। কিন্তু যখন আমি নিজের জীবনের দিকে তাকাই, তখন আমার কাছে এটি অর্থহীন। আমার মনে হয় আমি উদ্বেগের সাথে লড়াই করার অধিকার ""অর্"&amp;"জন"" করিনি। এটি সর্বদা এই ভয়াবহ লজ্জার চক্রে পরিণত হয় যেখানে আমি নিজেকে সমালোচনা করি যে আমি আমার কাছে থাকা ভালো জিনিসগুলির জন্য আরও সুখী বা কৃতজ্ঞ নই। অন্য কেউ কি এর সাথে সম্পর্কিত হতে পারে? এই অনুভূতিগুলি মোকাবেলা করার জন্য কোন টিপস?")</f>
        <v>"অযৌক্তিক" উদ্বেগের লজ্জায় আর কেউ ভুগছেন? হে রেডিট, সম্প্রতি আমার উদ্বেগ আরও খারাপ হচ্ছে। আজ দিনটি খুব খারাপ ছিল। আমি সাবরেডিটে অনেক কিছু পড়েছি যা আমাকে উদ্বেগের জন্য একটু বেশি "স্বাভাবিক" বোধ করতে সাহায্য করেছে। আমি যে জিনিসগুলির সাথে সম্পর্কিত হতে পারি তা পড়তে সত্যিই ভালো লাগছে। আমার মানসিক অসুস্থতার একটি দিক যা আমি সত্যিই উল্লেখ করতে দেখিনি তা সম্প্রতি আমাকে খুব বিরক্ত করছে। উদ্বেগ এবং মানসিক অসুস্থতায় আক্রান্ত অনেক লোকেরই কিছু নির্দিষ্ট আঘাত রয়েছে যা এর কারণ হয়ে দাঁড়িয়েছে। আমার এক ভালো বন্ধু যার সাথে আমি উদ্বেগের বিষয়ে কথা বলি, ছোটবেলায় তাকে যৌন নির্যাতন করা হয়েছিল। আমার আরেক বন্ধুর ৮ বছর বয়সে তার বাবা আত্মহত্যা করেছিলেন। আজই আমি এখানে একটি পোস্ট পড়লাম যেখানে একজন লোকের উদ্বেগ ছিল যার শুরু হয়েছিল তার সবচেয়ে ভালো বন্ধু তার পরিবারকে হত্যা করার পর। উদ্বিগ্ন অনেক মানুষ একাকী। ইত্যাদি। তালিকাটি আরও দীর্ঘ। আমার অতীতে আমার খুব কম "ট্রমা" আছে - যদি আপনি এটিকে বলতে পারেন। আমার একটি স্বাভাবিক জীবন আছে। একটি ভালো জীবন, এমনকি। কৃতজ্ঞ থাকার জন্য লক্ষ লক্ষ জিনিস। সর্বোপরি, আমার একজন অসাধারণ প্রেমময় এবং সহায়ক স্ত্রী আছে যে উদ্বেগের সাথে লড়াই করতে আমার যথাসাধ্য সাহায্য করে। যখন আমার উদ্বেগ বেড়ে যায়, তখন আমি আমার জীবনের সমস্ত দুর্দান্ত জিনিসগুলি না দেখে থাকতে পারি না এবং মানসিক অসুস্থতার সাথে লড়াই করার জন্য এক চরম লজ্জা অনুভব করি। আমার উদযাপন করার মতো এত কিছু থাকা সত্ত্বেও আমি কেন উদ্বিগ্ন এবং হতাশ হব? আমার থেরাপিস্ট সর্বদা আমাকে "আমার এইভাবে অনুভব করা উচিত নয়" এর মতো কথা বলতে দেখেন এবং আমাকে বলেন যে আমার এটি বন্ধ করা উচিত। কিন্তু এটা সত্যিই কঠিন। উদ্বেগে আক্রান্ত অন্যদের সাথে সম্পর্ক স্থাপন করার চেষ্টা করার সময়, আমি ইমপোস্টার সিনড্রোমে আক্রান্ত হতে শুরু করি কারণ আমি বুঝতে পারি কেন তাদের উদ্বেগ রয়েছে। এটা যুক্তিসঙ্গত। কিন্তু যখন আমি নিজের জীবনের দিকে তাকাই, তখন আমার কাছে এটি অর্থহীন। আমার মনে হয় আমি উদ্বেগের সাথে লড়াই করার অধিকার "অর্জন" করিনি। এটি সর্বদা এই ভয়াবহ লজ্জার চক্রে পরিণত হয় যেখানে আমি নিজেকে সমালোচনা করি যে আমি আমার কাছে থাকা ভালো জিনিসগুলির জন্য আরও সুখী বা কৃতজ্ঞ নই। অন্য কেউ কি এর সাথে সম্পর্কিত হতে পারে? এই অনুভূতিগুলি মোকাবেলা করার জন্য কোন টিপস?</v>
      </c>
    </row>
    <row r="2663" spans="1:3" ht="15" x14ac:dyDescent="0.25">
      <c r="A2663" s="3" t="s">
        <v>2656</v>
      </c>
      <c r="B2663" s="3" t="s">
        <v>1992</v>
      </c>
      <c r="C2663" s="4" t="str">
        <f ca="1">IFERROR(__xludf.DUMMYFUNCTION("GOOGLETRANSLATE(A2663, ""auto"", ""bn"")"),"বাবার পুনর্বিবাহ নিয়ে উদ্বেগ, এই থ্রেডে প্রথমবারের মতো পোস্টার। খুব বেশি প্রতিক্রিয়া আশা করছি না, শুধু আমার উদ্বেগের চক্র থেকে বেরিয়ে এসে একটি নিরাপদ সম্প্রদায়ের সাথে শেয়ার করতে হবে। আমার বাবা-মায়ের বিচ্ছেদ হয়েছে ২০ বছর ধরে এবং আমার বাবা মার্চ মাসে"&amp;" পুনরায় বিয়ে করছেন। এটি ছিল সত্যিই কঠিন, ঘৃণ্য বিচ্ছেদ এবং তারপর থেকে আমার পরিবারে খুব বেশি ভালোবাসা ছিল না। আমি চরম উদ্বেগ এবং হতাশা নিয়ে বড় হয়েছি যা আমার পারিবারিক পরিস্থিতির দ্বারা আরও খারাপ হয়েছিল। আমি আমার বাবার জন্য খুশি, তার বাগদত্তা ইতিমধ্যে"&amp;"ই আমার কাছে পরিবারের মতো, কিন্তু বিয়ে নিয়ে আমার অনেক উদ্বেগ, বিশেষ করে পুনর্বিবাহ নিয়ে। তাছাড়া, আমি সবসময় মনে মনে ভাবতাম যে, যদিও আমার বাবা-মায়ের বিবাহবিচ্ছেদ হয়েছিল, অন্তত তারা পুনর্বিবাহ করছেন না। পারিবারিক গতিশীলতা আরও বেশি পরিবর্তন করা, এমনভাবে "&amp;"যে আমার নিয়ন্ত্রণ নেই, আমাকে আতঙ্কিত করে। আমার বাবা তার তৎকালীন বান্ধবীকে প্রস্তাব দেওয়ার বিষয়ে আমার বা আমার বোনের সাথে কথা বলেননি তা কোনও লাভ করে না। পুরো পরিস্থিতি নিয়ে আমার অনেক আবেগ এবং চাপ রয়েছে। আমি অন্তত ভেবেছিলাম যে আমি বিয়েতে কাউকে আনতে পার"&amp;"ব, একরকম বাফার, যাতে আমি উদ্বেগ বা বিচ্ছিন্নতা এবং দুঃখের অনুভূতিতে অভিভূত না হই। কিন্তু আমি এখনই জানতে পারলাম যে আমি কাউকে আমার সাথে আনতে পারব না। যদিও আমার বোনকে তার প্রেমিককে আনতে দেওয়া হয়েছিল এবং আমার চাচাতো ভাইবোনেরা সঙ্গিনীকে নিয়ে আসছে, আমি প্লাস"&amp;" ওয়ান পাইনি। আমি সত্যিই ভয় পাচ্ছি। আমি জানি এই বিয়ের জন্য প্রস্তুতি নেওয়ার জন্য আমার সময় আছে, কিন্তু আমি এতটাই ভীত যে আমি আমার বাবার বিয়ে সম্পূর্ণরূপে ভেঙে না ফেলে অনুষ্ঠান, পার্টি, বক্তৃতা বা টোস্ট শেষ করতে পারব না। তাছাড়া, আমি কোনও দৃশ্য তৈরি করত"&amp;"ে চাই না এবং আমার বাবা এবং তার বাগদত্তাকে পুরো টেবিল সেটিং পরিবর্তন করতে বলি যাতে আমি কাউকে আনতে পারি। তারা আমার মানসিক স্বাস্থ্যের চাহিদা বোঝে না এবং আমি মনে করি না যে তারা আমার বাফারের প্রয়োজনে গ্রহণযোগ্য হবে। আমি এটিকে এমন কিছু হিসাবে মনে রাখতে চাই না"&amp;" যার জন্য আমি যথেষ্ট শক্তিশালী ছিলাম না বা এটিকে আমার জীবনের সবচেয়ে চাপের দিনগুলির মধ্যে একটি হিসাবে মনে রাখতে চাই না। দুই সপ্তাহের মধ্যে আমি আমার থেরাপিস্টের সাথে দেখা করবো, কিন্তু এর মধ্যে, আমি সেই সময় এই চিন্তাভাবনাগুলিতে মগ্ন থাকতে চাই না। পারিবারিক"&amp;" ঘটনাগুলির সাথে মোকাবিলা করার অভিজ্ঞতা যদি কারো থাকে, তাহলে যেকোনো সহায়তার জন্য কৃতজ্ঞ। আমাকে শেয়ার করার সুযোগ দেওয়ার জন্য ধন্যবাদ। আমি আনন্দিত যে এমন একটি জায়গা আছে যেখানে আমি যেতে পারি এবং খুঁজে পেতে পারি যে আমি একা নই।")</f>
        <v>বাবার পুনর্বিবাহ নিয়ে উদ্বেগ, এই থ্রেডে প্রথমবারের মতো পোস্টার। খুব বেশি প্রতিক্রিয়া আশা করছি না, শুধু আমার উদ্বেগের চক্র থেকে বেরিয়ে এসে একটি নিরাপদ সম্প্রদায়ের সাথে শেয়ার করতে হবে। আমার বাবা-মায়ের বিচ্ছেদ হয়েছে ২০ বছর ধরে এবং আমার বাবা মার্চ মাসে পুনরায় বিয়ে করছেন। এটি ছিল সত্যিই কঠিন, ঘৃণ্য বিচ্ছেদ এবং তারপর থেকে আমার পরিবারে খুব বেশি ভালোবাসা ছিল না। আমি চরম উদ্বেগ এবং হতাশা নিয়ে বড় হয়েছি যা আমার পারিবারিক পরিস্থিতির দ্বারা আরও খারাপ হয়েছিল। আমি আমার বাবার জন্য খুশি, তার বাগদত্তা ইতিমধ্যেই আমার কাছে পরিবারের মতো, কিন্তু বিয়ে নিয়ে আমার অনেক উদ্বেগ, বিশেষ করে পুনর্বিবাহ নিয়ে। তাছাড়া, আমি সবসময় মনে মনে ভাবতাম যে, যদিও আমার বাবা-মায়ের বিবাহবিচ্ছেদ হয়েছিল, অন্তত তারা পুনর্বিবাহ করছেন না। পারিবারিক গতিশীলতা আরও বেশি পরিবর্তন করা, এমনভাবে যে আমার নিয়ন্ত্রণ নেই, আমাকে আতঙ্কিত করে। আমার বাবা তার তৎকালীন বান্ধবীকে প্রস্তাব দেওয়ার বিষয়ে আমার বা আমার বোনের সাথে কথা বলেননি তা কোনও লাভ করে না। পুরো পরিস্থিতি নিয়ে আমার অনেক আবেগ এবং চাপ রয়েছে। আমি অন্তত ভেবেছিলাম যে আমি বিয়েতে কাউকে আনতে পারব, একরকম বাফার, যাতে আমি উদ্বেগ বা বিচ্ছিন্নতা এবং দুঃখের অনুভূতিতে অভিভূত না হই। কিন্তু আমি এখনই জানতে পারলাম যে আমি কাউকে আমার সাথে আনতে পারব না। যদিও আমার বোনকে তার প্রেমিককে আনতে দেওয়া হয়েছিল এবং আমার চাচাতো ভাইবোনেরা সঙ্গিনীকে নিয়ে আসছে, আমি প্লাস ওয়ান পাইনি। আমি সত্যিই ভয় পাচ্ছি। আমি জানি এই বিয়ের জন্য প্রস্তুতি নেওয়ার জন্য আমার সময় আছে, কিন্তু আমি এতটাই ভীত যে আমি আমার বাবার বিয়ে সম্পূর্ণরূপে ভেঙে না ফেলে অনুষ্ঠান, পার্টি, বক্তৃতা বা টোস্ট শেষ করতে পারব না। তাছাড়া, আমি কোনও দৃশ্য তৈরি করতে চাই না এবং আমার বাবা এবং তার বাগদত্তাকে পুরো টেবিল সেটিং পরিবর্তন করতে বলি যাতে আমি কাউকে আনতে পারি। তারা আমার মানসিক স্বাস্থ্যের চাহিদা বোঝে না এবং আমি মনে করি না যে তারা আমার বাফারের প্রয়োজনে গ্রহণযোগ্য হবে। আমি এটিকে এমন কিছু হিসাবে মনে রাখতে চাই না যার জন্য আমি যথেষ্ট শক্তিশালী ছিলাম না বা এটিকে আমার জীবনের সবচেয়ে চাপের দিনগুলির মধ্যে একটি হিসাবে মনে রাখতে চাই না। দুই সপ্তাহের মধ্যে আমি আমার থেরাপিস্টের সাথে দেখা করবো, কিন্তু এর মধ্যে, আমি সেই সময় এই চিন্তাভাবনাগুলিতে মগ্ন থাকতে চাই না। পারিবারিক ঘটনাগুলির সাথে মোকাবিলা করার অভিজ্ঞতা যদি কারো থাকে, তাহলে যেকোনো সহায়তার জন্য কৃতজ্ঞ। আমাকে শেয়ার করার সুযোগ দেওয়ার জন্য ধন্যবাদ। আমি আনন্দিত যে এমন একটি জায়গা আছে যেখানে আমি যেতে পারি এবং খুঁজে পেতে পারি যে আমি একা নই।</v>
      </c>
    </row>
    <row r="2664" spans="1:3" ht="15" x14ac:dyDescent="0.25">
      <c r="A2664" s="3" t="s">
        <v>2657</v>
      </c>
      <c r="B2664" s="3" t="s">
        <v>1992</v>
      </c>
      <c r="C2664" s="4" t="str">
        <f ca="1">IFERROR(__xludf.DUMMYFUNCTION("GOOGLETRANSLATE(A2664, ""auto"", ""bn"")"),"আমার কী সাহায্যের প্রয়োজন? রবিবার আমি পরিবারের সাথে এক সপ্তাহের জন্য মেক্সিকো যাচ্ছি। আমি সত্যিই চিন্তিত যে বাড়ি থেকে দূরে থাকা এবং বিমানটি বন্ধ হওয়ায় আমি উদ্বিগ্ন হব। আমার ডাক্তার আর অফিসে নেই যে অন্য কোনও স্ক্রিপ্টে ফোন করব এবং আমি অবৈধভাবে এগুলি কিনতে"&amp;" পারছি না কারণ বিমানবন্দরে আমি কীভাবে নিরাপত্তার মধ্য দিয়ে যাচ্ছি। গত মাসে যখন তিনি আমাকে এগুলি লিখেছিলেন তখন থেকে আমার ছয় .5 সেকেন্ড বাকি আছে। আমি কীভাবে আরও কিছু পাব? আমি কিছুটা ভীত।")</f>
        <v>আমার কী সাহায্যের প্রয়োজন? রবিবার আমি পরিবারের সাথে এক সপ্তাহের জন্য মেক্সিকো যাচ্ছি। আমি সত্যিই চিন্তিত যে বাড়ি থেকে দূরে থাকা এবং বিমানটি বন্ধ হওয়ায় আমি উদ্বিগ্ন হব। আমার ডাক্তার আর অফিসে নেই যে অন্য কোনও স্ক্রিপ্টে ফোন করব এবং আমি অবৈধভাবে এগুলি কিনতে পারছি না কারণ বিমানবন্দরে আমি কীভাবে নিরাপত্তার মধ্য দিয়ে যাচ্ছি। গত মাসে যখন তিনি আমাকে এগুলি লিখেছিলেন তখন থেকে আমার ছয় .5 সেকেন্ড বাকি আছে। আমি কীভাবে আরও কিছু পাব? আমি কিছুটা ভীত।</v>
      </c>
    </row>
    <row r="2665" spans="1:3" ht="15" x14ac:dyDescent="0.25">
      <c r="A2665" s="3" t="s">
        <v>2658</v>
      </c>
      <c r="B2665" s="3" t="s">
        <v>1992</v>
      </c>
      <c r="C2665" s="4" t="str">
        <f ca="1">IFERROR(__xludf.DUMMYFUNCTION("GOOGLETRANSLATE(A2665, ""auto"", ""bn"")"),"দুশ্চিন্তায় ঘুমিয়ে পড়া, আমি আর ঘুমাতে পারছি না কারণ আমি বেশ কয়েকবার ঘুমানোর সিদ্ধান্ত নিয়েছি। খারাপ খবর শুনে ঘুম ভেঙে গেছে। একবার আমি ঘুমিয়ে পড়েছিলাম; ঘুম ভেঙে গিয়েছিল একটি ফোন কলে যে আমার ভাই মারা গেছে। আরেকবার আমাকে জানানো হয়েছিল যে আমার চাচাতো"&amp;" ভাই কাউকে গুলি করেছে; প্রায় মেরে ফেলেছে। আরেকবার আমাকে জানানো হয়েছিল যে আমার অন্য ভাইকে গুলি করা হয়েছে; কয়েক ঘন্টা পরে মারা গেছে। ক্যাম্প; গত রাতে আমার ঘুম ভেঙেছিল একটি ফোন কলে যে আমার চাচাতো ভাই আত্মহত্যা করেছে। আমি ঘুমাতেও খুব ভয় পাচ্ছি কারণ আমার ম"&amp;"নে হচ্ছে ঘুমের সময় জীবন কেবল ফ্যানে আঘাত করছে। যখন আপনি সেই ফোন এবং শব্দগুলি পান তখন অনুভূতি হয়। আপনি কেবল জানেন না যে এবার কে হতে চলেছে বা কী ঘটেছে। এটা খুবই ভয়াবহ। আমি সত্যিই সংগ্রাম করছি। আমি জানি এটা কারো কারো কাছে হাস্যকর শোনাতে পারে। তাছাড়া, আমা"&amp;"র মাইগ্রেনের তীব্র যন্ত্রণা হচ্ছে সম্ভবত আমার চাচাতো ভাইদের মৃত্যু শিবিরের কারণে গত রাতে জেগে থাকার কারণে এত ক্লান্ত হয়ে পড়েছিলাম; তারপর ৮ ঘন্টা কাজ করেছি। কিন্তু আমি চোখ বন্ধ করতে খুব ভয় পাচ্ছি। কোন পরামর্শ? যেকোনো কিছু সাহায্য করবে :(")</f>
        <v>দুশ্চিন্তায় ঘুমিয়ে পড়া, আমি আর ঘুমাতে পারছি না কারণ আমি বেশ কয়েকবার ঘুমানোর সিদ্ধান্ত নিয়েছি। খারাপ খবর শুনে ঘুম ভেঙে গেছে। একবার আমি ঘুমিয়ে পড়েছিলাম; ঘুম ভেঙে গিয়েছিল একটি ফোন কলে যে আমার ভাই মারা গেছে। আরেকবার আমাকে জানানো হয়েছিল যে আমার চাচাতো ভাই কাউকে গুলি করেছে; প্রায় মেরে ফেলেছে। আরেকবার আমাকে জানানো হয়েছিল যে আমার অন্য ভাইকে গুলি করা হয়েছে; কয়েক ঘন্টা পরে মারা গেছে। ক্যাম্প; গত রাতে আমার ঘুম ভেঙেছিল একটি ফোন কলে যে আমার চাচাতো ভাই আত্মহত্যা করেছে। আমি ঘুমাতেও খুব ভয় পাচ্ছি কারণ আমার মনে হচ্ছে ঘুমের সময় জীবন কেবল ফ্যানে আঘাত করছে। যখন আপনি সেই ফোন এবং শব্দগুলি পান তখন অনুভূতি হয়। আপনি কেবল জানেন না যে এবার কে হতে চলেছে বা কী ঘটেছে। এটা খুবই ভয়াবহ। আমি সত্যিই সংগ্রাম করছি। আমি জানি এটা কারো কারো কাছে হাস্যকর শোনাতে পারে। তাছাড়া, আমার মাইগ্রেনের তীব্র যন্ত্রণা হচ্ছে সম্ভবত আমার চাচাতো ভাইদের মৃত্যু শিবিরের কারণে গত রাতে জেগে থাকার কারণে এত ক্লান্ত হয়ে পড়েছিলাম; তারপর ৮ ঘন্টা কাজ করেছি। কিন্তু আমি চোখ বন্ধ করতে খুব ভয় পাচ্ছি। কোন পরামর্শ? যেকোনো কিছু সাহায্য করবে :(</v>
      </c>
    </row>
    <row r="2666" spans="1:3" ht="15" x14ac:dyDescent="0.25">
      <c r="A2666" s="3" t="s">
        <v>2659</v>
      </c>
      <c r="B2666" s="3" t="s">
        <v>1992</v>
      </c>
      <c r="C2666" s="4" t="str">
        <f ca="1">IFERROR(__xludf.DUMMYFUNCTION("GOOGLETRANSLATE(A2666, ""auto"", ""bn"")"),"প্যানিক অ্যাটাক সম্প্রতি আমার জীবনে সবচেয়ে খারাপ প্যানিক অ্যাটাক হয়েছে, মনে হচ্ছিল যেন আমার হার্ট অ্যাটাক হচ্ছে। এটা হওয়ার তিন দিন হয়ে গেছে, এবং এর প্রভাব আমার উপরও পড়েছে। আমার হৃদস্পন্দন দ্রুত হয়ে গেছে, বিশ্রাম নেওয়ার পরেও আমি দুর্বল/ক্লান্ত বোধ ক"&amp;"রছি, এবং আমি ভয় পাচ্ছি যে এটি আবার ঘটবে, তবে আরও খারাপ হবে। আমার ডাক্তার এবং মনোরোগ বিশেষজ্ঞের সাথে দেখা করার আগে আমার দুই সপ্তাহ আছে; ততক্ষণ পর্যন্ত আমাকে মোকাবেলা করার জন্য আপনারা কি আমাকে কোন পরামর্শ দিতে পারেন?")</f>
        <v>প্যানিক অ্যাটাক সম্প্রতি আমার জীবনে সবচেয়ে খারাপ প্যানিক অ্যাটাক হয়েছে, মনে হচ্ছিল যেন আমার হার্ট অ্যাটাক হচ্ছে। এটা হওয়ার তিন দিন হয়ে গেছে, এবং এর প্রভাব আমার উপরও পড়েছে। আমার হৃদস্পন্দন দ্রুত হয়ে গেছে, বিশ্রাম নেওয়ার পরেও আমি দুর্বল/ক্লান্ত বোধ করছি, এবং আমি ভয় পাচ্ছি যে এটি আবার ঘটবে, তবে আরও খারাপ হবে। আমার ডাক্তার এবং মনোরোগ বিশেষজ্ঞের সাথে দেখা করার আগে আমার দুই সপ্তাহ আছে; ততক্ষণ পর্যন্ত আমাকে মোকাবেলা করার জন্য আপনারা কি আমাকে কোন পরামর্শ দিতে পারেন?</v>
      </c>
    </row>
    <row r="2667" spans="1:3" ht="15" x14ac:dyDescent="0.25">
      <c r="A2667" s="3" t="s">
        <v>2660</v>
      </c>
      <c r="B2667" s="3" t="s">
        <v>1992</v>
      </c>
      <c r="C2667" s="4" t="str">
        <f ca="1">IFERROR(__xludf.DUMMYFUNCTION("GOOGLETRANSLATE(A2667, ""auto"", ""bn"")"),"আমি বর্তমানে আমার এক পরিচিতের বাড়িতে তাদের পরিবারের সাথে আছি। আমি পয়লা জানুয়ারী থেকে এখানে আছি এবং আমার উদ্বেগ আমাকে (যেমনটা নতুন কোথাও থাকলে সবসময় হয়) বিছানা থেকে নড়তে ভয় পায়, যেখানে আমাকে ঘুমাতে দেওয়া হয়েছিল। আমি খাইনি... তাছাড়া, আমি এখনও গোস"&amp;"ল করিনি (আমি জানি যে আমি এটা পছন্দ করি না) এমনকি বাথরুমে যাওয়াও আমার জন্য একটি বিশাল সংগ্রাম। নতুন কোথাও থাকার বিষয়ে কি আর কারো এত উদ্বেগ আছে?")</f>
        <v>আমি বর্তমানে আমার এক পরিচিতের বাড়িতে তাদের পরিবারের সাথে আছি। আমি পয়লা জানুয়ারী থেকে এখানে আছি এবং আমার উদ্বেগ আমাকে (যেমনটা নতুন কোথাও থাকলে সবসময় হয়) বিছানা থেকে নড়তে ভয় পায়, যেখানে আমাকে ঘুমাতে দেওয়া হয়েছিল। আমি খাইনি... তাছাড়া, আমি এখনও গোসল করিনি (আমি জানি যে আমি এটা পছন্দ করি না) এমনকি বাথরুমে যাওয়াও আমার জন্য একটি বিশাল সংগ্রাম। নতুন কোথাও থাকার বিষয়ে কি আর কারো এত উদ্বেগ আছে?</v>
      </c>
    </row>
    <row r="2668" spans="1:3" ht="15" x14ac:dyDescent="0.25">
      <c r="A2668" s="3" t="s">
        <v>2661</v>
      </c>
      <c r="B2668" s="3" t="s">
        <v>1992</v>
      </c>
      <c r="C2668" s="4" t="str">
        <f ca="1">IFERROR(__xludf.DUMMYFUNCTION("GOOGLETRANSLATE(A2668, ""auto"", ""bn"")"),"আমার খুব খারাপ লাগছে, আমি বাথরুমে লুকিয়ে ছিলাম কারণ আমার উদ্বেগ এতটাই তীব্র ছিল। এটা করতে করতে আমার খুব খারাপ লাগছে। এভাবে থাকতে থাকতে আমার খুব খারাপ লাগছে। আমার পুরো শরীর কাঁপছে। আমার কী সমস্যা। আমার শুধু কাঁদতে ইচ্ছে করছে, কিন্তু কিছুই বের হচ্ছে না।")</f>
        <v>আমার খুব খারাপ লাগছে, আমি বাথরুমে লুকিয়ে ছিলাম কারণ আমার উদ্বেগ এতটাই তীব্র ছিল। এটা করতে করতে আমার খুব খারাপ লাগছে। এভাবে থাকতে থাকতে আমার খুব খারাপ লাগছে। আমার পুরো শরীর কাঁপছে। আমার কী সমস্যা। আমার শুধু কাঁদতে ইচ্ছে করছে, কিন্তু কিছুই বের হচ্ছে না।</v>
      </c>
    </row>
    <row r="2669" spans="1:3" ht="15" x14ac:dyDescent="0.25">
      <c r="A2669" s="3" t="s">
        <v>2662</v>
      </c>
      <c r="B2669" s="3" t="s">
        <v>1992</v>
      </c>
      <c r="C2669" s="4" t="str">
        <f ca="1">IFERROR(__xludf.DUMMYFUNCTION("GOOGLETRANSLATE(A2669, ""auto"", ""bn"")"),"অন্য কেউ কি মনে করে যে মানুষ তোমার সাথে অন্যরকম আচরণ করে? গত কয়েক মাস ধরে, আমার তীব্র প্যানিক অ্যাটাক হয়েছে যার ফলে সাধারণত আমি কাঁদি এবং পরিস্থিতি থেকে নিজেকে দূরে সরিয়ে রাখি। উদাহরণস্বরূপ, আমার পরিবার এই ভাঙনের মধ্য দিয়ে গেছে এবং আমার মনে হয় তারা ম"&amp;"নে করে যে আমি একজন ভঙ্গুর মানুষ, পরবর্তী অসুবিধার জন্য অপেক্ষা করছি যাতে আবার ভেঙে পড়ি। আমি একা এই আক্রমণগুলি মোকাবেলা করার চেষ্টা করেছি কিন্তু সাধারণত খুব বেশি সাফল্য পাই না, তবে একইভাবে আমি আমার নেতিবাচক আবেগ সম্পর্কে আশ্বস্ত করার জন্য অন্যদের উপর নির্"&amp;"ভর করতে করতে ক্লান্ত। আমার উদ্বেগ মোকাবেলা করার চেষ্টায় আমি সাধারণত রাতে হাঁটতে বা গাড়ি চালিয়ে যাই, তবে সাধারণত সেগুলি কমাতে হয়, কারণ আমার বাড়ি থেকে দুই মিনিটও বেরোনোর ​​সময় আমার পরিবার আমার ফোন ধরে জিজ্ঞাসা করে যে আমি ঠিক আছি কিনা এবং আমি কোথায় আছ"&amp;"ি। অস্বাভাবিক কিছু হলেই তারা স্বয়ংক্রিয়ভাবে ধরে নেয় যে আমি উদ্বিগ্ন এবং ভেঙে পড়তে যাচ্ছি। আমি তাদের সাথে কথা বলার চেষ্টা করেছি কিন্তু আমার মনে হচ্ছে তাদের সাথে আমার আর কোনও চিন্তামুক্ত কথোপকথন নেই। আমার মনে হয় তারা ঝুঁকিতে আছে, তাদের প্রতিটি শব্দ গণন"&amp;"া করছে যাতে আমাকে উত্তেজিত করার জন্য কিছু না বলা যায়। আমার মনে হয় এটি অন্যদের আমি কীভাবে দেখি তার উপরও প্রভাব ফেলেছে। যখন আমি দোকানে বা অন্য কোথাও যাই যেখানে আমাকে মানুষের সাথে কথা বলতে হয়, তখন আমার এমন অনুভূতি হয় যে লোকেরা আমার সাথে এমন আচরণ করে যেন "&amp;"আমি কাঁদতে প্রস্তুত একটি শিশুর মতো। তারা আমার সাথে কেবল নরম স্বরে কথা বলে এবং আমার দিকে এমনভাবে তাকায় যেন আমি খারাপ খবর নিতে প্রস্তুত নই। স্পষ্টতই, আমার মাথায় এটা ঘুরপাক খাচ্ছে যে আমি অন্যদের আমার চারপাশে কীভাবে আচরণ করি তা হয়তো আমার ধারণার কারণে। হয়ত"&amp;"ো তারা বুঝতে পারে যে আমি পরিস্থিতি নিয়ে অস্বস্তি বোধ করছি এবং তাই তারা যখন আমার সাথে কথা বলে তখন তাদের মনোভাব পরিবর্তন করে। অন্য কেউ কি এইরকম অনুভব করে?")</f>
        <v>অন্য কেউ কি মনে করে যে মানুষ তোমার সাথে অন্যরকম আচরণ করে? গত কয়েক মাস ধরে, আমার তীব্র প্যানিক অ্যাটাক হয়েছে যার ফলে সাধারণত আমি কাঁদি এবং পরিস্থিতি থেকে নিজেকে দূরে সরিয়ে রাখি। উদাহরণস্বরূপ, আমার পরিবার এই ভাঙনের মধ্য দিয়ে গেছে এবং আমার মনে হয় তারা মনে করে যে আমি একজন ভঙ্গুর মানুষ, পরবর্তী অসুবিধার জন্য অপেক্ষা করছি যাতে আবার ভেঙে পড়ি। আমি একা এই আক্রমণগুলি মোকাবেলা করার চেষ্টা করেছি কিন্তু সাধারণত খুব বেশি সাফল্য পাই না, তবে একইভাবে আমি আমার নেতিবাচক আবেগ সম্পর্কে আশ্বস্ত করার জন্য অন্যদের উপর নির্ভর করতে করতে ক্লান্ত। আমার উদ্বেগ মোকাবেলা করার চেষ্টায় আমি সাধারণত রাতে হাঁটতে বা গাড়ি চালিয়ে যাই, তবে সাধারণত সেগুলি কমাতে হয়, কারণ আমার বাড়ি থেকে দুই মিনিটও বেরোনোর ​​সময় আমার পরিবার আমার ফোন ধরে জিজ্ঞাসা করে যে আমি ঠিক আছি কিনা এবং আমি কোথায় আছি। অস্বাভাবিক কিছু হলেই তারা স্বয়ংক্রিয়ভাবে ধরে নেয় যে আমি উদ্বিগ্ন এবং ভেঙে পড়তে যাচ্ছি। আমি তাদের সাথে কথা বলার চেষ্টা করেছি কিন্তু আমার মনে হচ্ছে তাদের সাথে আমার আর কোনও চিন্তামুক্ত কথোপকথন নেই। আমার মনে হয় তারা ঝুঁকিতে আছে, তাদের প্রতিটি শব্দ গণনা করছে যাতে আমাকে উত্তেজিত করার জন্য কিছু না বলা যায়। আমার মনে হয় এটি অন্যদের আমি কীভাবে দেখি তার উপরও প্রভাব ফেলেছে। যখন আমি দোকানে বা অন্য কোথাও যাই যেখানে আমাকে মানুষের সাথে কথা বলতে হয়, তখন আমার এমন অনুভূতি হয় যে লোকেরা আমার সাথে এমন আচরণ করে যেন আমি কাঁদতে প্রস্তুত একটি শিশুর মতো। তারা আমার সাথে কেবল নরম স্বরে কথা বলে এবং আমার দিকে এমনভাবে তাকায় যেন আমি খারাপ খবর নিতে প্রস্তুত নই। স্পষ্টতই, আমার মাথায় এটা ঘুরপাক খাচ্ছে যে আমি অন্যদের আমার চারপাশে কীভাবে আচরণ করি তা হয়তো আমার ধারণার কারণে। হয়তো তারা বুঝতে পারে যে আমি পরিস্থিতি নিয়ে অস্বস্তি বোধ করছি এবং তাই তারা যখন আমার সাথে কথা বলে তখন তাদের মনোভাব পরিবর্তন করে। অন্য কেউ কি এইরকম অনুভব করে?</v>
      </c>
    </row>
    <row r="2670" spans="1:3" ht="15" x14ac:dyDescent="0.25">
      <c r="A2670" s="3" t="s">
        <v>2663</v>
      </c>
      <c r="B2670" s="3" t="s">
        <v>1992</v>
      </c>
      <c r="C2670" s="4" t="str">
        <f ca="1">IFERROR(__xludf.DUMMYFUNCTION("GOOGLETRANSLATE(A2670, ""auto"", ""bn"")"),"আমি এটা লিখেছিলাম এবং তারপর কেঁদেছিলাম। সুখ বেছে নেওয়ার ধাপগুলি মাঝে মাঝে খাড়া হয় যখন উদ্বেগ তোমাকে ভেতর থেকে খেয়ে ফেলে কারণ তোমাকে সাহসী মুখ দেখানোর প্রশিক্ষণ দেওয়া হয়েছে তোমার ভেতরের শূন্যতা সেই অন্ধকার সেই শূন্যতা যখন উদ্বেগ তোমাকে ভেতর থেকে খেয়ে "&amp;"ফেলে কারণ তোমাকে সাহসী মুখ দেখানোর প্রশিক্ষণ দেওয়া হয়েছে এবং তোমার অন্তর তরলে পরিণত হয়ে যায় এবং তোমার হৃদয় কাঁঠালে পরিণত হয় এবং তোমার মস্তিষ্ক তুলায় পরিণত হয় যখন উদ্বেগ তোমাকে ভেতর থেকে খেয়ে ফেলে কারণ তোমাকে সাহসী মুখ দেখানোর প্রশিক্ষণ দেওয়া হয়েছে পছন্দ"&amp;"গুলি আরও কঠিন হয়ে ওঠে যখন উদ্বেগ তোমাকে ভেতর থেকে খেয়ে ফেলে কারণ তোমাকে সাহসী মুখ দেখানোর প্রশিক্ষণ দেওয়া হয়েছে বিশ্বাস করা কঠিন যে তুমি যেকোনো কিছুর যোগ্য বিশ্বাস করা কঠিন যে একটি রূপালী আস্তরণ আছে এই অনুভূতির অবসান পছন্দ করা কঠিন ভালো কিছু হতে পারে তা"&amp;" দেখা পছন্দ করা অনেক বেশি কঠিন সুখী হওয়া কিন্তু এটি একটি পছন্দ এবং আমি এই চক্রটি ভেঙে ফেলব আমি আমার চিন্তা নই আমি বেঁচে থাকা একজন আমি খুশি থাকা বেছে নিই")</f>
        <v>আমি এটা লিখেছিলাম এবং তারপর কেঁদেছিলাম। সুখ বেছে নেওয়ার ধাপগুলি মাঝে মাঝে খাড়া হয় যখন উদ্বেগ তোমাকে ভেতর থেকে খেয়ে ফেলে কারণ তোমাকে সাহসী মুখ দেখানোর প্রশিক্ষণ দেওয়া হয়েছে তোমার ভেতরের শূন্যতা সেই অন্ধকার সেই শূন্যতা যখন উদ্বেগ তোমাকে ভেতর থেকে খেয়ে ফেলে কারণ তোমাকে সাহসী মুখ দেখানোর প্রশিক্ষণ দেওয়া হয়েছে এবং তোমার অন্তর তরলে পরিণত হয়ে যায় এবং তোমার হৃদয় কাঁঠালে পরিণত হয় এবং তোমার মস্তিষ্ক তুলায় পরিণত হয় যখন উদ্বেগ তোমাকে ভেতর থেকে খেয়ে ফেলে কারণ তোমাকে সাহসী মুখ দেখানোর প্রশিক্ষণ দেওয়া হয়েছে পছন্দগুলি আরও কঠিন হয়ে ওঠে যখন উদ্বেগ তোমাকে ভেতর থেকে খেয়ে ফেলে কারণ তোমাকে সাহসী মুখ দেখানোর প্রশিক্ষণ দেওয়া হয়েছে বিশ্বাস করা কঠিন যে তুমি যেকোনো কিছুর যোগ্য বিশ্বাস করা কঠিন যে একটি রূপালী আস্তরণ আছে এই অনুভূতির অবসান পছন্দ করা কঠিন ভালো কিছু হতে পারে তা দেখা পছন্দ করা অনেক বেশি কঠিন সুখী হওয়া কিন্তু এটি একটি পছন্দ এবং আমি এই চক্রটি ভেঙে ফেলব আমি আমার চিন্তা নই আমি বেঁচে থাকা একজন আমি খুশি থাকা বেছে নিই</v>
      </c>
    </row>
    <row r="2671" spans="1:3" ht="15" x14ac:dyDescent="0.25">
      <c r="A2671" s="3" t="s">
        <v>2664</v>
      </c>
      <c r="B2671" s="3" t="s">
        <v>1992</v>
      </c>
      <c r="C2671" s="4" t="str">
        <f ca="1">IFERROR(__xludf.DUMMYFUNCTION("GOOGLETRANSLATE(A2671, ""auto"", ""bn"")"),"অন্য কেউ কি জনসমক্ষে সামাজিক উদ্বেগকে এতটাই ভয়াবহ করে তোলে যে আপনার বমি বমি ভাব হয় এবং প্রায় বমি বমি ভাব হয়? আমি কাজ করছি, এবং সহকর্মীর সাথে দুপুরের খাবার খেতে বেরিয়েছি। আমার ক্ষুধা লেগেছে এবং আমার প্রায়শই লাঠি লাগে কারণ, আমি এটা পছন্দ করি। সাধারণত "&amp;"খাচ্ছিলাম, যখন হঠাৎ আমার বমি বমি ভাব এতটাই বেড়ে গেল যে আমার মুখ বন্ধ হয়ে গেল এবং খাবার প্রায় বমি হয়ে গেল। অন্য কেউ কি এমন অভিজ্ঞতা পেয়েছেন, যেখানে আপনার উদ্বেগ আকাশছোঁয়া হয়ে গেল? কাজের আগে প্রতিদিন সকালে আমার সাধারণত বমি বমি ভাব হয় কিন্তু আমি তা ক"&amp;"াটিয়ে উঠি। যদিও এটি প্রায় বমি বমি ভাবের মতো ঘটনা বিরল। আমি সবসময় সামাজিক স্থানে অত্যন্ত অস্বস্তি বোধ করি।")</f>
        <v>অন্য কেউ কি জনসমক্ষে সামাজিক উদ্বেগকে এতটাই ভয়াবহ করে তোলে যে আপনার বমি বমি ভাব হয় এবং প্রায় বমি বমি ভাব হয়? আমি কাজ করছি, এবং সহকর্মীর সাথে দুপুরের খাবার খেতে বেরিয়েছি। আমার ক্ষুধা লেগেছে এবং আমার প্রায়শই লাঠি লাগে কারণ, আমি এটা পছন্দ করি। সাধারণত খাচ্ছিলাম, যখন হঠাৎ আমার বমি বমি ভাব এতটাই বেড়ে গেল যে আমার মুখ বন্ধ হয়ে গেল এবং খাবার প্রায় বমি হয়ে গেল। অন্য কেউ কি এমন অভিজ্ঞতা পেয়েছেন, যেখানে আপনার উদ্বেগ আকাশছোঁয়া হয়ে গেল? কাজের আগে প্রতিদিন সকালে আমার সাধারণত বমি বমি ভাব হয় কিন্তু আমি তা কাটিয়ে উঠি। যদিও এটি প্রায় বমি বমি ভাবের মতো ঘটনা বিরল। আমি সবসময় সামাজিক স্থানে অত্যন্ত অস্বস্তি বোধ করি।</v>
      </c>
    </row>
    <row r="2672" spans="1:3" ht="15" x14ac:dyDescent="0.25">
      <c r="A2672" s="3" t="s">
        <v>2665</v>
      </c>
      <c r="B2672" s="3" t="s">
        <v>1992</v>
      </c>
      <c r="C2672" s="4" t="str">
        <f ca="1">IFERROR(__xludf.DUMMYFUNCTION("GOOGLETRANSLATE(A2672, ""auto"", ""bn"")"),"আমি কি এটা উড়িয়ে দিচ্ছি নাকি আমি সত্যিই কিছু খারাপ কাজ করেছি? (উদ্বেগ আমার পড়াশোনা নষ্ট করছে) হ্যালো সবাই! আমি বেশিরভাগ সময় এখানেই লুকিয়ে থাকি এবং এই সাবরেডিটটি সাধারণত উদ্বেগের সাথে মোকাবিলা করা অন্যান্য লোকদের গল্প পড়তে খুব সান্ত্বনা দেয়। ১৮ বছর "&amp;"বয়সে বিশ্ববিদ্যালয়ে প্রবেশের পর থেকে (এখন আমার বয়স ২১) আমার উদ্বেগ আরও খারাপ হয়ে গেছে। আমার প্রথম বছরে আমি অ্যাসাইনমেন্ট নিয়ে অনেক লড়াই করেছি এবং পরেও তা অব্যাহত ছিল। আমার দ্বিতীয় বছরে আমার কিছু চুরির সমস্যা এবং ভুলের সমস্যা ছিল যা আমাকে আমার আগের "&amp;"সমস্ত অ্যাসাইনমেন্টগুলিও ভাবতে বাধ্য করেছিল। এই ভুলের পরে এটি আমার পড়াশোনার উপর আমার সমস্ত আত্মবিশ্বাস নষ্ট করে দিয়েছে এবং উদাহরণস্বরূপ, আমার তৃতীয় বছরে আমি বছরের ৬০ পয়েন্টের মধ্যে মাত্র ১০ পয়েন্ট পেয়েছি কারণ আমি ক্রমাগত ভাবছিলাম যে আমি আমার শিক্ষার"&amp;" যোগ্য কিনা এবং শেষ পর্যন্ত ডিগ্রি আপনাকে যে সুযোগ দেবে তা নিয়ে। এটি আমাকে অনেক উদ্বেগ দিয়েছে, ক্রমাগত অতিরিক্ত চিন্তাভাবনা করেছে এবং এমনকি এক বছর পরে আমার অধ্যাপকের সাথে কথা বলেছে যে আমি সত্যিই এমন কিছু ভুল না করেছি যার জন্য আমাকে বের করে দেওয়া হয়েছি"&amp;"ল বা এমন কিছু। দ্বিতীয় বর্ষের ভুলগুলো আমাকে আমার উদ্বেগ এবং পরিপূর্ণতাবাদ মোকাবেলা করার সবচেয়ে বড় আচরণগুলির মধ্যে একটি সম্পর্কে ভাবতে বাধ্য করেছে: অজুহাত তৈরি করা। আমি এটা করতে ঘৃণা করি, কিন্তু কিছু কারণে আমি কারো কাছে সাহায্য চাইতে পারি না অথবা ব্যর্থ"&amp;" হতে পারি না কারণ তখন আমাকে স্বীকার করতে হয় যে আমি অযোগ্য এবং এটি কীভাবে করতে হয় তা জানি না। ঠিক আছে, এখন আমার প্রতিফলনে ফিরে আসি। আমি আমার প্রথম বর্ষের লেখার দক্ষতার জন্য একটি কোর্সের কথা ভাবছিলাম, এবং তারপরে আমি কিছু অ্যাসাইনমেন্ট দিতে ব্যর্থ হয়েছিলা"&amp;"ম কারণ আমার মতে, সেগুলি যথেষ্ট নিখুঁত ছিল না। এটি স্পষ্টতই আমার গড় গ্রেডকে প্রভাবিত করেছিল, কিন্তু শেষ পর্যন্ত আমি পাসিং গ্রেড পেতে সক্ষম হয়েছিলাম। এখন আমি আবার পড়ি এবং সেই কাজের কিছু অংশ আসলে বাধ্যতামূলক ছিল। আমি এতটাই ভীত যে আমার প্রিয় অধ্যাপককে যে "&amp;"অজুহাত দিয়েছিলাম তা তাকে সহানুভূতিশীল করে তুলেছিল এবং অসম্পূর্ণ কাজের কারণে সঠিকভাবে বিচার করার পরিবর্তে তাকে আমাকে পাস করতে বাধ্য করেছিল। আমি এই চক্রে আছি যে আমি আমার কোর্সগুলি পাস করার এবং আমার শিক্ষার যোগ্য কিনা তা নিয়ে এবং এটি আমাকে মেরে ফেলছে। এই ভ"&amp;"ুলগুলির অনেকগুলি দুই বা তিন বছর আগের, এবং আমি আর তাদের ক্ষতির সমাধান করতে পারছি না। আমি সত্যিই ভবিষ্যতে আরেকটি ডিগ্রি করতে চাই কিন্তু আমি চিন্তিত যে লেখালেখি এবং গবেষণার দক্ষতা (কোর্সটি খুব বেশি পড়া/লেখার মতো) রেখে আমি সিস্টেমকে প্রতারণা করছি যা আমি পড়া"&amp;"র যোগ্য ছিলাম না কারণ আমার আগে ফেল করা উচিত ছিল। আমি আমার মাকে এটা ব্যাখ্যা করেছিলাম যে আমি স্কুল ছেড়ে দেওয়ার কিছু কারণ হিসেবে, কারণ দোষী ব্যক্তিরা আমাকে একেবারেই মেরে ফেলছে। তিনি বলছেন যে আমি পাগল হয়ে গেছি এবং আমি ছোট ছোট বিবরণ উড়িয়ে দিচ্ছি, কিন্তু "&amp;"সেগুলো আমার কাছে ছোট ছোট বিবরণ নয়? আমার পুরনো মনোবিজ্ঞানী ইতিমধ্যেই ADHD এবং GAD এর পরামর্শ দিয়েছেন, কিন্তু আমার মনে হচ্ছে আমি আমার খারাপ আচরণের জন্য অজুহাত খুঁজছি, জীবনে প্রকৃত সমস্যায় ভুগছেন এমন লোকদের মতো লড়াই করার পরিবর্তে। আমার একজন স্টাডি অ্যাডভ"&amp;"াইজারের কাছে যাওয়ার এবং তাদের সাথে আমি যা করেছি তা স্বীকার করার তীব্র ইচ্ছা আছে, কিন্তু আমার চারপাশের সবাই বলছে যে আমি সম্পূর্ণরূপে অতিরিক্ত প্রতিক্রিয়া দেখাচ্ছি, এবং আমার উদ্বেগ এবং অন্যান্য বিষয়গুলি মোকাবেলা করার জন্য আমাকে কেবল একজন নতুন থেরাপিস্টের"&amp;" সাথে কথা বলতে হবে।")</f>
        <v>আমি কি এটা উড়িয়ে দিচ্ছি নাকি আমি সত্যিই কিছু খারাপ কাজ করেছি? (উদ্বেগ আমার পড়াশোনা নষ্ট করছে) হ্যালো সবাই! আমি বেশিরভাগ সময় এখানেই লুকিয়ে থাকি এবং এই সাবরেডিটটি সাধারণত উদ্বেগের সাথে মোকাবিলা করা অন্যান্য লোকদের গল্প পড়তে খুব সান্ত্বনা দেয়। ১৮ বছর বয়সে বিশ্ববিদ্যালয়ে প্রবেশের পর থেকে (এখন আমার বয়স ২১) আমার উদ্বেগ আরও খারাপ হয়ে গেছে। আমার প্রথম বছরে আমি অ্যাসাইনমেন্ট নিয়ে অনেক লড়াই করেছি এবং পরেও তা অব্যাহত ছিল। আমার দ্বিতীয় বছরে আমার কিছু চুরির সমস্যা এবং ভুলের সমস্যা ছিল যা আমাকে আমার আগের সমস্ত অ্যাসাইনমেন্টগুলিও ভাবতে বাধ্য করেছিল। এই ভুলের পরে এটি আমার পড়াশোনার উপর আমার সমস্ত আত্মবিশ্বাস নষ্ট করে দিয়েছে এবং উদাহরণস্বরূপ, আমার তৃতীয় বছরে আমি বছরের ৬০ পয়েন্টের মধ্যে মাত্র ১০ পয়েন্ট পেয়েছি কারণ আমি ক্রমাগত ভাবছিলাম যে আমি আমার শিক্ষার যোগ্য কিনা এবং শেষ পর্যন্ত ডিগ্রি আপনাকে যে সুযোগ দেবে তা নিয়ে। এটি আমাকে অনেক উদ্বেগ দিয়েছে, ক্রমাগত অতিরিক্ত চিন্তাভাবনা করেছে এবং এমনকি এক বছর পরে আমার অধ্যাপকের সাথে কথা বলেছে যে আমি সত্যিই এমন কিছু ভুল না করেছি যার জন্য আমাকে বের করে দেওয়া হয়েছিল বা এমন কিছু। দ্বিতীয় বর্ষের ভুলগুলো আমাকে আমার উদ্বেগ এবং পরিপূর্ণতাবাদ মোকাবেলা করার সবচেয়ে বড় আচরণগুলির মধ্যে একটি সম্পর্কে ভাবতে বাধ্য করেছে: অজুহাত তৈরি করা। আমি এটা করতে ঘৃণা করি, কিন্তু কিছু কারণে আমি কারো কাছে সাহায্য চাইতে পারি না অথবা ব্যর্থ হতে পারি না কারণ তখন আমাকে স্বীকার করতে হয় যে আমি অযোগ্য এবং এটি কীভাবে করতে হয় তা জানি না। ঠিক আছে, এখন আমার প্রতিফলনে ফিরে আসি। আমি আমার প্রথম বর্ষের লেখার দক্ষতার জন্য একটি কোর্সের কথা ভাবছিলাম, এবং তারপরে আমি কিছু অ্যাসাইনমেন্ট দিতে ব্যর্থ হয়েছিলাম কারণ আমার মতে, সেগুলি যথেষ্ট নিখুঁত ছিল না। এটি স্পষ্টতই আমার গড় গ্রেডকে প্রভাবিত করেছিল, কিন্তু শেষ পর্যন্ত আমি পাসিং গ্রেড পেতে সক্ষম হয়েছিলাম। এখন আমি আবার পড়ি এবং সেই কাজের কিছু অংশ আসলে বাধ্যতামূলক ছিল। আমি এতটাই ভীত যে আমার প্রিয় অধ্যাপককে যে অজুহাত দিয়েছিলাম তা তাকে সহানুভূতিশীল করে তুলেছিল এবং অসম্পূর্ণ কাজের কারণে সঠিকভাবে বিচার করার পরিবর্তে তাকে আমাকে পাস করতে বাধ্য করেছিল। আমি এই চক্রে আছি যে আমি আমার কোর্সগুলি পাস করার এবং আমার শিক্ষার যোগ্য কিনা তা নিয়ে এবং এটি আমাকে মেরে ফেলছে। এই ভুলগুলির অনেকগুলি দুই বা তিন বছর আগের, এবং আমি আর তাদের ক্ষতির সমাধান করতে পারছি না। আমি সত্যিই ভবিষ্যতে আরেকটি ডিগ্রি করতে চাই কিন্তু আমি চিন্তিত যে লেখালেখি এবং গবেষণার দক্ষতা (কোর্সটি খুব বেশি পড়া/লেখার মতো) রেখে আমি সিস্টেমকে প্রতারণা করছি যা আমি পড়ার যোগ্য ছিলাম না কারণ আমার আগে ফেল করা উচিত ছিল। আমি আমার মাকে এটা ব্যাখ্যা করেছিলাম যে আমি স্কুল ছেড়ে দেওয়ার কিছু কারণ হিসেবে, কারণ দোষী ব্যক্তিরা আমাকে একেবারেই মেরে ফেলছে। তিনি বলছেন যে আমি পাগল হয়ে গেছি এবং আমি ছোট ছোট বিবরণ উড়িয়ে দিচ্ছি, কিন্তু সেগুলো আমার কাছে ছোট ছোট বিবরণ নয়? আমার পুরনো মনোবিজ্ঞানী ইতিমধ্যেই ADHD এবং GAD এর পরামর্শ দিয়েছেন, কিন্তু আমার মনে হচ্ছে আমি আমার খারাপ আচরণের জন্য অজুহাত খুঁজছি, জীবনে প্রকৃত সমস্যায় ভুগছেন এমন লোকদের মতো লড়াই করার পরিবর্তে। আমার একজন স্টাডি অ্যাডভাইজারের কাছে যাওয়ার এবং তাদের সাথে আমি যা করেছি তা স্বীকার করার তীব্র ইচ্ছা আছে, কিন্তু আমার চারপাশের সবাই বলছে যে আমি সম্পূর্ণরূপে অতিরিক্ত প্রতিক্রিয়া দেখাচ্ছি, এবং আমার উদ্বেগ এবং অন্যান্য বিষয়গুলি মোকাবেলা করার জন্য আমাকে কেবল একজন নতুন থেরাপিস্টের সাথে কথা বলতে হবে।</v>
      </c>
    </row>
    <row r="2673" spans="1:3" ht="15" x14ac:dyDescent="0.25">
      <c r="A2673" s="3" t="s">
        <v>2666</v>
      </c>
      <c r="B2673" s="3" t="s">
        <v>1992</v>
      </c>
      <c r="C2673" s="4" t="str">
        <f ca="1">IFERROR(__xludf.DUMMYFUNCTION("GOOGLETRANSLATE(A2673, ""auto"", ""bn"")"),"প্রতিযোগিতামূলক ভিডিও গেম খেলার সময় উদ্বেগ কমানোর জন্য কোন টিপস আছে? আমি আগে প্রতিযোগিতামূলকভাবে গেম খেলতে ভালোবাসতাম, কিন্তু সাম্প্রতিক বছরগুলিতে আমার মধ্যে তীব্র উদ্বেগ তৈরি হয়েছে এবং উচ্চ চাপের গেম খেলার প্রতি আমার অনুপ্রেরণা অনেক কমে গেছে। আমি ভাবছি"&amp;"লাম তোমাদের মধ্যে কেউ কি এরকম কিছুর মধ্য দিয়ে গেছেন, অথবা করছেন এবং মোকাবেলা করার জন্য কোন কৌশল আছে? যদি কোন পরামর্শ দেওয়া যায় তাহলে দারুন হত!")</f>
        <v>প্রতিযোগিতামূলক ভিডিও গেম খেলার সময় উদ্বেগ কমানোর জন্য কোন টিপস আছে? আমি আগে প্রতিযোগিতামূলকভাবে গেম খেলতে ভালোবাসতাম, কিন্তু সাম্প্রতিক বছরগুলিতে আমার মধ্যে তীব্র উদ্বেগ তৈরি হয়েছে এবং উচ্চ চাপের গেম খেলার প্রতি আমার অনুপ্রেরণা অনেক কমে গেছে। আমি ভাবছিলাম তোমাদের মধ্যে কেউ কি এরকম কিছুর মধ্য দিয়ে গেছেন, অথবা করছেন এবং মোকাবেলা করার জন্য কোন কৌশল আছে? যদি কোন পরামর্শ দেওয়া যায় তাহলে দারুন হত!</v>
      </c>
    </row>
    <row r="2674" spans="1:3" ht="15" x14ac:dyDescent="0.25">
      <c r="A2674" s="3" t="s">
        <v>2667</v>
      </c>
      <c r="B2674" s="3" t="s">
        <v>1992</v>
      </c>
      <c r="C2674" s="4" t="str">
        <f ca="1">IFERROR(__xludf.DUMMYFUNCTION("GOOGLETRANSLATE(A2674, ""auto"", ""bn"")"),"একটা গুরুত্বপূর্ণ ফোন কলের জন্য অপেক্ষা করছিলাম। ১৩ ডিসেম্বর একটি মেট্রো বাস আমাকে ধাক্কা দেয়, এবং তারা আমার সাইড মিরর ভেঙে দেয় এবং আমার সামনের বাম্পারের কিছু ক্ষতি করে। আমি জানি এটা আমার দোষ ছিল না, কিন্তু আমি এখনও খুব চিন্তিত যে এটা আমার দোষ কিনা। এটা"&amp;" কেবল একটি সাধারণ বীমা কোম্পানির সাথে লেনদেন নয় কারণ এটি শহর/কাউন্টি। আমি ইমেল আদান-প্রদান করেছি এবং বলা হয়েছে, আপনার ধৈর্যের জন্য ধন্যবাদ, তদন্ত শেষ হওয়ার সাথে সাথে আমি আপনার সাথে যোগাযোগ করব। আমার ঘুম হারাম হয়ে যাচ্ছে এবং আমার ফোনের দিকে তাকাতে পারছ"&amp;"ি না কারণ আমি প্রতিক্রিয়া সম্পর্কে খুব চিন্তিত। তাছাড়া, আমি দাবি বাতিল করতে এবং ক্ষতির জন্য নিজেই অর্থ প্রদান করতে প্রায় প্রস্তুত। লোকেরা ফোনে কীভাবে নিজেদের পক্ষে দাঁড়াবে এবং এটি মোকাবেলা করবে? আমি আমার ইমেল চেক করতেও চাই না যদি সে উত্তর দেয় যে এটা আ"&amp;"মার দোষ। এটা পাগলামি :(। আমার সত্যিই খারাপ সময় যাচ্ছে।")</f>
        <v>একটা গুরুত্বপূর্ণ ফোন কলের জন্য অপেক্ষা করছিলাম। ১৩ ডিসেম্বর একটি মেট্রো বাস আমাকে ধাক্কা দেয়, এবং তারা আমার সাইড মিরর ভেঙে দেয় এবং আমার সামনের বাম্পারের কিছু ক্ষতি করে। আমি জানি এটা আমার দোষ ছিল না, কিন্তু আমি এখনও খুব চিন্তিত যে এটা আমার দোষ কিনা। এটা কেবল একটি সাধারণ বীমা কোম্পানির সাথে লেনদেন নয় কারণ এটি শহর/কাউন্টি। আমি ইমেল আদান-প্রদান করেছি এবং বলা হয়েছে, আপনার ধৈর্যের জন্য ধন্যবাদ, তদন্ত শেষ হওয়ার সাথে সাথে আমি আপনার সাথে যোগাযোগ করব। আমার ঘুম হারাম হয়ে যাচ্ছে এবং আমার ফোনের দিকে তাকাতে পারছি না কারণ আমি প্রতিক্রিয়া সম্পর্কে খুব চিন্তিত। তাছাড়া, আমি দাবি বাতিল করতে এবং ক্ষতির জন্য নিজেই অর্থ প্রদান করতে প্রায় প্রস্তুত। লোকেরা ফোনে কীভাবে নিজেদের পক্ষে দাঁড়াবে এবং এটি মোকাবেলা করবে? আমি আমার ইমেল চেক করতেও চাই না যদি সে উত্তর দেয় যে এটা আমার দোষ। এটা পাগলামি :(। আমার সত্যিই খারাপ সময় যাচ্ছে।</v>
      </c>
    </row>
    <row r="2675" spans="1:3" ht="15" x14ac:dyDescent="0.25">
      <c r="A2675" s="3" t="s">
        <v>2668</v>
      </c>
      <c r="B2675" s="3" t="s">
        <v>1992</v>
      </c>
      <c r="C2675" s="4" t="str">
        <f ca="1">IFERROR(__xludf.DUMMYFUNCTION("GOOGLETRANSLATE(A2675, ""auto"", ""bn"")"),"হস্তক্ষেপমূলক চিন্তাভাবনা থেকে উদ্বেগ প্রকাশ করা আমি এটা একেবারেই করছি কারণ এটা একটু লজ্জাজনক, কিন্তু আমি এমন একটা জিনিসে ভুগছি যেখানে আমি ""পাপী?"" এমন কাজ করতে ভয় পাই? তাই, আমি যীশু খ্রীষ্ট বা ঈশ্বর বলতে ভয় পাই, এই ধরণের কথা জোরে জোরে এবং আমার মাথায় "&amp;"(আমি জানি এটা অদ্ভুত কিন্তু IDK lol)। কিন্তু ব্যাপারটা হল, আমি ধার্মিকও নই। আমি নিজেকে একজন নাস্তিক মনে করি, যা আমাকে খুব বিভ্রান্ত করে তোলে। আমার মনে হয় এর কারণ হল আমার মন সবসময় ""ওহ, যদি?"" এবং ""তুমি এটাকে কীভাবে ব্যাখ্যা করবে?"" বলে। সত্যি বলতে, এটি"&amp;" সবকিছুকে ১০ গুণ খারাপ করে তোলে কারণ আমি মনে করি আমি পাগল, এবং আমি বলতে পারি না যে এগুলো হস্তক্ষেপমূলক চিন্তাভাবনা কিনা (যা আমি ভোগ করি)। তাই আমি সবসময় আমার ধর্মীয় বিশ্বাস নিয়ে সন্দেহ করি। কিন্তু যাই হোক, আমি এখন এই ভয়গুলো থেকে মুক্তি পাওয়ার জন্য নিজ"&amp;"েকে এই কথাগুলো জোরে জোরে বলেছি। আমি বললাম (((তুমি যদি ধার্মিক হও, দুঃখিত, এর বিরুদ্ধে কিছু না, এটা আমাকে সাহায্য করেছে))) যীশু খ্রীষ্ট জোরে জোরে কথা বললেন এবং এরকম কিছু বললেন। আমি কিছু বিরক্তিকর কথা বললাম যা আমি টাইপ করব না LMAO, কিন্তু যাই হোক, আমি মিথ্য"&amp;"া বলব না। আমি ভয় পেয়েছিলাম যে আমার পুরো পরিবার তখনই মারা যাবে, এবং আমি রক্ত ​​জমাট বা অন্য কিছুর কারণে সেখানেই মারা যাব, আমি এখনও কিছুটা ভয় পাচ্ছি, কিন্তু আমার মনে হয় এটি কিছুটা সাহায্য করেছে। অনুপ্রবেশকারী চিন্তাভাবনার চিকিৎসার জন্য আমি পড়েছি যে সেগ"&amp;"ুলিকে উপেক্ষা করা বা দূরে সরিয়ে দেওয়া উচিত নয় বরং সেগুলিকে স্বীকৃতি দেওয়া উচিত এবং তারপরে তাদের মনোযোগ দেওয়া উচিত নয়, যা আমি আসলে করছি না, তাই এটি শেষ পর্যন্ত পরিস্থিতি আরও খারাপ করতে পারে IDK। যাই হোক, আমি কেবল প্রকাশ করতে চেয়েছিলাম কারণ আমার মন খ"&amp;"ুব বিরক্তিকর, এবং আমি কেবল স্বাভাবিক থাকতে চাই হা হা।")</f>
        <v>হস্তক্ষেপমূলক চিন্তাভাবনা থেকে উদ্বেগ প্রকাশ করা আমি এটা একেবারেই করছি কারণ এটা একটু লজ্জাজনক, কিন্তু আমি এমন একটা জিনিসে ভুগছি যেখানে আমি "পাপী?" এমন কাজ করতে ভয় পাই? তাই, আমি যীশু খ্রীষ্ট বা ঈশ্বর বলতে ভয় পাই, এই ধরণের কথা জোরে জোরে এবং আমার মাথায় (আমি জানি এটা অদ্ভুত কিন্তু IDK lol)। কিন্তু ব্যাপারটা হল, আমি ধার্মিকও নই। আমি নিজেকে একজন নাস্তিক মনে করি, যা আমাকে খুব বিভ্রান্ত করে তোলে। আমার মনে হয় এর কারণ হল আমার মন সবসময় "ওহ, যদি?" এবং "তুমি এটাকে কীভাবে ব্যাখ্যা করবে?" বলে। সত্যি বলতে, এটি সবকিছুকে ১০ গুণ খারাপ করে তোলে কারণ আমি মনে করি আমি পাগল, এবং আমি বলতে পারি না যে এগুলো হস্তক্ষেপমূলক চিন্তাভাবনা কিনা (যা আমি ভোগ করি)। তাই আমি সবসময় আমার ধর্মীয় বিশ্বাস নিয়ে সন্দেহ করি। কিন্তু যাই হোক, আমি এখন এই ভয়গুলো থেকে মুক্তি পাওয়ার জন্য নিজেকে এই কথাগুলো জোরে জোরে বলেছি। আমি বললাম (((তুমি যদি ধার্মিক হও, দুঃখিত, এর বিরুদ্ধে কিছু না, এটা আমাকে সাহায্য করেছে))) যীশু খ্রীষ্ট জোরে জোরে কথা বললেন এবং এরকম কিছু বললেন। আমি কিছু বিরক্তিকর কথা বললাম যা আমি টাইপ করব না LMAO, কিন্তু যাই হোক, আমি মিথ্যা বলব না। আমি ভয় পেয়েছিলাম যে আমার পুরো পরিবার তখনই মারা যাবে, এবং আমি রক্ত ​​জমাট বা অন্য কিছুর কারণে সেখানেই মারা যাব, আমি এখনও কিছুটা ভয় পাচ্ছি, কিন্তু আমার মনে হয় এটি কিছুটা সাহায্য করেছে। অনুপ্রবেশকারী চিন্তাভাবনার চিকিৎসার জন্য আমি পড়েছি যে সেগুলিকে উপেক্ষা করা বা দূরে সরিয়ে দেওয়া উচিত নয় বরং সেগুলিকে স্বীকৃতি দেওয়া উচিত এবং তারপরে তাদের মনোযোগ দেওয়া উচিত নয়, যা আমি আসলে করছি না, তাই এটি শেষ পর্যন্ত পরিস্থিতি আরও খারাপ করতে পারে IDK। যাই হোক, আমি কেবল প্রকাশ করতে চেয়েছিলাম কারণ আমার মন খুব বিরক্তিকর, এবং আমি কেবল স্বাভাবিক থাকতে চাই হা হা।</v>
      </c>
    </row>
    <row r="2676" spans="1:3" ht="15" x14ac:dyDescent="0.25">
      <c r="A2676" s="3" t="s">
        <v>2669</v>
      </c>
      <c r="B2676" s="3" t="s">
        <v>1992</v>
      </c>
      <c r="C2676" s="4" t="str">
        <f ca="1">IFERROR(__xludf.DUMMYFUNCTION("GOOGLETRANSLATE(A2676, ""auto"", ""bn"")"),"কাজের উপস্থাপনার আগে ওষুধ? হাই। আমি পরামর্শ এবং উৎসাহ চাই। এই মাসের শেষের দিকে আমার একটি উপস্থাপনার পরিকল্পনা আছে। শুধু এই কথাটা ভাবলেই আমি উদ্বিগ্ন হয়ে পড়ি। কয়েক বছর আগে যখন আমি একজন ডাক্তারের তত্ত্বাবধানে ছিলাম, তখন আমার কিছু Xanax (0.5 mg) অবশিষ্ট আ"&amp;"ছে। আমি সভার আগের দিন সকালে একটি বড়ি খাওয়ার কথা ভাবছি। জনসমক্ষে বক্তৃতা স্পষ্টতই আতঙ্কের সৃষ্টি করে, যেখানে আমার মনে হয় যেন ঘর বন্ধ হয়ে আসছে, আমার কণ্ঠস্বর কাঁপছে এবং আমি কেবল আমার হৃদয় স্পন্দন শুনতে পাচ্ছি এবং আমি এটি আমার মাথায় অনুভব করছি। আমি সভা"&amp;"র দিন পর্যন্ত নিয়মিত আমার উপস্থাপনার মহড়া দেওয়ার পরিকল্পনা করছি যাতে আমি আমার বক্তৃতার জন্য প্রস্তুত এবং আত্মবিশ্বাসী থাকতে পারি। কিন্তু আমার মনে হয় একটি বড়ি খেলে সাহায্য হবে। আমি চাই না যে লোকেরা ভাবুক/জানুক যে আমি ওষুধ খাচ্ছি। আমি আমার জনসমক্ষে কথা"&amp;" বলার দক্ষতা উন্নত করতে চাই... শুধু জানি না এটিই এর জন্য উপযুক্ত হবে।")</f>
        <v>কাজের উপস্থাপনার আগে ওষুধ? হাই। আমি পরামর্শ এবং উৎসাহ চাই। এই মাসের শেষের দিকে আমার একটি উপস্থাপনার পরিকল্পনা আছে। শুধু এই কথাটা ভাবলেই আমি উদ্বিগ্ন হয়ে পড়ি। কয়েক বছর আগে যখন আমি একজন ডাক্তারের তত্ত্বাবধানে ছিলাম, তখন আমার কিছু Xanax (0.5 mg) অবশিষ্ট আছে। আমি সভার আগের দিন সকালে একটি বড়ি খাওয়ার কথা ভাবছি। জনসমক্ষে বক্তৃতা স্পষ্টতই আতঙ্কের সৃষ্টি করে, যেখানে আমার মনে হয় যেন ঘর বন্ধ হয়ে আসছে, আমার কণ্ঠস্বর কাঁপছে এবং আমি কেবল আমার হৃদয় স্পন্দন শুনতে পাচ্ছি এবং আমি এটি আমার মাথায় অনুভব করছি। আমি সভার দিন পর্যন্ত নিয়মিত আমার উপস্থাপনার মহড়া দেওয়ার পরিকল্পনা করছি যাতে আমি আমার বক্তৃতার জন্য প্রস্তুত এবং আত্মবিশ্বাসী থাকতে পারি। কিন্তু আমার মনে হয় একটি বড়ি খেলে সাহায্য হবে। আমি চাই না যে লোকেরা ভাবুক/জানুক যে আমি ওষুধ খাচ্ছি। আমি আমার জনসমক্ষে কথা বলার দক্ষতা উন্নত করতে চাই... শুধু জানি না এটিই এর জন্য উপযুক্ত হবে।</v>
      </c>
    </row>
    <row r="2677" spans="1:3" ht="15" x14ac:dyDescent="0.25">
      <c r="A2677" s="3" t="s">
        <v>2670</v>
      </c>
      <c r="B2677" s="3" t="s">
        <v>1992</v>
      </c>
      <c r="C2677" s="4" t="str">
        <f ca="1">IFERROR(__xludf.DUMMYFUNCTION("GOOGLETRANSLATE(A2677, ""auto"", ""bn"")"),"হতাশার অনুভূতি। আমি কি কখনও ভালো হব? উদ্বেগের সাথে বেঁচে থাকা খুবই কঠিন। এই সপ্তাহে আমি চতুর্থবারের মতো কাঁদছি কারণ সবকিছুই অতিরিক্ত মনে হচ্ছে। এমনকি ছোট, সহজ কাজ, যেমন রাতের খাবার তৈরি করা বা কিছু ক্রিসমাস সাজসজ্জা রেখে দেওয়া, সম্পূর্ণরূপে অসম্ভব মনে হচ"&amp;"্ছে। একমাত্র জিনিস যা আমাকে ভালো বোধ করে তা হল আমার বাবা-মায়ের বাড়িতে ফিরে যাওয়া এবং তাদের সাথে থাকা। আমি জানি তারা আমাকে সেখানে পেয়ে সবসময় খুশি, কিন্তু আমার মনের অজান্তে আমার মনে হয় আমি সেখানে গিয়ে আমার সমস্যাগুলি থেকে পালিয়ে যাচ্ছি। আমার বয়স ২০"&amp;" এর কোঠার শেষের দিকে এবং আমার মনে হচ্ছে এখন আমার নিজের মতো করে বেঁচে থাকার এবং একজন উৎপাদনশীল প্রাপ্তবয়স্ক হওয়ার জন্য আমার এত কিছু একসাথে করা উচিত কিন্তু প্রতি কয়েক মাস অন্তর আমি ভেঙে পড়ি। তাছাড়া, আমি সম্প্রতি স্নাতক স্কুলে আবেদন করেছি এবং যদি আমি ভর্"&amp;"তি হই তাহলে আমি আমার পরিবার থেকে সারা দেশে চলে যাব, এবং আমি সত্যিই ভয় পাচ্ছি যে আমি তাদের ছাড়া কীভাবে মোকাবেলা করব। তাছাড়া, আমার মনে হচ্ছে আমি নিজের যত্ন নেওয়ার জন্য সবকিছু ঠিকঠাক করছি - আমি ওষুধ খাচ্ছি এবং একজন থেরাপিস্টের সাথে দেখা করছি, কিন্তু এটি এ"&amp;"খনও বছরের পর বছর ধরে চলছে। তাছাড়া, আমি আসলে পরামর্শ বা অন্য কিছু চাইছি না। তাছাড়া, আমার কেবল এমন কাউকে বলার দরকার ছিল যিনি আমার মনে হয় বুঝতে পারবেন।")</f>
        <v>হতাশার অনুভূতি। আমি কি কখনও ভালো হব? উদ্বেগের সাথে বেঁচে থাকা খুবই কঠিন। এই সপ্তাহে আমি চতুর্থবারের মতো কাঁদছি কারণ সবকিছুই অতিরিক্ত মনে হচ্ছে। এমনকি ছোট, সহজ কাজ, যেমন রাতের খাবার তৈরি করা বা কিছু ক্রিসমাস সাজসজ্জা রেখে দেওয়া, সম্পূর্ণরূপে অসম্ভব মনে হচ্ছে। একমাত্র জিনিস যা আমাকে ভালো বোধ করে তা হল আমার বাবা-মায়ের বাড়িতে ফিরে যাওয়া এবং তাদের সাথে থাকা। আমি জানি তারা আমাকে সেখানে পেয়ে সবসময় খুশি, কিন্তু আমার মনের অজান্তে আমার মনে হয় আমি সেখানে গিয়ে আমার সমস্যাগুলি থেকে পালিয়ে যাচ্ছি। আমার বয়স ২০ এর কোঠার শেষের দিকে এবং আমার মনে হচ্ছে এখন আমার নিজের মতো করে বেঁচে থাকার এবং একজন উৎপাদনশীল প্রাপ্তবয়স্ক হওয়ার জন্য আমার এত কিছু একসাথে করা উচিত কিন্তু প্রতি কয়েক মাস অন্তর আমি ভেঙে পড়ি। তাছাড়া, আমি সম্প্রতি স্নাতক স্কুলে আবেদন করেছি এবং যদি আমি ভর্তি হই তাহলে আমি আমার পরিবার থেকে সারা দেশে চলে যাব, এবং আমি সত্যিই ভয় পাচ্ছি যে আমি তাদের ছাড়া কীভাবে মোকাবেলা করব। তাছাড়া, আমার মনে হচ্ছে আমি নিজের যত্ন নেওয়ার জন্য সবকিছু ঠিকঠাক করছি - আমি ওষুধ খাচ্ছি এবং একজন থেরাপিস্টের সাথে দেখা করছি, কিন্তু এটি এখনও বছরের পর বছর ধরে চলছে। তাছাড়া, আমি আসলে পরামর্শ বা অন্য কিছু চাইছি না। তাছাড়া, আমার কেবল এমন কাউকে বলার দরকার ছিল যিনি আমার মনে হয় বুঝতে পারবেন।</v>
      </c>
    </row>
    <row r="2678" spans="1:3" ht="15" x14ac:dyDescent="0.25">
      <c r="A2678" s="3" t="s">
        <v>2671</v>
      </c>
      <c r="B2678" s="3" t="s">
        <v>1992</v>
      </c>
      <c r="C2678" s="4" t="str">
        <f ca="1">IFERROR(__xludf.DUMMYFUNCTION("GOOGLETRANSLATE(A2678, ""auto"", ""bn"")"),"আমার ইঁদুরগুলো একবার আমার ইঁদুর ধরেছিল, আর তাদের কাছে একটা ঝুলন্ত ধাতব খুঁটি ছিল যার সাথে তুমি তাদের খাবার আটকে রাখতে পারো। একদিন আমার মস্তিষ্ক আমাকে বলছিল ধাতব খুঁটিটা দুলিয়ে ওদের সাথে মারতে এবং অবশেষে আমি তা করলাম (আমি বিশ্বাস করি বেশ জোরে) এবং তারা চি"&amp;"ৎকার করে উঠল। আমি আমার শোবার ঘরের মেঝেতে ঘন্টার পর ঘন্টা কাঁদছিলাম এবং আমার খুব খারাপ লাগছিল, এবং আমি যে বিষয়টি নিয়ে সবচেয়ে বেশি ভয় পাই তা হল আমি আমার একটি অনুপ্রবেশকারী চিন্তাভাবনাকে কাজে লাগাই। এটি সত্যিই আমাকে ভয় দেখায়। আমি জানি আমি কখনও কাউকে মা"&amp;"রব না এবং আমি জানি আমি কোনও প্রাণীকে মারব না। কিন্তু আমি এমনকি একটি প্রাণীকে আঘাত করেছি তা আমাকে ভয় পেয়েছিল, এবং আমি এমনকি একজন বড় প্রাণীপ্রেমী ব্যক্তিও নই। কিন্তু আমি আমার ইঁদুরদের ক্ষতি করতে চাইনি, আমি তাদের ভালোবাসি। অন্য কেউ কি তাদের অনুপ্রবেশকারী "&amp;"চিন্তাভাবনাকে কাজে লাগায়? তুমি এটা সম্পর্কে কী করেছিলে? আমি এটা সম্পর্কে কী করতে পারি? আমি কি বিপজ্জনক? পার্শ্ব দ্রষ্টব্য: এক বছর হয়ে গেছে। এখন আমার প্রায়শই খারাপ চিন্তা আসে কিন্তু আমি তাদের কোনওটির উপর কাজ করিনি।")</f>
        <v>আমার ইঁদুরগুলো একবার আমার ইঁদুর ধরেছিল, আর তাদের কাছে একটা ঝুলন্ত ধাতব খুঁটি ছিল যার সাথে তুমি তাদের খাবার আটকে রাখতে পারো। একদিন আমার মস্তিষ্ক আমাকে বলছিল ধাতব খুঁটিটা দুলিয়ে ওদের সাথে মারতে এবং অবশেষে আমি তা করলাম (আমি বিশ্বাস করি বেশ জোরে) এবং তারা চিৎকার করে উঠল। আমি আমার শোবার ঘরের মেঝেতে ঘন্টার পর ঘন্টা কাঁদছিলাম এবং আমার খুব খারাপ লাগছিল, এবং আমি যে বিষয়টি নিয়ে সবচেয়ে বেশি ভয় পাই তা হল আমি আমার একটি অনুপ্রবেশকারী চিন্তাভাবনাকে কাজে লাগাই। এটি সত্যিই আমাকে ভয় দেখায়। আমি জানি আমি কখনও কাউকে মারব না এবং আমি জানি আমি কোনও প্রাণীকে মারব না। কিন্তু আমি এমনকি একটি প্রাণীকে আঘাত করেছি তা আমাকে ভয় পেয়েছিল, এবং আমি এমনকি একজন বড় প্রাণীপ্রেমী ব্যক্তিও নই। কিন্তু আমি আমার ইঁদুরদের ক্ষতি করতে চাইনি, আমি তাদের ভালোবাসি। অন্য কেউ কি তাদের অনুপ্রবেশকারী চিন্তাভাবনাকে কাজে লাগায়? তুমি এটা সম্পর্কে কী করেছিলে? আমি এটা সম্পর্কে কী করতে পারি? আমি কি বিপজ্জনক? পার্শ্ব দ্রষ্টব্য: এক বছর হয়ে গেছে। এখন আমার প্রায়শই খারাপ চিন্তা আসে কিন্তু আমি তাদের কোনওটির উপর কাজ করিনি।</v>
      </c>
    </row>
    <row r="2679" spans="1:3" ht="15" x14ac:dyDescent="0.25">
      <c r="A2679" s="3" t="s">
        <v>2672</v>
      </c>
      <c r="B2679" s="3" t="s">
        <v>1992</v>
      </c>
      <c r="C2679" s="4" t="str">
        <f ca="1">IFERROR(__xludf.DUMMYFUNCTION("GOOGLETRANSLATE(A2679, ""auto"", ""bn"")"),"বান্ধবী তাই আমি আমার বান্ধবীকে কয়েক সপ্তাহ ধরে দেখতে পারিনি কারণ সে পরিবারের সাথে ছুটিতে গিয়েছিল। সে গতকাল ফিরে এসেছে, এবং আমি আজ তাকে দেখতে যাওয়ার কথা ছিল, কিন্তু আমার এত উদ্বেগ হচ্ছে যে আমার বমি বমি ভাব হচ্ছে, আমি কী করব বুঝতে পারছি না, এবং আমি ভয় প"&amp;"াচ্ছি যে আমার উদ্বেগের কারণে আমি এই মেয়েটিকে হারাব।")</f>
        <v>বান্ধবী তাই আমি আমার বান্ধবীকে কয়েক সপ্তাহ ধরে দেখতে পারিনি কারণ সে পরিবারের সাথে ছুটিতে গিয়েছিল। সে গতকাল ফিরে এসেছে, এবং আমি আজ তাকে দেখতে যাওয়ার কথা ছিল, কিন্তু আমার এত উদ্বেগ হচ্ছে যে আমার বমি বমি ভাব হচ্ছে, আমি কী করব বুঝতে পারছি না, এবং আমি ভয় পাচ্ছি যে আমার উদ্বেগের কারণে আমি এই মেয়েটিকে হারাব।</v>
      </c>
    </row>
    <row r="2680" spans="1:3" ht="15" x14ac:dyDescent="0.25">
      <c r="A2680" s="3" t="s">
        <v>2673</v>
      </c>
      <c r="B2680" s="3" t="s">
        <v>1992</v>
      </c>
      <c r="C2680" s="4" t="str">
        <f ca="1">IFERROR(__xludf.DUMMYFUNCTION("GOOGLETRANSLATE(A2680, ""auto"", ""bn"")"),"সম্পর্কের ক্ষেত্রে উদ্বেগের সাথে আমি কীভাবে মোকাবিলা করব?? আমরা এক বছরেরও বেশি সময় ধরে ডেটিং করছি, এবং আমার সম্পর্কের ক্ষেত্রে অনেক উদ্বেগ রয়েছে। আমি বেশ অনিরাপদ, তবে এটি তরঙ্গের মাধ্যমে আসে এবং বেশিরভাগ সময় আমি ১০০% নিরাপদ থাকি, তারপর মাঝে মাঝে আমি ১০"&amp;"% নিরাপদ থাকি। সম্প্রতি আমার কিছুটা দ্বিধাগ্রস্ত হয়ে পড়েছিলাম কারণ আমাদের একজন পারস্পরিক বন্ধু আমার সঙ্গীর প্রতি আগ্রহী এবং আমি সত্যিই হুমকির সম্মুখীন হয়েছিলাম কারণ আমি সত্যিই সেই বন্ধুটিকে পছন্দ করি না। আমি জানি আমি বোকামি করছিলাম! আমরা ছুটির সময়ও কা"&amp;"জ করছিলাম এবং অবিশ্বাস্যভাবে ব্যস্ত ছিলাম, তাই স্পষ্টতই সে আমার মতো অনলাইন বা উপলব্ধ ছিল না, এবং আমি সবকিছু নিয়ে অতিরিক্ত চিন্তাভাবনা করেছি। সে সম্প্রতি আমাকে বলেছিল যে তার মানসিক স্বাস্থ্য আশ্চর্যজনক নয় (তার একটি চলমান মানসিক স্বাস্থ্য সমস্যা রয়েছে), "&amp;"এবং আমরা পরবর্তী সুযোগে এটি নিয়ে আলোচনা করার পরিকল্পনা করছি। আমি ভীত যে সে বিরতি নিতে চাইবে অথবা আমার সাথে সম্পর্ক ছিন্ন করবে কারণ আমি খুব অনিরাপদ এবং অভাবী। আমি জানি আমি একটা দুঃস্বপ্নের মতো আচরণ করছি কিন্তু গত প্রায় এক সপ্তাহ ধরে আমি আমার উদ্বেগ খুব এ"&amp;"কটা ভালোভাবে সামলাতে পারছি না। সারা সকাল আমার পেটে অস্বস্তি হচ্ছিল কারণ আমি ভেবেছিলাম সে আমাকে ফেলে দেবে। আমি কীভাবে আমার অনুভূতি এবং উদ্বেগগুলিকে আরও ভালোভাবে সামলাতে পারি? আমি সত্যিই সংগ্রাম করছি বলে একটি ভালো সম্পর্ক হারাতে চাই না। ধন্যবাদ।")</f>
        <v>সম্পর্কের ক্ষেত্রে উদ্বেগের সাথে আমি কীভাবে মোকাবিলা করব?? আমরা এক বছরেরও বেশি সময় ধরে ডেটিং করছি, এবং আমার সম্পর্কের ক্ষেত্রে অনেক উদ্বেগ রয়েছে। আমি বেশ অনিরাপদ, তবে এটি তরঙ্গের মাধ্যমে আসে এবং বেশিরভাগ সময় আমি ১০০% নিরাপদ থাকি, তারপর মাঝে মাঝে আমি ১০% নিরাপদ থাকি। সম্প্রতি আমার কিছুটা দ্বিধাগ্রস্ত হয়ে পড়েছিলাম কারণ আমাদের একজন পারস্পরিক বন্ধু আমার সঙ্গীর প্রতি আগ্রহী এবং আমি সত্যিই হুমকির সম্মুখীন হয়েছিলাম কারণ আমি সত্যিই সেই বন্ধুটিকে পছন্দ করি না। আমি জানি আমি বোকামি করছিলাম! আমরা ছুটির সময়ও কাজ করছিলাম এবং অবিশ্বাস্যভাবে ব্যস্ত ছিলাম, তাই স্পষ্টতই সে আমার মতো অনলাইন বা উপলব্ধ ছিল না, এবং আমি সবকিছু নিয়ে অতিরিক্ত চিন্তাভাবনা করেছি। সে সম্প্রতি আমাকে বলেছিল যে তার মানসিক স্বাস্থ্য আশ্চর্যজনক নয় (তার একটি চলমান মানসিক স্বাস্থ্য সমস্যা রয়েছে), এবং আমরা পরবর্তী সুযোগে এটি নিয়ে আলোচনা করার পরিকল্পনা করছি। আমি ভীত যে সে বিরতি নিতে চাইবে অথবা আমার সাথে সম্পর্ক ছিন্ন করবে কারণ আমি খুব অনিরাপদ এবং অভাবী। আমি জানি আমি একটা দুঃস্বপ্নের মতো আচরণ করছি কিন্তু গত প্রায় এক সপ্তাহ ধরে আমি আমার উদ্বেগ খুব একটা ভালোভাবে সামলাতে পারছি না। সারা সকাল আমার পেটে অস্বস্তি হচ্ছিল কারণ আমি ভেবেছিলাম সে আমাকে ফেলে দেবে। আমি কীভাবে আমার অনুভূতি এবং উদ্বেগগুলিকে আরও ভালোভাবে সামলাতে পারি? আমি সত্যিই সংগ্রাম করছি বলে একটি ভালো সম্পর্ক হারাতে চাই না। ধন্যবাদ।</v>
      </c>
    </row>
    <row r="2681" spans="1:3" ht="15" x14ac:dyDescent="0.25">
      <c r="A2681" s="3" t="s">
        <v>2674</v>
      </c>
      <c r="B2681" s="3" t="s">
        <v>1992</v>
      </c>
      <c r="C2681" s="4" t="str">
        <f ca="1">IFERROR(__xludf.DUMMYFUNCTION("GOOGLETRANSLATE(A2681, ""auto"", ""bn"")"),"আমার প্রিয় বিড়ালটি মারা গেছে, এবং আমি TW: পোষা প্রাণীর মৃত্যুতে ঝাঁপিয়ে পড়ছি যদি কেউ এতে উত্তেজিত হয়, আমি দুঃখিত, কিন্তু আমার প্রিয় পরিবারের বিড়ালটি আজ মারা গেছে, এবং আমি অসহায়। সে ১৮ বছর বয়সী ছিল, এবং আমি জানি সে দীর্ঘ জীবন কাটিয়েছে, কিন্তু এখন"&amp;"ও এটি আমাকে অনেক কষ্ট দেয়। আমার মনে হয় যেন আমি তার জন্য যথেষ্ট কিছু করিনি, আমার আরও ভালো মানুষ হওয়া উচিত ছিল, তাকে যথেষ্ট আদর করতে পারিনি। আমার ভীষণ অপরাধবোধ হচ্ছে কারণ কয়েক বছর আগে আমার বিড়ালের প্রতি অ্যালার্জি হয়েছিল এবং আমি তাকে আগের মতো ধরে রাখত"&amp;"ে পারিনি। এটা এতটা ভয়াবহ ছিল না, কিন্তু চুল আমার মুখে লাগছিল না, অন্যথায় এটি খারাপ ছিল। এবং আমি ভয়ঙ্কর বোধ করছি কারণ সে রাতে একা মারা গিয়েছিল, এবং আমি খুব অপরাধবোধ করছি। আমি নিজেকে দোষারোপ করতে থাকি, ভাবছি আমার আরও কিছু করা উচিত ছিল কিনা। শনিবার, শেষব"&amp;"ার যখন আমি তাকে দেখেছিলাম (সে আমার বাবা-মায়ের সাথে থাকে) আমি তাকে পোষাও করিনি এবং আমি খুব অপরাধবোধ করছি। আমি আমার চোখ ফেটে কাঁদছি, ভাবছি সে কি জানত যে আমি তাকে ভালোবাসি। আমি খুব দুঃখিত, আমি জানি না কী করব।")</f>
        <v>আমার প্রিয় বিড়ালটি মারা গেছে, এবং আমি TW: পোষা প্রাণীর মৃত্যুতে ঝাঁপিয়ে পড়ছি যদি কেউ এতে উত্তেজিত হয়, আমি দুঃখিত, কিন্তু আমার প্রিয় পরিবারের বিড়ালটি আজ মারা গেছে, এবং আমি অসহায়। সে ১৮ বছর বয়সী ছিল, এবং আমি জানি সে দীর্ঘ জীবন কাটিয়েছে, কিন্তু এখনও এটি আমাকে অনেক কষ্ট দেয়। আমার মনে হয় যেন আমি তার জন্য যথেষ্ট কিছু করিনি, আমার আরও ভালো মানুষ হওয়া উচিত ছিল, তাকে যথেষ্ট আদর করতে পারিনি। আমার ভীষণ অপরাধবোধ হচ্ছে কারণ কয়েক বছর আগে আমার বিড়ালের প্রতি অ্যালার্জি হয়েছিল এবং আমি তাকে আগের মতো ধরে রাখতে পারিনি। এটা এতটা ভয়াবহ ছিল না, কিন্তু চুল আমার মুখে লাগছিল না, অন্যথায় এটি খারাপ ছিল। এবং আমি ভয়ঙ্কর বোধ করছি কারণ সে রাতে একা মারা গিয়েছিল, এবং আমি খুব অপরাধবোধ করছি। আমি নিজেকে দোষারোপ করতে থাকি, ভাবছি আমার আরও কিছু করা উচিত ছিল কিনা। শনিবার, শেষবার যখন আমি তাকে দেখেছিলাম (সে আমার বাবা-মায়ের সাথে থাকে) আমি তাকে পোষাও করিনি এবং আমি খুব অপরাধবোধ করছি। আমি আমার চোখ ফেটে কাঁদছি, ভাবছি সে কি জানত যে আমি তাকে ভালোবাসি। আমি খুব দুঃখিত, আমি জানি না কী করব।</v>
      </c>
    </row>
    <row r="2682" spans="1:3" ht="15" x14ac:dyDescent="0.25">
      <c r="A2682" s="3" t="s">
        <v>2675</v>
      </c>
      <c r="B2682" s="3" t="s">
        <v>1992</v>
      </c>
      <c r="C2682" s="4" t="str">
        <f ca="1">IFERROR(__xludf.DUMMYFUNCTION("GOOGLETRANSLATE(A2682, ""auto"", ""bn"")"),"নববর্ষের আগের দিন আমার খুব একটা আশাহত লাগছিল না, কিন্তু আধ ঘন্টা পর আমি আবার ঠিক হয়ে গেলাম। কিন্তু এখন আমি খুব একা এবং হতাশ বোধ করছি এবং ২০১৮ সালের বেশিরভাগ সময়ের মতো আর কোনও কিছুতেই আগ্রহী নই। মাঝে মাঝে আমার মনে হয় প্রতিদিন প্যানিক অ্যাটাকের মধ্য দিয়"&amp;"ে যাওয়াই ভালো, কিন্তু তারপর আবার খুশি বোধ করাই ভালো, সারাদিন এই খারাপ লাগার চেয়ে।")</f>
        <v>নববর্ষের আগের দিন আমার খুব একটা আশাহত লাগছিল না, কিন্তু আধ ঘন্টা পর আমি আবার ঠিক হয়ে গেলাম। কিন্তু এখন আমি খুব একা এবং হতাশ বোধ করছি এবং ২০১৮ সালের বেশিরভাগ সময়ের মতো আর কোনও কিছুতেই আগ্রহী নই। মাঝে মাঝে আমার মনে হয় প্রতিদিন প্যানিক অ্যাটাকের মধ্য দিয়ে যাওয়াই ভালো, কিন্তু তারপর আবার খুশি বোধ করাই ভালো, সারাদিন এই খারাপ লাগার চেয়ে।</v>
      </c>
    </row>
    <row r="2683" spans="1:3" ht="15" x14ac:dyDescent="0.25">
      <c r="A2683" s="3" t="s">
        <v>2676</v>
      </c>
      <c r="B2683" s="3" t="s">
        <v>1992</v>
      </c>
      <c r="C2683" s="4" t="str">
        <f ca="1">IFERROR(__xludf.DUMMYFUNCTION("GOOGLETRANSLATE(A2683, ""auto"", ""bn"")"),"উদ্বেগ দূর করার প্রাকৃতিক পদ্ধতি? সম্প্রতি আমার একটা খুব জটিল এবং নাটকীয় ব্রেকআপ হয়েছে যার ফলে আমার উদ্বেগ আকাশচুম্বী হয়ে উঠেছে। আমি কিছু প্রাকৃতিক পদ্ধতি চেষ্টা করতে আগ্রহী যা আমার মনকে শান্ত করতে সাহায্য করবে এবং আমি যখন সবকিছুর আবেগ প্রক্রিয়াজাত কর"&amp;"ছি তখনও। কারো কাছে কি এমন কোন প্রয়োজনীয় তেল বা প্রাকৃতিক বড়ি আছে যা তারা সাময়িক উপশমের জন্য সুপারিশ করে?")</f>
        <v>উদ্বেগ দূর করার প্রাকৃতিক পদ্ধতি? সম্প্রতি আমার একটা খুব জটিল এবং নাটকীয় ব্রেকআপ হয়েছে যার ফলে আমার উদ্বেগ আকাশচুম্বী হয়ে উঠেছে। আমি কিছু প্রাকৃতিক পদ্ধতি চেষ্টা করতে আগ্রহী যা আমার মনকে শান্ত করতে সাহায্য করবে এবং আমি যখন সবকিছুর আবেগ প্রক্রিয়াজাত করছি তখনও। কারো কাছে কি এমন কোন প্রয়োজনীয় তেল বা প্রাকৃতিক বড়ি আছে যা তারা সাময়িক উপশমের জন্য সুপারিশ করে?</v>
      </c>
    </row>
    <row r="2684" spans="1:3" ht="15" x14ac:dyDescent="0.25">
      <c r="A2684" s="3" t="s">
        <v>2677</v>
      </c>
      <c r="B2684" s="3" t="s">
        <v>1992</v>
      </c>
      <c r="C2684" s="4" t="str">
        <f ca="1">IFERROR(__xludf.DUMMYFUNCTION("GOOGLETRANSLATE(A2684, ""auto"", ""bn"")"),"আমি বুঝতে পারছি না, আমি আগে বাবার কাছে ক্ষমা চেয়েছিলাম, আর আমরা অতীত ভুলে যাওয়ার বিষয়ে একটি সংক্ষিপ্ত আলোচনা করেছি কারণ আমি গত বছরের কিছু বোকামি সম্পর্কে মুখ খুলতে গিয়েছিলাম। এটা ভালো ছিল। যতক্ষণ না সে তৎক্ষণাৎ কিছু এলোমেলো মন্তব্য যোগ করে বলেছিল যে হ"&amp;"্যাঁ, যদি তুমি ঐ বোকা ভিডিও দেখা বন্ধ করো, তাহলে হয়তো তুমি চলে যাবে... আর আমি শুধু বলেছিলাম কেন তোমাকে ঐ মন্তব্যগুলো যোগ করতে হল... এটা খুবই বিরক্তিকর এবং আমি শুধু আমার মাথাটা কংক্রিটে ঠেলে দিতে চাই। কেন তাকে তাৎক্ষণিকভাবে ব্যক্তিগত করতে হল? কেন তাকে এটা"&amp;" বলতে হল, কেন সে বলল? কেন সে কেন বলল...")</f>
        <v>আমি বুঝতে পারছি না, আমি আগে বাবার কাছে ক্ষমা চেয়েছিলাম, আর আমরা অতীত ভুলে যাওয়ার বিষয়ে একটি সংক্ষিপ্ত আলোচনা করেছি কারণ আমি গত বছরের কিছু বোকামি সম্পর্কে মুখ খুলতে গিয়েছিলাম। এটা ভালো ছিল। যতক্ষণ না সে তৎক্ষণাৎ কিছু এলোমেলো মন্তব্য যোগ করে বলেছিল যে হ্যাঁ, যদি তুমি ঐ বোকা ভিডিও দেখা বন্ধ করো, তাহলে হয়তো তুমি চলে যাবে... আর আমি শুধু বলেছিলাম কেন তোমাকে ঐ মন্তব্যগুলো যোগ করতে হল... এটা খুবই বিরক্তিকর এবং আমি শুধু আমার মাথাটা কংক্রিটে ঠেলে দিতে চাই। কেন তাকে তাৎক্ষণিকভাবে ব্যক্তিগত করতে হল? কেন তাকে এটা বলতে হল, কেন সে বলল? কেন সে কেন বলল...</v>
      </c>
    </row>
    <row r="2685" spans="1:3" ht="15" x14ac:dyDescent="0.25">
      <c r="A2685" s="3" t="s">
        <v>2678</v>
      </c>
      <c r="B2685" s="3" t="s">
        <v>1992</v>
      </c>
      <c r="C2685" s="4" t="str">
        <f ca="1">IFERROR(__xludf.DUMMYFUNCTION("GOOGLETRANSLATE(A2685, ""auto"", ""bn"")"),"একটা অসাধারণ মেয়ের সাথে সম্পর্কে জড়িয়েছি, কিন্তু সবসময় চিন্তিত থাকতাম যে ও আমাকে পছন্দ করে না। আমার বন্ধুদের সাথে সবসময় এমনটা হয়, কিন্তু আমার কোনও গার্লফ্রেন্ডের সাথে এমনটা হবে বলে আমি আশা করিনি। কয়েক রাত আগে প্রথমবারের মতো আমরা আনুষ্ঠানিকভাবে সবকিছু শুরু"&amp;" করেছিলাম, আর আমাদের কথা বলার পর থেকে আমার মনে হয়েছে যে ও আসলে আমাকে পছন্দ করে না। আমার মনে হয় ও আমার অনুভূতিতে আঘাত করতে চায় না, অথবা ওর অস্বস্তি লাগে না। আমি শুধু ওর কাছ থেকে স্বীকৃতি চাই, কিন্তু বেশি কিছু জিজ্ঞেস করে ওকে বিরক্ত করতে চাই না। আমার মনকে "&amp;"শান্ত করার জন্য কোন পরামর্শ? অথবা আমি কীভাবে বুঝতে পারি যে ও সত্যিই আমাকে পছন্দ করে কিনা? পরামর্শের জন্য ধন্যবাদ।")</f>
        <v>একটা অসাধারণ মেয়ের সাথে সম্পর্কে জড়িয়েছি, কিন্তু সবসময় চিন্তিত থাকতাম যে ও আমাকে পছন্দ করে না। আমার বন্ধুদের সাথে সবসময় এমনটা হয়, কিন্তু আমার কোনও গার্লফ্রেন্ডের সাথে এমনটা হবে বলে আমি আশা করিনি। কয়েক রাত আগে প্রথমবারের মতো আমরা আনুষ্ঠানিকভাবে সবকিছু শুরু করেছিলাম, আর আমাদের কথা বলার পর থেকে আমার মনে হয়েছে যে ও আসলে আমাকে পছন্দ করে না। আমার মনে হয় ও আমার অনুভূতিতে আঘাত করতে চায় না, অথবা ওর অস্বস্তি লাগে না। আমি শুধু ওর কাছ থেকে স্বীকৃতি চাই, কিন্তু বেশি কিছু জিজ্ঞেস করে ওকে বিরক্ত করতে চাই না। আমার মনকে শান্ত করার জন্য কোন পরামর্শ? অথবা আমি কীভাবে বুঝতে পারি যে ও সত্যিই আমাকে পছন্দ করে কিনা? পরামর্শের জন্য ধন্যবাদ।</v>
      </c>
    </row>
    <row r="2686" spans="1:3" ht="15" x14ac:dyDescent="0.25">
      <c r="A2686" s="3" t="s">
        <v>2679</v>
      </c>
      <c r="B2686" s="3" t="s">
        <v>1992</v>
      </c>
      <c r="C2686" s="4" t="str">
        <f ca="1">IFERROR(__xludf.DUMMYFUNCTION("GOOGLETRANSLATE(A2686, ""auto"", ""bn"")"),"অন্য কারো কি কখনো মনে হয় যে তুমি যেকোনো স্বাভাবিক বা সুস্থ সম্পর্কের জন্য খুব বেশি আগ্রহী? ঠিক যেমন শিরোনামে বলা আছে। যখনই আমি কোন ছেলের সাথে কথা বলতে শুরু করি, তখনই আমার খুব চিন্তা হয় যে সে আমাকে পছন্দ করে কিনা। আমি যথেষ্ট ভালো কিনা। আমি একটা খারাপ সম্পর"&amp;"্ক থেকে বেরিয়ে এসেছি, এবং সম্ভবত আমি এখনও প্রস্তুত নই।")</f>
        <v>অন্য কারো কি কখনো মনে হয় যে তুমি যেকোনো স্বাভাবিক বা সুস্থ সম্পর্কের জন্য খুব বেশি আগ্রহী? ঠিক যেমন শিরোনামে বলা আছে। যখনই আমি কোন ছেলের সাথে কথা বলতে শুরু করি, তখনই আমার খুব চিন্তা হয় যে সে আমাকে পছন্দ করে কিনা। আমি যথেষ্ট ভালো কিনা। আমি একটা খারাপ সম্পর্ক থেকে বেরিয়ে এসেছি, এবং সম্ভবত আমি এখনও প্রস্তুত নই।</v>
      </c>
    </row>
    <row r="2687" spans="1:3" ht="15" x14ac:dyDescent="0.25">
      <c r="A2687" s="3" t="s">
        <v>2680</v>
      </c>
      <c r="B2687" s="3" t="s">
        <v>1992</v>
      </c>
      <c r="C2687" s="4" t="str">
        <f ca="1">IFERROR(__xludf.DUMMYFUNCTION("GOOGLETRANSLATE(A2687, ""auto"", ""bn"")"),"আমার ঘুম ভাঙতে থাকে হৃদস্পন্দন তীব্র এবং বমি বমি ভাব তীব্র। আমি জানি এটা উদ্বেগ, কিন্তু আমি এতে বিরক্ত। এই লক্ষণগুলি মোকাবেলা করার কথা ভাবছি কিনা? শিরোনামে যেমন বলা হয়েছে, গত কয়েকদিন ধরে আমার হৃদস্পন্দন তীব্র এবং বমি বমি ভাব তীব্র হয়ে উঠছে। ভোরের এই লক"&amp;"্ষণগুলি কীভাবে মোকাবেলা করতে পারি?")</f>
        <v>আমার ঘুম ভাঙতে থাকে হৃদস্পন্দন তীব্র এবং বমি বমি ভাব তীব্র। আমি জানি এটা উদ্বেগ, কিন্তু আমি এতে বিরক্ত। এই লক্ষণগুলি মোকাবেলা করার কথা ভাবছি কিনা? শিরোনামে যেমন বলা হয়েছে, গত কয়েকদিন ধরে আমার হৃদস্পন্দন তীব্র এবং বমি বমি ভাব তীব্র হয়ে উঠছে। ভোরের এই লক্ষণগুলি কীভাবে মোকাবেলা করতে পারি?</v>
      </c>
    </row>
    <row r="2688" spans="1:3" ht="15" x14ac:dyDescent="0.25">
      <c r="A2688" s="3" t="s">
        <v>2681</v>
      </c>
      <c r="B2688" s="3" t="s">
        <v>1992</v>
      </c>
      <c r="C2688" s="4" t="str">
        <f ca="1">IFERROR(__xludf.DUMMYFUNCTION("GOOGLETRANSLATE(A2688, ""auto"", ""bn"")"),"কাজে আসতে ভুলে গেছি আর এখন প্যানিক অ্যাটাক হচ্ছে। ভুলেই গেছি সকালে কারো শিফটে কাজ করবো বলেছিলাম, আর এখন আমি কাজ শুরু করছি, আমার ৭টা থেকে ১২টা পর্যন্ত কাজ করার কথা ছিল, আর এখন আমি ২টায় কাজ শুরু করবো। আমার মনে হচ্ছে আমাকে চাকরি থেকে বরখাস্ত করা হবে। আমার জ"&amp;"ন্য শুভকামনা।")</f>
        <v>কাজে আসতে ভুলে গেছি আর এখন প্যানিক অ্যাটাক হচ্ছে। ভুলেই গেছি সকালে কারো শিফটে কাজ করবো বলেছিলাম, আর এখন আমি কাজ শুরু করছি, আমার ৭টা থেকে ১২টা পর্যন্ত কাজ করার কথা ছিল, আর এখন আমি ২টায় কাজ শুরু করবো। আমার মনে হচ্ছে আমাকে চাকরি থেকে বরখাস্ত করা হবে। আমার জন্য শুভকামনা।</v>
      </c>
    </row>
    <row r="2689" spans="1:3" ht="15" x14ac:dyDescent="0.25">
      <c r="A2689" s="3" t="s">
        <v>2682</v>
      </c>
      <c r="B2689" s="3" t="s">
        <v>1992</v>
      </c>
      <c r="C2689" s="4" t="str">
        <f ca="1">IFERROR(__xludf.DUMMYFUNCTION("GOOGLETRANSLATE(A2689, ""auto"", ""bn"")"),"আমি হতাশ বোধ করি এবং সাহায্যের প্রয়োজন তাই আমি খুব কমই Reddit-এ পোস্ট বা মন্তব্য করি, কিন্তু আমি এখানে লেখার সিদ্ধান্ত নিয়েছি কারণ সত্যি বলতে আমি খুব একা বোধ করি। আমি নিজের সম্পর্কে একটু পটভূমি লিখতে যাচ্ছি: গত বছর আমি বিছানায় শুয়ে ছিলাম যখন আমার শ্বা"&amp;"স নিতে না পারার এই ভয়াবহ অনুভূতি শুরু হয়েছিল। তাছাড়া, আমি তখন এটিকে প্যানিক অ্যাটাক হিসেবে চিনতে পারিনি কারণ আমি আগে কখনও এমন অভিজ্ঞতা পাইনি, সেই মুহূর্তে আমার মনে হয়েছিল আমার হার্ট অ্যাটাক হচ্ছে, যদিও আমার বয়স মাত্র ২৯ বছর। আমার স্ত্রী আমাকে হাসপাতা"&amp;"লে নিয়ে যান, যখন আমি যাত্রীদের পাশে বসেছিলাম, আমি ভয় পেয়েছিলাম কারণ আমি শ্বাস নিতে পারছি না, এবং মনে হচ্ছিল যেন আমার গলা বন্ধ হয়ে আসছে। ER-তে ডাক্তার আমাকে বলেছিলেন যে আমার প্যানিক অ্যাটাক হচ্ছে। এতে আমি খুব ভয় পেয়েছিলাম, কিন্তু আমাকে বলা হয়েছিল যে"&amp;" এটি গুরুতর কিছু নয়। আমি ভেবেছিলাম যে এই প্যানিক অ্যাটাক একবারের জন্য হতে চলেছে, কিন্তু দুঃখের বিষয় তা হয়নি। তাই এখন এক বছর এবং 35,000 মূল্যের চিকিৎসা বিলের পরেও আমি ক্রমাগত প্যানিক অ্যাটাক এবং গুরুতর উদ্বেগের সম্মুখীন হচ্ছি। আমার মনে হয় না যে কেউ আমা"&amp;"র সমস্যাগুলি বুঝতে পারে। আমার পরিবার ভালোভাবে যোগাযোগ করতে পারে না, তাই তাদের সাথে কথা বলতে আমার কষ্ট হয়। আমার বন্ধুরা মনে করে আমি অলস কারণ আমি স্থায়ী চাকরি করতে পারি না বা গির্জা/সভায় যোগ দিতে পারি না (আমি খুব ধর্মীয় পরিবেশে বড় হয়েছি)। আমার বেশিরভা"&amp;"গ বন্ধু আমাকে ছেড়ে চলে গেছে কারণ তারা জানে না আমার জন্য কী করতে হবে এবং যেমনটি আমি আগে বলেছি তারা রাগ করেছে যে আমি গির্জায় যাচ্ছি না। এমনকি আমার স্ত্রীও জানে না কিভাবে আমাকে সাহায্য করবে এবং কয়েকবার আমাকে বিবাহবিচ্ছেদের হুমকি দিয়েছে। আমি জানি আমি অনেক"&amp;" লোককে হতাশ করেছি, কিন্তু নিজের যত্ন নেওয়ার ক্ষেত্রেও বাড়িতে সহজ কাজগুলি করতে আমার সবচেয়ে বেশি কষ্ট হচ্ছে। আমি থেরাপিতে আছি, এবং আমি ওষুধ খাচ্ছি কিন্তু কিছুই সাহায্য করছে বলে মনে হচ্ছে না। তাছাড়া, আমি প্রতিদিন অনুভব করি যে উদ্বেগ আরও খারাপ হচ্ছে, এবং "&amp;"প্যানিক অ্যাটাক আমাকে পঙ্গু করে তোলে। তাছাড়া, আমি এমন অনেক লোকের সাথে দেখা করেছি যারা বলেছে যে তারা উদ্বেগে ভুগছে কিন্তু এক বছর আগে পর্যন্ত আমি বুঝতে পারিনি যে এটি এত খারাপ হতে পারে। তাছাড়া, আমি এখন আমার বুদ্ধির শেষ প্রান্তে। তাছাড়া, আমার মনে আত্মহত্যা"&amp;"র এইসব চিন্তা আসে, আর এটা আমাকে ভয় পায় যে আমি এটাকে একটা বিকল্প হিসেবেও যুক্তিসঙ্গতভাবে উপস্থাপন করতে পারি। এমন কেউ কি আছেন যে আমার কথার সাথে সম্পর্কযুক্ত হতে পারেন? আমি এখন আমার জীবনে কারো সাথেই সম্পর্কযুক্ত হতে পারছি না। নিজেকে ব্যাখ্যা করতে আমার খুব কষ"&amp;"্ট হয়, কিন্তু যদি কেউ অন্তত বলতে পারে যে তারা বোঝে বা যত্ন করে, তাহলে আমি খুশি হব। তাছাড়া, আমি সবসময় একা বোধ করতে করতে ক্লান্ত।")</f>
        <v>আমি হতাশ বোধ করি এবং সাহায্যের প্রয়োজন তাই আমি খুব কমই Reddit-এ পোস্ট বা মন্তব্য করি, কিন্তু আমি এখানে লেখার সিদ্ধান্ত নিয়েছি কারণ সত্যি বলতে আমি খুব একা বোধ করি। আমি নিজের সম্পর্কে একটু পটভূমি লিখতে যাচ্ছি: গত বছর আমি বিছানায় শুয়ে ছিলাম যখন আমার শ্বাস নিতে না পারার এই ভয়াবহ অনুভূতি শুরু হয়েছিল। তাছাড়া, আমি তখন এটিকে প্যানিক অ্যাটাক হিসেবে চিনতে পারিনি কারণ আমি আগে কখনও এমন অভিজ্ঞতা পাইনি, সেই মুহূর্তে আমার মনে হয়েছিল আমার হার্ট অ্যাটাক হচ্ছে, যদিও আমার বয়স মাত্র ২৯ বছর। আমার স্ত্রী আমাকে হাসপাতালে নিয়ে যান, যখন আমি যাত্রীদের পাশে বসেছিলাম, আমি ভয় পেয়েছিলাম কারণ আমি শ্বাস নিতে পারছি না, এবং মনে হচ্ছিল যেন আমার গলা বন্ধ হয়ে আসছে। ER-তে ডাক্তার আমাকে বলেছিলেন যে আমার প্যানিক অ্যাটাক হচ্ছে। এতে আমি খুব ভয় পেয়েছিলাম, কিন্তু আমাকে বলা হয়েছিল যে এটি গুরুতর কিছু নয়। আমি ভেবেছিলাম যে এই প্যানিক অ্যাটাক একবারের জন্য হতে চলেছে, কিন্তু দুঃখের বিষয় তা হয়নি। তাই এখন এক বছর এবং 35,000 মূল্যের চিকিৎসা বিলের পরেও আমি ক্রমাগত প্যানিক অ্যাটাক এবং গুরুতর উদ্বেগের সম্মুখীন হচ্ছি। আমার মনে হয় না যে কেউ আমার সমস্যাগুলি বুঝতে পারে। আমার পরিবার ভালোভাবে যোগাযোগ করতে পারে না, তাই তাদের সাথে কথা বলতে আমার কষ্ট হয়। আমার বন্ধুরা মনে করে আমি অলস কারণ আমি স্থায়ী চাকরি করতে পারি না বা গির্জা/সভায় যোগ দিতে পারি না (আমি খুব ধর্মীয় পরিবেশে বড় হয়েছি)। আমার বেশিরভাগ বন্ধু আমাকে ছেড়ে চলে গেছে কারণ তারা জানে না আমার জন্য কী করতে হবে এবং যেমনটি আমি আগে বলেছি তারা রাগ করেছে যে আমি গির্জায় যাচ্ছি না। এমনকি আমার স্ত্রীও জানে না কিভাবে আমাকে সাহায্য করবে এবং কয়েকবার আমাকে বিবাহবিচ্ছেদের হুমকি দিয়েছে। আমি জানি আমি অনেক লোককে হতাশ করেছি, কিন্তু নিজের যত্ন নেওয়ার ক্ষেত্রেও বাড়িতে সহজ কাজগুলি করতে আমার সবচেয়ে বেশি কষ্ট হচ্ছে। আমি থেরাপিতে আছি, এবং আমি ওষুধ খাচ্ছি কিন্তু কিছুই সাহায্য করছে বলে মনে হচ্ছে না। তাছাড়া, আমি প্রতিদিন অনুভব করি যে উদ্বেগ আরও খারাপ হচ্ছে, এবং প্যানিক অ্যাটাক আমাকে পঙ্গু করে তোলে। তাছাড়া, আমি এমন অনেক লোকের সাথে দেখা করেছি যারা বলেছে যে তারা উদ্বেগে ভুগছে কিন্তু এক বছর আগে পর্যন্ত আমি বুঝতে পারিনি যে এটি এত খারাপ হতে পারে। তাছাড়া, আমি এখন আমার বুদ্ধির শেষ প্রান্তে। তাছাড়া, আমার মনে আত্মহত্যার এইসব চিন্তা আসে, আর এটা আমাকে ভয় পায় যে আমি এটাকে একটা বিকল্প হিসেবেও যুক্তিসঙ্গতভাবে উপস্থাপন করতে পারি। এমন কেউ কি আছেন যে আমার কথার সাথে সম্পর্কযুক্ত হতে পারেন? আমি এখন আমার জীবনে কারো সাথেই সম্পর্কযুক্ত হতে পারছি না। নিজেকে ব্যাখ্যা করতে আমার খুব কষ্ট হয়, কিন্তু যদি কেউ অন্তত বলতে পারে যে তারা বোঝে বা যত্ন করে, তাহলে আমি খুশি হব। তাছাড়া, আমি সবসময় একা বোধ করতে করতে ক্লান্ত।</v>
      </c>
    </row>
    <row r="2690" spans="1:3" ht="15" x14ac:dyDescent="0.25">
      <c r="A2690" s="3" t="s">
        <v>2683</v>
      </c>
      <c r="B2690" s="3" t="s">
        <v>1992</v>
      </c>
      <c r="C2690" s="4" t="str">
        <f ca="1">IFERROR(__xludf.DUMMYFUNCTION("GOOGLETRANSLATE(A2690, ""auto"", ""bn"")"),"ছোট ছোট বিপর্যয়ের ফলে সৃষ্ট তীব্র উদ্বেগ আমার সম্প্রতি জীবনের বিশাল পরিকল্পনায় ছোট ছোট কিছু বিপর্যয়ের সম্মুখীন হয়েছে কিন্তু তা খুবই ব্যয়বহুল এবং চাপপূর্ণ। সামগ্রিকভাবে, আমি নিরাপদ এবং আর্থিকভাবে সবকিছু পরিচালনা করতে পারি কিন্তু এর ফলে উদ্বিগ্নতা এবং "&amp;"হতাশা অপ্রতিরোধ্য। অনেক বছর ধরে পরিস্থিতি এত খারাপ হয়েছে। কারো কি একই রকম অভিজ্ঞতা হয়েছে (ছোট সমস্যা, ফলস্বরূপ পঙ্গু করে দেওয়া উদ্বেগ) এবং আপনি কী করেছেন?")</f>
        <v>ছোট ছোট বিপর্যয়ের ফলে সৃষ্ট তীব্র উদ্বেগ আমার সম্প্রতি জীবনের বিশাল পরিকল্পনায় ছোট ছোট কিছু বিপর্যয়ের সম্মুখীন হয়েছে কিন্তু তা খুবই ব্যয়বহুল এবং চাপপূর্ণ। সামগ্রিকভাবে, আমি নিরাপদ এবং আর্থিকভাবে সবকিছু পরিচালনা করতে পারি কিন্তু এর ফলে উদ্বিগ্নতা এবং হতাশা অপ্রতিরোধ্য। অনেক বছর ধরে পরিস্থিতি এত খারাপ হয়েছে। কারো কি একই রকম অভিজ্ঞতা হয়েছে (ছোট সমস্যা, ফলস্বরূপ পঙ্গু করে দেওয়া উদ্বেগ) এবং আপনি কী করেছেন?</v>
      </c>
    </row>
    <row r="2691" spans="1:3" ht="15" x14ac:dyDescent="0.25">
      <c r="A2691" s="3" t="s">
        <v>2684</v>
      </c>
      <c r="B2691" s="3" t="s">
        <v>1992</v>
      </c>
      <c r="C2691" s="4" t="str">
        <f ca="1">IFERROR(__xludf.DUMMYFUNCTION("GOOGLETRANSLATE(A2691, ""auto"", ""bn"")"),"কতবার তুমি কারো সাথে কথা বলো এবং তারপর ক্রমাগত চিন্তা করো যে তুমি পরে কী ""ভুল"" বলেছো? তুমি একটা কথা বলো, তারপর পরে তুমি ভাবো ""হয়তো আমার এটা অন্যভাবে বলা উচিত ছিল, আমার মুখের এমন ভাব দেখানো উচিত ছিল না, আমি ভুল সময়ে হেসেছি, বলেছি যে এটা আমাকে অদ্ভুত দেখ"&amp;"াচ্ছে, সেই বিষয়টা উত্থাপন করা ভুল ছিল"" ইত্যাদি...")</f>
        <v>কতবার তুমি কারো সাথে কথা বলো এবং তারপর ক্রমাগত চিন্তা করো যে তুমি পরে কী "ভুল" বলেছো? তুমি একটা কথা বলো, তারপর পরে তুমি ভাবো "হয়তো আমার এটা অন্যভাবে বলা উচিত ছিল, আমার মুখের এমন ভাব দেখানো উচিত ছিল না, আমি ভুল সময়ে হেসেছি, বলেছি যে এটা আমাকে অদ্ভুত দেখাচ্ছে, সেই বিষয়টা উত্থাপন করা ভুল ছিল" ইত্যাদি...</v>
      </c>
    </row>
    <row r="2692" spans="1:3" ht="15" x14ac:dyDescent="0.25">
      <c r="A2692" s="3" t="s">
        <v>2685</v>
      </c>
      <c r="B2692" s="3" t="s">
        <v>1992</v>
      </c>
      <c r="C2692" s="4" t="str">
        <f ca="1">IFERROR(__xludf.DUMMYFUNCTION("GOOGLETRANSLATE(A2692, ""auto"", ""bn"")"),"আমার বলার মতো কেউ নেই, তাই আমি তোমাদের সবাইকে বলতে যাচ্ছি! অবশেষে আমি আমার ক্রাশকে একটি বার্তা পাঠিয়েছিলাম এবং আমার ভয় এবং উদ্বেগের মুখোমুখি হয়েছিলাম! প্রায় এক বছর আগে আমি এই দুর্দান্ত লোকটির সাথে অনলাইনে দেখা করি। আমরা বন্ধু হিসেবে ভালোবাসতাম এবং প্র"&amp;"ায় ছয় মাস ধরে বন্ধু ছিলাম। শেষের দিকে আমরা খুব বেশি কথা বলিনি, কিন্তু তবুও এটি এমন একজন ছিল যাকে আমি বন্ধু হিসেবে বিবেচনা করতাম। আমাদের প্রথম ফোন কলটি পাঁচ ঘন্টার ছিল, এবং আমি পাঁচ ঘন্টা ধরে কারও সাথে ফোনে *কখনও* কথা বলিনি। সে আমাকে বলেছিল যে সে অন্যত্র"&amp;" চলে যাচ্ছে। সে কয়েক মাস ধরে সবকিছু থেকে বিচ্ছিন্ন ছিল যতক্ষণ না সে সফলভাবে অন্যত্র চলে যায়, যার মধ্যে সে আমাকে কিছু না বলেই অনলাইন জগতে ফিরে আসে। আমি কয়েক মাস ধরে তাকে মেসেজ করার জন্য বারবার বলেছি - আমি কি ভূতের মতো, সে কি আমার বন্ধু হতে চায় না, আমি "&amp;"কি অদ্ভুত কিছু বলেছিলাম, কী হয়েছে? সর্বোপরি, সে অদৃশ্য হওয়ার আগে আমাকে ফোন করার চেষ্টা করেছিল এবং আমি ফোন করলেও ধরত না। সবকিছু বিভ্রান্তিকর ছিল এবং সে অদৃশ্য হওয়ার পর থেকে আমি জানতাম না যে সে আমার ফোন বা টেক্সট বার্তা পেয়েছে কিনা। গতকাল, আমি গুলিবিদ্ধ"&amp;" হয়ে জিজ্ঞাসা করলাম প্রায় এক বছর পর প্রথমবারের মতো সে কেমন আছে। আমি খুব উদ্বিগ্ন ছিলাম, আমার হৃদস্পন্দন হচ্ছিল, কিন্তু আমি সেন্ড টিপলাম এবং যাত্রীর সিটে আমার ফোন ছুঁড়ে মারলাম (আমি গাড়ি চালিয়ে বাড়ি ফিরতে যাচ্ছিলাম) এবং গাড়ি চালিয়ে গেলাম। অবাক হলাম য"&amp;"ে সে তৎক্ষণাৎ উত্তর দিল এবং আমার উত্তেজনার সাথে মিলে গেল! দিনের বেশিরভাগ সময় আমরা এদিক-ওদিক ঘুরতে থাকলাম যখন আমি জানতে পারলাম যে সে বাড়ি ফিরে যাওয়ার পর তার নতুন অবস্থায় ফিরে যাচ্ছে (অর্থাৎ, আমি তাকে মিস করেছি!)। আমরা ভালো কথোপকথনে লিপ্ত ছিলাম যখন সে ফ"&amp;"্লাইটের কারণে আমাকে পড়তে রেখে গেল। আমি খুশি যে আমি এটা করেছি। আমার কোনও অনুশোচনা নেই। এটা দুঃখজনক যে আমি মনে করি না যে সে বছরে দু-একবার ""আলোচনা"" করার চেয়ে বেশি কিছু করতে চায়। কিন্তু কে জানে... সে আগেও আমাকে অবাক করেছে, এবং হয়তো আমি তার কাছ থেকে আরও "&amp;"বেশি শুনতে পাব। সে আমাকে বলেছিল যখন আমি তার অবস্থায় পৌঁছাব তখন তাকে জানাতে (যা আমি কখনই করব না হা হা, তবে এটি একটি সুন্দর অঙ্গভঙ্গি ছিল)। দীর্ঘ দূরত্বের ব্যাপারটি জটিল। আমার আশা, পরের বার যখন সে এখানে আসবে, তখন আমরা ব্যক্তিগতভাবে আড্ডা দিতে পারব এবং এভাব"&amp;"েই আমাদের সাথে দেখা করতে পারব। প্রথম বার্তাটি পাঠানোর পর আমার চিন্তাভাবনা অনেক কমে গেল, এবং আমি নিজেকে নিয়ে খুব গর্বিত।")</f>
        <v>আমার বলার মতো কেউ নেই, তাই আমি তোমাদের সবাইকে বলতে যাচ্ছি! অবশেষে আমি আমার ক্রাশকে একটি বার্তা পাঠিয়েছিলাম এবং আমার ভয় এবং উদ্বেগের মুখোমুখি হয়েছিলাম! প্রায় এক বছর আগে আমি এই দুর্দান্ত লোকটির সাথে অনলাইনে দেখা করি। আমরা বন্ধু হিসেবে ভালোবাসতাম এবং প্রায় ছয় মাস ধরে বন্ধু ছিলাম। শেষের দিকে আমরা খুব বেশি কথা বলিনি, কিন্তু তবুও এটি এমন একজন ছিল যাকে আমি বন্ধু হিসেবে বিবেচনা করতাম। আমাদের প্রথম ফোন কলটি পাঁচ ঘন্টার ছিল, এবং আমি পাঁচ ঘন্টা ধরে কারও সাথে ফোনে *কখনও* কথা বলিনি। সে আমাকে বলেছিল যে সে অন্যত্র চলে যাচ্ছে। সে কয়েক মাস ধরে সবকিছু থেকে বিচ্ছিন্ন ছিল যতক্ষণ না সে সফলভাবে অন্যত্র চলে যায়, যার মধ্যে সে আমাকে কিছু না বলেই অনলাইন জগতে ফিরে আসে। আমি কয়েক মাস ধরে তাকে মেসেজ করার জন্য বারবার বলেছি - আমি কি ভূতের মতো, সে কি আমার বন্ধু হতে চায় না, আমি কি অদ্ভুত কিছু বলেছিলাম, কী হয়েছে? সর্বোপরি, সে অদৃশ্য হওয়ার আগে আমাকে ফোন করার চেষ্টা করেছিল এবং আমি ফোন করলেও ধরত না। সবকিছু বিভ্রান্তিকর ছিল এবং সে অদৃশ্য হওয়ার পর থেকে আমি জানতাম না যে সে আমার ফোন বা টেক্সট বার্তা পেয়েছে কিনা। গতকাল, আমি গুলিবিদ্ধ হয়ে জিজ্ঞাসা করলাম প্রায় এক বছর পর প্রথমবারের মতো সে কেমন আছে। আমি খুব উদ্বিগ্ন ছিলাম, আমার হৃদস্পন্দন হচ্ছিল, কিন্তু আমি সেন্ড টিপলাম এবং যাত্রীর সিটে আমার ফোন ছুঁড়ে মারলাম (আমি গাড়ি চালিয়ে বাড়ি ফিরতে যাচ্ছিলাম) এবং গাড়ি চালিয়ে গেলাম। অবাক হলাম যে সে তৎক্ষণাৎ উত্তর দিল এবং আমার উত্তেজনার সাথে মিলে গেল! দিনের বেশিরভাগ সময় আমরা এদিক-ওদিক ঘুরতে থাকলাম যখন আমি জানতে পারলাম যে সে বাড়ি ফিরে যাওয়ার পর তার নতুন অবস্থায় ফিরে যাচ্ছে (অর্থাৎ, আমি তাকে মিস করেছি!)। আমরা ভালো কথোপকথনে লিপ্ত ছিলাম যখন সে ফ্লাইটের কারণে আমাকে পড়তে রেখে গেল। আমি খুশি যে আমি এটা করেছি। আমার কোনও অনুশোচনা নেই। এটা দুঃখজনক যে আমি মনে করি না যে সে বছরে দু-একবার "আলোচনা" করার চেয়ে বেশি কিছু করতে চায়। কিন্তু কে জানে... সে আগেও আমাকে অবাক করেছে, এবং হয়তো আমি তার কাছ থেকে আরও বেশি শুনতে পাব। সে আমাকে বলেছিল যখন আমি তার অবস্থায় পৌঁছাব তখন তাকে জানাতে (যা আমি কখনই করব না হা হা, তবে এটি একটি সুন্দর অঙ্গভঙ্গি ছিল)। দীর্ঘ দূরত্বের ব্যাপারটি জটিল। আমার আশা, পরের বার যখন সে এখানে আসবে, তখন আমরা ব্যক্তিগতভাবে আড্ডা দিতে পারব এবং এভাবেই আমাদের সাথে দেখা করতে পারব। প্রথম বার্তাটি পাঠানোর পর আমার চিন্তাভাবনা অনেক কমে গেল, এবং আমি নিজেকে নিয়ে খুব গর্বিত।</v>
      </c>
    </row>
    <row r="2693" spans="1:3" ht="15" x14ac:dyDescent="0.25">
      <c r="A2693" s="3" t="s">
        <v>2686</v>
      </c>
      <c r="B2693" s="3" t="s">
        <v>1992</v>
      </c>
      <c r="C2693" s="4" t="str">
        <f ca="1">IFERROR(__xludf.DUMMYFUNCTION("GOOGLETRANSLATE(A2693, ""auto"", ""bn"")"),"কীভাবে বিক্ষেপ বন্ধ করবেন হ্যালো প্রিয় বন্ধুরা, আশা করি আপনারা সবাই ঠিক আছেন। আমার প্রশ্ন হল বিক্ষেপিত থাকা সম্পর্কে: আমার মাথায় সবসময় কাল্পনিক কথোপকথন হয়, এটা আমার স্বাভাবিক অবস্থা। এটা বছরের পর বছর ধরে, হয়তো কখনও এমনই। আমি এটা অপছন্দ করি না। এর ফলে"&amp;" আমি সবসময় নিজের জগতে একটু বেশিই থাকি, কিন্তু আমার মাথায় অনেক মজার ধারণা আসে। আমার মস্তিষ্ক সামগ্রিকভাবে একটি মজার জায়গা। সমস্যা হল যে এখানে মনোযোগ দেওয়া একেবারেই অসম্ভব। মনে রাখবেন যে আমার চিন্তাভাবনা নেতিবাচক, আত্ম-সমালোচনামূলক বা বেশিরভাগ সময় বিপর"&amp;"্যয়কর নয়, আমি কেবল নিজের জিনিস নিয়ে ভাবি এবং বিক্ষিপ্ত থাকি। এটি আমার শিক্ষার উপর অত্যন্ত প্রভাব ফেলেছে, কারণ গত বছর আমি কোনও পরীক্ষা দেইনি এবং এই বিশৃঙ্খলা কীভাবে বন্ধ করব তা আমার কোনও ধারণা নেই। সত্যি বলতে, আমি মনোযোগ দিতে পারি না (এবং আমি স্বভাবতই ক"&amp;"িছুটা অলস, তাই আমি কয়েকবার চেষ্টা করার পরে হাল ছেড়ে দেই)। আমি জানি না কী করব। প্রায় এক বছর আগে আমার ADHD পরীক্ষা করানো হয়েছিল, ডাক্তার বলেছিলেন যে তিনি মোটামুটি নিশ্চিত যে আমার ADHD আছে, কিন্তু পরিবারে এটা হয় না, তাই শেষ পর্যন্ত আমার মনে হয়েছে যে আমার এ"&amp;"ই ধরণের চিন্তাভাবনা উদ্বেগের কারণে (যা পরিবারে থাকে, আমার বোন, আমার মা এবং আমার খালা সকলেরই এটি হয়)। তাছাড়া, আমি ভাবছিলাম যে তোমাদের কারোর কি একই লক্ষণ আছে এবং যদি হ্যাঁ হয় তাহলে পরিস্থিতি কিছুটা ভালো করার জন্য আমি কী করতে পারি। ধন্যবাদ এবং ইন্টারনেট আলি"&amp;"ঙ্গন, আমি r/ADHD-তে ক্রস পোস্ট করছি।")</f>
        <v>কীভাবে বিক্ষেপ বন্ধ করবেন হ্যালো প্রিয় বন্ধুরা, আশা করি আপনারা সবাই ঠিক আছেন। আমার প্রশ্ন হল বিক্ষেপিত থাকা সম্পর্কে: আমার মাথায় সবসময় কাল্পনিক কথোপকথন হয়, এটা আমার স্বাভাবিক অবস্থা। এটা বছরের পর বছর ধরে, হয়তো কখনও এমনই। আমি এটা অপছন্দ করি না। এর ফলে আমি সবসময় নিজের জগতে একটু বেশিই থাকি, কিন্তু আমার মাথায় অনেক মজার ধারণা আসে। আমার মস্তিষ্ক সামগ্রিকভাবে একটি মজার জায়গা। সমস্যা হল যে এখানে মনোযোগ দেওয়া একেবারেই অসম্ভব। মনে রাখবেন যে আমার চিন্তাভাবনা নেতিবাচক, আত্ম-সমালোচনামূলক বা বেশিরভাগ সময় বিপর্যয়কর নয়, আমি কেবল নিজের জিনিস নিয়ে ভাবি এবং বিক্ষিপ্ত থাকি। এটি আমার শিক্ষার উপর অত্যন্ত প্রভাব ফেলেছে, কারণ গত বছর আমি কোনও পরীক্ষা দেইনি এবং এই বিশৃঙ্খলা কীভাবে বন্ধ করব তা আমার কোনও ধারণা নেই। সত্যি বলতে, আমি মনোযোগ দিতে পারি না (এবং আমি স্বভাবতই কিছুটা অলস, তাই আমি কয়েকবার চেষ্টা করার পরে হাল ছেড়ে দেই)। আমি জানি না কী করব। প্রায় এক বছর আগে আমার ADHD পরীক্ষা করানো হয়েছিল, ডাক্তার বলেছিলেন যে তিনি মোটামুটি নিশ্চিত যে আমার ADHD আছে, কিন্তু পরিবারে এটা হয় না, তাই শেষ পর্যন্ত আমার মনে হয়েছে যে আমার এই ধরণের চিন্তাভাবনা উদ্বেগের কারণে (যা পরিবারে থাকে, আমার বোন, আমার মা এবং আমার খালা সকলেরই এটি হয়)। তাছাড়া, আমি ভাবছিলাম যে তোমাদের কারোর কি একই লক্ষণ আছে এবং যদি হ্যাঁ হয় তাহলে পরিস্থিতি কিছুটা ভালো করার জন্য আমি কী করতে পারি। ধন্যবাদ এবং ইন্টারনেট আলিঙ্গন, আমি r/ADHD-তে ক্রস পোস্ট করছি।</v>
      </c>
    </row>
    <row r="2694" spans="1:3" ht="15" x14ac:dyDescent="0.25">
      <c r="A2694" s="3" t="s">
        <v>2687</v>
      </c>
      <c r="B2694" s="3" t="s">
        <v>1992</v>
      </c>
      <c r="C2694" s="4" t="str">
        <f ca="1">IFERROR(__xludf.DUMMYFUNCTION("GOOGLETRANSLATE(A2694, ""auto"", ""bn"")"),"তোমার উদ্বেগের সাথে লড়াই করার দরকার নেই OCD এবং উদ্বেগ থেকে সেরে ওঠার জন্য যে জিনিসটি আমাকে সত্যিই সাহায্য করেছিল তা হল আমার দৃষ্টিভঙ্গিকে চিন্তাভাবনা এবং অনুভূতির বিরুদ্ধে লড়াই করার পরিবর্তে সেগুলিকে আলিঙ্গন এবং গ্রহণ করার দিকে নিয়ে যাওয়া। এটি সত্যিই"&amp;" বুঝতে সাহায্য করেছিল যে উদ্বেগ এমন কিছু নয় যা আমাকে লড়াই করতে বা ""পরাজিত করতে"" হবে। আমি কেবল আমার অভিজ্ঞতার আবেগগুলিকে আলিঙ্গন করতে এবং আমার পছন্দের জীবনযাপন চালিয়ে যেতে পারি। আপনি যদি এটি সম্পর্কে আরও জানতে চান তবে আমি এটির উপর একটি ছোট ভিডিও তৈরি "&amp;"করেছি (নীচের লিঙ্কটি)! [https://youtu.be/2ex4nrVlcDI](https://youtu.be/2ex4nrVlcDI)")</f>
        <v>তোমার উদ্বেগের সাথে লড়াই করার দরকার নেই OCD এবং উদ্বেগ থেকে সেরে ওঠার জন্য যে জিনিসটি আমাকে সত্যিই সাহায্য করেছিল তা হল আমার দৃষ্টিভঙ্গিকে চিন্তাভাবনা এবং অনুভূতির বিরুদ্ধে লড়াই করার পরিবর্তে সেগুলিকে আলিঙ্গন এবং গ্রহণ করার দিকে নিয়ে যাওয়া। এটি সত্যিই বুঝতে সাহায্য করেছিল যে উদ্বেগ এমন কিছু নয় যা আমাকে লড়াই করতে বা "পরাজিত করতে" হবে। আমি কেবল আমার অভিজ্ঞতার আবেগগুলিকে আলিঙ্গন করতে এবং আমার পছন্দের জীবনযাপন চালিয়ে যেতে পারি। আপনি যদি এটি সম্পর্কে আরও জানতে চান তবে আমি এটির উপর একটি ছোট ভিডিও তৈরি করেছি (নীচের লিঙ্কটি)! [https://youtu.be/2ex4nrVlcDI](https://youtu.be/2ex4nrVlcDI)</v>
      </c>
    </row>
    <row r="2695" spans="1:3" ht="15" x14ac:dyDescent="0.25">
      <c r="A2695" s="3" t="s">
        <v>2688</v>
      </c>
      <c r="B2695" s="3" t="s">
        <v>1992</v>
      </c>
      <c r="C2695" s="4" t="str">
        <f ca="1">IFERROR(__xludf.DUMMYFUNCTION("GOOGLETRANSLATE(A2695, ""auto"", ""bn"")"),"আমি আমার ভয়ের মুখোমুখি হয়ে প্রথমবারের মতো একটি ওপেন মাইক নাইটে গান গাইলাম! আমি লুইস হে-এর লেখা ""হাউ টু হিল ইওর লাইফ"" বইটি পড়ছিলাম। তাছাড়া, আমি এখনও বইটির শুরুতেই আছি, কিন্তু তিনি আমাদের চিন্তাভাবনা এবং কীভাবে আমরা আমাদের চিন্তাভাবনার মাধ্যমে আমাদের "&amp;"বাস্তবতা নিয়ন্ত্রণ করতে পারি সে সম্পর্কে কথা বলেন। তিনি বলেন, যখন আমরা ভয় অনুভব করি, তখন এটি একটি ইঙ্গিত দেয় যে আমাদের কোথায় বেড়ে ওঠার জায়গা আছে। তাই যখন আমি একটি ক্যাফেতে আমার ল্যাপটপে কাজ করছিলাম, এবং তারা তাদের ওপেন মাইকের জন্য সেট আপ শুরু করেছিল"&amp;" (যা আমি আগে জানতাম না) তখন আমার খুব কম অনুভূতিই অনুভূত হয়েছিল: প্রথমত, উঠে বাজাতে ইচ্ছা করা। দ্বিতীয়ত, ফালতু শিবিরের ভয়; সন্দেহ ছিল যে আমি ভালো শোনাবো, বিশেষ করে অনুশীলন না করে, তারপর তৃতীয়ত আমি আবার এটি করতে বাধ্য হয়েছিলাম কারণ এই ভয় আমাকে দেখাচ্ছ"&amp;"ে যে আমার কোথায় বেড়ে ওঠার জায়গা আছে, এবং আমি বড় হতে চাই!!! তাই আমি একজন লোককে জিজ্ঞাসা করলাম যে আমি কি তার গিটার ধার করতে পারি এবং সে আমাকে তালিকায় রাখে এবং আমি তা করে ফেলেছি! এরপর অন্য সমস্ত সঙ্গীতশিল্পীরা হাততালি দিয়ে আমাকে আরও বাজাতে উৎসাহিত করছি"&amp;"ল, আমি দারুন শোনাচ্ছি, এবং তারা আশা করছে পরের বার আমাকে দেখতে পাবে! আহহহহ আমি এটা করতে পেরে খুব খুশি!! এটা শুধুমাত্র একটি গান ছিল, এবং আমি স্পষ্টতই নার্ভাস ছিলাম, কিন্তু আমাকে শুধু এটা করতেই হয়েছিল। আমি আমার ভয়ের মুখোমুখি হতে চাই যাতে আমি নিজেকে দ্বিধাগ"&amp;"্রস্ত না করে জীবনযাপন করতে পারি। আমি গর্বের সাথে মঞ্চে হাঁটতে চাই এই আত্মবিশ্বাসের সাথে যে আমি গান গাইতে এবং বাজাতে পারি এবং যতক্ষণ আমি মজা করছি ততক্ষণ আমি ঝামেলা করলেও কিছু যায় আসে না। আমার হৃদয় পুরো সময় ধড়ফড় করছিল, এবং আমি ঘামছিলাম, কিন্তু এখন আমি "&amp;"নিজেকে নিয়ে খুব গর্বিত বোধ করছি। পড়ার জন্য ধন্যবাদ :)")</f>
        <v>আমি আমার ভয়ের মুখোমুখি হয়ে প্রথমবারের মতো একটি ওপেন মাইক নাইটে গান গাইলাম! আমি লুইস হে-এর লেখা "হাউ টু হিল ইওর লাইফ" বইটি পড়ছিলাম। তাছাড়া, আমি এখনও বইটির শুরুতেই আছি, কিন্তু তিনি আমাদের চিন্তাভাবনা এবং কীভাবে আমরা আমাদের চিন্তাভাবনার মাধ্যমে আমাদের বাস্তবতা নিয়ন্ত্রণ করতে পারি সে সম্পর্কে কথা বলেন। তিনি বলেন, যখন আমরা ভয় অনুভব করি, তখন এটি একটি ইঙ্গিত দেয় যে আমাদের কোথায় বেড়ে ওঠার জায়গা আছে। তাই যখন আমি একটি ক্যাফেতে আমার ল্যাপটপে কাজ করছিলাম, এবং তারা তাদের ওপেন মাইকের জন্য সেট আপ শুরু করেছিল (যা আমি আগে জানতাম না) তখন আমার খুব কম অনুভূতিই অনুভূত হয়েছিল: প্রথমত, উঠে বাজাতে ইচ্ছা করা। দ্বিতীয়ত, ফালতু শিবিরের ভয়; সন্দেহ ছিল যে আমি ভালো শোনাবো, বিশেষ করে অনুশীলন না করে, তারপর তৃতীয়ত আমি আবার এটি করতে বাধ্য হয়েছিলাম কারণ এই ভয় আমাকে দেখাচ্ছে যে আমার কোথায় বেড়ে ওঠার জায়গা আছে, এবং আমি বড় হতে চাই!!! তাই আমি একজন লোককে জিজ্ঞাসা করলাম যে আমি কি তার গিটার ধার করতে পারি এবং সে আমাকে তালিকায় রাখে এবং আমি তা করে ফেলেছি! এরপর অন্য সমস্ত সঙ্গীতশিল্পীরা হাততালি দিয়ে আমাকে আরও বাজাতে উৎসাহিত করছিল, আমি দারুন শোনাচ্ছি, এবং তারা আশা করছে পরের বার আমাকে দেখতে পাবে! আহহহহ আমি এটা করতে পেরে খুব খুশি!! এটা শুধুমাত্র একটি গান ছিল, এবং আমি স্পষ্টতই নার্ভাস ছিলাম, কিন্তু আমাকে শুধু এটা করতেই হয়েছিল। আমি আমার ভয়ের মুখোমুখি হতে চাই যাতে আমি নিজেকে দ্বিধাগ্রস্ত না করে জীবনযাপন করতে পারি। আমি গর্বের সাথে মঞ্চে হাঁটতে চাই এই আত্মবিশ্বাসের সাথে যে আমি গান গাইতে এবং বাজাতে পারি এবং যতক্ষণ আমি মজা করছি ততক্ষণ আমি ঝামেলা করলেও কিছু যায় আসে না। আমার হৃদয় পুরো সময় ধড়ফড় করছিল, এবং আমি ঘামছিলাম, কিন্তু এখন আমি নিজেকে নিয়ে খুব গর্বিত বোধ করছি। পড়ার জন্য ধন্যবাদ :)</v>
      </c>
    </row>
    <row r="2696" spans="1:3" ht="15" x14ac:dyDescent="0.25">
      <c r="A2696" s="3" t="s">
        <v>2689</v>
      </c>
      <c r="B2696" s="3" t="s">
        <v>1992</v>
      </c>
      <c r="C2696" s="4" t="str">
        <f ca="1">IFERROR(__xludf.DUMMYFUNCTION("GOOGLETRANSLATE(A2696, ""auto"", ""bn"")"),"আমি সবসময় নিশ্চিত নই যে আমি আসলে কে!? আমি কি একমাত্র? এটা অদ্ভুত কিন্তু আমার পূর্ব-উদ্বেগের সময় আমি কখনই ভাবিনি যে আমি আসলে কে। সবকিছুই স্বাভাবিক ছিল এবং হ্যাঁ, আমি পরিস্থিতিতে ভিন্ন আচরণ করতাম কিন্তু সবসময় বলতাম যে এটি আমার একটি দিক ছিল। এখন আমার উদ্ব"&amp;"েগের পরে আমার আরও গভীর চিন্তাভাবনা আসে এবং প্রায়শই ভাবি যে আমি আসলে কে? আমি একদিন বন্ধুদের সাথে ভালো সময় কাটাতে পারি এবং পরের দিন আমি ভাবি ""আমি কি শুধু অভিনয় করছি? আমি কি সত্যিই সময় উপভোগ করেছি? ডবি বন্ধুরা আসলে জানে আমি আসলে কে?"" আমি কীভাবে ব্যাখ্য"&amp;"া করব জানি না। মনে হচ্ছে আমি এখনও আমার আসল সত্ত্বা খুঁজে পাইনি। আমি শীঘ্রই 31 বছর বয়সী হচ্ছি কিন্তু ... হ্যাম জানি না হা হা...")</f>
        <v>আমি সবসময় নিশ্চিত নই যে আমি আসলে কে!? আমি কি একমাত্র? এটা অদ্ভুত কিন্তু আমার পূর্ব-উদ্বেগের সময় আমি কখনই ভাবিনি যে আমি আসলে কে। সবকিছুই স্বাভাবিক ছিল এবং হ্যাঁ, আমি পরিস্থিতিতে ভিন্ন আচরণ করতাম কিন্তু সবসময় বলতাম যে এটি আমার একটি দিক ছিল। এখন আমার উদ্বেগের পরে আমার আরও গভীর চিন্তাভাবনা আসে এবং প্রায়শই ভাবি যে আমি আসলে কে? আমি একদিন বন্ধুদের সাথে ভালো সময় কাটাতে পারি এবং পরের দিন আমি ভাবি "আমি কি শুধু অভিনয় করছি? আমি কি সত্যিই সময় উপভোগ করেছি? ডবি বন্ধুরা আসলে জানে আমি আসলে কে?" আমি কীভাবে ব্যাখ্যা করব জানি না। মনে হচ্ছে আমি এখনও আমার আসল সত্ত্বা খুঁজে পাইনি। আমি শীঘ্রই 31 বছর বয়সী হচ্ছি কিন্তু ... হ্যাম জানি না হা হা...</v>
      </c>
    </row>
    <row r="2697" spans="1:3" ht="15" x14ac:dyDescent="0.25">
      <c r="A2697" s="3" t="s">
        <v>2690</v>
      </c>
      <c r="B2697" s="3" t="s">
        <v>1992</v>
      </c>
      <c r="C2697" s="4" t="str">
        <f ca="1">IFERROR(__xludf.DUMMYFUNCTION("GOOGLETRANSLATE(A2697, ""auto"", ""bn"")"),"উদ্বেগ মোকাবেলায় সাহায্য বন্ধুরা, প্রায় এক মাস আগে আমার একটা ভয়াবহ আতঙ্কের আক্রমণ হয়েছিল, অ্যাম্বুলেন্স ডাকতে হয়েছিল, আর অবস্থাটা ছিল খুবই ভয়াবহ। এখন আমি এমন এক পর্যায়ে পৌঁছেছি যেখানে গাড়ি চালাতে এবং কোথাও যেতে আমার খুব কষ্ট হচ্ছে। কারো কি এমনটা হয়েছে? "&amp;"তুমি এটা কিভাবে সামলেছো? গাড়ি চালানো বা কোথাও যাওয়ার সময় আমার কখনও সমস্যা হয়নি, আমি সাধারণত ঘরে আটকে থাকতে পছন্দ করি না।")</f>
        <v>উদ্বেগ মোকাবেলায় সাহায্য বন্ধুরা, প্রায় এক মাস আগে আমার একটা ভয়াবহ আতঙ্কের আক্রমণ হয়েছিল, অ্যাম্বুলেন্স ডাকতে হয়েছিল, আর অবস্থাটা ছিল খুবই ভয়াবহ। এখন আমি এমন এক পর্যায়ে পৌঁছেছি যেখানে গাড়ি চালাতে এবং কোথাও যেতে আমার খুব কষ্ট হচ্ছে। কারো কি এমনটা হয়েছে? তুমি এটা কিভাবে সামলেছো? গাড়ি চালানো বা কোথাও যাওয়ার সময় আমার কখনও সমস্যা হয়নি, আমি সাধারণত ঘরে আটকে থাকতে পছন্দ করি না।</v>
      </c>
    </row>
    <row r="2698" spans="1:3" ht="15" x14ac:dyDescent="0.25">
      <c r="A2698" s="3" t="s">
        <v>2691</v>
      </c>
      <c r="B2698" s="3" t="s">
        <v>1992</v>
      </c>
      <c r="C2698" s="4" t="str">
        <f ca="1">IFERROR(__xludf.DUMMYFUNCTION("GOOGLETRANSLATE(A2698, ""auto"", ""bn"")"),"আর কেউ কি টয়লেট ব্যবহারের ইচ্ছাকে উদ্বেগ বলে ভুল করে? যখনই আমাকে টয়লেট ব্যবহার করতে হয় তখন আমার মনে হয় যেন উদ্বেগের আক্রমণ আসছে, কিন্তু আসলে আমাকে কেবল বাথরুমে যেতে হবে (যদি এটি টিএমআই হয় তবে দুঃখিত)। আমি ভাবছিলাম যে অন্য কেউ কি একই অভিজ্ঞতা ভাগ করে "&amp;"নিয়েছে কিনা।")</f>
        <v>আর কেউ কি টয়লেট ব্যবহারের ইচ্ছাকে উদ্বেগ বলে ভুল করে? যখনই আমাকে টয়লেট ব্যবহার করতে হয় তখন আমার মনে হয় যেন উদ্বেগের আক্রমণ আসছে, কিন্তু আসলে আমাকে কেবল বাথরুমে যেতে হবে (যদি এটি টিএমআই হয় তবে দুঃখিত)। আমি ভাবছিলাম যে অন্য কেউ কি একই অভিজ্ঞতা ভাগ করে নিয়েছে কিনা।</v>
      </c>
    </row>
    <row r="2699" spans="1:3" ht="15" x14ac:dyDescent="0.25">
      <c r="A2699" s="3" t="s">
        <v>2692</v>
      </c>
      <c r="B2699" s="3" t="s">
        <v>1992</v>
      </c>
      <c r="C2699" s="4" t="str">
        <f ca="1">IFERROR(__xludf.DUMMYFUNCTION("GOOGLETRANSLATE(A2699, ""auto"", ""bn"")"),"আমি আমার হৃদস্পন্দন নিয়ে সবসময় চিন্তিত থাকি। উদ্বেগ? হ্যালো। আমি ২০ বছর বয়সী, আমি বর্তমানে কোনও ওষুধ খাই না এবং আমার (এখনও) উদ্বেগ ধরা পড়েনি, কিন্তু কয়েক মাস আগে ঘটে যাওয়া এক অত্যন্ত চাপের সময় থেকে, লক্ষণগুলি সম্পূর্ণরূপে সেখানেই রয়েছে। যাইহোক, প্রথমে এটি"&amp;" কেবল প্যারানয়া, অযৌক্তিক ভয়, উদ্বেগ এবং এই জাতীয় সবকিছুই ছিল, মূলত আমার মনে। গত মাসে আমার মাথা ঘোরা শুরু হওয়ার আগে এবং আমি উদ্বেগের সাথে সম্পর্কিত শারীরিক লক্ষণগুলি লক্ষ্য করতে শুরু করি: অস্থিরতা, মাথা ঘোরা, মাথা ঘোরার মতো সংক্ষিপ্ত অনুভূতি। আমি এটি নি"&amp;"য়ে ভাবতে থাকি, সম্ভবত আমার অবস্থার অবনতি হতে পারে, যতক্ষণ না প্রায় তিন দিন পরে সেগুলি চলে যায়। এখন, আমার হৃদস্পন্দনের একই রকম সমস্যা হচ্ছে। কয়েকদিন আগে উদ্বেগের আক্রমণে আক্রান্ত হওয়ার পর, আমি লক্ষ্য করেছি যে আমি আমার হৃদস্পন্দন দ্রুতগতিতে অনুভব করছি "&amp;"এবং তারপর থেকে আমি এটি নিয়ে চিন্তা করা বন্ধ করতে পারছি না। গতকাল, যখন আমি বাড়িতে এটি পরিমাপ করছিলাম, তখন আমি সম্পূর্ণ আতঙ্কিত হয়ে পড়লাম, এবং এটি প্রায় 120 এ উঠে গেল। এরপর, আমি শান্ত হওয়ার চেষ্টা করলাম, এবং এটি প্রায় 90 (এখনও উচ্চ IMHO) স্থিতিশীল হয"&amp;"়ে গেল। দিনের বেলায় আমি সাধারণত আরও শান্ত থাকি এবং আজ ঘুম থেকে ওঠার পর থেকে এটি 70-80 এর মধ্যে দুলছে। তবে, রাতে আমি আতঙ্কিত হই এবং আমার ঘুমাতে সত্যিই সমস্যা হচ্ছে। আমার প্রধান উদ্বেগ হল আসলে কোনও অন্তর্নিহিত হার্টের সমস্যা হতে পারে। আমার শেষ কার্ডিওলজিকা"&amp;"ল পরিদর্শন 3 বছর আগে হয়েছিল এবং কোনও সমস্যা হয়নি, তবে আমি এখনও নিশ্চিত নই। আমার কি একজন কার্ডিওলজিস্টের কাছে যাওয়া উচিত নাকি এটি সবই স্ট্রেস/উদ্বেগের সাথে সম্পর্কিত? আমি পুরোপুরি জানি যে Reddit মেডিকেল পরীক্ষার বিকল্প নয়, তবে আমি ভেবেছিলাম এই সাব-এ আম"&amp;"ার মতো কিছু অভিজ্ঞতা পেতে পারি। যেকোনো পরামর্শ সত্যিই প্রশংসিত, আগাম ধন্যবাদ!")</f>
        <v>আমি আমার হৃদস্পন্দন নিয়ে সবসময় চিন্তিত থাকি। উদ্বেগ? হ্যালো। আমি ২০ বছর বয়সী, আমি বর্তমানে কোনও ওষুধ খাই না এবং আমার (এখনও) উদ্বেগ ধরা পড়েনি, কিন্তু কয়েক মাস আগে ঘটে যাওয়া এক অত্যন্ত চাপের সময় থেকে, লক্ষণগুলি সম্পূর্ণরূপে সেখানেই রয়েছে। যাইহোক, প্রথমে এটি কেবল প্যারানয়া, অযৌক্তিক ভয়, উদ্বেগ এবং এই জাতীয় সবকিছুই ছিল, মূলত আমার মনে। গত মাসে আমার মাথা ঘোরা শুরু হওয়ার আগে এবং আমি উদ্বেগের সাথে সম্পর্কিত শারীরিক লক্ষণগুলি লক্ষ্য করতে শুরু করি: অস্থিরতা, মাথা ঘোরা, মাথা ঘোরার মতো সংক্ষিপ্ত অনুভূতি। আমি এটি নিয়ে ভাবতে থাকি, সম্ভবত আমার অবস্থার অবনতি হতে পারে, যতক্ষণ না প্রায় তিন দিন পরে সেগুলি চলে যায়। এখন, আমার হৃদস্পন্দনের একই রকম সমস্যা হচ্ছে। কয়েকদিন আগে উদ্বেগের আক্রমণে আক্রান্ত হওয়ার পর, আমি লক্ষ্য করেছি যে আমি আমার হৃদস্পন্দন দ্রুতগতিতে অনুভব করছি এবং তারপর থেকে আমি এটি নিয়ে চিন্তা করা বন্ধ করতে পারছি না। গতকাল, যখন আমি বাড়িতে এটি পরিমাপ করছিলাম, তখন আমি সম্পূর্ণ আতঙ্কিত হয়ে পড়লাম, এবং এটি প্রায় 120 এ উঠে গেল। এরপর, আমি শান্ত হওয়ার চেষ্টা করলাম, এবং এটি প্রায় 90 (এখনও উচ্চ IMHO) স্থিতিশীল হয়ে গেল। দিনের বেলায় আমি সাধারণত আরও শান্ত থাকি এবং আজ ঘুম থেকে ওঠার পর থেকে এটি 70-80 এর মধ্যে দুলছে। তবে, রাতে আমি আতঙ্কিত হই এবং আমার ঘুমাতে সত্যিই সমস্যা হচ্ছে। আমার প্রধান উদ্বেগ হল আসলে কোনও অন্তর্নিহিত হার্টের সমস্যা হতে পারে। আমার শেষ কার্ডিওলজিকাল পরিদর্শন 3 বছর আগে হয়েছিল এবং কোনও সমস্যা হয়নি, তবে আমি এখনও নিশ্চিত নই। আমার কি একজন কার্ডিওলজিস্টের কাছে যাওয়া উচিত নাকি এটি সবই স্ট্রেস/উদ্বেগের সাথে সম্পর্কিত? আমি পুরোপুরি জানি যে Reddit মেডিকেল পরীক্ষার বিকল্প নয়, তবে আমি ভেবেছিলাম এই সাব-এ আমার মতো কিছু অভিজ্ঞতা পেতে পারি। যেকোনো পরামর্শ সত্যিই প্রশংসিত, আগাম ধন্যবাদ!</v>
      </c>
    </row>
    <row r="2700" spans="1:3" ht="15" x14ac:dyDescent="0.25">
      <c r="A2700" s="3" t="s">
        <v>2693</v>
      </c>
      <c r="B2700" s="3" t="s">
        <v>1992</v>
      </c>
      <c r="C2700" s="4" t="str">
        <f ca="1">IFERROR(__xludf.DUMMYFUNCTION("GOOGLETRANSLATE(A2700, ""auto"", ""bn"")"),"আমার মনে হয় আমার পরিবার আমার একচেটিয়া এবং অন্তর্মুখী আচরণ দেখে বিরক্ত হয়, এবং আমি এটা নিয়ে কিছুটা চিন্তিত বোধ করি। আমার মনে হয় আমার পরিবারের সবার মধ্যে আমি অবশ্যই সবচেয়ে বড় অন্তর্মুখী। তাছাড়া, আমি আমার বেশিরভাগ সময় আমার ঘরে কাটাই, এবং যখনই আমি বা"&amp;"ইরে যাই, তা হল আমাদের স্থানীয় শহরের কফি শপে যেতে, যেখানে আমি কেবল কোণে একটি টেবিলে বসে থাকি, আমার হেডফোন লাগিয়ে নিজেকে পৃথিবী থেকে দূরে সরিয়ে নিই। (যদি কেউ ভাবছে, আমার বন্ধু আছে, এবং আমি বাইরে যাই এবং এই উপলক্ষে তাদের সাথে মজা করি, তাই আমি একাকীত্ব বা "&amp;"অন্য কিছুতে ভুগছি না) আমি সাধারণত আমার পরিবারের সাথে খুব শান্ত থাকি (এমন সময় আছে যখন আমি আরাম করতে পারি, অনেক কথা বলতে পারি এবং মজা করতে পারি), এবং যখনই আমরা বাইরে যাই, আমি সাধারণত আমার হেডফোন লাগিয়ে নিজেকে একা রাখি। আমি লক্ষ্য করি গাড়ির অন্য সবাই কথা "&amp;"বলছে এবং মজা করছে, এবং আমি মনে মনে ভাবি ""আমি কি এখন যা করছি তা করে আমার পরিবারকে বিরক্ত করছি?"" আমি যে অন্যান্য 'সিগনেচার ইন্ট্রোভার্ট' কাজগুলো করি, সেগুলোর ক্ষেত্রেও একই কথা প্রযোজ্য: আমি রাতের খাবারের টেবিল থেকে তাড়াতাড়ি বেরিয়ে যাই যাতে আমাকে নিজের "&amp;"ইচ্ছামতো কাজ করতে হয়; আমি একা কফি শপে অনেক সময় যাই; পরিবারের সাথে দেখা করার সময় আমি খুব বেশি কথা বলি না; ইত্যাদি। যখনই আমি এই ধরণের কাজ করি, তখন আমি সত্যিই খারাপ বোধ না করে থাকতে পারি না, যদিও প্রায়শই আমি আর বেশিক্ষণ থাকতে পারতাম না। এবং আসল কথা হল, আ"&amp;"মি সত্যিই আমার পরিবারের সাথে আরও স্বাচ্ছন্দ্য বোধ করতে চাই, কারণ আমি জানি তারা সবাই দুর্দান্ত মানুষ। বিশেষ করে আমার বাবা এবং আমার ভাই, কারণ তারা আমার পরিচিত সবচেয়ে মজার এবং অদ্ভুত মানুষ। TL;DR আমার পরিবারের সাথে অতিরিক্ত একাকীত্বের জন্য আমার খারাপ লাগে এ"&amp;"বং আমি এটি পরিবর্তন করতে চাই। শুধু মনে হলো আমার এটা আমার বুক থেকে সরিয়ে ফেলা দরকার, এইটুকুই :)")</f>
        <v>আমার মনে হয় আমার পরিবার আমার একচেটিয়া এবং অন্তর্মুখী আচরণ দেখে বিরক্ত হয়, এবং আমি এটা নিয়ে কিছুটা চিন্তিত বোধ করি। আমার মনে হয় আমার পরিবারের সবার মধ্যে আমি অবশ্যই সবচেয়ে বড় অন্তর্মুখী। তাছাড়া, আমি আমার বেশিরভাগ সময় আমার ঘরে কাটাই, এবং যখনই আমি বাইরে যাই, তা হল আমাদের স্থানীয় শহরের কফি শপে যেতে, যেখানে আমি কেবল কোণে একটি টেবিলে বসে থাকি, আমার হেডফোন লাগিয়ে নিজেকে পৃথিবী থেকে দূরে সরিয়ে নিই। (যদি কেউ ভাবছে, আমার বন্ধু আছে, এবং আমি বাইরে যাই এবং এই উপলক্ষে তাদের সাথে মজা করি, তাই আমি একাকীত্ব বা অন্য কিছুতে ভুগছি না) আমি সাধারণত আমার পরিবারের সাথে খুব শান্ত থাকি (এমন সময় আছে যখন আমি আরাম করতে পারি, অনেক কথা বলতে পারি এবং মজা করতে পারি), এবং যখনই আমরা বাইরে যাই, আমি সাধারণত আমার হেডফোন লাগিয়ে নিজেকে একা রাখি। আমি লক্ষ্য করি গাড়ির অন্য সবাই কথা বলছে এবং মজা করছে, এবং আমি মনে মনে ভাবি "আমি কি এখন যা করছি তা করে আমার পরিবারকে বিরক্ত করছি?" আমি যে অন্যান্য 'সিগনেচার ইন্ট্রোভার্ট' কাজগুলো করি, সেগুলোর ক্ষেত্রেও একই কথা প্রযোজ্য: আমি রাতের খাবারের টেবিল থেকে তাড়াতাড়ি বেরিয়ে যাই যাতে আমাকে নিজের ইচ্ছামতো কাজ করতে হয়; আমি একা কফি শপে অনেক সময় যাই; পরিবারের সাথে দেখা করার সময় আমি খুব বেশি কথা বলি না; ইত্যাদি। যখনই আমি এই ধরণের কাজ করি, তখন আমি সত্যিই খারাপ বোধ না করে থাকতে পারি না, যদিও প্রায়শই আমি আর বেশিক্ষণ থাকতে পারতাম না। এবং আসল কথা হল, আমি সত্যিই আমার পরিবারের সাথে আরও স্বাচ্ছন্দ্য বোধ করতে চাই, কারণ আমি জানি তারা সবাই দুর্দান্ত মানুষ। বিশেষ করে আমার বাবা এবং আমার ভাই, কারণ তারা আমার পরিচিত সবচেয়ে মজার এবং অদ্ভুত মানুষ। TL;DR আমার পরিবারের সাথে অতিরিক্ত একাকীত্বের জন্য আমার খারাপ লাগে এবং আমি এটি পরিবর্তন করতে চাই। শুধু মনে হলো আমার এটা আমার বুক থেকে সরিয়ে ফেলা দরকার, এইটুকুই :)</v>
      </c>
    </row>
    <row r="2701" spans="1:3" ht="15" x14ac:dyDescent="0.25">
      <c r="A2701" s="3" t="s">
        <v>2694</v>
      </c>
      <c r="B2701" s="3" t="s">
        <v>1992</v>
      </c>
      <c r="C2701" s="4" t="str">
        <f ca="1">IFERROR(__xludf.DUMMYFUNCTION("GOOGLETRANSLATE(A2701, ""auto"", ""bn"")"),"ঔষধ আর ব্যক্তিত্ব? আমি এমন দুশ্চিন্তায় ভুগছি যা সম্প্রতি সবচেয়ে ভালো ছেলের সাথে আমার সম্পর্ক নষ্ট করে দিয়েছে কারণ আমার মধ্যে এটি দ্রুত ঠিক করার শক্তি ছিল না। আমার মাথায় কিছুই সাহায্য করবে না কারণ আমার চিন্তাভাবনাগুলি বাস্তব ছিল (স্পষ্টতই নয়) এবং গত 2"&amp;" থেকে 3 মাস ধরে আমি সত্যিই বুঝতে পেরেছি যে আমি সত্যিই এতে ভুগছি এবং আমার উদ্বেগগুলি সম্পূর্ণ অযৌক্তিক এবং স্বাভাবিক নয়। আমি কয়েক সপ্তাহ ধরে এটি নিয়ে কাজ করছি। আমি থেরাপির জন্য একটি ফোন কলের জন্য অপেক্ষা করছি, এবং IUD নেওয়া হরমোনকে সাহায্য করে কারণ আমি"&amp;" বিশ্বাস করি যে আমিও PMDD তে ভুগছি। তাছাড়া, আমি উদ্বেগের ওষুধ খাওয়ার বিষয়ে চিন্তিত কারণ এটি আমার সম্পূর্ণ ব্যক্তিত্ব এবং আমার পরিচয় পরিবর্তন করবে। তাছাড়া, আমি আমার মাকে তার বিষণ্ণতার জন্য অনেক ওষুধ খেতে দেখেছি এবং এর মধ্যে কিছু তাকে জম্বি করে তুলেছিল। "&amp;"সে সম্পূর্ণ ভিন্ন ব্যক্তি ছিল। আমি ভাবছিলাম উদ্বেগের ওষুধ কি অ্যান্টিডিপ্রেসেন্টের মতো একই প্রভাব ফেলে? আর, আমি নিশ্চিত নই যে জোলফট কি উদ্বেগের ওষুধ নাকি বিষণ্ণতার ওষুধ, তবে আমার মনে আছে একজন মহিলার মন্তব্য দেখেছিলাম যিনি আমার মতো একই সমস্যার মধ্য দিয়ে গ"&amp;"েছেন, এবং তিনি বলেছিলেন যে জোলফট সাহায্য করেছে, তাই আমি সেখান থেকে শুরু করার দিকে ঝুঁকছি। আপনার ছেলের আপনার নেওয়া কোনও উদ্বেগের ওষুধের অভিজ্ঞতা এবং যদি আদৌ থাকে তবে সেগুলি আপনার ব্যক্তিত্বকে কীভাবে প্রভাবিত করেছে, তা কি আমি জানতে পারি?")</f>
        <v>ঔষধ আর ব্যক্তিত্ব? আমি এমন দুশ্চিন্তায় ভুগছি যা সম্প্রতি সবচেয়ে ভালো ছেলের সাথে আমার সম্পর্ক নষ্ট করে দিয়েছে কারণ আমার মধ্যে এটি দ্রুত ঠিক করার শক্তি ছিল না। আমার মাথায় কিছুই সাহায্য করবে না কারণ আমার চিন্তাভাবনাগুলি বাস্তব ছিল (স্পষ্টতই নয়) এবং গত 2 থেকে 3 মাস ধরে আমি সত্যিই বুঝতে পেরেছি যে আমি সত্যিই এতে ভুগছি এবং আমার উদ্বেগগুলি সম্পূর্ণ অযৌক্তিক এবং স্বাভাবিক নয়। আমি কয়েক সপ্তাহ ধরে এটি নিয়ে কাজ করছি। আমি থেরাপির জন্য একটি ফোন কলের জন্য অপেক্ষা করছি, এবং IUD নেওয়া হরমোনকে সাহায্য করে কারণ আমি বিশ্বাস করি যে আমিও PMDD তে ভুগছি। তাছাড়া, আমি উদ্বেগের ওষুধ খাওয়ার বিষয়ে চিন্তিত কারণ এটি আমার সম্পূর্ণ ব্যক্তিত্ব এবং আমার পরিচয় পরিবর্তন করবে। তাছাড়া, আমি আমার মাকে তার বিষণ্ণতার জন্য অনেক ওষুধ খেতে দেখেছি এবং এর মধ্যে কিছু তাকে জম্বি করে তুলেছিল। সে সম্পূর্ণ ভিন্ন ব্যক্তি ছিল। আমি ভাবছিলাম উদ্বেগের ওষুধ কি অ্যান্টিডিপ্রেসেন্টের মতো একই প্রভাব ফেলে? আর, আমি নিশ্চিত নই যে জোলফট কি উদ্বেগের ওষুধ নাকি বিষণ্ণতার ওষুধ, তবে আমার মনে আছে একজন মহিলার মন্তব্য দেখেছিলাম যিনি আমার মতো একই সমস্যার মধ্য দিয়ে গেছেন, এবং তিনি বলেছিলেন যে জোলফট সাহায্য করেছে, তাই আমি সেখান থেকে শুরু করার দিকে ঝুঁকছি। আপনার ছেলের আপনার নেওয়া কোনও উদ্বেগের ওষুধের অভিজ্ঞতা এবং যদি আদৌ থাকে তবে সেগুলি আপনার ব্যক্তিত্বকে কীভাবে প্রভাবিত করেছে, তা কি আমি জানতে পারি?</v>
      </c>
    </row>
    <row r="2702" spans="1:3" ht="15" x14ac:dyDescent="0.25">
      <c r="A2702" s="3" t="s">
        <v>2695</v>
      </c>
      <c r="B2702" s="3" t="s">
        <v>1992</v>
      </c>
      <c r="C2702" s="4" t="str">
        <f ca="1">IFERROR(__xludf.DUMMYFUNCTION("GOOGLETRANSLATE(A2702, ""auto"", ""bn"")"),"Prozac-তে চার মাসের ছুটি হ্যালো বন্ধুরা, আমি আমার গল্পের কিছুটা অংশ শেয়ার করতে চেয়েছিলাম। আরও বিস্তারিত জানার জন্য আপনি এই সাব-এর উপর আমার অন্যান্য মন্তব্যগুলি খুঁজে পেতে পারেন কারণ আমি আমার সবচেয়ে অন্ধকার সময়ে এটি ব্যবহার করেছিলাম। ২০১৭ সালের গ্রীষ্ম"&amp;"ে, আমি সবচেয়ে খারাপ প্যানিক অ্যাটাকের শিকার হয়েছিলাম (এবং আশা করি কখনও হবে)। এটি আমাকে সম্পূর্ণরূপে বদলে দিয়েছে, তার পরে কিছুক্ষণের জন্য আমি একজন ব্যক্তির মতো হয়ে পড়েছিলাম। আমার আর কোনও উপায় ছিল না, আমাকে চিকিৎসা নিতে হয়েছিল। আমার প্যানিক ডিসঅর্ডার"&amp;" ধরা পড়ে এবং আমি ৪০ মিলিগ্রাম প্রোজ্যাক লিখে দিই। এক বা দুই মাস পর, আমি আবার কিছুটা স্বাভাবিক বোধ করি। এখন চার মাস আগে প্রোজ্যাক বন্ধ করার কথা... আমি সবসময় জানতাম যে আমি আমার বাকি জীবন Prozac নিতে চাই না কিন্তু যদি বেঁচে থাকার জন্য এটিই আমার প্রয়োজন হয"&amp;"় তবে তা গ্রহণ করতে ইচ্ছুক ছিলাম। জুলাইয়ের শেষে, আমি সারা দেশে ফিরে গিয়েছিলাম যেখানে আমি কলেজে গিয়েছিলাম এবং পরিবারের সাথে ঘনিষ্ঠ হয়েছিলাম। আমার কোম্পানিতে আমি একটি পদোন্নতি পেয়েছিলাম যার ফলে চাকরি এবং কাজের পরিবেশ কম চাপের মধ্যে পড়েছিল। আমার বয়ফ্র"&amp;"েন্ড আর আমি একটা অসাধারণ অ্যাপার্টমেন্ট পেয়েছিলাম যেখানে কোনও রুমমেট ছিল না (গত তিন বছর ধরে আমরা যখন তার সাথে থাকতাম, তখন আমার প্রাক্তন রুমমেটের সাথে সমস্যা ছিল)। আমার মনে হচ্ছিল আমি একটা নিখুঁত জায়গায় আছি। তারপর আমার প্রেসক্রিপশন রিফিল করার সময় এসে গেল"&amp;"... সংক্ষেপে, সিভিএস-এ গিয়ে আমি কি প্রেসক্রিপশন নিতে পারব নাকি আমার বীমায় সিভিএস ইয়ারমার্কের মাধ্যমে ডাকযোগে পাঠানোর প্রয়োজন ছিল, তা নিয়ে একটা দ্বিধা তৈরি হয়ে গেল। এই পুরো বিপর্যয়টা সারিয়ে তোলা হয়ে গেল, তাই পাঁচ দিন ধরে আমি কোনও প্রোজ্যাক খাইনি। অবশেষে,"&amp;" সিভিএস থেকে আমাকে এটি নিতে অনুমতি দেওয়া হল, তাই যত তাড়াতাড়ি সম্ভব গেলাম। আমি রাস্তায় সামনে গাড়ি দাঁড় করিয়ে দৌড়ে এসে জানতে পারি যে ওভাররাইড মাত্র ২৪ ঘন্টার জন্য কার্যকর, এবং তারা আমাকে তা দিতে পারেনি। আমি বাইরে গিয়ে দেখি আমার গাড়িটি নেই। বিকেল ৪:০০টার "&amp;"পর রাস্তার ওই পাশে কোনও পার্কিং ছিল না। যখন বের হলাম তখন বিকাল ৪:০৫টা। আমার গাড়িটি টো করা হয়েছে। আমার গাড়িটি ফিরিয়ে আনার কাজ করার পর এবং পরিস্থিতির মধ্যে আমি সম্পূর্ণ শান্ত ছিলাম বুঝতে পেরে, আমি ভেবেছিলাম হয়তো এটাই সময়। হয়তো এটা এক অদ্ভুত লক্ষণ যে আমার"&amp;" ওষুধ খাওয়া বন্ধ করে দেওয়া উচিত। আমি অনেক গবেষণা করেছি এবং জানি যে দুধ ছাড়িয়ে দেওয়াটাই এটা করার সবচেয়ে ভালো উপায়। কিছু একটা আমাকে বলছিল যে আমি ঠিক থাকবো। তাই আমি তখন থেকেই প্রোজ্যাক ছেড়ে দিয়েছি, এবং আমি খুশি যে আমি ভালো করছি। আসলে আমি প্রোজ্যাকের চেয়ে আম"&amp;"ার আবেগ বেশি অনুভব করি। আমার আনন্দ আরও বেশি সত্যিকারের, দুঃখজনক সিনেমা দেখার সময় আমি বেশি কাঁদি। আমি স্বাভাবিক বোধ করি, প্যানিক ডিসঅর্ডার ধরা পড়ার পর প্রথম প্রোজ্যাক নেওয়ার সময় যে স্বাভাবিক অনুভূতি হচ্ছিল তা নয়। আমি কখনও ভাবিনি যে আমি এখানে এমন অনুভূতি অন"&amp;"ুভব করতে পারব। তাছাড়া, খারাপ প্যানিক অ্যাটাকের পর কিছুক্ষণের জন্য আমি আত্মহত্যা করতে শুরু করেছিলাম এবং নিজেকে বলেছিলাম যে আমি আত্মহত্যা করব এবং তারপর আবার এমন কিছুর মধ্য দিয়ে যাব। তাছাড়া, আমি কেবল আমার গল্পটি শেয়ার করতে চেয়েছিলাম কারণ আমি জানি যখন আমি এই "&amp;"সাব-টি ঘন ঘন ব্যবহার করতাম তখন আমি সাফল্যের গল্প দেখতে খুব বেশি আগ্রহী ছিলাম এবং আমি খুব কমই করতাম। আমার উদ্দেশ্য কাউকে নিরুৎসাহিত করা বা ওষুধ খাওয়ার চেয়ে কম বোধ করা নয়। এটি ছাড়া আমি বাঁচতাম না। আমি আশা করি যারা এগুলো থেকে মুক্তি পেতে চান তারা একদিন স"&amp;"্বাচ্ছন্দ্যে ফিরে আসতে পারবেন। আর যদি নাও পারেন, তাহলেও ঠিক আছে। আপনার জীবনে যে কোনও মানসিক ব্যাধির চিকিৎসার জন্য ওষুধ খাওয়ার মধ্যে কোনও ভুল নেই। আমার শুভকামনা আপনাদের সকলের জন্য যারা লড়াই করছেন।")</f>
        <v>Prozac-তে চার মাসের ছুটি হ্যালো বন্ধুরা, আমি আমার গল্পের কিছুটা অংশ শেয়ার করতে চেয়েছিলাম। আরও বিস্তারিত জানার জন্য আপনি এই সাব-এর উপর আমার অন্যান্য মন্তব্যগুলি খুঁজে পেতে পারেন কারণ আমি আমার সবচেয়ে অন্ধকার সময়ে এটি ব্যবহার করেছিলাম। ২০১৭ সালের গ্রীষ্মে, আমি সবচেয়ে খারাপ প্যানিক অ্যাটাকের শিকার হয়েছিলাম (এবং আশা করি কখনও হবে)। এটি আমাকে সম্পূর্ণরূপে বদলে দিয়েছে, তার পরে কিছুক্ষণের জন্য আমি একজন ব্যক্তির মতো হয়ে পড়েছিলাম। আমার আর কোনও উপায় ছিল না, আমাকে চিকিৎসা নিতে হয়েছিল। আমার প্যানিক ডিসঅর্ডার ধরা পড়ে এবং আমি ৪০ মিলিগ্রাম প্রোজ্যাক লিখে দিই। এক বা দুই মাস পর, আমি আবার কিছুটা স্বাভাবিক বোধ করি। এখন চার মাস আগে প্রোজ্যাক বন্ধ করার কথা... আমি সবসময় জানতাম যে আমি আমার বাকি জীবন Prozac নিতে চাই না কিন্তু যদি বেঁচে থাকার জন্য এটিই আমার প্রয়োজন হয় তবে তা গ্রহণ করতে ইচ্ছুক ছিলাম। জুলাইয়ের শেষে, আমি সারা দেশে ফিরে গিয়েছিলাম যেখানে আমি কলেজে গিয়েছিলাম এবং পরিবারের সাথে ঘনিষ্ঠ হয়েছিলাম। আমার কোম্পানিতে আমি একটি পদোন্নতি পেয়েছিলাম যার ফলে চাকরি এবং কাজের পরিবেশ কম চাপের মধ্যে পড়েছিল। আমার বয়ফ্রেন্ড আর আমি একটা অসাধারণ অ্যাপার্টমেন্ট পেয়েছিলাম যেখানে কোনও রুমমেট ছিল না (গত তিন বছর ধরে আমরা যখন তার সাথে থাকতাম, তখন আমার প্রাক্তন রুমমেটের সাথে সমস্যা ছিল)। আমার মনে হচ্ছিল আমি একটা নিখুঁত জায়গায় আছি। তারপর আমার প্রেসক্রিপশন রিফিল করার সময় এসে গেল... সংক্ষেপে, সিভিএস-এ গিয়ে আমি কি প্রেসক্রিপশন নিতে পারব নাকি আমার বীমায় সিভিএস ইয়ারমার্কের মাধ্যমে ডাকযোগে পাঠানোর প্রয়োজন ছিল, তা নিয়ে একটা দ্বিধা তৈরি হয়ে গেল। এই পুরো বিপর্যয়টা সারিয়ে তোলা হয়ে গেল, তাই পাঁচ দিন ধরে আমি কোনও প্রোজ্যাক খাইনি। অবশেষে, সিভিএস থেকে আমাকে এটি নিতে অনুমতি দেওয়া হল, তাই যত তাড়াতাড়ি সম্ভব গেলাম। আমি রাস্তায় সামনে গাড়ি দাঁড় করিয়ে দৌড়ে এসে জানতে পারি যে ওভাররাইড মাত্র ২৪ ঘন্টার জন্য কার্যকর, এবং তারা আমাকে তা দিতে পারেনি। আমি বাইরে গিয়ে দেখি আমার গাড়িটি নেই। বিকেল ৪:০০টার পর রাস্তার ওই পাশে কোনও পার্কিং ছিল না। যখন বের হলাম তখন বিকাল ৪:০৫টা। আমার গাড়িটি টো করা হয়েছে। আমার গাড়িটি ফিরিয়ে আনার কাজ করার পর এবং পরিস্থিতির মধ্যে আমি সম্পূর্ণ শান্ত ছিলাম বুঝতে পেরে, আমি ভেবেছিলাম হয়তো এটাই সময়। হয়তো এটা এক অদ্ভুত লক্ষণ যে আমার ওষুধ খাওয়া বন্ধ করে দেওয়া উচিত। আমি অনেক গবেষণা করেছি এবং জানি যে দুধ ছাড়িয়ে দেওয়াটাই এটা করার সবচেয়ে ভালো উপায়। কিছু একটা আমাকে বলছিল যে আমি ঠিক থাকবো। তাই আমি তখন থেকেই প্রোজ্যাক ছেড়ে দিয়েছি, এবং আমি খুশি যে আমি ভালো করছি। আসলে আমি প্রোজ্যাকের চেয়ে আমার আবেগ বেশি অনুভব করি। আমার আনন্দ আরও বেশি সত্যিকারের, দুঃখজনক সিনেমা দেখার সময় আমি বেশি কাঁদি। আমি স্বাভাবিক বোধ করি, প্যানিক ডিসঅর্ডার ধরা পড়ার পর প্রথম প্রোজ্যাক নেওয়ার সময় যে স্বাভাবিক অনুভূতি হচ্ছিল তা নয়। আমি কখনও ভাবিনি যে আমি এখানে এমন অনুভূতি অনুভব করতে পারব। তাছাড়া, খারাপ প্যানিক অ্যাটাকের পর কিছুক্ষণের জন্য আমি আত্মহত্যা করতে শুরু করেছিলাম এবং নিজেকে বলেছিলাম যে আমি আত্মহত্যা করব এবং তারপর আবার এমন কিছুর মধ্য দিয়ে যাব। তাছাড়া, আমি কেবল আমার গল্পটি শেয়ার করতে চেয়েছিলাম কারণ আমি জানি যখন আমি এই সাব-টি ঘন ঘন ব্যবহার করতাম তখন আমি সাফল্যের গল্প দেখতে খুব বেশি আগ্রহী ছিলাম এবং আমি খুব কমই করতাম। আমার উদ্দেশ্য কাউকে নিরুৎসাহিত করা বা ওষুধ খাওয়ার চেয়ে কম বোধ করা নয়। এটি ছাড়া আমি বাঁচতাম না। আমি আশা করি যারা এগুলো থেকে মুক্তি পেতে চান তারা একদিন স্বাচ্ছন্দ্যে ফিরে আসতে পারবেন। আর যদি নাও পারেন, তাহলেও ঠিক আছে। আপনার জীবনে যে কোনও মানসিক ব্যাধির চিকিৎসার জন্য ওষুধ খাওয়ার মধ্যে কোনও ভুল নেই। আমার শুভকামনা আপনাদের সকলের জন্য যারা লড়াই করছেন।</v>
      </c>
    </row>
    <row r="2703" spans="1:3" ht="15" x14ac:dyDescent="0.25">
      <c r="A2703" s="3" t="s">
        <v>2696</v>
      </c>
      <c r="B2703" s="3" t="s">
        <v>1992</v>
      </c>
      <c r="C2703" s="4" t="str">
        <f ca="1">IFERROR(__xludf.DUMMYFUNCTION("GOOGLETRANSLATE(A2703, ""auto"", ""bn"")"),"বিটা ব্লকার ব্যবহার করার অভিজ্ঞতা আছে কি কারো? পরামর্শ চাইছি... আমি অনেক দিন ধরেই উদ্বেগে ভুগছি। কর্মক্ষেত্রে আমার নতুন ভূমিকায়, আমাকে বড় দলের সামনে আরও বেশি কথা বলতে হবে। দলটি যত ছোট বা বড় হোক বা আমি তাদের যতই ভালোভাবে চিনি না কেন, পরিস্থিতি সম্পর্কে আমা"&amp;"র আবেগপ্রবণ চিন্তাভাবনা এবং উদ্বেগ নিয়ন্ত্রণ করতে আমার খুব কষ্ট হচ্ছে। আমার থেরাপিস্টের সাথে কথোপকথনে, তিনি বিটা ব্লকারগুলির কথা উল্লেখ করেছিলেন এবং আমি কিছুটা গবেষণা করছি। জনসমক্ষে কথা বলার সময় আমার লক্ষণগুলির উপর ভিত্তি করে এগুলি সাহায্য করতে পারে বলে"&amp;" মনে হচ্ছে। আমার প্রস্তুত হতে কোনও সমস্যা হচ্ছে না, তবে আমার হৃদস্পন্দন ধড়ফড় করছে এবং আমার শ্বাস-প্রশ্বাস অগভীর হয়ে যাচ্ছে। এই সমস্ত কারণে আমার কণ্ঠস্বর ভয়ানকভাবে কাঁপছে এবং কাঁপছে। আমি জানি পুরো ঘর বলতে পারে যে আমি একজন স্নায়বিক রোগী এবং আমি সুস্থ হ"&amp;"তে পারছি না। আমি এই চিন্তায় এতটাই আচ্ছন্ন হয়ে পড়েছি যে প্রতিবারই এটি ঘটবে যখন আমি এটি কাটিয়ে উঠতে এবং এটি কাটিয়ে উঠতে অক্ষম হয়ে পড়েছি। মনে হচ্ছে বিটা ব্লকারগুলি এই লক্ষণগুলি কমিয়ে দিতে পারে যাতে আমাকে নার্ভাস দেখা দেওয়ার বিষয়ে চিন্তা করতে না হয়"&amp;"? কারও কি এগুলির অভিজ্ঞতা আছে? এগুলো কি সহজে পাওয়া যায়? আমি কি শুধু আমার ডাক্তারের সাথে অ্যাপয়েন্টমেন্ট নিয়ে তাদের নিয়ে যেতে পারি, নাকি এটা আরও জটিল হবে? ওষুধ খাওয়ার ধারণাটা আমার ভালো লাগে না। আমি অনেক দিন ধরে এটা এড়িয়ে চলতে পেরেছি, কিন্তু আমার মনে হয় এট"&amp;"ার অন্য দিকে নিয়ে যাওয়ার জন্য এটা প্রয়োজন।")</f>
        <v>বিটা ব্লকার ব্যবহার করার অভিজ্ঞতা আছে কি কারো? পরামর্শ চাইছি... আমি অনেক দিন ধরেই উদ্বেগে ভুগছি। কর্মক্ষেত্রে আমার নতুন ভূমিকায়, আমাকে বড় দলের সামনে আরও বেশি কথা বলতে হবে। দলটি যত ছোট বা বড় হোক বা আমি তাদের যতই ভালোভাবে চিনি না কেন, পরিস্থিতি সম্পর্কে আমার আবেগপ্রবণ চিন্তাভাবনা এবং উদ্বেগ নিয়ন্ত্রণ করতে আমার খুব কষ্ট হচ্ছে। আমার থেরাপিস্টের সাথে কথোপকথনে, তিনি বিটা ব্লকারগুলির কথা উল্লেখ করেছিলেন এবং আমি কিছুটা গবেষণা করছি। জনসমক্ষে কথা বলার সময় আমার লক্ষণগুলির উপর ভিত্তি করে এগুলি সাহায্য করতে পারে বলে মনে হচ্ছে। আমার প্রস্তুত হতে কোনও সমস্যা হচ্ছে না, তবে আমার হৃদস্পন্দন ধড়ফড় করছে এবং আমার শ্বাস-প্রশ্বাস অগভীর হয়ে যাচ্ছে। এই সমস্ত কারণে আমার কণ্ঠস্বর ভয়ানকভাবে কাঁপছে এবং কাঁপছে। আমি জানি পুরো ঘর বলতে পারে যে আমি একজন স্নায়বিক রোগী এবং আমি সুস্থ হতে পারছি না। আমি এই চিন্তায় এতটাই আচ্ছন্ন হয়ে পড়েছি যে প্রতিবারই এটি ঘটবে যখন আমি এটি কাটিয়ে উঠতে এবং এটি কাটিয়ে উঠতে অক্ষম হয়ে পড়েছি। মনে হচ্ছে বিটা ব্লকারগুলি এই লক্ষণগুলি কমিয়ে দিতে পারে যাতে আমাকে নার্ভাস দেখা দেওয়ার বিষয়ে চিন্তা করতে না হয়? কারও কি এগুলির অভিজ্ঞতা আছে? এগুলো কি সহজে পাওয়া যায়? আমি কি শুধু আমার ডাক্তারের সাথে অ্যাপয়েন্টমেন্ট নিয়ে তাদের নিয়ে যেতে পারি, নাকি এটা আরও জটিল হবে? ওষুধ খাওয়ার ধারণাটা আমার ভালো লাগে না। আমি অনেক দিন ধরে এটা এড়িয়ে চলতে পেরেছি, কিন্তু আমার মনে হয় এটার অন্য দিকে নিয়ে যাওয়ার জন্য এটা প্রয়োজন।</v>
      </c>
    </row>
    <row r="2704" spans="1:3" ht="15" x14ac:dyDescent="0.25">
      <c r="A2704" s="3" t="s">
        <v>2697</v>
      </c>
      <c r="B2704" s="3" t="s">
        <v>1992</v>
      </c>
      <c r="C2704" s="4" t="str">
        <f ca="1">IFERROR(__xludf.DUMMYFUNCTION("GOOGLETRANSLATE(A2704, ""auto"", ""bn"")"),"Xanax নিয়ে তোমার অভিজ্ঞতা কেমন? আমার উদ্বেগের জন্য আমাকে Xanax লিখে দেওয়া হয়েছিল, আর আমি মিথ্যা বলব না যে এটা নিতে আমার একটু নার্ভাস লাগছে। এটা কি তোমাদের কারোর জন্য সাহায্য করেছে এবং আমার কি কোন সতর্কতা অবলম্বন করা উচিত?")</f>
        <v>Xanax নিয়ে তোমার অভিজ্ঞতা কেমন? আমার উদ্বেগের জন্য আমাকে Xanax লিখে দেওয়া হয়েছিল, আর আমি মিথ্যা বলব না যে এটা নিতে আমার একটু নার্ভাস লাগছে। এটা কি তোমাদের কারোর জন্য সাহায্য করেছে এবং আমার কি কোন সতর্কতা অবলম্বন করা উচিত?</v>
      </c>
    </row>
    <row r="2705" spans="1:3" ht="15" x14ac:dyDescent="0.25">
      <c r="A2705" s="3" t="s">
        <v>2698</v>
      </c>
      <c r="B2705" s="3" t="s">
        <v>1992</v>
      </c>
      <c r="C2705" s="4" t="str">
        <f ca="1">IFERROR(__xludf.DUMMYFUNCTION("GOOGLETRANSLATE(A2705, ""auto"", ""bn"")"),"আমার সম্পর্কের উপর উদ্বেগের প্রভাব কীভাবে থামাবো? আমি (১৮ফ) এক বছরেরও বেশি সময় ধরে একটি অসাধারণ ছেলের (১৮ম) সাথে ডেটিং করছি। সম্পর্কের শুরুতেই আমি তাকে আমার উদ্বেগজনিত ব্যাধি সম্পর্কে বলেছিলাম এবং তাকে ব্যাখ্যা করেছিলাম, আমি এটি নিয়ন্ত্রণের জন্য ওষুধ খা"&amp;"চ্ছি। সে এতে সম্পূর্ণরূপে ঠিক ছিল, কারণ সে বিষণ্ণতার মতো অন্যান্য মানসিক অসুস্থতার সাথেও লড়াই করে। তবে, আমি এখন চিন্তিত যে সে আমার উদ্বেগে অসুস্থ হয়ে পড়বে এবং অবশেষে আমাকে ছেড়ে চলে যাবে কারণ সে এটি সহ্য করতে পারবে না। কয়েক মাস আগে যখন আমি জানতে পারি "&amp;"যে সে তার পরিচিত একটি মেয়ের সাথে প্রেম করছে যাকে সে গ্রীষ্মকালীন প্রোগ্রামে নিয়েছিল। অবশ্যই, এটি আমার ইতিমধ্যেই উদ্বেগজনক মনোভাবের সাথে মিলিত হয়েছিল যা আমার সাথে ভালোভাবে যায় নি। তারপর থেকে আমি তাকে তার টেক্সট, তার স্ন্যাপচ্যাট ইত্যাদি দেখাতে বলে আসছি"&amp;"। যখন সে অন্য মেয়েদের সাথে আড্ডা দেয় এবং আমি সেখানে না থাকি তখন আমার আতঙ্কিত হওয়ার আক্রমণ হয়। মেয়েরা যদি তার সাথে বন্ধুত্বপূর্ণ হয় বা আড্ডা দিতে চায়, আমি ভয় পাই। আমি বুঝতে পারছি আমি এখানে ভুল হতে পারি, কিন্তু আমি জানি না কিভাবে পরিবর্তন করবো? বিশে"&amp;"ষ করে এখন যখন আমার এইরকম হওয়ার কারণ তৈরি হয়েছে। সে যে মেয়েটির সাথে গ্রীষ্মকাল কাটিয়েছে তার প্রতি আমার একটা খারাপ অনুভূতি ছিল, তাই এখন যখনই আমার খারাপ অনুভূতি হয় তখনই মনে হয় কিছু একটা ভুল আছে। সে গ্রীষ্মকালীন প্রোগ্রামের লোকেদের সাথে বোলিং করতে গিয়ে"&amp;"ছিল এবং আমাকে পিছনে ফেলে চলে গিয়েছিল, তাই আমার অনেক দিনের মধ্যে সবচেয়ে খারাপ প্যানিক অ্যাটাক হয়েছিল এবং বছরের পর বছর ধরে প্রথমবারের মতো নিজেকে আঘাত করেছি। আমি জানি না কিভাবে আমার মনোভাব পরিবর্তন করব। আমি আমাদের সম্পর্ক নিয়ে খুব সিরিয়াস এবং আমি তাকে ব"&amp;"িয়ে করতে চাই, এবং যেদিন আমি তার সাথে দেখা করেছি সেদিন থেকেই আমার এই অনুভূতি হয়েছে। সে আমাকে বলে যে সেও আমাকে বিয়ে করতে চায়? (রেকর্ডের জন্য, সে দাবি করে যে সে সবসময় সেই মেয়েটিকে বন্ধু হিসেবে দেখত, কিন্তু স্বীকার করে যে সে তার সাথে অনুপযুক্ত আচরণ করছি"&amp;"ল। সে আমাকে বলেছিল যে সে আমাকে ছেড়ে যাওয়ার পরিকল্পনা করেনি)। কিন্তু আমি এখনও রাতে ঘুম থেকে উঠে দুঃস্বপ্ন দেখি যে সে আমাকে ছেড়ে যাচ্ছে বা অন্য মেয়ের সাথে আছে। যদি সে আমাকে ছেড়ে যায়, আমি সত্যিই জানি না আমি কী করব। সে আমার পাথর এবং আমার জীবনের ভালোবাসা"&amp;"। আমি এই সম্পর্ককে যতই কঠিন হোক না কেন, সফল করার জন্য দৃঢ়প্রতিজ্ঞ। তাহলে, আমি কীভাবে শান্ত হব এবং এতটা নিয়ন্ত্রণহীন না থাকার চেষ্টা করব? আমি কিছুতেই থামাতে পারছি না। আমার উদ্বেগ থামছে না। আমার চিন্তাভাবনা থামছে না। প্রতিবারই যখনই ছোটখাটো কিছু ঘটে তখনই আ"&amp;"মি সবচেয়ে খারাপটা ধরে নিতে পারি না। আমার জন্য কোন পরামর্শ আছে কি?")</f>
        <v>আমার সম্পর্কের উপর উদ্বেগের প্রভাব কীভাবে থামাবো? আমি (১৮ফ) এক বছরেরও বেশি সময় ধরে একটি অসাধারণ ছেলের (১৮ম) সাথে ডেটিং করছি। সম্পর্কের শুরুতেই আমি তাকে আমার উদ্বেগজনিত ব্যাধি সম্পর্কে বলেছিলাম এবং তাকে ব্যাখ্যা করেছিলাম, আমি এটি নিয়ন্ত্রণের জন্য ওষুধ খাচ্ছি। সে এতে সম্পূর্ণরূপে ঠিক ছিল, কারণ সে বিষণ্ণতার মতো অন্যান্য মানসিক অসুস্থতার সাথেও লড়াই করে। তবে, আমি এখন চিন্তিত যে সে আমার উদ্বেগে অসুস্থ হয়ে পড়বে এবং অবশেষে আমাকে ছেড়ে চলে যাবে কারণ সে এটি সহ্য করতে পারবে না। কয়েক মাস আগে যখন আমি জানতে পারি যে সে তার পরিচিত একটি মেয়ের সাথে প্রেম করছে যাকে সে গ্রীষ্মকালীন প্রোগ্রামে নিয়েছিল। অবশ্যই, এটি আমার ইতিমধ্যেই উদ্বেগজনক মনোভাবের সাথে মিলিত হয়েছিল যা আমার সাথে ভালোভাবে যায় নি। তারপর থেকে আমি তাকে তার টেক্সট, তার স্ন্যাপচ্যাট ইত্যাদি দেখাতে বলে আসছি। যখন সে অন্য মেয়েদের সাথে আড্ডা দেয় এবং আমি সেখানে না থাকি তখন আমার আতঙ্কিত হওয়ার আক্রমণ হয়। মেয়েরা যদি তার সাথে বন্ধুত্বপূর্ণ হয় বা আড্ডা দিতে চায়, আমি ভয় পাই। আমি বুঝতে পারছি আমি এখানে ভুল হতে পারি, কিন্তু আমি জানি না কিভাবে পরিবর্তন করবো? বিশেষ করে এখন যখন আমার এইরকম হওয়ার কারণ তৈরি হয়েছে। সে যে মেয়েটির সাথে গ্রীষ্মকাল কাটিয়েছে তার প্রতি আমার একটা খারাপ অনুভূতি ছিল, তাই এখন যখনই আমার খারাপ অনুভূতি হয় তখনই মনে হয় কিছু একটা ভুল আছে। সে গ্রীষ্মকালীন প্রোগ্রামের লোকেদের সাথে বোলিং করতে গিয়েছিল এবং আমাকে পিছনে ফেলে চলে গিয়েছিল, তাই আমার অনেক দিনের মধ্যে সবচেয়ে খারাপ প্যানিক অ্যাটাক হয়েছিল এবং বছরের পর বছর ধরে প্রথমবারের মতো নিজেকে আঘাত করেছি। আমি জানি না কিভাবে আমার মনোভাব পরিবর্তন করব। আমি আমাদের সম্পর্ক নিয়ে খুব সিরিয়াস এবং আমি তাকে বিয়ে করতে চাই, এবং যেদিন আমি তার সাথে দেখা করেছি সেদিন থেকেই আমার এই অনুভূতি হয়েছে। সে আমাকে বলে যে সেও আমাকে বিয়ে করতে চায়? (রেকর্ডের জন্য, সে দাবি করে যে সে সবসময় সেই মেয়েটিকে বন্ধু হিসেবে দেখত, কিন্তু স্বীকার করে যে সে তার সাথে অনুপযুক্ত আচরণ করছিল। সে আমাকে বলেছিল যে সে আমাকে ছেড়ে যাওয়ার পরিকল্পনা করেনি)। কিন্তু আমি এখনও রাতে ঘুম থেকে উঠে দুঃস্বপ্ন দেখি যে সে আমাকে ছেড়ে যাচ্ছে বা অন্য মেয়ের সাথে আছে। যদি সে আমাকে ছেড়ে যায়, আমি সত্যিই জানি না আমি কী করব। সে আমার পাথর এবং আমার জীবনের ভালোবাসা। আমি এই সম্পর্ককে যতই কঠিন হোক না কেন, সফল করার জন্য দৃঢ়প্রতিজ্ঞ। তাহলে, আমি কীভাবে শান্ত হব এবং এতটা নিয়ন্ত্রণহীন না থাকার চেষ্টা করব? আমি কিছুতেই থামাতে পারছি না। আমার উদ্বেগ থামছে না। আমার চিন্তাভাবনা থামছে না। প্রতিবারই যখনই ছোটখাটো কিছু ঘটে তখনই আমি সবচেয়ে খারাপটা ধরে নিতে পারি না। আমার জন্য কোন পরামর্শ আছে কি?</v>
      </c>
    </row>
    <row r="2706" spans="1:3" ht="15" x14ac:dyDescent="0.25">
      <c r="A2706" s="3" t="s">
        <v>2699</v>
      </c>
      <c r="B2706" s="3" t="s">
        <v>1992</v>
      </c>
      <c r="C2706" s="4" t="str">
        <f ca="1">IFERROR(__xludf.DUMMYFUNCTION("GOOGLETRANSLATE(A2706, ""auto"", ""bn"")"),"একবার উদ্বেগ তৈরি করলে কি তা নিরাময় করা যায়? এই বিষয়ে জানতে আগ্রহী। ২০ বছর আগে ১৮ বছর বয়সে আমার প্রথম প্যানিক অ্যাটাক হয়েছিল, গাঁজা সেবনের পর থেকে, এর আগে কখনও উদ্বেগের কোনও সমস্যা হয়নি। যদিও সেই প্রাথমিক প্যানিক অ্যাটাক থেকে আমার সবসময় উদ্বেগের সমস্যা ছ"&amp;"িল, বেশিরভাগই সাধারণ উদ্বেগ। অবশ্যই, আপনার দিন ভালো যাবে, সপ্তাহ, কখনও কখনও মাস, কিন্তু সাধারণ উদ্বেগ সবসময় ফিরে আসে। সাধারণ উদ্বেগ বলতে আমি যা বোঝাতে চাইছি তা হল অস্বস্তি বোধ করা, যেন খারাপ কিছু ঘটতে চলেছে অথবা আমার আবার প্যানিক অ্যাটাক হবে, মূলত সেই ভয"&amp;"়ের ভয়ে বেঁচে থাকা। আমি ৩ মাস আগে অ্যালকোহল ছেড়ে দিয়েছিলাম কারণ ভয়াবহ সাধারণ উদ্বেগের কারণে আমি মদ্যপানের পরের দিনই পেয়ে যেতাম, আমি অ্যালকোহল ত্যাগ করার উপর একটি বই পড়ছিলাম এবং লোকটি বলল, একবার উদ্বেগ তৈরি হলে বা হ্যাংওভারের সাথে উদ্বেগ শুরু হলে আপন"&amp;"ি সর্বদা তা পাবেন, আপনি এটি ভুলে যেতে পারবেন না, আপনি উদ্বেগ শুরু করার আগের সময়ে ফিরে যেতে পারবেন না। এবং আমি ভাবছি যে এটি কেবল হ্যাংওভার ইত্যাদির জন্য নয় বরং সাধারণ উদ্বেগের জন্য কতটা সত্য, একবার আপনি এটি শুরু করলে এটি কি তাই? আমি যেমন বলেছি, প্রথম প্য"&amp;"ানিক অ্যাটাক শুরু হওয়ার পর থেকেই আমার সবসময় এটি হয়েছে।")</f>
        <v>একবার উদ্বেগ তৈরি করলে কি তা নিরাময় করা যায়? এই বিষয়ে জানতে আগ্রহী। ২০ বছর আগে ১৮ বছর বয়সে আমার প্রথম প্যানিক অ্যাটাক হয়েছিল, গাঁজা সেবনের পর থেকে, এর আগে কখনও উদ্বেগের কোনও সমস্যা হয়নি। যদিও সেই প্রাথমিক প্যানিক অ্যাটাক থেকে আমার সবসময় উদ্বেগের সমস্যা ছিল, বেশিরভাগই সাধারণ উদ্বেগ। অবশ্যই, আপনার দিন ভালো যাবে, সপ্তাহ, কখনও কখনও মাস, কিন্তু সাধারণ উদ্বেগ সবসময় ফিরে আসে। সাধারণ উদ্বেগ বলতে আমি যা বোঝাতে চাইছি তা হল অস্বস্তি বোধ করা, যেন খারাপ কিছু ঘটতে চলেছে অথবা আমার আবার প্যানিক অ্যাটাক হবে, মূলত সেই ভয়ের ভয়ে বেঁচে থাকা। আমি ৩ মাস আগে অ্যালকোহল ছেড়ে দিয়েছিলাম কারণ ভয়াবহ সাধারণ উদ্বেগের কারণে আমি মদ্যপানের পরের দিনই পেয়ে যেতাম, আমি অ্যালকোহল ত্যাগ করার উপর একটি বই পড়ছিলাম এবং লোকটি বলল, একবার উদ্বেগ তৈরি হলে বা হ্যাংওভারের সাথে উদ্বেগ শুরু হলে আপনি সর্বদা তা পাবেন, আপনি এটি ভুলে যেতে পারবেন না, আপনি উদ্বেগ শুরু করার আগের সময়ে ফিরে যেতে পারবেন না। এবং আমি ভাবছি যে এটি কেবল হ্যাংওভার ইত্যাদির জন্য নয় বরং সাধারণ উদ্বেগের জন্য কতটা সত্য, একবার আপনি এটি শুরু করলে এটি কি তাই? আমি যেমন বলেছি, প্রথম প্যানিক অ্যাটাক শুরু হওয়ার পর থেকেই আমার সবসময় এটি হয়েছে।</v>
      </c>
    </row>
    <row r="2707" spans="1:3" ht="15" x14ac:dyDescent="0.25">
      <c r="A2707" s="3" t="s">
        <v>2700</v>
      </c>
      <c r="B2707" s="3" t="s">
        <v>1992</v>
      </c>
      <c r="C2707" s="4" t="str">
        <f ca="1">IFERROR(__xludf.DUMMYFUNCTION("GOOGLETRANSLATE(A2707, ""auto"", ""bn"")"),"উদ্বেগ আমাকে উৎপাদনশীল করে তোলে না এবং আমার মনে হয় আমি মারা যাব। দয়া করে সাহায্য করুন? আমি অনেক বছর ধরে বিষণ্ণতা এবং উদ্বেগজনিত ব্যাধিতে ভুগছি। সাধারণত এর মধ্যে থাকে অদ্ভুত, অসঙ্গত চিন্তাভাবনা এবং ভয় যা আমাকে পঙ্গু করে দেয় এবং আমাকে কখনও বিছানা ছাড়তে"&amp;" বাধ্য করে না। এর পরে উদ্বেগ মোকাবেলা করার জন্য অনেক বাধ্যতামূলক আচরণ (যেমন হাত ধোয়া, ঘর পরীক্ষা করা, প্রার্থনা করা) দেখা দেয়। এই সবকিছুই আমাকে খুব, খুব বিষণ্ণ করে তোলে কারণ আমার মনে হয় আমি একজন সাধারণ মানুষ নই এবং আমি এই পৃথিবীতে থাকার যোগ্য নই।? আমার"&amp;" সাম্প্রতিক সমস্যা হল যে বিষণ্ণতা এবং উদ্বেগ সত্যিই আমার কাজ এবং উৎপাদনশীলতার উপর প্রভাব ফেলছে। কয়েক বছর আগে, আমি এই সবকিছু মোকাবেলা করতে পারতাম, এবং আমি যতটা সম্ভব কাজ করে যেতাম এবং আমার কাজের মান নিয়ে কেউ অভিযোগ করত না। লোকেরা আমার উপর নির্ভর করত এবং "&amp;"আমি কাজটি সম্পন্ন করতাম, আমি সক্রিয় এবং দায়িত্বশীল হতাম। তবে, আজকাল, আমার মনে হয় এটি সম্পূর্ণরূপে পরিবর্তিত হয়েছে। আমার কাজে যেতে ইচ্ছে করে না, আমি সময়সীমা ভুলে যাই, আমি স্বাভাবিকের চেয়ে দ্বিগুণ সময় ব্যয় করি, এবং আমার মনে হয় যে আমি কোনও কাজে স্বা"&amp;"ভাবিকের চেয়ে দ্বিগুণ সময় ব্যয় করি, এবং আমি সম্পূর্ণরূপে অনুপ্রেরণাহীন বোধ করি। আমি ভাবতে শুরু করি যে যদি আমাকে চাকরি থেকে বরখাস্ত করা হয় তবে এটি কোনও সমস্যা হবে না, কারণ তখন আমি সারা দিন ঘুমিয়ে কাটাতে পারব, অথবা আমাকে বাড়ি থেকে বের হতে হবে না, তাই আ"&amp;"মার কোনও চিন্তা থাকবে না। তাছাড়া, আমি হতাশা এবং উদ্বেগের জন্য ওষুধ খাই। ? আমি ভাবছিলাম যে এটি কি আমি, নাকি রোগ। আমি এই অলসতার জন্য দোষী বোধ করছি, কিন্তু আমি ভাবছি যে আমি কি আসলেই এই ব্যক্তি, নাকি এটি রোগের অংশ, কথা বলার অংশ। তাছাড়া, আমাকে এমন একজন হিসেবে"&amp;" ভাবা হত যার উপর অন্যরা নির্ভর করতে পারে এবং যে সর্বদা এটি অর্জনের জন্য আমার যথাসাধ্য চেষ্টা করবে। উদাহরণস্বরূপ, আমি মাত্র তিন মাস আগে একটি খুব কঠিন মাস্টার প্রোগ্রাম সম্পন্ন করেছি, অন্য একটি দেশে যেখানে আমি আসলে ভাষা বলতে পারি না। পরিবার এবং বন্ধুদের জগত"&amp;"ের অন্য প্রান্তে, নতুন কোথাও একা থাকার চাপের সাথে মোকাবিলা করতে হয়েছিল। আমি শেষ পর্যন্ত যেতে পেরেছি, আমি আমার নম্বর এবং আমার কাজের জন্য স্বীকৃতি পেয়েছি। কিন্তু এখন আমার শূন্যতা বোধ হচ্ছে, আর আমি যা করছি তা আর করতে চাই না। আমি অপরাধী বোধ করছি কারণ আমার এ"&amp;"কটা অসাধারণ সঙ্গী আছে; পরিবার যারা সবসময় আমাকে সমর্থন করে, তাই আমার এমন অনুভূতির কোনও কারণ নেই। দয়া করে সাহায্য করুন। ? সম্পাদনা: টাইপোগ্রাফি ভুল।")</f>
        <v>উদ্বেগ আমাকে উৎপাদনশীল করে তোলে না এবং আমার মনে হয় আমি মারা যাব। দয়া করে সাহায্য করুন? আমি অনেক বছর ধরে বিষণ্ণতা এবং উদ্বেগজনিত ব্যাধিতে ভুগছি। সাধারণত এর মধ্যে থাকে অদ্ভুত, অসঙ্গত চিন্তাভাবনা এবং ভয় যা আমাকে পঙ্গু করে দেয় এবং আমাকে কখনও বিছানা ছাড়তে বাধ্য করে না। এর পরে উদ্বেগ মোকাবেলা করার জন্য অনেক বাধ্যতামূলক আচরণ (যেমন হাত ধোয়া, ঘর পরীক্ষা করা, প্রার্থনা করা) দেখা দেয়। এই সবকিছুই আমাকে খুব, খুব বিষণ্ণ করে তোলে কারণ আমার মনে হয় আমি একজন সাধারণ মানুষ নই এবং আমি এই পৃথিবীতে থাকার যোগ্য নই।? আমার সাম্প্রতিক সমস্যা হল যে বিষণ্ণতা এবং উদ্বেগ সত্যিই আমার কাজ এবং উৎপাদনশীলতার উপর প্রভাব ফেলছে। কয়েক বছর আগে, আমি এই সবকিছু মোকাবেলা করতে পারতাম, এবং আমি যতটা সম্ভব কাজ করে যেতাম এবং আমার কাজের মান নিয়ে কেউ অভিযোগ করত না। লোকেরা আমার উপর নির্ভর করত এবং আমি কাজটি সম্পন্ন করতাম, আমি সক্রিয় এবং দায়িত্বশীল হতাম। তবে, আজকাল, আমার মনে হয় এটি সম্পূর্ণরূপে পরিবর্তিত হয়েছে। আমার কাজে যেতে ইচ্ছে করে না, আমি সময়সীমা ভুলে যাই, আমি স্বাভাবিকের চেয়ে দ্বিগুণ সময় ব্যয় করি, এবং আমার মনে হয় যে আমি কোনও কাজে স্বাভাবিকের চেয়ে দ্বিগুণ সময় ব্যয় করি, এবং আমি সম্পূর্ণরূপে অনুপ্রেরণাহীন বোধ করি। আমি ভাবতে শুরু করি যে যদি আমাকে চাকরি থেকে বরখাস্ত করা হয় তবে এটি কোনও সমস্যা হবে না, কারণ তখন আমি সারা দিন ঘুমিয়ে কাটাতে পারব, অথবা আমাকে বাড়ি থেকে বের হতে হবে না, তাই আমার কোনও চিন্তা থাকবে না। তাছাড়া, আমি হতাশা এবং উদ্বেগের জন্য ওষুধ খাই। ? আমি ভাবছিলাম যে এটি কি আমি, নাকি রোগ। আমি এই অলসতার জন্য দোষী বোধ করছি, কিন্তু আমি ভাবছি যে আমি কি আসলেই এই ব্যক্তি, নাকি এটি রোগের অংশ, কথা বলার অংশ। তাছাড়া, আমাকে এমন একজন হিসেবে ভাবা হত যার উপর অন্যরা নির্ভর করতে পারে এবং যে সর্বদা এটি অর্জনের জন্য আমার যথাসাধ্য চেষ্টা করবে। উদাহরণস্বরূপ, আমি মাত্র তিন মাস আগে একটি খুব কঠিন মাস্টার প্রোগ্রাম সম্পন্ন করেছি, অন্য একটি দেশে যেখানে আমি আসলে ভাষা বলতে পারি না। পরিবার এবং বন্ধুদের জগতের অন্য প্রান্তে, নতুন কোথাও একা থাকার চাপের সাথে মোকাবিলা করতে হয়েছিল। আমি শেষ পর্যন্ত যেতে পেরেছি, আমি আমার নম্বর এবং আমার কাজের জন্য স্বীকৃতি পেয়েছি। কিন্তু এখন আমার শূন্যতা বোধ হচ্ছে, আর আমি যা করছি তা আর করতে চাই না। আমি অপরাধী বোধ করছি কারণ আমার একটা অসাধারণ সঙ্গী আছে; পরিবার যারা সবসময় আমাকে সমর্থন করে, তাই আমার এমন অনুভূতির কোনও কারণ নেই। দয়া করে সাহায্য করুন। ? সম্পাদনা: টাইপোগ্রাফি ভুল।</v>
      </c>
    </row>
    <row r="2708" spans="1:3" ht="15" x14ac:dyDescent="0.25">
      <c r="A2708" s="3" t="s">
        <v>2701</v>
      </c>
      <c r="B2708" s="3" t="s">
        <v>1992</v>
      </c>
      <c r="C2708" s="4" t="str">
        <f ca="1">IFERROR(__xludf.DUMMYFUNCTION("GOOGLETRANSLATE(A2708, ""auto"", ""bn"")"),"আমি ভালো বোধ করার জন্য আমার দুশ্চিন্তা ত্যাগ করতে পারি, কিন্তু আসলে তা নয়। প্রতিবার যখনই আমি কোন দুশ্চিন্তা বা উদ্বিগ্ন চিন্তা ত্যাগ করি, তখন আমার মনে হয় আমি কিছু ভুলে যাচ্ছি এবং অবশেষে আমি যে জিনিসগুলি ভুলে যাওয়ার চেষ্টা করেছিলাম সেগুলি নিয়ে নিজেকে উ"&amp;"দ্বিগ্ন করতে বাধ্য করি। এটি একটি দুষ্টচক্র যা আমি প্রায় কাটিয়ে উঠেছিলাম.... তবে এটি বারবার ঘটছে। আর কারো কি এই সমস্যাটি আছে যা একবারের জন্যও উদ্বিগ্ন চিন্তা কাটিয়ে উঠতে পারে?")</f>
        <v>আমি ভালো বোধ করার জন্য আমার দুশ্চিন্তা ত্যাগ করতে পারি, কিন্তু আসলে তা নয়। প্রতিবার যখনই আমি কোন দুশ্চিন্তা বা উদ্বিগ্ন চিন্তা ত্যাগ করি, তখন আমার মনে হয় আমি কিছু ভুলে যাচ্ছি এবং অবশেষে আমি যে জিনিসগুলি ভুলে যাওয়ার চেষ্টা করেছিলাম সেগুলি নিয়ে নিজেকে উদ্বিগ্ন করতে বাধ্য করি। এটি একটি দুষ্টচক্র যা আমি প্রায় কাটিয়ে উঠেছিলাম.... তবে এটি বারবার ঘটছে। আর কারো কি এই সমস্যাটি আছে যা একবারের জন্যও উদ্বিগ্ন চিন্তা কাটিয়ে উঠতে পারে?</v>
      </c>
    </row>
    <row r="2709" spans="1:3" ht="15" x14ac:dyDescent="0.25">
      <c r="A2709" s="3" t="s">
        <v>2702</v>
      </c>
      <c r="B2709" s="3" t="s">
        <v>1992</v>
      </c>
      <c r="C2709" s="4" t="str">
        <f ca="1">IFERROR(__xludf.DUMMYFUNCTION("GOOGLETRANSLATE(A2709, ""auto"", ""bn"")"),"আমার পেটে একটা বাজে অনুভূতি হচ্ছে, সম্ভবত আলসার, মস্তিষ্ক আমাকে বোঝানোর চেষ্টা করছে যে এটা ক্যান্সার। আর আমার মস্তিষ্ক কেন এটা করে? - আমি সম্প্রতি ক্লান্ত (কিন্তু আমার ঘুম ভালো হয় না) - আমার ওজন কমছে (কারণ পেটের অনুভূতি আমাকে কম খেতে বাধ্য করে) - যদি আমি"&amp;" মাঝখানে আমার বুকের ঠিক নীচে চাপ দিই, তাহলে আমার একটা বাজে চাপের অনুভূতি হয় - আমার মা ২০০৮ সালে ক্যান্সারে মারা গেছেন - আমি ধূমপান করি। খারাপ। উদ্বেগ। আক্রমণ। টয়লেট ব্রাশ দিয়ে, ঠিক পেটের উপরে। কিন্তু হ্যাঁ, সম্প্রতি কিছুটা অদ্ভুত অনুভূতি হচ্ছে, আমার পে"&amp;"টের অনুভূতিও অদ্ভুত, ক্ষুধার্ত এবং পেট ভরা মাঝামাঝি কোথাও, সবসময়, এবং কেবল বমি বমি ভাবের আভা। বড়। এটা শুধু একটা অনুভূতি, এটাও কিছুক্ষণের সাথে চলে যাবে... :(")</f>
        <v>আমার পেটে একটা বাজে অনুভূতি হচ্ছে, সম্ভবত আলসার, মস্তিষ্ক আমাকে বোঝানোর চেষ্টা করছে যে এটা ক্যান্সার। আর আমার মস্তিষ্ক কেন এটা করে? - আমি সম্প্রতি ক্লান্ত (কিন্তু আমার ঘুম ভালো হয় না) - আমার ওজন কমছে (কারণ পেটের অনুভূতি আমাকে কম খেতে বাধ্য করে) - যদি আমি মাঝখানে আমার বুকের ঠিক নীচে চাপ দিই, তাহলে আমার একটা বাজে চাপের অনুভূতি হয় - আমার মা ২০০৮ সালে ক্যান্সারে মারা গেছেন - আমি ধূমপান করি। খারাপ। উদ্বেগ। আক্রমণ। টয়লেট ব্রাশ দিয়ে, ঠিক পেটের উপরে। কিন্তু হ্যাঁ, সম্প্রতি কিছুটা অদ্ভুত অনুভূতি হচ্ছে, আমার পেটের অনুভূতিও অদ্ভুত, ক্ষুধার্ত এবং পেট ভরা মাঝামাঝি কোথাও, সবসময়, এবং কেবল বমি বমি ভাবের আভা। বড়। এটা শুধু একটা অনুভূতি, এটাও কিছুক্ষণের সাথে চলে যাবে... :(</v>
      </c>
    </row>
    <row r="2710" spans="1:3" ht="15" x14ac:dyDescent="0.25">
      <c r="A2710" s="3" t="s">
        <v>2703</v>
      </c>
      <c r="B2710" s="3" t="s">
        <v>1992</v>
      </c>
      <c r="C2710" s="4" t="str">
        <f ca="1">IFERROR(__xludf.DUMMYFUNCTION("GOOGLETRANSLATE(A2710, ""auto"", ""bn"")"),"... নীরবতা? এটা একটু বোকামি হতে পারে, কারণ মাত্র ২ দিন হয়েছে এবং এটা সহজেই প্লাসিবো হতে পারে কারণ আমি জানি ওষুধ কয়েক সপ্তাহ ধরে ঠিকমতো কাজ করবে না। কিন্তু অনেক দিন পর প্রথমবারের মতো, যখন আমি কিছু করি, বসে ভাবি, যখন আমি শহরের মধ্য দিয়ে হেঁটে যাই, তখন কো"&amp;"নও তাড়াহুড়ো চিন্তা নেই, কোনও উদ্বেগ নেই, কোনও চাপ নেই, কোনও উদ্বেগ নেই। শুধু নীরবতা আছে।")</f>
        <v>... নীরবতা? এটা একটু বোকামি হতে পারে, কারণ মাত্র ২ দিন হয়েছে এবং এটা সহজেই প্লাসিবো হতে পারে কারণ আমি জানি ওষুধ কয়েক সপ্তাহ ধরে ঠিকমতো কাজ করবে না। কিন্তু অনেক দিন পর প্রথমবারের মতো, যখন আমি কিছু করি, বসে ভাবি, যখন আমি শহরের মধ্য দিয়ে হেঁটে যাই, তখন কোনও তাড়াহুড়ো চিন্তা নেই, কোনও উদ্বেগ নেই, কোনও চাপ নেই, কোনও উদ্বেগ নেই। শুধু নীরবতা আছে।</v>
      </c>
    </row>
    <row r="2711" spans="1:3" ht="15" x14ac:dyDescent="0.25">
      <c r="A2711" s="3" t="s">
        <v>2704</v>
      </c>
      <c r="B2711" s="3" t="s">
        <v>1992</v>
      </c>
      <c r="C2711" s="4" t="str">
        <f ca="1">IFERROR(__xludf.DUMMYFUNCTION("GOOGLETRANSLATE(A2711, ""auto"", ""bn"")"),"আমার ত্রুটি-বিচ্যুতিগুলোর উপর মনোযোগ দেওয়া এবং আমার অর্জনগুলোকে খাটো করে দেখা শিরোনামই সব বলে দেয়। আমার একটা বিশাল হীনমন্যতা আছে এবং আমি নিজেকে অন্যদের সাথে নেতিবাচকভাবে তুলনা করা বন্ধ করতে পারছি না (যা আমাকে সত্যিই দোষী মনে করে)। আমি বিশ্বাস করতে রাজি "&amp;"নই যে আমার কোন অর্জনই প্রাপ্য। তাছাড়া, আমি যা করতে পারি না, অন্যরা আমার চেয়ে ভালো করে এমন জিনিসগুলি নিয়ে চিন্তা করা বন্ধ করতে পারছি না। ফলাফল কি? আমি ক্রমাগত আরও অর্জন করার জন্য, আরও শিখতে এবং আরও কিছু করার জন্য নিজেকে চাপ দিই, কিন্তু আমি এখনও ভবিষ্যৎ "&amp;"নিয়ে উদ্বিগ্ন এবং হতাশ। এর শেষ পর্যন্ত কোনও অর্থ হয় না। আমার আত্ম-মূল্যবোধ নেই এবং সামান্যতম ভুল হলেই আমি হতাশাগ্রস্ত অবস্থায় চলে যেতে পারি। আমার ভয়ানক উদ্বেগ আছে কারণ আমার আত্মবিশ্বাস নেই যে আমি কিছু করতে পারি। তাছাড়া, আমি জানি যে এটি একটি সমস্যা, এ"&amp;"কটি ত্রুটিপূর্ণ চিন্তাভাবনা, কিন্তু আমি এটি ঠিক করতে পারি না। এটি আমার মনের মধ্যে খুব গভীরভাবে প্রোথিত। আমি কেবল আমার মূল্যকে ন্যায্যতা দিতে পারি না, তাই আমার কাছে কিছুই নেই।")</f>
        <v>আমার ত্রুটি-বিচ্যুতিগুলোর উপর মনোযোগ দেওয়া এবং আমার অর্জনগুলোকে খাটো করে দেখা শিরোনামই সব বলে দেয়। আমার একটা বিশাল হীনমন্যতা আছে এবং আমি নিজেকে অন্যদের সাথে নেতিবাচকভাবে তুলনা করা বন্ধ করতে পারছি না (যা আমাকে সত্যিই দোষী মনে করে)। আমি বিশ্বাস করতে রাজি নই যে আমার কোন অর্জনই প্রাপ্য। তাছাড়া, আমি যা করতে পারি না, অন্যরা আমার চেয়ে ভালো করে এমন জিনিসগুলি নিয়ে চিন্তা করা বন্ধ করতে পারছি না। ফলাফল কি? আমি ক্রমাগত আরও অর্জন করার জন্য, আরও শিখতে এবং আরও কিছু করার জন্য নিজেকে চাপ দিই, কিন্তু আমি এখনও ভবিষ্যৎ নিয়ে উদ্বিগ্ন এবং হতাশ। এর শেষ পর্যন্ত কোনও অর্থ হয় না। আমার আত্ম-মূল্যবোধ নেই এবং সামান্যতম ভুল হলেই আমি হতাশাগ্রস্ত অবস্থায় চলে যেতে পারি। আমার ভয়ানক উদ্বেগ আছে কারণ আমার আত্মবিশ্বাস নেই যে আমি কিছু করতে পারি। তাছাড়া, আমি জানি যে এটি একটি সমস্যা, একটি ত্রুটিপূর্ণ চিন্তাভাবনা, কিন্তু আমি এটি ঠিক করতে পারি না। এটি আমার মনের মধ্যে খুব গভীরভাবে প্রোথিত। আমি কেবল আমার মূল্যকে ন্যায্যতা দিতে পারি না, তাই আমার কাছে কিছুই নেই।</v>
      </c>
    </row>
    <row r="2712" spans="1:3" ht="15" x14ac:dyDescent="0.25">
      <c r="A2712" s="3" t="s">
        <v>2705</v>
      </c>
      <c r="B2712" s="3" t="s">
        <v>1992</v>
      </c>
      <c r="C2712" s="4" t="str">
        <f ca="1">IFERROR(__xludf.DUMMYFUNCTION("GOOGLETRANSLATE(A2712, ""auto"", ""bn"")"),"ট্যাবলেট বন্ধ করা খারাপ! তাই আমি আমার বিষণ্ণতা এবং উদ্বেগ মোকাবেলা করার জন্য প্রায় এক বছর ধরে সিটালোপ্রাম খাচ্ছি, কিন্তু প্রায় দুই মাস আগে আমি সেগুলি ছেড়ে দেওয়ার সিদ্ধান্ত নিয়েছি। তাই আমি আমার জিপির কথা মতোই কাজ করছি এবং দুধ ছাড়ানো শুরু করেছি, কিন্ত"&amp;"ু আমি লক্ষ্য করেছি যে আমার মেজাজের পরিবর্তন বেশি হচ্ছে (আমাকে সতর্ক করা হয়েছিল যে এটি বন্ধ করার একটি পার্শ্ব প্রতিক্রিয়া) এবং আমি এটি ঘৃণা করি। কখনও কখনও এগুলি এতটাই খারাপ হয় যে আমি আবেগহীন হয়ে পড়ি যে গতকাল আমি আমার স্বামী/স্ত্রীকে কাঁদিয়েছি। ভাগ্যক"&amp;"্রমে সে বুঝতে পারে এবং আমাকে ক্ষমা করে দেয় কিন্তু যে কেউ আপনাকে কাঁদায় তাকে ক্ষমা করার সম্ভাবনা খুব কম। যাই হোক, আমার এই অভিযোগ।")</f>
        <v>ট্যাবলেট বন্ধ করা খারাপ! তাই আমি আমার বিষণ্ণতা এবং উদ্বেগ মোকাবেলা করার জন্য প্রায় এক বছর ধরে সিটালোপ্রাম খাচ্ছি, কিন্তু প্রায় দুই মাস আগে আমি সেগুলি ছেড়ে দেওয়ার সিদ্ধান্ত নিয়েছি। তাই আমি আমার জিপির কথা মতোই কাজ করছি এবং দুধ ছাড়ানো শুরু করেছি, কিন্তু আমি লক্ষ্য করেছি যে আমার মেজাজের পরিবর্তন বেশি হচ্ছে (আমাকে সতর্ক করা হয়েছিল যে এটি বন্ধ করার একটি পার্শ্ব প্রতিক্রিয়া) এবং আমি এটি ঘৃণা করি। কখনও কখনও এগুলি এতটাই খারাপ হয় যে আমি আবেগহীন হয়ে পড়ি যে গতকাল আমি আমার স্বামী/স্ত্রীকে কাঁদিয়েছি। ভাগ্যক্রমে সে বুঝতে পারে এবং আমাকে ক্ষমা করে দেয় কিন্তু যে কেউ আপনাকে কাঁদায় তাকে ক্ষমা করার সম্ভাবনা খুব কম। যাই হোক, আমার এই অভিযোগ।</v>
      </c>
    </row>
    <row r="2713" spans="1:3" ht="15" x14ac:dyDescent="0.25">
      <c r="A2713" s="3" t="s">
        <v>2706</v>
      </c>
      <c r="B2713" s="3" t="s">
        <v>1992</v>
      </c>
      <c r="C2713" s="4" t="str">
        <f ca="1">IFERROR(__xludf.DUMMYFUNCTION("GOOGLETRANSLATE(A2713, ""auto"", ""bn"")"),"মনে হচ্ছে আমার জীবন আবার ভেঙে পড়ছে। তাই আমি কলেজের প্রথম বর্ষের ফল সেমিস্টারের জন্য সাইন আপ করেছি এবং যেতে খুব উত্তেজিত ছিলাম। সংক্ষেপে বলতে গেলে, গ্রীষ্মে আমার খুব খারাপ অভিজ্ঞতা হয়েছিল যা আমার হতাশাকে এতটাই তীব্র করে তুলেছিল যে আমি টানা দুই মাস বিছানা"&amp;" থেকে উঠতেই পারিনি। আমি আমার ক্লাস বন্ধ করে আমার মানসিক স্বাস্থ্যের দিকে মনোযোগ দেওয়ার সিদ্ধান্ত নিয়েছিলাম কারণ আমি জানতাম যে যদি আমি তা না করি, তাহলে স্কুল আমার জন্য ভালো হবে না। আমি সিদ্ধান্ত নিয়েছিলাম যে শরৎ সেমিস্টারের জন্য আমি বসন্ত এবং গ্রীষ্মের "&amp;"সেমিস্টারে যাব। তাই আজ সকালে আমি রেজিস্ট্রেশন শুরু হওয়ার সাথে সাথে স্কুলে যাই এবং কিছু জিনিস পরিষ্কার করার জন্য আর্থিক সহায়তা অফিসে যাই। আমি জানতাম অফিসের মহিলাটি আমার সাথে অভদ্র আচরণ করবে কারণ গতবার আমি যখন সেখানে ছিলাম তখন সে আমাকে প্রায় কাঁদিয়েছিল "&amp;"এবং আমার নিয়ন্ত্রণের বাইরে থাকা জিনিসগুলির জন্য আমাকে এত বোকা বোধ করছিল। তাই যাই হোক আমি সেখানে গিয়ে তাকে পরিস্থিতি ব্যাখ্যা করি। তার মুখ থেকে প্রথম কথাটি বেরিয়ে আসে, ""যদি তুমি গত সেমিস্টারে তোমার সমস্ত ক্লাস বন্ধ করে দিয়েছিলে, তাহলে এই সেমিস্টারটি ক"&amp;"েন আলাদা?"" কে বলবে তুমি আর এটা করবে না? Â আমি অন্তত বলতে গেলে হতবাক হয়ে গিয়েছিলাম। সম্প্রতি আমার খুব ভালো লাগছে। মানসিকভাবে আমি একটা ভালো অবস্থানে আছি। তাছাড়া, আমার খুব খারাপ সামাজিক উদ্বেগ আছে এবং গত কয়েক মাস ধরে এর মধ্য দিয়ে কাজ করে যাচ্ছি এবং এম"&amp;"নকি দুটি চাকরিও পেয়েছি। তাছাড়া, আমার মনে হয়েছিল এটি একটি নতুন শুরু হতে চলেছে, এবং অবশেষে আমি জীবনের সাথে সন্তুষ্ট হতে যাচ্ছি। হয়তো আমি কেবল নাটকীয়তা করছি, কিন্তু এটি যদি স্কুলের অবস্থা সম্পর্কে কোনও ইঙ্গিত দেয়... আমি জানি না কীভাবে এটি পরিচালনা করব।")</f>
        <v>মনে হচ্ছে আমার জীবন আবার ভেঙে পড়ছে। তাই আমি কলেজের প্রথম বর্ষের ফল সেমিস্টারের জন্য সাইন আপ করেছি এবং যেতে খুব উত্তেজিত ছিলাম। সংক্ষেপে বলতে গেলে, গ্রীষ্মে আমার খুব খারাপ অভিজ্ঞতা হয়েছিল যা আমার হতাশাকে এতটাই তীব্র করে তুলেছিল যে আমি টানা দুই মাস বিছানা থেকে উঠতেই পারিনি। আমি আমার ক্লাস বন্ধ করে আমার মানসিক স্বাস্থ্যের দিকে মনোযোগ দেওয়ার সিদ্ধান্ত নিয়েছিলাম কারণ আমি জানতাম যে যদি আমি তা না করি, তাহলে স্কুল আমার জন্য ভালো হবে না। আমি সিদ্ধান্ত নিয়েছিলাম যে শরৎ সেমিস্টারের জন্য আমি বসন্ত এবং গ্রীষ্মের সেমিস্টারে যাব। তাই আজ সকালে আমি রেজিস্ট্রেশন শুরু হওয়ার সাথে সাথে স্কুলে যাই এবং কিছু জিনিস পরিষ্কার করার জন্য আর্থিক সহায়তা অফিসে যাই। আমি জানতাম অফিসের মহিলাটি আমার সাথে অভদ্র আচরণ করবে কারণ গতবার আমি যখন সেখানে ছিলাম তখন সে আমাকে প্রায় কাঁদিয়েছিল এবং আমার নিয়ন্ত্রণের বাইরে থাকা জিনিসগুলির জন্য আমাকে এত বোকা বোধ করছিল। তাই যাই হোক আমি সেখানে গিয়ে তাকে পরিস্থিতি ব্যাখ্যা করি। তার মুখ থেকে প্রথম কথাটি বেরিয়ে আসে, "যদি তুমি গত সেমিস্টারে তোমার সমস্ত ক্লাস বন্ধ করে দিয়েছিলে, তাহলে এই সেমিস্টারটি কেন আলাদা?" কে বলবে তুমি আর এটা করবে না? Â আমি অন্তত বলতে গেলে হতবাক হয়ে গিয়েছিলাম। সম্প্রতি আমার খুব ভালো লাগছে। মানসিকভাবে আমি একটা ভালো অবস্থানে আছি। তাছাড়া, আমার খুব খারাপ সামাজিক উদ্বেগ আছে এবং গত কয়েক মাস ধরে এর মধ্য দিয়ে কাজ করে যাচ্ছি এবং এমনকি দুটি চাকরিও পেয়েছি। তাছাড়া, আমার মনে হয়েছিল এটি একটি নতুন শুরু হতে চলেছে, এবং অবশেষে আমি জীবনের সাথে সন্তুষ্ট হতে যাচ্ছি। হয়তো আমি কেবল নাটকীয়তা করছি, কিন্তু এটি যদি স্কুলের অবস্থা সম্পর্কে কোনও ইঙ্গিত দেয়... আমি জানি না কীভাবে এটি পরিচালনা করব।</v>
      </c>
    </row>
    <row r="2714" spans="1:3" ht="15" x14ac:dyDescent="0.25">
      <c r="A2714" s="3" t="s">
        <v>2707</v>
      </c>
      <c r="B2714" s="3" t="s">
        <v>1992</v>
      </c>
      <c r="C2714" s="4" t="str">
        <f ca="1">IFERROR(__xludf.DUMMYFUNCTION("GOOGLETRANSLATE(A2714, ""auto"", ""bn"")"),"ভয়ের সাথে মোকাবিলা করা গত কয়েক সপ্তাহ ধরে আমি এই ভেবে কষ্ট পাচ্ছি যে আমার পোষা প্রাণীদের মধ্যে একটি (গিনিপিগ - আক্ষরিক অর্থে, গিনিপিগ) সম্ভবত ২০২০ সালে আসবে না। প্রায় এক বছর আগে সে একবার সম্ভাবনা কাটিয়ে উঠেছিল, কিন্তু কখনও পুরোপুরি ফিরে আসেনি। আমি খুব"&amp;" বেশি দুঃস্বপ্ন দেখিনি, কিন্তু তার মৃত্যুর বিষয়ে উদ্বেগের স্বপ্ন দেখেছি। সবচেয়ে খারাপ দিক হল আমি একজন পশুচিকিত্সক; আমি প্রতিদিন এই পরিস্থিতির সাথে মোকাবিলা করি - আমি নিয়মিত এই খবরটি পৌঁছে দিই। আমি জানি এই ছোট্ট বাচ্চাটি তার সেরা জীবনযাপন করছে, এবং সে স"&amp;"েরা জীবনযাপন করতে থাকবে যতক্ষণ না সে আমাকে ছেড়ে চলে যেতে প্রস্তুত হয়। আমাদের একসাথে সময় শেষ হয়ে আসছে জেনে আমার হৃদয় ভেঙে যায়, এবং আমার মনে হয় আমার চাকরির কারণে, আমার চেয়ে ভালভাবে এটি পরিচালনা করা উচিত। আমি অসহায় বোধ করি না - আমি জানি এটি স্বাভাবি"&amp;"ক, এটি স্বাভাবিক যে অবশেষে, সে মারা যাবে - এবং এটি ঠিক আছে। আমি কেবল চাই যে আমি আমাদের একসাথে সময় কাটাতে পারি অনিবার্য ভয় পাওয়ার চেয়ে তাকে ভালোবাসার উপর মনোযোগ দিয়ে।")</f>
        <v>ভয়ের সাথে মোকাবিলা করা গত কয়েক সপ্তাহ ধরে আমি এই ভেবে কষ্ট পাচ্ছি যে আমার পোষা প্রাণীদের মধ্যে একটি (গিনিপিগ - আক্ষরিক অর্থে, গিনিপিগ) সম্ভবত ২০২০ সালে আসবে না। প্রায় এক বছর আগে সে একবার সম্ভাবনা কাটিয়ে উঠেছিল, কিন্তু কখনও পুরোপুরি ফিরে আসেনি। আমি খুব বেশি দুঃস্বপ্ন দেখিনি, কিন্তু তার মৃত্যুর বিষয়ে উদ্বেগের স্বপ্ন দেখেছি। সবচেয়ে খারাপ দিক হল আমি একজন পশুচিকিত্সক; আমি প্রতিদিন এই পরিস্থিতির সাথে মোকাবিলা করি - আমি নিয়মিত এই খবরটি পৌঁছে দিই। আমি জানি এই ছোট্ট বাচ্চাটি তার সেরা জীবনযাপন করছে, এবং সে সেরা জীবনযাপন করতে থাকবে যতক্ষণ না সে আমাকে ছেড়ে চলে যেতে প্রস্তুত হয়। আমাদের একসাথে সময় শেষ হয়ে আসছে জেনে আমার হৃদয় ভেঙে যায়, এবং আমার মনে হয় আমার চাকরির কারণে, আমার চেয়ে ভালভাবে এটি পরিচালনা করা উচিত। আমি অসহায় বোধ করি না - আমি জানি এটি স্বাভাবিক, এটি স্বাভাবিক যে অবশেষে, সে মারা যাবে - এবং এটি ঠিক আছে। আমি কেবল চাই যে আমি আমাদের একসাথে সময় কাটাতে পারি অনিবার্য ভয় পাওয়ার চেয়ে তাকে ভালোবাসার উপর মনোযোগ দিয়ে।</v>
      </c>
    </row>
    <row r="2715" spans="1:3" ht="15" x14ac:dyDescent="0.25">
      <c r="A2715" s="3" t="s">
        <v>2708</v>
      </c>
      <c r="B2715" s="3" t="s">
        <v>1992</v>
      </c>
      <c r="C2715" s="4" t="str">
        <f ca="1">IFERROR(__xludf.DUMMYFUNCTION("GOOGLETRANSLATE(A2715, ""auto"", ""bn"")"),"আমি হয়তো কিছুদিন ধরেই দুশ্চিন্তার মধ্যে ভুগছি, কিন্তু এখন মনে হচ্ছে এটা শারীরিক লক্ষণে রূপ নিয়েছে, হয়তো আমার হৃদরোগের সমস্যা আছে, যদিও আমার ডাক্তার আমাকে বোঝানোর চেষ্টা করছেন যে আমার হৃদপিণ্ড ঠিক আছে। সতর্কীকরণ, এই পোস্টটি অনেক লম্বা... আমার মনে হয় আমি মূ"&amp;"লত কিছু সাহায্য খুঁজছি কারণ আমি কী ভাববো বুঝতে পারছি না, এবং আমি সত্যিই ২৪/৭ ব্যথা এবং যন্ত্রণা নিয়ে চিন্তা করা বন্ধ করতে চাই। ডিসেম্বরের মাঝামাঝি এক রাতে আমি আমার বাম বাইসেপে এই ছোট্ট ব্যথা অনুভব করি। সাধারণত আমি এটা নিয়ে খুব বেশি ভাবতাম না, কিন্তু সেদিন"&amp;"ের শুরুতে আমি টুইটারে মহিলাদের হার্ট অ্যাটাকের লক্ষণ সম্পর্কে একটি থ্রেড পড়েছিলাম (খারাপ ধারণা!!!!)। আমি খুব তাড়াতাড়ি ঘুমাতে যাই কারণ আমি কেবল এটি নিয়ে ভাবতে থাকি এবং টিভিতে যে অনুষ্ঠানটি দেখছিলাম তা উপভোগ করতে পারিনি। পরের দিন আমার হাত ঠিক অনুভূত হচ্"&amp;"ছিল, কিন্তু আমার বুকে কিছুটা অস্বস্তি হচ্ছিল। এতদিন পরেও আমি এখনও এটি বর্ণনা করার জন্য সঠিক কোন উপায় বের করতে পারছি না, কেবল এটি এমন একটি অনুভূতি যা সাধারণত হওয়া উচিত নয় বা হয় না। যদি আমাকে এর জন্য একটি সংখ্যা নির্ধারণ করতে হয়, আমি এটিকে 1 বা 1.5 দিত"&amp;"াম। সারাদিন অস্বস্তি ছিল এবং বন্ধ ছিল, কিন্তু আমি এটি নিয়ে চিন্তা করা বন্ধ করতে পারিনি। সেই বিকেলে যখন আমি সেখানে বসে আমার লক্ষণগুলি গুগল করছিলাম, আবারও ভুল করে, আমি আমার হৃদস্পন্দন বৃদ্ধি অনুভব করতে পারি। আমি যাই করি না কেন তা কমাতে পারিনি। শেষ পর্যন্ত "&amp;"আমি একটি জরুরি চিকিৎসা কেন্দ্রে যাই এবং যখন তারা আমার হৃদস্পন্দন পরীক্ষা করে তখন এটি ছিল 125। আমার বিশ্রামের HR সাধারণত 55। ডাক্তার আমাকে পরীক্ষা করে বলেছিলেন যে তিনি বিশ্বাস করেন যে এটি উদ্বেগের কারণে এবং হৃদরোগের সাথে সম্পর্কিত নয়। যখন আমি চলে যাই, তখন"&amp;" আমার HR 69-এ নেমে এসেছিল। যখন আমার মনে হয়েছিল যে আমার এটির প্রয়োজন তখন তিনি আমাকে হাইড্রোক্সিজিন দিয়েছিলেন। আমি কয়েক দিন পরে এটি গ্রহণ করিনি, এবং আমি কেবল রাতে একটি গ্রহণ করেছি। পরের সপ্তাহে বুকের অস্বস্তি এসে চলে গেছে, এবং আমি কোনও প্যাটার্ন খুঁজে প"&amp;"াইনি। আমার বাম হাতটাও আবার ব্যথা শুরু করে, যেন আমি অনেক বেশি ব্যবহার করেছি, কিন্তু এবার আমার বাইসেপে ব্যথার পরিবর্তে আমি ট্রাইসেপে ব্যথা অনুভব করলাম। মনে হচ্ছিল যেন আমি হাতা পরেছি, খুব টাইট কিছু নয়, বরং সম্ভবত আন্ডার আর্মার কোল্ড গিয়ার টপের মতো। এই মুহু"&amp;"র্তে আমি আমার পিসিপিকে ফোন করে একটি অ্যাপয়েন্টমেন্ট নিলাম, কিন্তু নতুন বছরের পর পর্যন্ত আমি একটি পেতে পারিনি। আমি গতকাল আমার পিসিপিতে গিয়েছিলাম, এবং তারা একটি ইসিজি করেছিল, যা স্বাভাবিক ছিল, এবং বেশ কিছু প্রশ্ন জিজ্ঞাসা করার পর তারা বলেছিল যে এটি পেশীবহ"&amp;"ুল বা উদ্বেগের কারণ, যদিও মনে হয়েছিল উদ্বেগই সম্ভবত কারণ। তারা জিজ্ঞাসা করেছিল যে আমার উদ্বেগের কোনও ইতিহাস আছে কিনা এবং আমি বলেছিলাম যে আসলে তা নয়, তবে এটি সম্পর্কে চিন্তা করে, বিশেষ করে গত বছর আমার মনে হয় আমার হ্যাঁ বলা উচিত ছিল। ২০১৮ সালের ফেব্রুয়া"&amp;"রিতে আমার বাম হাঁটু/বাছুরের অংশ হঠাৎ করে ব্যথা শুরু হয়েছিল। এটি এমন এক ধরণের ব্যথা যা আমি আগে কখনও অনুভব করিনি এবং যে কারণেই হোক না কেন আমার মাথায় রক্ত ​​জমাট বাঁধার অনুভূতি হয়েছিল। আমি আমার পিসিপির সাথে একটি অ্যাপয়েন্টমেন্ট নির্ধারণ করেছিলাম, এবং অ্য"&amp;"াপয়েন্টমেন্টের দুই দিন আগে আমি এক অদ্ভুত অনুভূতি অনুভব করেছি। সেই সময় আমি ভেবেছিলাম আমি হয় পিই (অসম্ভব) থেকে মারা যাচ্ছি, অথবা প্যানিক অ্যাটাক (সম্ভবত)। আমি আমার বেসমেন্টের সোফায় শুয়ে ছিলাম, হঠাৎ আমার মাথা খারাপ হয়ে গেল এবং মনে হল আমি পিছনে পড়ে যাচ"&amp;"্ছি, এবং পৃথিবী আমার উপর ঘনিয়ে আসছে। আমার মনে আছে আমি কিছুটা হিমায়িত ছিলাম, যেন আমি কেবল সরাসরি সামনের দিকে তাকাতে পারছি, এবং আমার স্পষ্ট মনে আছে আলোর একটি সাদা বৃত্ত আমার উপর ঘনিয়ে আসছে। তাছাড়া, আমি ভেবেছিলাম আমি মারা যাচ্ছি যতক্ষণ না আমি উপরের তলা থে"&amp;"কে কেউ আমার নাম ধরে ডাকতে শুনতে পেলাম। এতে আমার এক মুহূর্ত সময় লেগেছিল, কিন্তু আমি কিছুটা ট্রান্স থেকে বেরিয়ে উপরে যেতে সক্ষম হয়েছিলাম। তখনই চোখের জল ঝরতে শুরু করে, এবং আমি বাজেভাবে ছিলাম, হয় আমাকে জরুরি বিভাগে যেতে হবে অথবা এই পায়ের জন্য জরুরি যত্ন "&amp;"নিতে হবে। আমি আমার নিয়মিত ডাক্তারের জন্য অপেক্ষা করতে পারছি না। ডাক্তার নিশ্চিত করার প্রায় এক সপ্তাহ বা তারও বেশি সময় পরে আমার পায়ে রক্ত ​​জমাট বাঁধেনি, আমার পায়ে ভালো বোধ হচ্ছিল, এবং বেশ কয়েক মাস ধরে ভালো লাগছিল, প্রায় আগস্ট/সেপ্টেম্বর পর্যন্ত যখন আ"&amp;"বার এলোমেলোভাবে ব্যথা শুরু হয়েছিল। এবার যদিও এটি আমার উরুতে বেশি। আর, আগস্ট মাসে আমি আবার আমার বেসমেন্টে ছিলাম, আর আমার মনে নেই যে এটার কারণ হতে পারে, শুধু তীব্র খিঁচুনি ছাড়া, কিন্তু আমার মনে আছে যেন আমাকে বমি করতে হচ্ছে, আর আমি হাইপারভেন্টিলেট করতে শুর"&amp;"ু করেছি। এই মুহূর্তে আমার মাথায় লক্ষ লক্ষ জিনিস ঘুরপাক খাচ্ছিল, কী ছিল তা আমি আপনাকে বলতে পারব না। আমি নিশ্চিত কান্না ছিল কারণ আমি ভয় পেয়েছিলাম, আর আমার হৃদস্পন্দনও বেড়ে গিয়েছিল। প্রায় 30 মিনিট পর, যদিও এটা অনন্তকালের মতো মনে হয়েছিল, সবকিছু চলে গেল"&amp;"। তারপর থেকে আমি আর তেমন কিছু অনুভব করিনি, এমনকি এই বর্তমান পরিস্থিতিতেও না। অবশ্যই যখন আমি আমার পিসিপি দেখেছিলাম তখন আমি প্রায় 3 দিন ধরে কোনও ব্যথা বা ব্যথা অনুভব করিনি, তাই তারা বলেছিল দেখা যাক কীভাবে হয়। আমার নিয়মিত রক্তকৃমি পরীক্ষা করানোর কথা এবং ত"&amp;"ারপর শারীরিক পরীক্ষার জন্য আমার ডাক্তারের কাছে ফিরে যাওয়ার কথা। আমার মনে হয় যখন আমি ফিরে যাব তখন আমি এই বিষয়টি তুলে ধরব যে আমার পা এখনও ব্যথা করছে, যদিও এবার অন্য জায়গায়, এবং ফেব্রুয়ারি এবং আগস্টে কী ঘটেছিল তা উল্লেখ করব। TL;DR গত কয়েক সপ্তাহ ধরে আ"&amp;"মার বুকে অস্বস্তি এবং বাহুতে ব্যথা হচ্ছে। দুজন ডাক্তার এটাকে উদ্বেগজনক বলে মনে করেছেন, এবং যদিও আমি মনে করি আমি এটা বিশ্বাস করতে পারি, বিশেষ করে যখন আমি শারীরিক ব্যথা অনুভব করছি তখন এটা মেনে নিতে আমার কষ্ট হচ্ছে।")</f>
        <v>আমি হয়তো কিছুদিন ধরেই দুশ্চিন্তার মধ্যে ভুগছি, কিন্তু এখন মনে হচ্ছে এটা শারীরিক লক্ষণে রূপ নিয়েছে, হয়তো আমার হৃদরোগের সমস্যা আছে, যদিও আমার ডাক্তার আমাকে বোঝানোর চেষ্টা করছেন যে আমার হৃদপিণ্ড ঠিক আছে। সতর্কীকরণ, এই পোস্টটি অনেক লম্বা... আমার মনে হয় আমি মূলত কিছু সাহায্য খুঁজছি কারণ আমি কী ভাববো বুঝতে পারছি না, এবং আমি সত্যিই ২৪/৭ ব্যথা এবং যন্ত্রণা নিয়ে চিন্তা করা বন্ধ করতে চাই। ডিসেম্বরের মাঝামাঝি এক রাতে আমি আমার বাম বাইসেপে এই ছোট্ট ব্যথা অনুভব করি। সাধারণত আমি এটা নিয়ে খুব বেশি ভাবতাম না, কিন্তু সেদিনের শুরুতে আমি টুইটারে মহিলাদের হার্ট অ্যাটাকের লক্ষণ সম্পর্কে একটি থ্রেড পড়েছিলাম (খারাপ ধারণা!!!!)। আমি খুব তাড়াতাড়ি ঘুমাতে যাই কারণ আমি কেবল এটি নিয়ে ভাবতে থাকি এবং টিভিতে যে অনুষ্ঠানটি দেখছিলাম তা উপভোগ করতে পারিনি। পরের দিন আমার হাত ঠিক অনুভূত হচ্ছিল, কিন্তু আমার বুকে কিছুটা অস্বস্তি হচ্ছিল। এতদিন পরেও আমি এখনও এটি বর্ণনা করার জন্য সঠিক কোন উপায় বের করতে পারছি না, কেবল এটি এমন একটি অনুভূতি যা সাধারণত হওয়া উচিত নয় বা হয় না। যদি আমাকে এর জন্য একটি সংখ্যা নির্ধারণ করতে হয়, আমি এটিকে 1 বা 1.5 দিতাম। সারাদিন অস্বস্তি ছিল এবং বন্ধ ছিল, কিন্তু আমি এটি নিয়ে চিন্তা করা বন্ধ করতে পারিনি। সেই বিকেলে যখন আমি সেখানে বসে আমার লক্ষণগুলি গুগল করছিলাম, আবারও ভুল করে, আমি আমার হৃদস্পন্দন বৃদ্ধি অনুভব করতে পারি। আমি যাই করি না কেন তা কমাতে পারিনি। শেষ পর্যন্ত আমি একটি জরুরি চিকিৎসা কেন্দ্রে যাই এবং যখন তারা আমার হৃদস্পন্দন পরীক্ষা করে তখন এটি ছিল 125। আমার বিশ্রামের HR সাধারণত 55। ডাক্তার আমাকে পরীক্ষা করে বলেছিলেন যে তিনি বিশ্বাস করেন যে এটি উদ্বেগের কারণে এবং হৃদরোগের সাথে সম্পর্কিত নয়। যখন আমি চলে যাই, তখন আমার HR 69-এ নেমে এসেছিল। যখন আমার মনে হয়েছিল যে আমার এটির প্রয়োজন তখন তিনি আমাকে হাইড্রোক্সিজিন দিয়েছিলেন। আমি কয়েক দিন পরে এটি গ্রহণ করিনি, এবং আমি কেবল রাতে একটি গ্রহণ করেছি। পরের সপ্তাহে বুকের অস্বস্তি এসে চলে গেছে, এবং আমি কোনও প্যাটার্ন খুঁজে পাইনি। আমার বাম হাতটাও আবার ব্যথা শুরু করে, যেন আমি অনেক বেশি ব্যবহার করেছি, কিন্তু এবার আমার বাইসেপে ব্যথার পরিবর্তে আমি ট্রাইসেপে ব্যথা অনুভব করলাম। মনে হচ্ছিল যেন আমি হাতা পরেছি, খুব টাইট কিছু নয়, বরং সম্ভবত আন্ডার আর্মার কোল্ড গিয়ার টপের মতো। এই মুহুর্তে আমি আমার পিসিপিকে ফোন করে একটি অ্যাপয়েন্টমেন্ট নিলাম, কিন্তু নতুন বছরের পর পর্যন্ত আমি একটি পেতে পারিনি। আমি গতকাল আমার পিসিপিতে গিয়েছিলাম, এবং তারা একটি ইসিজি করেছিল, যা স্বাভাবিক ছিল, এবং বেশ কিছু প্রশ্ন জিজ্ঞাসা করার পর তারা বলেছিল যে এটি পেশীবহুল বা উদ্বেগের কারণ, যদিও মনে হয়েছিল উদ্বেগই সম্ভবত কারণ। তারা জিজ্ঞাসা করেছিল যে আমার উদ্বেগের কোনও ইতিহাস আছে কিনা এবং আমি বলেছিলাম যে আসলে তা নয়, তবে এটি সম্পর্কে চিন্তা করে, বিশেষ করে গত বছর আমার মনে হয় আমার হ্যাঁ বলা উচিত ছিল। ২০১৮ সালের ফেব্রুয়ারিতে আমার বাম হাঁটু/বাছুরের অংশ হঠাৎ করে ব্যথা শুরু হয়েছিল। এটি এমন এক ধরণের ব্যথা যা আমি আগে কখনও অনুভব করিনি এবং যে কারণেই হোক না কেন আমার মাথায় রক্ত ​​জমাট বাঁধার অনুভূতি হয়েছিল। আমি আমার পিসিপির সাথে একটি অ্যাপয়েন্টমেন্ট নির্ধারণ করেছিলাম, এবং অ্যাপয়েন্টমেন্টের দুই দিন আগে আমি এক অদ্ভুত অনুভূতি অনুভব করেছি। সেই সময় আমি ভেবেছিলাম আমি হয় পিই (অসম্ভব) থেকে মারা যাচ্ছি, অথবা প্যানিক অ্যাটাক (সম্ভবত)। আমি আমার বেসমেন্টের সোফায় শুয়ে ছিলাম, হঠাৎ আমার মাথা খারাপ হয়ে গেল এবং মনে হল আমি পিছনে পড়ে যাচ্ছি, এবং পৃথিবী আমার উপর ঘনিয়ে আসছে। আমার মনে আছে আমি কিছুটা হিমায়িত ছিলাম, যেন আমি কেবল সরাসরি সামনের দিকে তাকাতে পারছি, এবং আমার স্পষ্ট মনে আছে আলোর একটি সাদা বৃত্ত আমার উপর ঘনিয়ে আসছে। তাছাড়া, আমি ভেবেছিলাম আমি মারা যাচ্ছি যতক্ষণ না আমি উপরের তলা থেকে কেউ আমার নাম ধরে ডাকতে শুনতে পেলাম। এতে আমার এক মুহূর্ত সময় লেগেছিল, কিন্তু আমি কিছুটা ট্রান্স থেকে বেরিয়ে উপরে যেতে সক্ষম হয়েছিলাম। তখনই চোখের জল ঝরতে শুরু করে, এবং আমি বাজেভাবে ছিলাম, হয় আমাকে জরুরি বিভাগে যেতে হবে অথবা এই পায়ের জন্য জরুরি যত্ন নিতে হবে। আমি আমার নিয়মিত ডাক্তারের জন্য অপেক্ষা করতে পারছি না। ডাক্তার নিশ্চিত করার প্রায় এক সপ্তাহ বা তারও বেশি সময় পরে আমার পায়ে রক্ত ​​জমাট বাঁধেনি, আমার পায়ে ভালো বোধ হচ্ছিল, এবং বেশ কয়েক মাস ধরে ভালো লাগছিল, প্রায় আগস্ট/সেপ্টেম্বর পর্যন্ত যখন আবার এলোমেলোভাবে ব্যথা শুরু হয়েছিল। এবার যদিও এটি আমার উরুতে বেশি। আর, আগস্ট মাসে আমি আবার আমার বেসমেন্টে ছিলাম, আর আমার মনে নেই যে এটার কারণ হতে পারে, শুধু তীব্র খিঁচুনি ছাড়া, কিন্তু আমার মনে আছে যেন আমাকে বমি করতে হচ্ছে, আর আমি হাইপারভেন্টিলেট করতে শুরু করেছি। এই মুহূর্তে আমার মাথায় লক্ষ লক্ষ জিনিস ঘুরপাক খাচ্ছিল, কী ছিল তা আমি আপনাকে বলতে পারব না। আমি নিশ্চিত কান্না ছিল কারণ আমি ভয় পেয়েছিলাম, আর আমার হৃদস্পন্দনও বেড়ে গিয়েছিল। প্রায় 30 মিনিট পর, যদিও এটা অনন্তকালের মতো মনে হয়েছিল, সবকিছু চলে গেল। তারপর থেকে আমি আর তেমন কিছু অনুভব করিনি, এমনকি এই বর্তমান পরিস্থিতিতেও না। অবশ্যই যখন আমি আমার পিসিপি দেখেছিলাম তখন আমি প্রায় 3 দিন ধরে কোনও ব্যথা বা ব্যথা অনুভব করিনি, তাই তারা বলেছিল দেখা যাক কীভাবে হয়। আমার নিয়মিত রক্তকৃমি পরীক্ষা করানোর কথা এবং তারপর শারীরিক পরীক্ষার জন্য আমার ডাক্তারের কাছে ফিরে যাওয়ার কথা। আমার মনে হয় যখন আমি ফিরে যাব তখন আমি এই বিষয়টি তুলে ধরব যে আমার পা এখনও ব্যথা করছে, যদিও এবার অন্য জায়গায়, এবং ফেব্রুয়ারি এবং আগস্টে কী ঘটেছিল তা উল্লেখ করব। TL;DR গত কয়েক সপ্তাহ ধরে আমার বুকে অস্বস্তি এবং বাহুতে ব্যথা হচ্ছে। দুজন ডাক্তার এটাকে উদ্বেগজনক বলে মনে করেছেন, এবং যদিও আমি মনে করি আমি এটা বিশ্বাস করতে পারি, বিশেষ করে যখন আমি শারীরিক ব্যথা অনুভব করছি তখন এটা মেনে নিতে আমার কষ্ট হচ্ছে।</v>
      </c>
    </row>
    <row r="2716" spans="1:3" ht="15" x14ac:dyDescent="0.25">
      <c r="A2716" s="3" t="s">
        <v>2709</v>
      </c>
      <c r="B2716" s="3" t="s">
        <v>1992</v>
      </c>
      <c r="C2716" s="4" t="str">
        <f ca="1">IFERROR(__xludf.DUMMYFUNCTION("GOOGLETRANSLATE(A2716, ""auto"", ""bn"")"),"আমার উদ্বেগ আমার জীবন নষ্ট করে দিচ্ছে। আমার বয়স ১৬, আর আমি সত্যিই জানি না আর কী করব। আমার বিষণ্ণতা, বিএসডি এবং সামাজিক উদ্বেগ ধরা পড়েছে। আমাকে এসএসআরআই লিখে দেওয়া হয়েছিল যা সবকিছুকে আরও খারাপ করে তুলেছিল, কিন্তু আমার ডাক্তাররা বারবার বলছিলেন, শুধু সময় দাও"&amp;", নইলে আমি তোমার ডোজ বাড়িয়ে দেব এবং এক মাসের মধ্যে আমার সাথে দেখা করব। এই এসএসআরআইগুলো ছিল পেল এবং জোলফ্ট, এমনকি টেপারিং সহ আমি মাসের পর মাস ধরে প্রত্যাহারের সাথে লড়াই করেছি। আমার আইবিএস আমাকে স্কুলে যেতে ভয় পায় এবং যখন আমি যাই তখন আমার কোনও বন্ধু থাকে "&amp;"না এবং সপ্তাহে ২-৩ দিন মিস করার কারণে আমার অনেক কিছু করতে হয়। নববর্ষের দিনেও আমার প্রথম প্যানিক অ্যাটাক হয়েছিল। আমি জানি না কী করব। এটি এখন আমার জীবন নষ্ট করছে, এবং আমি আমার ভবিষ্যৎ নিয়ে ভীত। রাগ করার জন্য দুঃখিত, কিন্তু আমি কেবল এটি প্রকাশ করতে চেয়েছ"&amp;"িলাম।")</f>
        <v>আমার উদ্বেগ আমার জীবন নষ্ট করে দিচ্ছে। আমার বয়স ১৬, আর আমি সত্যিই জানি না আর কী করব। আমার বিষণ্ণতা, বিএসডি এবং সামাজিক উদ্বেগ ধরা পড়েছে। আমাকে এসএসআরআই লিখে দেওয়া হয়েছিল যা সবকিছুকে আরও খারাপ করে তুলেছিল, কিন্তু আমার ডাক্তাররা বারবার বলছিলেন, শুধু সময় দাও, নইলে আমি তোমার ডোজ বাড়িয়ে দেব এবং এক মাসের মধ্যে আমার সাথে দেখা করব। এই এসএসআরআইগুলো ছিল পেল এবং জোলফ্ট, এমনকি টেপারিং সহ আমি মাসের পর মাস ধরে প্রত্যাহারের সাথে লড়াই করেছি। আমার আইবিএস আমাকে স্কুলে যেতে ভয় পায় এবং যখন আমি যাই তখন আমার কোনও বন্ধু থাকে না এবং সপ্তাহে ২-৩ দিন মিস করার কারণে আমার অনেক কিছু করতে হয়। নববর্ষের দিনেও আমার প্রথম প্যানিক অ্যাটাক হয়েছিল। আমি জানি না কী করব। এটি এখন আমার জীবন নষ্ট করছে, এবং আমি আমার ভবিষ্যৎ নিয়ে ভীত। রাগ করার জন্য দুঃখিত, কিন্তু আমি কেবল এটি প্রকাশ করতে চেয়েছিলাম।</v>
      </c>
    </row>
    <row r="2717" spans="1:3" ht="15" x14ac:dyDescent="0.25">
      <c r="A2717" s="3" t="s">
        <v>2710</v>
      </c>
      <c r="B2717" s="3" t="s">
        <v>1992</v>
      </c>
      <c r="C2717" s="4" t="str">
        <f ca="1">IFERROR(__xludf.DUMMYFUNCTION("GOOGLETRANSLATE(A2717, ""auto"", ""bn"")"),"রাতে ঘুমাতে পারছি না। কয়েকদিন আগে আমার একটা তীব্র প্যানিক অ্যাটাক হয়েছিল, আর এখন আমি ভীষণ দুশ্চিন্তায় ভুগছি। আজ রাতে ঘুমাতে পারিনি, আর এখন সকাল ৭:১৫। কীভাবে ঘুমানো যায় সে সম্পর্কে কোনও পরামর্শ?")</f>
        <v>রাতে ঘুমাতে পারছি না। কয়েকদিন আগে আমার একটা তীব্র প্যানিক অ্যাটাক হয়েছিল, আর এখন আমি ভীষণ দুশ্চিন্তায় ভুগছি। আজ রাতে ঘুমাতে পারিনি, আর এখন সকাল ৭:১৫। কীভাবে ঘুমানো যায় সে সম্পর্কে কোনও পরামর্শ?</v>
      </c>
    </row>
    <row r="2718" spans="1:3" ht="15" x14ac:dyDescent="0.25">
      <c r="A2718" s="3" t="s">
        <v>2711</v>
      </c>
      <c r="B2718" s="3" t="s">
        <v>1992</v>
      </c>
      <c r="C2718" s="4" t="str">
        <f ca="1">IFERROR(__xludf.DUMMYFUNCTION("GOOGLETRANSLATE(A2718, ""auto"", ""bn"")"),"কিছু একটা আমাকে ভেঙে দিয়েছে। আমার সারা জীবন ধরে, সম্ভবত, উদ্বেগ ছিল। আমিও অনেক দিন ধরে এটাকে পঙ্গু করে ফেলেছি। তাছাড়া, আমি মেলামেশা করি না, চাকরি পাই না, বাড়ি থেকে খুব বেশি দূরে যাই না। তবুও, আমি কিছুটা নিয়ন্ত্রণে ছিলাম। আমি কফি খেতে যেতে পারতাম, মুদি"&amp;"খানার জিনিসপত্র কিনতে পারতাম, লাইব্রেরিতে যেতে পারতাম, ডাকপিয়ন দরজায় কড়া নাড়লে দরজা খুলতে পারতাম। এখন আমি এইসব কিছুই করতে পারি না। আমি কোনও ক্রিসমাসের কেনাকাটা করতে পারিনি। আমি একবার মলে গিয়েছিলাম, প্রায় অজ্ঞান হয়ে পড়েছিলাম এবং তাড়াহুড়ো করে বাড়"&amp;"ি ফিরতে হয়েছিল। তাছাড়া, আমি কয়েকদিন আগে পেট্রোল পাম্পে যাওয়ার চেষ্টা করেছিলাম। এটি আমার বাড়ি থেকে 6 ব্লক দূরে এবং আমি সাধারণত রাতে হাঁটতে পছন্দ করি। অন্ধকারে হাঁটার পর উজ্জ্বল আলোয় দোকানে যেতে আমার সবসময় ভয় লাগে, কিন্তু আমি তা সামলে নিই। এবার, আমি "&amp;"মাত্র দুই ব্লক পার হওয়ার আগে ফিরে যেতে হয়েছিল। আমার হৃদয় মনে হচ্ছিল যেন ফেটে যাচ্ছে। আমার শ্বাস-প্রশ্বাস বা শিথিলকরণের কোনও কৌশলই কাজ করেনি। ধীরে ধীরে হেঁটে বাড়ি ফিরতে আমার এক ঘন্টা সময় লেগেছিল, আর আমি একটা গাড়ি থামাতে চেয়েছিলাম যাতে আমি আর ফিরে আস"&amp;"তে পারব বলে মনে হচ্ছিল না। তারপর থেকে আমি আর বাসা থেকে বের হইনি। আজ ডাকপিয়ন ডাকলো আর আমি চিৎকার করে রান্নাঘরে লুকিয়ে পড়লাম। সবকিছুই আমার উপর চাপ সৃষ্টি করছে। আমার টাকা আর খাবার শেষ হয়ে গেছে। কয়েকদিন আগে ভাড়া বকেয়া ছিল। আমাকে ব্যাংকে যেতে হবে এবং আম"&amp;"ি বুঝতে পারছি না কিভাবে এটা করবো। অবশ্যই, বাধ্য হওয়ার চাপ পরিস্থিতিকে আরও খারাপ করে তুলছে। আমি জানি না কী হয়েছে। আমি আর কাজ করতে পারছি না।")</f>
        <v>কিছু একটা আমাকে ভেঙে দিয়েছে। আমার সারা জীবন ধরে, সম্ভবত, উদ্বেগ ছিল। আমিও অনেক দিন ধরে এটাকে পঙ্গু করে ফেলেছি। তাছাড়া, আমি মেলামেশা করি না, চাকরি পাই না, বাড়ি থেকে খুব বেশি দূরে যাই না। তবুও, আমি কিছুটা নিয়ন্ত্রণে ছিলাম। আমি কফি খেতে যেতে পারতাম, মুদিখানার জিনিসপত্র কিনতে পারতাম, লাইব্রেরিতে যেতে পারতাম, ডাকপিয়ন দরজায় কড়া নাড়লে দরজা খুলতে পারতাম। এখন আমি এইসব কিছুই করতে পারি না। আমি কোনও ক্রিসমাসের কেনাকাটা করতে পারিনি। আমি একবার মলে গিয়েছিলাম, প্রায় অজ্ঞান হয়ে পড়েছিলাম এবং তাড়াহুড়ো করে বাড়ি ফিরতে হয়েছিল। তাছাড়া, আমি কয়েকদিন আগে পেট্রোল পাম্পে যাওয়ার চেষ্টা করেছিলাম। এটি আমার বাড়ি থেকে 6 ব্লক দূরে এবং আমি সাধারণত রাতে হাঁটতে পছন্দ করি। অন্ধকারে হাঁটার পর উজ্জ্বল আলোয় দোকানে যেতে আমার সবসময় ভয় লাগে, কিন্তু আমি তা সামলে নিই। এবার, আমি মাত্র দুই ব্লক পার হওয়ার আগে ফিরে যেতে হয়েছিল। আমার হৃদয় মনে হচ্ছিল যেন ফেটে যাচ্ছে। আমার শ্বাস-প্রশ্বাস বা শিথিলকরণের কোনও কৌশলই কাজ করেনি। ধীরে ধীরে হেঁটে বাড়ি ফিরতে আমার এক ঘন্টা সময় লেগেছিল, আর আমি একটা গাড়ি থামাতে চেয়েছিলাম যাতে আমি আর ফিরে আসতে পারব বলে মনে হচ্ছিল না। তারপর থেকে আমি আর বাসা থেকে বের হইনি। আজ ডাকপিয়ন ডাকলো আর আমি চিৎকার করে রান্নাঘরে লুকিয়ে পড়লাম। সবকিছুই আমার উপর চাপ সৃষ্টি করছে। আমার টাকা আর খাবার শেষ হয়ে গেছে। কয়েকদিন আগে ভাড়া বকেয়া ছিল। আমাকে ব্যাংকে যেতে হবে এবং আমি বুঝতে পারছি না কিভাবে এটা করবো। অবশ্যই, বাধ্য হওয়ার চাপ পরিস্থিতিকে আরও খারাপ করে তুলছে। আমি জানি না কী হয়েছে। আমি আর কাজ করতে পারছি না।</v>
      </c>
    </row>
    <row r="2719" spans="1:3" ht="15" x14ac:dyDescent="0.25">
      <c r="A2719" s="3" t="s">
        <v>2712</v>
      </c>
      <c r="B2719" s="3" t="s">
        <v>1992</v>
      </c>
      <c r="C2719" s="4" t="str">
        <f ca="1">IFERROR(__xludf.DUMMYFUNCTION("GOOGLETRANSLATE(A2719, ""auto"", ""bn"")"),"হাত কাঁপছে? আমার মনে হয় না আমার সম্পূর্ণ উদ্বেগ আছে - আমার কখনও প্যানিক অ্যাটাক বা এরকম কিছু হয়নি। আমার মনে হয় যখন সাধারণ মানুষ উদ্বিগ্ন হয় তখন আমি উদ্বিগ্ন হয়ে পড়ি; বড় পরীক্ষার আগে, আমি যাদের চিনি না তাদের ভরা ঘরে। তবে প্রায় ১১-১২ বছর বয়স থেকে, "&amp;"আমার হাত কাঁপছে, এমন পর্যায়ে যেখানে বেশিরভাগ লোকেরা যারা আমাকে ভালোভাবে চেনেন তারা এটি বুঝতে পারে। যখন আমি আসলে উদ্বিগ্ন থাকি, তখন এটি আসলে অত্যন্ত দুর্বল হয়ে পড়ে। উদাহরণস্বরূপ, আমি একটি বিশ্ববিদ্যালয়ের বন্ধুদের দলে গিয়েছিলাম, যেখানে আমি কেবল আমার বন"&amp;"্ধুকে জানতাম। আমি সম্ভবত একজন সাধারণ মানুষের তুলনায় একটু বেশি নার্ভাস ছিলাম, কিন্তু আমার শরীর এতটাই কাঁপছিল যে এটি আমাকে পুরো খেলার জন্য প্রায় অকেজো করে তুলেছিল। আমি মাঝে মাঝে বিনোদনমূলক ওষুধ ব্যবহার করি, এবং যখনই আমার Xanax আছে তখন কিছু উন্নতি লক্ষ্য ক"&amp;"রেছি। আমি সত্যিই পোস্ট করছি যে কেউ আছে কিনা যার সাথে সম্পর্কিত হতে পারে, অথবা কোন পরামর্শ আছে - আমার কি কোনও কিছুর জন্য একটি প্রেসক্রিপশন নেওয়ার চেষ্টা করা উচিত? পিএস: আমি আমার বাবা-মায়ের সাথে কথা বলেছি এবং মা বলেছিলেন যে আমার বয়সী থাকাকালীন তারও একই রক"&amp;"ম অবস্থা ছিল, তাই আমার মনে হয় না যে এটি পার্কিনসন বা অন্য কিছুর খুব তাড়াতাড়ি শুরু হতে পারে।")</f>
        <v>হাত কাঁপছে? আমার মনে হয় না আমার সম্পূর্ণ উদ্বেগ আছে - আমার কখনও প্যানিক অ্যাটাক বা এরকম কিছু হয়নি। আমার মনে হয় যখন সাধারণ মানুষ উদ্বিগ্ন হয় তখন আমি উদ্বিগ্ন হয়ে পড়ি; বড় পরীক্ষার আগে, আমি যাদের চিনি না তাদের ভরা ঘরে। তবে প্রায় ১১-১২ বছর বয়স থেকে, আমার হাত কাঁপছে, এমন পর্যায়ে যেখানে বেশিরভাগ লোকেরা যারা আমাকে ভালোভাবে চেনেন তারা এটি বুঝতে পারে। যখন আমি আসলে উদ্বিগ্ন থাকি, তখন এটি আসলে অত্যন্ত দুর্বল হয়ে পড়ে। উদাহরণস্বরূপ, আমি একটি বিশ্ববিদ্যালয়ের বন্ধুদের দলে গিয়েছিলাম, যেখানে আমি কেবল আমার বন্ধুকে জানতাম। আমি সম্ভবত একজন সাধারণ মানুষের তুলনায় একটু বেশি নার্ভাস ছিলাম, কিন্তু আমার শরীর এতটাই কাঁপছিল যে এটি আমাকে পুরো খেলার জন্য প্রায় অকেজো করে তুলেছিল। আমি মাঝে মাঝে বিনোদনমূলক ওষুধ ব্যবহার করি, এবং যখনই আমার Xanax আছে তখন কিছু উন্নতি লক্ষ্য করেছি। আমি সত্যিই পোস্ট করছি যে কেউ আছে কিনা যার সাথে সম্পর্কিত হতে পারে, অথবা কোন পরামর্শ আছে - আমার কি কোনও কিছুর জন্য একটি প্রেসক্রিপশন নেওয়ার চেষ্টা করা উচিত? পিএস: আমি আমার বাবা-মায়ের সাথে কথা বলেছি এবং মা বলেছিলেন যে আমার বয়সী থাকাকালীন তারও একই রকম অবস্থা ছিল, তাই আমার মনে হয় না যে এটি পার্কিনসন বা অন্য কিছুর খুব তাড়াতাড়ি শুরু হতে পারে।</v>
      </c>
    </row>
    <row r="2720" spans="1:3" ht="15" x14ac:dyDescent="0.25">
      <c r="A2720" s="3" t="s">
        <v>2713</v>
      </c>
      <c r="B2720" s="3" t="s">
        <v>1992</v>
      </c>
      <c r="C2720" s="4" t="str">
        <f ca="1">IFERROR(__xludf.DUMMYFUNCTION("GOOGLETRANSLATE(A2720, ""auto"", ""bn"")"),"কান ফাটা বন্ধ করার উপায়: সম্প্রতি আমার কান ফাটা বন্ধ করার সমস্যা হচ্ছে, আর আমার মনে হচ্ছে আমি থামাতে পারছি না। যদি আমি খুব সচেতন থাকি এবং আমার মস্তিষ্ককে ধীর করে দেই, তাহলে আমি অল্প সময়ের জন্য এটি নিয়ন্ত্রণ করতে পারি, কিন্তু সাধারণত আমি প্রতি মিনিটে ৩০"&amp;" বার কান ফাটা বন্ধ করি। এটা আমাকে পাগল করে দিচ্ছে। এটা বন্ধ করার জন্য কারো কি কোন পরামর্শ আছে?")</f>
        <v>কান ফাটা বন্ধ করার উপায়: সম্প্রতি আমার কান ফাটা বন্ধ করার সমস্যা হচ্ছে, আর আমার মনে হচ্ছে আমি থামাতে পারছি না। যদি আমি খুব সচেতন থাকি এবং আমার মস্তিষ্ককে ধীর করে দেই, তাহলে আমি অল্প সময়ের জন্য এটি নিয়ন্ত্রণ করতে পারি, কিন্তু সাধারণত আমি প্রতি মিনিটে ৩০ বার কান ফাটা বন্ধ করি। এটা আমাকে পাগল করে দিচ্ছে। এটা বন্ধ করার জন্য কারো কি কোন পরামর্শ আছে?</v>
      </c>
    </row>
    <row r="2721" spans="1:3" ht="15" x14ac:dyDescent="0.25">
      <c r="A2721" s="3" t="s">
        <v>2714</v>
      </c>
      <c r="B2721" s="3" t="s">
        <v>1992</v>
      </c>
      <c r="C2721" s="4" t="str">
        <f ca="1">IFERROR(__xludf.DUMMYFUNCTION("GOOGLETRANSLATE(A2721, ""auto"", ""bn"")"),"আমি খুব ক্লান্ত। সবসময় ভয়ে ভীত থাকার কারণে আমি ক্লান্ত। তাছাড়া, আমি একটু বিশ্রাম চাই কিন্তু যখনই আমি খুশি হই, তখন আরও বেশি উদ্বিগ্ন হয়ে পড়ি কারণ আমার খুশি হওয়ার কথা নয় এবং শীঘ্রই ভয়ানক কিছু ঘটবে। তাছাড়া, আমি আমার পুরো জীবনকে প্রভাবিত করে এই ঘটনা "&amp;"দেখে ক্লান্ত। জানি না কেন আমি পোস্ট করছি, তবে এটি আমার মনের ভাব প্রকাশ করতে সাহায্য করে এবং যদি কেউ একই রকম অনুভব করে, তাহলে আমার সাথে কথা বলতে পারেন। আমি এতে খুব ক্লান্ত।")</f>
        <v>আমি খুব ক্লান্ত। সবসময় ভয়ে ভীত থাকার কারণে আমি ক্লান্ত। তাছাড়া, আমি একটু বিশ্রাম চাই কিন্তু যখনই আমি খুশি হই, তখন আরও বেশি উদ্বিগ্ন হয়ে পড়ি কারণ আমার খুশি হওয়ার কথা নয় এবং শীঘ্রই ভয়ানক কিছু ঘটবে। তাছাড়া, আমি আমার পুরো জীবনকে প্রভাবিত করে এই ঘটনা দেখে ক্লান্ত। জানি না কেন আমি পোস্ট করছি, তবে এটি আমার মনের ভাব প্রকাশ করতে সাহায্য করে এবং যদি কেউ একই রকম অনুভব করে, তাহলে আমার সাথে কথা বলতে পারেন। আমি এতে খুব ক্লান্ত।</v>
      </c>
    </row>
    <row r="2722" spans="1:3" ht="15" x14ac:dyDescent="0.25">
      <c r="A2722" s="3" t="s">
        <v>2715</v>
      </c>
      <c r="B2722" s="3" t="s">
        <v>1992</v>
      </c>
      <c r="C2722" s="4" t="str">
        <f ca="1">IFERROR(__xludf.DUMMYFUNCTION("GOOGLETRANSLATE(A2722, ""auto"", ""bn"")"),"আমি চাই মানুষ জানুক আমি খুব শান্ত/সংযমী মানুষ, বিশেষ করে যখন অনুভূতি/আবেগের কথা আসে, কিন্তু সত্যি বলতে, আমি চাই আমার এমন একজন বন্ধু থাকুক যে আমার অনুভূতি জানে।")</f>
        <v>আমি চাই মানুষ জানুক আমি খুব শান্ত/সংযমী মানুষ, বিশেষ করে যখন অনুভূতি/আবেগের কথা আসে, কিন্তু সত্যি বলতে, আমি চাই আমার এমন একজন বন্ধু থাকুক যে আমার অনুভূতি জানে।</v>
      </c>
    </row>
    <row r="2723" spans="1:3" ht="15" x14ac:dyDescent="0.25">
      <c r="A2723" s="3" t="s">
        <v>2716</v>
      </c>
      <c r="B2723" s="3" t="s">
        <v>1992</v>
      </c>
      <c r="C2723" s="4" t="str">
        <f ca="1">IFERROR(__xludf.DUMMYFUNCTION("GOOGLETRANSLATE(A2723, ""auto"", ""bn"")"),"বড় ধরণের প্যানিক অ্যাটাকের পর হঠাৎ করেই কি উদ্বেগের ওষুধ কাজ করা বন্ধ করে দিয়েছে? (১৯/চ) আমি উদ্বেগের জন্য ওষুধ খাচ্ছি এবং নববর্ষের আগের দিন আমি অ্যাডেরাল খেয়েছিলাম এবং আমার তীব্র প্যানিক অ্যাটাক হয়েছিল, এবং প্রতিদিনই আমি কাঁদছি, প্যানিক অ্যাটাক হচ্ছে"&amp;" এবং বমি করার মতো অনুভূতি হচ্ছে। এই সপ্তাহে প্রতিদিনই আমি খুব খারাপ এবং খালি ছিলাম, যদিও আমার ওষুধের সাথে এত ভালো অগ্রগতি হচ্ছিল। এটি বিশ্বের সবচেয়ে খারাপ অনুভূতি এবং আমার কী করা উচিত তা আমার কোনও ধারণা নেই। যদি কেউ জানেন যে এটি কেন হচ্ছে বা এটি সম্পর্কে"&amp;" কী করা উচিত, দয়া করে আমাকে জানান।")</f>
        <v>বড় ধরণের প্যানিক অ্যাটাকের পর হঠাৎ করেই কি উদ্বেগের ওষুধ কাজ করা বন্ধ করে দিয়েছে? (১৯/চ) আমি উদ্বেগের জন্য ওষুধ খাচ্ছি এবং নববর্ষের আগের দিন আমি অ্যাডেরাল খেয়েছিলাম এবং আমার তীব্র প্যানিক অ্যাটাক হয়েছিল, এবং প্রতিদিনই আমি কাঁদছি, প্যানিক অ্যাটাক হচ্ছে এবং বমি করার মতো অনুভূতি হচ্ছে। এই সপ্তাহে প্রতিদিনই আমি খুব খারাপ এবং খালি ছিলাম, যদিও আমার ওষুধের সাথে এত ভালো অগ্রগতি হচ্ছিল। এটি বিশ্বের সবচেয়ে খারাপ অনুভূতি এবং আমার কী করা উচিত তা আমার কোনও ধারণা নেই। যদি কেউ জানেন যে এটি কেন হচ্ছে বা এটি সম্পর্কে কী করা উচিত, দয়া করে আমাকে জানান।</v>
      </c>
    </row>
    <row r="2724" spans="1:3" ht="15" x14ac:dyDescent="0.25">
      <c r="A2724" s="3" t="s">
        <v>2717</v>
      </c>
      <c r="B2724" s="3" t="s">
        <v>1992</v>
      </c>
      <c r="C2724" s="4" t="str">
        <f ca="1">IFERROR(__xludf.DUMMYFUNCTION("GOOGLETRANSLATE(A2724, ""auto"", ""bn"")"),"খারাপ বন্ধু হওয়ার জন্য উদ্বেগকে দুর্ভাগ্যজনক (কিন্তু বাস্তব) অজুহাত হিসেবে ব্যাখ্যা করার জন্য কোন পরামর্শ আছে? আমি খুব কমই বন্ধুদের ফোন করি এবং এমনকি যখন পুরোনো বন্ধুরা শহরে থাকে, তখনও আমি তাদের সাথে দেখা করার চেষ্টা করি কারণ আমি তাদের সাথে যোগাযোগকে অপ্"&amp;"রতিরোধ্য এবং ক্লান্তিকর করে তুলি। আমার উদ্বেগ কোনওভাবেই পঙ্গু করে না এবং লোকেরা প্রায়শই অবাক হয় যে আমার মধ্যে এটি আদৌ আছে, তাই আমি এটিকে অতিরিক্ত উপভোগ করতে চাই না। কিন্তু আমি একাকী সময় কাটানোর (অথবা শুধুমাত্র আমার স্বামীর সাথে সময় কাটানোর) আকাঙ্ক্ষায"&amp;"় অত্যন্ত অন্তর্মুখী এবং আমি কিছু ভুল করেছি বা বলেছি এই ভয়ে আমি লক্ষ লক্ষবার আমার মাথায় কিছু সামাজিক মিথস্ক্রিয়া পুনরাবৃত্তি করি। অপরিচিতদের ভরা একটি বিশাল ঘরে থাকা আমার কল্পনার মতো একটি ভীতিকর দৃশ্য, এবং কখনও কখনও আমার পরিচিতদের সাথে এটি সহজ হয় না। শ"&amp;"হরের বাইরে বসবাসকারী আমার ঘনিষ্ঠ বন্ধুদের কাছে কিছু বলার কথা ভেবেছিলাম, যাতে আমি বুঝতে পারি যে এটা তোমার নয়, এটা আমার একাকিত্বের স্বাভাবিক প্রকৃতি, কিন্তু আমি নিশ্চিত নই যে এটা কীভাবে করব, হয় অজুহাত হিসেবে শোনাবে অথবা মনে হবে যেন আমি করুণা খুঁজছি। একই রক"&amp;"ম যেকোনো পরিস্থিতি সফলভাবে মোকাবেলা করা অনেক সাহায্য করবে। শোনার এবং শেয়ার করার জন্য ধন্যবাদ।")</f>
        <v>খারাপ বন্ধু হওয়ার জন্য উদ্বেগকে দুর্ভাগ্যজনক (কিন্তু বাস্তব) অজুহাত হিসেবে ব্যাখ্যা করার জন্য কোন পরামর্শ আছে? আমি খুব কমই বন্ধুদের ফোন করি এবং এমনকি যখন পুরোনো বন্ধুরা শহরে থাকে, তখনও আমি তাদের সাথে দেখা করার চেষ্টা করি কারণ আমি তাদের সাথে যোগাযোগকে অপ্রতিরোধ্য এবং ক্লান্তিকর করে তুলি। আমার উদ্বেগ কোনওভাবেই পঙ্গু করে না এবং লোকেরা প্রায়শই অবাক হয় যে আমার মধ্যে এটি আদৌ আছে, তাই আমি এটিকে অতিরিক্ত উপভোগ করতে চাই না। কিন্তু আমি একাকী সময় কাটানোর (অথবা শুধুমাত্র আমার স্বামীর সাথে সময় কাটানোর) আকাঙ্ক্ষায় অত্যন্ত অন্তর্মুখী এবং আমি কিছু ভুল করেছি বা বলেছি এই ভয়ে আমি লক্ষ লক্ষবার আমার মাথায় কিছু সামাজিক মিথস্ক্রিয়া পুনরাবৃত্তি করি। অপরিচিতদের ভরা একটি বিশাল ঘরে থাকা আমার কল্পনার মতো একটি ভীতিকর দৃশ্য, এবং কখনও কখনও আমার পরিচিতদের সাথে এটি সহজ হয় না। শহরের বাইরে বসবাসকারী আমার ঘনিষ্ঠ বন্ধুদের কাছে কিছু বলার কথা ভেবেছিলাম, যাতে আমি বুঝতে পারি যে এটা তোমার নয়, এটা আমার একাকিত্বের স্বাভাবিক প্রকৃতি, কিন্তু আমি নিশ্চিত নই যে এটা কীভাবে করব, হয় অজুহাত হিসেবে শোনাবে অথবা মনে হবে যেন আমি করুণা খুঁজছি। একই রকম যেকোনো পরিস্থিতি সফলভাবে মোকাবেলা করা অনেক সাহায্য করবে। শোনার এবং শেয়ার করার জন্য ধন্যবাদ।</v>
      </c>
    </row>
    <row r="2725" spans="1:3" ht="15" x14ac:dyDescent="0.25">
      <c r="A2725" s="3" t="s">
        <v>2718</v>
      </c>
      <c r="B2725" s="3" t="s">
        <v>1992</v>
      </c>
      <c r="C2725" s="4" t="str">
        <f ca="1">IFERROR(__xludf.DUMMYFUNCTION("GOOGLETRANSLATE(A2725, ""auto"", ""bn"")"),"আমি কখনোই মানুষের সাথে থাকা উপভোগ করতে পারি না কারণ আমি সবসময় আমার মনে প্রশ্ন জাগে যে আমি যা বলেছি, করেছি, কেমন দেখতে, এবং আমি কি আমার মতো? যখনই আমি মানুষের সাথে থাকি, তখনই আমার মনে হয় যে আমি তাদের মতো নই। এমনকি আমার বাবা-মায়ের সাথেও আমার এমন অনুভূতি হ"&amp;"য়। মনে হয় যেন কেউ তোমার ভেতরে টানছে এবং বলছে 'কেউ তোমাকে এখানে চায় না এবং সবাই অন্য কাউকে পেতে চায়। আমার জীবনে খুব কম মানুষই আছেন যারা বেশিরভাগ সময় আমাকে এই অনুভূতি দেননি। যখন আমি প্রায় ৪ বছর ধরে অ্যান্টিডিপ্রেসেন্ট গ্রহণ করি, তখন এটি আমাকে অসাড় কর"&amp;"ে দেয় এবং বেশিরভাগ সময় আমি এই অনুভূতি সম্পর্কে অবহেলিত হয়ে পড়ি। এখন যেহেতু আমি তাদের থেকে দূরে থাকি, আমার সবসময় এই অনুভূতি হয়। আমার শেষ সম্পর্কটি শেষ হয়ে গিয়েছিল কারণ আমি তার উপর নির্ভর করতে মগ্ন ছিলাম কারণ সে আমাকে ভালো বোধ করাত, এবং সে সন্তুষ্ট "&amp;"ছিল না। কিন্তু এখন যখন আমি এটি সম্পর্কে চিন্তা করি, তখন আমার মনে হয় আমি কখনই তার সাথে ছিলাম না। কারণ আমি মনে মনে বিশ্বাস করি যে সে সবসময় অন্য কাউকে চেয়েছিল। অন্যদের সাথে কি কেউ সত্যিই খুশি নাকি সবাই তাদের ভিতরে এই শূন্যতা অনুভব করে?")</f>
        <v>আমি কখনোই মানুষের সাথে থাকা উপভোগ করতে পারি না কারণ আমি সবসময় আমার মনে প্রশ্ন জাগে যে আমি যা বলেছি, করেছি, কেমন দেখতে, এবং আমি কি আমার মতো? যখনই আমি মানুষের সাথে থাকি, তখনই আমার মনে হয় যে আমি তাদের মতো নই। এমনকি আমার বাবা-মায়ের সাথেও আমার এমন অনুভূতি হয়। মনে হয় যেন কেউ তোমার ভেতরে টানছে এবং বলছে 'কেউ তোমাকে এখানে চায় না এবং সবাই অন্য কাউকে পেতে চায়। আমার জীবনে খুব কম মানুষই আছেন যারা বেশিরভাগ সময় আমাকে এই অনুভূতি দেননি। যখন আমি প্রায় ৪ বছর ধরে অ্যান্টিডিপ্রেসেন্ট গ্রহণ করি, তখন এটি আমাকে অসাড় করে দেয় এবং বেশিরভাগ সময় আমি এই অনুভূতি সম্পর্কে অবহেলিত হয়ে পড়ি। এখন যেহেতু আমি তাদের থেকে দূরে থাকি, আমার সবসময় এই অনুভূতি হয়। আমার শেষ সম্পর্কটি শেষ হয়ে গিয়েছিল কারণ আমি তার উপর নির্ভর করতে মগ্ন ছিলাম কারণ সে আমাকে ভালো বোধ করাত, এবং সে সন্তুষ্ট ছিল না। কিন্তু এখন যখন আমি এটি সম্পর্কে চিন্তা করি, তখন আমার মনে হয় আমি কখনই তার সাথে ছিলাম না। কারণ আমি মনে মনে বিশ্বাস করি যে সে সবসময় অন্য কাউকে চেয়েছিল। অন্যদের সাথে কি কেউ সত্যিই খুশি নাকি সবাই তাদের ভিতরে এই শূন্যতা অনুভব করে?</v>
      </c>
    </row>
    <row r="2726" spans="1:3" ht="15" x14ac:dyDescent="0.25">
      <c r="A2726" s="3" t="s">
        <v>2719</v>
      </c>
      <c r="B2726" s="3" t="s">
        <v>1992</v>
      </c>
      <c r="C2726" s="4" t="str">
        <f ca="1">IFERROR(__xludf.DUMMYFUNCTION("GOOGLETRANSLATE(A2726, ""auto"", ""bn"")"),"আমার বয়ফ্রেন্ডের সাথে ঝগড়া নিয়ে আমি উদ্বিগ্ন! সাহায্য করুন! তাই আমি GAD-তে ভুগছি, এবং গত সপ্তাহে আমার বয়ফ্রেন্ডের সাথে (মীমাংসিত) ঝগড়া নিয়ে আমি খুব চিন্তিত। সংক্ষেপে বলতে গেলে, কয়েকটি বাক্যে ঝগড়াটা বলতে গেলে: আমি আর আমার বয়ফ্রেন্ড আলোচনা করছিলাম কোন ধরণের"&amp;" মেয়েদের আমরা সুন্দর বলে মনে করি (আমি আসলেই দ্বিধাগ্রস্ত), আর আমি মন্তব্য করেছিলাম যে আমার মনে হয় সুপার বাফ মেয়েরা খুব সুন্দর এবং সে রাজি হয়ে গেছে। তারপর সে খুব রূঢ়ভাবে বলল যে হয়তো সে একদিন এমন মেয়ের সাথে ডেট করবে, আর আমার মন ভেঙে গেল। তার বিষণ্ণতা আছে, এ"&amp;"বং মাঝে মাঝে তাকে খুব বিরক্ত করে তোলে, আর সে সারাদিনই খুব বিরক্ত ছিল। তাই সে এটা বলার পরপরই, সে অনেক ক্ষমা চাইল এবং বলল যে সে এটা বলেছিল কারণ সে বিরক্ত ছিল এবং খারাপ কিছু বলতে চেয়েছিল। আমাদের দুই বছরের সম্পর্কের মধ্যে এই প্রথম সে এমন কিছু বলল বা করল। আমি"&amp;" সত্যিই খুব বিরক্ত হয়েছিলাম কারণ অবিশ্বাস আমার কাছে খুব কষ্টের বিষয় এবং অন্য মহিলার সাথে তার থাকার কথা ভাবাটা আমার মন ভেঙে দেয়। সে জানে যে সে যা বলেছে তা ভুল ছিল এবং সে আমাকে বলেছে যে সে এটা মোটেও বোঝাতে চায়নি। ঝগড়ার পর থেকে, সে যতবার প্রয়োজন ততবার আ"&amp;"মাকে আশ্বস্ত করেছে (যদিও এতে উদ্বেগ কমছে বলে মনে হচ্ছে না)। এছাড়াও, সে আমার কাছে তার হৃদয়ের কথা খুলে একটি চিঠি লিখেছিল এবং আমাকে জানিয়েছিল যে সে কীভাবে আমাকে বিয়ে করতে এবং আমার সাথে বৃদ্ধ হতে চায়। যাইহোক, এত কিছুর পরেও আমি এখনও এই অনুভূতিটি দূর করতে "&amp;"পারছি না যে সে যা বলেছে তা বোঝাতে চেয়েছিল, এবং আমি জানি না কী করব। গত কয়েক মাস ধরে আমি আমার উদ্বেগকে দূরে রেখেছিলাম, কিন্তু আমার মনে হচ্ছে এটি এখন পূর্ণ শক্তিতে ফিরে এসেছে এবং আমি কী করব জানি না। যেকোনো পরামর্শের জন্য কৃতজ্ঞ।")</f>
        <v>আমার বয়ফ্রেন্ডের সাথে ঝগড়া নিয়ে আমি উদ্বিগ্ন! সাহায্য করুন! তাই আমি GAD-তে ভুগছি, এবং গত সপ্তাহে আমার বয়ফ্রেন্ডের সাথে (মীমাংসিত) ঝগড়া নিয়ে আমি খুব চিন্তিত। সংক্ষেপে বলতে গেলে, কয়েকটি বাক্যে ঝগড়াটা বলতে গেলে: আমি আর আমার বয়ফ্রেন্ড আলোচনা করছিলাম কোন ধরণের মেয়েদের আমরা সুন্দর বলে মনে করি (আমি আসলেই দ্বিধাগ্রস্ত), আর আমি মন্তব্য করেছিলাম যে আমার মনে হয় সুপার বাফ মেয়েরা খুব সুন্দর এবং সে রাজি হয়ে গেছে। তারপর সে খুব রূঢ়ভাবে বলল যে হয়তো সে একদিন এমন মেয়ের সাথে ডেট করবে, আর আমার মন ভেঙে গেল। তার বিষণ্ণতা আছে, এবং মাঝে মাঝে তাকে খুব বিরক্ত করে তোলে, আর সে সারাদিনই খুব বিরক্ত ছিল। তাই সে এটা বলার পরপরই, সে অনেক ক্ষমা চাইল এবং বলল যে সে এটা বলেছিল কারণ সে বিরক্ত ছিল এবং খারাপ কিছু বলতে চেয়েছিল। আমাদের দুই বছরের সম্পর্কের মধ্যে এই প্রথম সে এমন কিছু বলল বা করল। আমি সত্যিই খুব বিরক্ত হয়েছিলাম কারণ অবিশ্বাস আমার কাছে খুব কষ্টের বিষয় এবং অন্য মহিলার সাথে তার থাকার কথা ভাবাটা আমার মন ভেঙে দেয়। সে জানে যে সে যা বলেছে তা ভুল ছিল এবং সে আমাকে বলেছে যে সে এটা মোটেও বোঝাতে চায়নি। ঝগড়ার পর থেকে, সে যতবার প্রয়োজন ততবার আমাকে আশ্বস্ত করেছে (যদিও এতে উদ্বেগ কমছে বলে মনে হচ্ছে না)। এছাড়াও, সে আমার কাছে তার হৃদয়ের কথা খুলে একটি চিঠি লিখেছিল এবং আমাকে জানিয়েছিল যে সে কীভাবে আমাকে বিয়ে করতে এবং আমার সাথে বৃদ্ধ হতে চায়। যাইহোক, এত কিছুর পরেও আমি এখনও এই অনুভূতিটি দূর করতে পারছি না যে সে যা বলেছে তা বোঝাতে চেয়েছিল, এবং আমি জানি না কী করব। গত কয়েক মাস ধরে আমি আমার উদ্বেগকে দূরে রেখেছিলাম, কিন্তু আমার মনে হচ্ছে এটি এখন পূর্ণ শক্তিতে ফিরে এসেছে এবং আমি কী করব জানি না। যেকোনো পরামর্শের জন্য কৃতজ্ঞ।</v>
      </c>
    </row>
    <row r="2727" spans="1:3" ht="15" x14ac:dyDescent="0.25">
      <c r="A2727" s="3" t="s">
        <v>2720</v>
      </c>
      <c r="B2727" s="3" t="s">
        <v>1992</v>
      </c>
      <c r="C2727" s="4" t="str">
        <f ca="1">IFERROR(__xludf.DUMMYFUNCTION("GOOGLETRANSLATE(A2727, ""auto"", ""bn"")"),"তোমার অনুভূতি প্রকাশ করা কি ঠিক? প্রকাশের সমস্যা? ছোটবেলা থেকেই আমার অনুভূতি প্রকাশ করতে কষ্ট হচ্ছিল কিন্তু সম্প্রতি আমি জানতে পেরেছি যে আমার উদ্বেগ এবং ভয় ভাগ করে নেওয়া ঠিক। একটা মেয়ে আছে যাকে আমি পছন্দ করি এবং আমার মনের সব কথা বলতে চাই কিন্তু আমি ভয়"&amp;" পাই কারণ যদি আমি বলি তাহলে আমার মনে হয় সে আমাকে ছেড়ে চলে যাবে এবং আমি আমার সমস্ত ব্যথা নিয়ে একা থাকব। এবং আমি জানি যে যদি সে আমাকে ছেড়ে চলে যায় তবে এটি কেবল তার সম্পর্কেই নয় বরং এখন পর্যন্ত আমি যা কিছু বেঁচে আছি তার সবকিছুই হবে যেমন আমার শৈশবের ট্র"&amp;"মা, আমার পারিবারিক সমস্যা, আমি সবকিছু আবার অনুভব করব এবং আমাকে ছেড়ে যাওয়া প্রত্যেক ব্যক্তিকে মনে রাখব, যার মধ্যে আমার পরিবারও রয়েছে যারা আমার যৌন নির্যাতনের সময় আমার সাথে ছিল না। আমি যা করতে চাই তা হল আমার বিছানায় থাকা এবং সবকিছু এড়িয়ে চলার চেষ্টা "&amp;"করা যাতে আমি এটি মোকাবেলা করতে পারি, কিন্তু আমি তাকে পছন্দ করি এবং তাকে সবকিছু বলতে চাই, এটি আমাকে কেবল বিভ্রান্ত করছে। আমি জানি না কেন আমি এখানে পোস্ট করছি, এটি আমার প্রথম পোস্ট এবং আমি সামাজিক সমর্থনের সাথে মোকাবিলা করতে পারছি না এটি আমাকে কেবল ভয় দেখা"&amp;"য়। আমার কি করা উচিত ^-^'")</f>
        <v>তোমার অনুভূতি প্রকাশ করা কি ঠিক? প্রকাশের সমস্যা? ছোটবেলা থেকেই আমার অনুভূতি প্রকাশ করতে কষ্ট হচ্ছিল কিন্তু সম্প্রতি আমি জানতে পেরেছি যে আমার উদ্বেগ এবং ভয় ভাগ করে নেওয়া ঠিক। একটা মেয়ে আছে যাকে আমি পছন্দ করি এবং আমার মনের সব কথা বলতে চাই কিন্তু আমি ভয় পাই কারণ যদি আমি বলি তাহলে আমার মনে হয় সে আমাকে ছেড়ে চলে যাবে এবং আমি আমার সমস্ত ব্যথা নিয়ে একা থাকব। এবং আমি জানি যে যদি সে আমাকে ছেড়ে চলে যায় তবে এটি কেবল তার সম্পর্কেই নয় বরং এখন পর্যন্ত আমি যা কিছু বেঁচে আছি তার সবকিছুই হবে যেমন আমার শৈশবের ট্রমা, আমার পারিবারিক সমস্যা, আমি সবকিছু আবার অনুভব করব এবং আমাকে ছেড়ে যাওয়া প্রত্যেক ব্যক্তিকে মনে রাখব, যার মধ্যে আমার পরিবারও রয়েছে যারা আমার যৌন নির্যাতনের সময় আমার সাথে ছিল না। আমি যা করতে চাই তা হল আমার বিছানায় থাকা এবং সবকিছু এড়িয়ে চলার চেষ্টা করা যাতে আমি এটি মোকাবেলা করতে পারি, কিন্তু আমি তাকে পছন্দ করি এবং তাকে সবকিছু বলতে চাই, এটি আমাকে কেবল বিভ্রান্ত করছে। আমি জানি না কেন আমি এখানে পোস্ট করছি, এটি আমার প্রথম পোস্ট এবং আমি সামাজিক সমর্থনের সাথে মোকাবিলা করতে পারছি না এটি আমাকে কেবল ভয় দেখায়। আমার কি করা উচিত ^-^'</v>
      </c>
    </row>
    <row r="2728" spans="1:3" ht="15" x14ac:dyDescent="0.25">
      <c r="A2728" s="3" t="s">
        <v>2721</v>
      </c>
      <c r="B2728" s="3" t="s">
        <v>1992</v>
      </c>
      <c r="C2728" s="4" t="str">
        <f ca="1">IFERROR(__xludf.DUMMYFUNCTION("GOOGLETRANSLATE(A2728, ""auto"", ""bn"")"),"প্রোপ্রানলল প্রত্যাহার প্রশ্ন হে বন্ধুরা, আমি গত ২ সপ্তাহ ধরে প্রোপ্রানলল খাচ্ছি (সর্বোচ্চ ৫-১০ মিলিগ্রাম প্রতিদিন), আমার ১-২ দিন বিরতি ছিল উনিশ বছর ধরে। এর অনেক পার্শ্বপ্রতিক্রিয়া আছে এবং আমি কোনও বড়ির উপর নির্ভরশীল হতে চাই না। আমার ডাক্তার ছুটিতে আছেন"&amp;"। আমি কি এটি খাওয়া বন্ধ করতে পারি, নাকি আমার এটি কমাতে হবে? আমি এটি নিতে চাই না কারণ এটি প্রচুর অনিদ্রা, ভৌতিক স্বপ্নের কারণ হয় এবং এটি আমাকে ঠান্ডা লাগার মতো অনুভব করে। দয়া করে সাহায্য করুন, চিয়ার্স করুন এবং আপনার উত্তরগুলির জন্য কৃতজ্ঞ থাকুন :)")</f>
        <v>প্রোপ্রানলল প্রত্যাহার প্রশ্ন হে বন্ধুরা, আমি গত ২ সপ্তাহ ধরে প্রোপ্রানলল খাচ্ছি (সর্বোচ্চ ৫-১০ মিলিগ্রাম প্রতিদিন), আমার ১-২ দিন বিরতি ছিল উনিশ বছর ধরে। এর অনেক পার্শ্বপ্রতিক্রিয়া আছে এবং আমি কোনও বড়ির উপর নির্ভরশীল হতে চাই না। আমার ডাক্তার ছুটিতে আছেন। আমি কি এটি খাওয়া বন্ধ করতে পারি, নাকি আমার এটি কমাতে হবে? আমি এটি নিতে চাই না কারণ এটি প্রচুর অনিদ্রা, ভৌতিক স্বপ্নের কারণ হয় এবং এটি আমাকে ঠান্ডা লাগার মতো অনুভব করে। দয়া করে সাহায্য করুন, চিয়ার্স করুন এবং আপনার উত্তরগুলির জন্য কৃতজ্ঞ থাকুন :)</v>
      </c>
    </row>
    <row r="2729" spans="1:3" ht="15" x14ac:dyDescent="0.25">
      <c r="A2729" s="3" t="s">
        <v>2722</v>
      </c>
      <c r="B2729" s="3" t="s">
        <v>1992</v>
      </c>
      <c r="C2729" s="4" t="str">
        <f ca="1">IFERROR(__xludf.DUMMYFUNCTION("GOOGLETRANSLATE(A2729, ""auto"", ""bn"")"),"ভেন্ট/ আমি থেরাপি শুরু করতে চাই কিন্তু মোবাইলে আমার খুব উদ্বেগ হচ্ছে, এবং আমি আমার প্রথম সন্তানসম্ভবা... আমি আতঙ্কিত, এবং আমার ডেলিভারির তারিখ যত কাছে আসছে ততই আমার উদ্বেগ আরও খারাপ হচ্ছে। আমি থেরাপি চেষ্টা করতে চাই কারণ আমি গর্ভবতী অবস্থায় ওষুধ খেতে পার"&amp;"ি না...এছাড়াও আমি আর কোনও ওষুধের উপর নির্ভর করতে চাই না, (আমি বিষণ্ণতার জন্য জোলফট খাই) যাই হোক, আমার স্বামী চাকরি পরিবর্তন করছে এবং আমরা 2 মাস ধরে স্বাস্থ্যসেবা পাবো না...আমার উদ্বেগ তুঙ্গে...আমি খুব ভয় পাচ্ছি এবং আমার সবসময় কাঁদতে ইচ্ছে করে।")</f>
        <v>ভেন্ট/ আমি থেরাপি শুরু করতে চাই কিন্তু মোবাইলে আমার খুব উদ্বেগ হচ্ছে, এবং আমি আমার প্রথম সন্তানসম্ভবা... আমি আতঙ্কিত, এবং আমার ডেলিভারির তারিখ যত কাছে আসছে ততই আমার উদ্বেগ আরও খারাপ হচ্ছে। আমি থেরাপি চেষ্টা করতে চাই কারণ আমি গর্ভবতী অবস্থায় ওষুধ খেতে পারি না...এছাড়াও আমি আর কোনও ওষুধের উপর নির্ভর করতে চাই না, (আমি বিষণ্ণতার জন্য জোলফট খাই) যাই হোক, আমার স্বামী চাকরি পরিবর্তন করছে এবং আমরা 2 মাস ধরে স্বাস্থ্যসেবা পাবো না...আমার উদ্বেগ তুঙ্গে...আমি খুব ভয় পাচ্ছি এবং আমার সবসময় কাঁদতে ইচ্ছে করে।</v>
      </c>
    </row>
    <row r="2730" spans="1:3" ht="15" x14ac:dyDescent="0.25">
      <c r="A2730" s="3" t="s">
        <v>2723</v>
      </c>
      <c r="B2730" s="3" t="s">
        <v>1992</v>
      </c>
      <c r="C2730" s="4" t="str">
        <f ca="1">IFERROR(__xludf.DUMMYFUNCTION("GOOGLETRANSLATE(A2730, ""auto"", ""bn"")"),"চাকরির উদ্বেগ আমার নতুন উদ্বেগের সাথে। আমার সবসময়ই কিছুটা সমস্যা ছিল, এবং এটি আমার পরিবারেও চলে, কিন্তু আমি ভেবেছিলাম আমি পারিবারিক অভিশাপ থেকে মুক্তি পেয়েছি। খুব বেশি নয়। আমি কাজ থেকে বিরতি নিয়েছিলাম, ভেবেছিলাম যে আমি আমার মাথা পরিষ্কার করব এবং তারপর"&amp;"ে বেশ সহজেই কিছু খুঁজে পাব। আমি করিনি। আমার নিজের ব্যবসা শুরু করা, ইন্টারভিউ দেওয়া এবং পরামর্শ দেওয়ার মধ্যে 8 মাস ধরে চলা বেশ কঠিন ছিল। অবশেষে আমি একটি চাকরি নিলাম এবং এটি ভয়াবহ ছিল। উদ্বেগ এবং ভয়ের কারণে আমি প্রতিদিন সকালে বমি করতাম। তাছাড়া, আমি দিনে"&amp;" 18 ঘন্টা কাজ করতাম কারণ আমি যদি কাজ না করতাম, তাহলে আমার কাজ সম্পর্কে যন্ত্রণাদায়ক উদ্বেগ ছিল। তাছাড়া, আমার ওজন অনেক কমে গিয়েছিল। তাছাড়া, আমি খেতে পারতাম না। তাছাড়া, আমার সত্যিই মনে হচ্ছিল যেন উদ্বেগ আমার পুরো জীবন দখল করে নিয়েছে। যেহেতু আমি কখনও এই স"&amp;"্তরের উদ্বেগ অনুভব করিনি, তাই আমি ধরে নিয়েছিলাম যে এটিই চাকরি। আমি চাকরি পরিবর্তন করেছি। নতুন জায়গাটি চাকরির দিক থেকে আরও ভালো। এটি কিছুটা ভালো, তবে আমি এখনও উদ্বেগ অনুভব করছি। আমি এখনও কিছু সকালে বমি করি। আমি এখনও চাকরিচ্যুত হওয়া এবং ব্যর্থ হওয়ার পুন"&amp;"রাবৃত্তির অভ্যাসে ভুগছি। তাছাড়া, আমার কিছু সামাজিক উদ্বেগ আছে, এবং এর আগে কখনও আমার এমনটা হয়নি। মনে হচ্ছে আমি সম্পূর্ণ ভিন্ন মানুষ। আমার উদ্বেগের একটা অংশ হল আমার ADHD-এর সাথে মোকাবিলা করা। আমি এর জন্য ওষুধ কিনেছি, আশা করছি যে আমি কোনও একটি চাপ দূর করতে প"&amp;"ারব। এটা কিছুটা সাহায্য করেছে, কিন্তু এখনও বমি আছে। আমার ভয় হচ্ছে চাকরি হারানোর উদ্বেগ আসলে আমার চাকরি হারাতে চলেছে। আমার মনে হয় না আমি এখন থেরাপির খরচ বহন করতে পারব। লোকেরা কোন রিসোর্স সুপারিশ করতে পারে? কেউ কি অনলাইন CBT চেষ্টা করেছেন?")</f>
        <v>চাকরির উদ্বেগ আমার নতুন উদ্বেগের সাথে। আমার সবসময়ই কিছুটা সমস্যা ছিল, এবং এটি আমার পরিবারেও চলে, কিন্তু আমি ভেবেছিলাম আমি পারিবারিক অভিশাপ থেকে মুক্তি পেয়েছি। খুব বেশি নয়। আমি কাজ থেকে বিরতি নিয়েছিলাম, ভেবেছিলাম যে আমি আমার মাথা পরিষ্কার করব এবং তারপরে বেশ সহজেই কিছু খুঁজে পাব। আমি করিনি। আমার নিজের ব্যবসা শুরু করা, ইন্টারভিউ দেওয়া এবং পরামর্শ দেওয়ার মধ্যে 8 মাস ধরে চলা বেশ কঠিন ছিল। অবশেষে আমি একটি চাকরি নিলাম এবং এটি ভয়াবহ ছিল। উদ্বেগ এবং ভয়ের কারণে আমি প্রতিদিন সকালে বমি করতাম। তাছাড়া, আমি দিনে 18 ঘন্টা কাজ করতাম কারণ আমি যদি কাজ না করতাম, তাহলে আমার কাজ সম্পর্কে যন্ত্রণাদায়ক উদ্বেগ ছিল। তাছাড়া, আমার ওজন অনেক কমে গিয়েছিল। তাছাড়া, আমি খেতে পারতাম না। তাছাড়া, আমার সত্যিই মনে হচ্ছিল যেন উদ্বেগ আমার পুরো জীবন দখল করে নিয়েছে। যেহেতু আমি কখনও এই স্তরের উদ্বেগ অনুভব করিনি, তাই আমি ধরে নিয়েছিলাম যে এটিই চাকরি। আমি চাকরি পরিবর্তন করেছি। নতুন জায়গাটি চাকরির দিক থেকে আরও ভালো। এটি কিছুটা ভালো, তবে আমি এখনও উদ্বেগ অনুভব করছি। আমি এখনও কিছু সকালে বমি করি। আমি এখনও চাকরিচ্যুত হওয়া এবং ব্যর্থ হওয়ার পুনরাবৃত্তির অভ্যাসে ভুগছি। তাছাড়া, আমার কিছু সামাজিক উদ্বেগ আছে, এবং এর আগে কখনও আমার এমনটা হয়নি। মনে হচ্ছে আমি সম্পূর্ণ ভিন্ন মানুষ। আমার উদ্বেগের একটা অংশ হল আমার ADHD-এর সাথে মোকাবিলা করা। আমি এর জন্য ওষুধ কিনেছি, আশা করছি যে আমি কোনও একটি চাপ দূর করতে পারব। এটা কিছুটা সাহায্য করেছে, কিন্তু এখনও বমি আছে। আমার ভয় হচ্ছে চাকরি হারানোর উদ্বেগ আসলে আমার চাকরি হারাতে চলেছে। আমার মনে হয় না আমি এখন থেরাপির খরচ বহন করতে পারব। লোকেরা কোন রিসোর্স সুপারিশ করতে পারে? কেউ কি অনলাইন CBT চেষ্টা করেছেন?</v>
      </c>
    </row>
    <row r="2731" spans="1:3" ht="15" x14ac:dyDescent="0.25">
      <c r="A2731" s="3" t="s">
        <v>2724</v>
      </c>
      <c r="B2731" s="3" t="s">
        <v>1992</v>
      </c>
      <c r="C2731" s="4" t="str">
        <f ca="1">IFERROR(__xludf.DUMMYFUNCTION("GOOGLETRANSLATE(A2731, ""auto"", ""bn"")"),"ভাবছি ছুটি নেব - রাত ২টা থেকে প্যানিক অ্যাটাক। বন্ধুরা, এখন সকাল ৭টা, আর আমাকে কাজে ১১টায় উঠতে হবে - রাত ২টা থেকে আমার প্যানিক অ্যাটাক হচ্ছে এবং আমি কি ছুটি নেব ভাবছি? আসল কথা হলো, এই কারণে আমি ইতিমধ্যেই কয়েকবার ছুটি কাটিয়েছি এবং আমি জানি না যদি আবার এ"&amp;"মনটা করি তাহলে আমাকে চাকরি থেকে বরখাস্ত করা হবে কিনা। আমি খুচরা দোকানে কাজ করি, তাই নতুন চাকরি খুঁজে পাওয়া কোনও সমস্যা নয়, তবে আমি আগামীকাল সাড়ে ৮ ঘন্টার শিফটে কাজ করি এবং মাত্র ৪ ঘন্টা ঘুমিয়ে দিন কাটাতে পারব কিনা জানি না। সর্বোপরি, এই কারণেই আমি কয়ে"&amp;"ক বছর ধরে চাকরি ধরে রাখতে সত্যিই লড়াই করছি। অবশেষে আমি এমন একটি চাকরি পেয়েছি যা আমি স্পষ্টভাবে ঘৃণা করি না এবং এখনও আমি এটি ধরে রাখতে পারছি না। আমার ব্যর্থতার মতো মনে হচ্ছে। তাছাড়া, আমি কী করব জানি না, আমি আর যা করতে পারি তা হল আমার শিল্প এবং আমার সঙ্গ"&amp;"ীত। এটাই একমাত্র জিনিস যার জন্য আমি কাজ করার শক্তি পাই। অন্য কিছু করলে আমি প্রায় সবসময়ই আতঙ্কিত থাকি। আমি জানি না কী করব।")</f>
        <v>ভাবছি ছুটি নেব - রাত ২টা থেকে প্যানিক অ্যাটাক। বন্ধুরা, এখন সকাল ৭টা, আর আমাকে কাজে ১১টায় উঠতে হবে - রাত ২টা থেকে আমার প্যানিক অ্যাটাক হচ্ছে এবং আমি কি ছুটি নেব ভাবছি? আসল কথা হলো, এই কারণে আমি ইতিমধ্যেই কয়েকবার ছুটি কাটিয়েছি এবং আমি জানি না যদি আবার এমনটা করি তাহলে আমাকে চাকরি থেকে বরখাস্ত করা হবে কিনা। আমি খুচরা দোকানে কাজ করি, তাই নতুন চাকরি খুঁজে পাওয়া কোনও সমস্যা নয়, তবে আমি আগামীকাল সাড়ে ৮ ঘন্টার শিফটে কাজ করি এবং মাত্র ৪ ঘন্টা ঘুমিয়ে দিন কাটাতে পারব কিনা জানি না। সর্বোপরি, এই কারণেই আমি কয়েক বছর ধরে চাকরি ধরে রাখতে সত্যিই লড়াই করছি। অবশেষে আমি এমন একটি চাকরি পেয়েছি যা আমি স্পষ্টভাবে ঘৃণা করি না এবং এখনও আমি এটি ধরে রাখতে পারছি না। আমার ব্যর্থতার মতো মনে হচ্ছে। তাছাড়া, আমি কী করব জানি না, আমি আর যা করতে পারি তা হল আমার শিল্প এবং আমার সঙ্গীত। এটাই একমাত্র জিনিস যার জন্য আমি কাজ করার শক্তি পাই। অন্য কিছু করলে আমি প্রায় সবসময়ই আতঙ্কিত থাকি। আমি জানি না কী করব।</v>
      </c>
    </row>
    <row r="2732" spans="1:3" ht="15" x14ac:dyDescent="0.25">
      <c r="A2732" s="3" t="s">
        <v>2725</v>
      </c>
      <c r="B2732" s="3" t="s">
        <v>1992</v>
      </c>
      <c r="C2732" s="4" t="str">
        <f ca="1">IFERROR(__xludf.DUMMYFUNCTION("GOOGLETRANSLATE(A2732, ""auto"", ""bn"")"),"শ্বাসকষ্টের সমস্যা দুই সপ্তাহ ধরে আমি আমার শ্বাস-প্রশ্বাসের সমস্যা সম্পর্কে সচেতন হয়েছি। প্রথমে, এটি এক বা দুই নিঃশ্বাসের জন্য ছিল, কিন্তু দিন যত গড়িয়ে যায় ততই এটি আরও খারাপ হয়ে যায়। যখন আমি বলি যে আমি সচেতন হয়েছি তার অর্থ হল আমার মনে হয় আমার শ্বা"&amp;"স নিতে হবে অথবা আমি শ্বাস বন্ধ করে দেই যতক্ষণ না আমি অন্য কিছু নিয়ে ভাবি, এবং আমি আবার অজ্ঞান হয়ে শ্বাস নিতে শুরু করি। রাতে, এটি আরও খারাপ হয়ে যায়, আমি আমার শ্বাস-প্রশ্বাসের বিষয়ে অনেক বেশি চিন্তা করি, আমি সহজে ঘুমাতে পারি না। আমার মনে হয় আমার শ্বাস"&amp;"কষ্ট হচ্ছে এবং এটি সত্যিই হতাশাজনক। আমার মনে হয় না এটি শ্বাসকষ্টের সমস্যা এবং এখানকার সমস্ত পোস্ট থেকে আমি এমন কিছু খুঁজে পাচ্ছি যা আমার পরিস্থিতির সাথে হুবহু মিলে যায়। তাই যদি আপনি এইরকম কিছু অনুভব করেন বা অভিজ্ঞতা লাভ করেন, তাহলে এটি বন্ধ করার জন্য আপ"&amp;"নি কী করবেন?")</f>
        <v>শ্বাসকষ্টের সমস্যা দুই সপ্তাহ ধরে আমি আমার শ্বাস-প্রশ্বাসের সমস্যা সম্পর্কে সচেতন হয়েছি। প্রথমে, এটি এক বা দুই নিঃশ্বাসের জন্য ছিল, কিন্তু দিন যত গড়িয়ে যায় ততই এটি আরও খারাপ হয়ে যায়। যখন আমি বলি যে আমি সচেতন হয়েছি তার অর্থ হল আমার মনে হয় আমার শ্বাস নিতে হবে অথবা আমি শ্বাস বন্ধ করে দেই যতক্ষণ না আমি অন্য কিছু নিয়ে ভাবি, এবং আমি আবার অজ্ঞান হয়ে শ্বাস নিতে শুরু করি। রাতে, এটি আরও খারাপ হয়ে যায়, আমি আমার শ্বাস-প্রশ্বাসের বিষয়ে অনেক বেশি চিন্তা করি, আমি সহজে ঘুমাতে পারি না। আমার মনে হয় আমার শ্বাসকষ্ট হচ্ছে এবং এটি সত্যিই হতাশাজনক। আমার মনে হয় না এটি শ্বাসকষ্টের সমস্যা এবং এখানকার সমস্ত পোস্ট থেকে আমি এমন কিছু খুঁজে পাচ্ছি যা আমার পরিস্থিতির সাথে হুবহু মিলে যায়। তাই যদি আপনি এইরকম কিছু অনুভব করেন বা অভিজ্ঞতা লাভ করেন, তাহলে এটি বন্ধ করার জন্য আপনি কী করবেন?</v>
      </c>
    </row>
    <row r="2733" spans="1:3" ht="15" x14ac:dyDescent="0.25">
      <c r="A2733" s="3" t="s">
        <v>2726</v>
      </c>
      <c r="B2733" s="3" t="s">
        <v>1992</v>
      </c>
      <c r="C2733" s="4" t="str">
        <f ca="1">IFERROR(__xludf.DUMMYFUNCTION("GOOGLETRANSLATE(A2733, ""auto"", ""bn"")"),"আমি কি একবারের জন্য খুশি হতে পারি? মনে হচ্ছে যতই চেষ্টা করি না কেন, আমিই সবসময় ভুলের মধ্যে পড়ি, আর এটা আমারই দোষ? আমি যাই বলি না কেন, করি না কেন, বা চেষ্টা করি না কেন, আমি সবসময়ই খারাপ কাজ করি। আমার চিন্তা করার মতো কিছু থাকে। আর আমার সাথে কথা বলার মতো কে"&amp;"উ নেই, কারণ ঈশ্বর না করুন আমি আমার অনুভূতি বা আমার বাবা-মাকে কী হচ্ছে তা ব্যাখ্যা করার চেষ্টা করি। তারা আমাকে কেবল আমার জানা ঠান্ডা সমাধানটি বলবে এবং _যদি আমি ভাগ্যবান_ থাকি। অন্যথায়, তারা কোনও ছোটোখাটো বিষয়ে অথবা আমি তাদের বলার ব্যাপারে বিরক্ত বা চিন্তি"&amp;"ত হয় যে তারা তা বুঝতে পারছে না। তারপর তারা আমাকে দোষারোপ করতে শুরু করে। তারপর তারা তাদের জীবন কতটা খারাপ তা নিয়ে অভিযোগ করতে শুরু করে। তারপর তারা বলে যে আমার _তাদের_ নৈতিক সমর্থন দেওয়া উচিত। ওহ, হ্যাঁ, আর আমার কোনও বন্ধু নেই, কারণ কেউ কখনও পাওয়া যায় "&amp;"না। আর তুমি কীভাবে অন্যদের সাথে এই ধরণের খারাপ কথা বলা শুরু করো, বিব্রতকর না করে? থেরাপি সপ্তাহে মাত্র একবারই হয় এবং এর জন্য টাকা খরচ হয়। রেডডিট হল স্ক্রিনে লেখা মাত্র যা যখন ইচ্ছা সাড়া দেয়। মদ আমার খারাপ লাগছে। মাদক অবৈধ। খাবার আমাকে মোটা করে তোলে। আ"&amp;"ত্মহত্যা মানে শুধু একটা ইঁদুর মারার জন্য পুরো ঘর পুড়িয়ে ফেলা। টেট্রিস আমাকে ইন্টারনেটের সাথে সংযুক্ত করে শুধু একটা গেম খেলার জন্য। আমি আসলে আর জানি না। আমি সত্যিই চাই কারো সাথে কথা বলুক। যে বুঝতে পারে। বিশেষ করে মহিলা, কিন্তু আমি যার সাথে আলিঙ্গন করতে প"&amp;"ারি তাকেই গ্রহণ করব। রাগ করে বললাম।")</f>
        <v>আমি কি একবারের জন্য খুশি হতে পারি? মনে হচ্ছে যতই চেষ্টা করি না কেন, আমিই সবসময় ভুলের মধ্যে পড়ি, আর এটা আমারই দোষ? আমি যাই বলি না কেন, করি না কেন, বা চেষ্টা করি না কেন, আমি সবসময়ই খারাপ কাজ করি। আমার চিন্তা করার মতো কিছু থাকে। আর আমার সাথে কথা বলার মতো কেউ নেই, কারণ ঈশ্বর না করুন আমি আমার অনুভূতি বা আমার বাবা-মাকে কী হচ্ছে তা ব্যাখ্যা করার চেষ্টা করি। তারা আমাকে কেবল আমার জানা ঠান্ডা সমাধানটি বলবে এবং _যদি আমি ভাগ্যবান_ থাকি। অন্যথায়, তারা কোনও ছোটোখাটো বিষয়ে অথবা আমি তাদের বলার ব্যাপারে বিরক্ত বা চিন্তিত হয় যে তারা তা বুঝতে পারছে না। তারপর তারা আমাকে দোষারোপ করতে শুরু করে। তারপর তারা তাদের জীবন কতটা খারাপ তা নিয়ে অভিযোগ করতে শুরু করে। তারপর তারা বলে যে আমার _তাদের_ নৈতিক সমর্থন দেওয়া উচিত। ওহ, হ্যাঁ, আর আমার কোনও বন্ধু নেই, কারণ কেউ কখনও পাওয়া যায় না। আর তুমি কীভাবে অন্যদের সাথে এই ধরণের খারাপ কথা বলা শুরু করো, বিব্রতকর না করে? থেরাপি সপ্তাহে মাত্র একবারই হয় এবং এর জন্য টাকা খরচ হয়। রেডডিট হল স্ক্রিনে লেখা মাত্র যা যখন ইচ্ছা সাড়া দেয়। মদ আমার খারাপ লাগছে। মাদক অবৈধ। খাবার আমাকে মোটা করে তোলে। আত্মহত্যা মানে শুধু একটা ইঁদুর মারার জন্য পুরো ঘর পুড়িয়ে ফেলা। টেট্রিস আমাকে ইন্টারনেটের সাথে সংযুক্ত করে শুধু একটা গেম খেলার জন্য। আমি আসলে আর জানি না। আমি সত্যিই চাই কারো সাথে কথা বলুক। যে বুঝতে পারে। বিশেষ করে মহিলা, কিন্তু আমি যার সাথে আলিঙ্গন করতে পারি তাকেই গ্রহণ করব। রাগ করে বললাম।</v>
      </c>
    </row>
    <row r="2734" spans="1:3" ht="15" x14ac:dyDescent="0.25">
      <c r="A2734" s="3" t="s">
        <v>2727</v>
      </c>
      <c r="B2734" s="3" t="s">
        <v>1992</v>
      </c>
      <c r="C2734" s="4" t="str">
        <f ca="1">IFERROR(__xludf.DUMMYFUNCTION("GOOGLETRANSLATE(A2734, ""auto"", ""bn"")"),"১৯ বছর বয়সে স্কুল")</f>
        <v>১৯ বছর বয়সে স্কুল</v>
      </c>
    </row>
    <row r="2735" spans="1:3" ht="15" x14ac:dyDescent="0.25">
      <c r="A2735" s="3" t="s">
        <v>2728</v>
      </c>
      <c r="B2735" s="3" t="s">
        <v>1992</v>
      </c>
      <c r="C2735" s="4" t="str">
        <f ca="1">IFERROR(__xludf.DUMMYFUNCTION("GOOGLETRANSLATE(A2735, ""auto"", ""bn"")"),"আমি প্রতিটা সেকেন্ড অতিরিক্ত বিশ্লেষণ করি। আমি খুব সচেতন বোধ করি। জীবন প্রায় একটা সিনেমার মতো মনে হয়। আমার উদ্বেগ আছে এবং প্রায় এক বছর ধরে আমি প্রায়শই ব্যক্তিত্বহীনতার অভিজ্ঞতা লাভ করি। আমার মনে হয় এটি কেবল আমার প্রতিটি ছোট জিনিসের উপর অতিরিক্ত চিন্ত"&amp;"াভাবনা এবং আচ্ছন্নতা থেকে আসে। আমি অতিরিক্ত চিন্তা করতে করতে এত ক্লান্ত, আমার মনে হচ্ছে আমি নিজেকে পাগল করে দেব।")</f>
        <v>আমি প্রতিটা সেকেন্ড অতিরিক্ত বিশ্লেষণ করি। আমি খুব সচেতন বোধ করি। জীবন প্রায় একটা সিনেমার মতো মনে হয়। আমার উদ্বেগ আছে এবং প্রায় এক বছর ধরে আমি প্রায়শই ব্যক্তিত্বহীনতার অভিজ্ঞতা লাভ করি। আমার মনে হয় এটি কেবল আমার প্রতিটি ছোট জিনিসের উপর অতিরিক্ত চিন্তাভাবনা এবং আচ্ছন্নতা থেকে আসে। আমি অতিরিক্ত চিন্তা করতে করতে এত ক্লান্ত, আমার মনে হচ্ছে আমি নিজেকে পাগল করে দেব।</v>
      </c>
    </row>
    <row r="2736" spans="1:3" ht="15" x14ac:dyDescent="0.25">
      <c r="A2736" s="3" t="s">
        <v>2729</v>
      </c>
      <c r="B2736" s="3" t="s">
        <v>1992</v>
      </c>
      <c r="C2736" s="4" t="str">
        <f ca="1">IFERROR(__xludf.DUMMYFUNCTION("GOOGLETRANSLATE(A2736, ""auto"", ""bn"")"),"আমার সহকর্মী আমার আত্ম-ক্ষতির সমস্যা সম্পর্কে জানতে পেরেছে, এবং এটি আমাকে বমি বমি ভাব দিচ্ছে। পটভূমি: সহকর্মী A এবং আমি এখানে কাজ করার পর থেকে (৪ মাস) বন্ধুত্বপূর্ণ এবং সে মাঝে মাঝে প্রেমে পড়ে, কিন্তু যদিও আমি প্রথমে উদ্বিগ্ন ছিলাম, আমি কেবল তার পদ্ধতিগু"&amp;"লি উপেক্ষা করেছিলাম। তাই আজ আমি সহকর্মী B এর সাথে কথা বলছিলাম যিনি উল্লেখ করেছিলেন যে তিনি আমার আচরণে কতটা অবাক হন, যখন CW A আমার সম্পর্কে কথা বলে তখন আমার সবসময়ই খুব অদ্ভুত শোনাত। স্পষ্টতই A আমার সম্পর্কে B কে অনেক কিছু বলে আসছে এবং যদিও আমি কোনও বিবরণ "&amp;"জানি না, বেশিরভাগই ঠিক ভালো ছিল না। CW B আমাকে আরও বলেছে যে A তাকে টেক্সট করে বলেছে যে সে মনে করে যে আমি 'একজন কাটার' এবং এটি তাকে সম্পূর্ণরূপে বিরক্ত করেছে। বিশেষ করে এটি আমাকে অত্যন্ত উদ্বিগ্ন করে তুলেছে, আমি বমি বমি ভাব এবং মাথা ঘোরাচ্ছি এবং A এর সাথে "&amp;"যোগাযোগ এড়াতে আমার অফিসে দীর্ঘ পথ বেছে নিয়েছি। আমি জানি না কেন আমার দাগের কারণে তাকে 'বিচলিত' করা আমার জন্য এত কঠিন। আমি সত্যিই, সত্যিই A এর সাথে সম্পর্ক চাই না। আমি এত অস্বাভাবিক এবং একরকম অদ্ভুত বোধ করি। মানুষ কতটা বিচারপ্রবণ তা বুঝতে আমার ভয় লাগে কার"&amp;"ণ আর কতজন আমার সম্পর্কে একই রকম ভাববে? আমি চেষ্টা করেছি যেন কর্মক্ষেত্রে এই ধরণের জিনিসের কারণে আমার মানসিক স্বাস্থ্যের সমস্যা সম্পর্কে কাউকে না জানি। পিছনে কথা বলা পরিস্থিতিকে আরও খারাপ করে তোলে। তাকে এড়িয়ে চলা আমার খুব খারাপ লাগে। আমি জানি আমার তার সা"&amp;"থে কথা বলা উচিত কিন্তু বিষয়টি উত্থাপন করার কথা ভাবলেই আমার মাথা খারাপ হয়ে যায়। কেউ কি এরকম কিছু অনুভব করেছেন এবং এই ধরণের পরিস্থিতির জন্য পরামর্শ দিয়েছেন? পড়ার জন্য ধন্যবাদ।")</f>
        <v>আমার সহকর্মী আমার আত্ম-ক্ষতির সমস্যা সম্পর্কে জানতে পেরেছে, এবং এটি আমাকে বমি বমি ভাব দিচ্ছে। পটভূমি: সহকর্মী A এবং আমি এখানে কাজ করার পর থেকে (৪ মাস) বন্ধুত্বপূর্ণ এবং সে মাঝে মাঝে প্রেমে পড়ে, কিন্তু যদিও আমি প্রথমে উদ্বিগ্ন ছিলাম, আমি কেবল তার পদ্ধতিগুলি উপেক্ষা করেছিলাম। তাই আজ আমি সহকর্মী B এর সাথে কথা বলছিলাম যিনি উল্লেখ করেছিলেন যে তিনি আমার আচরণে কতটা অবাক হন, যখন CW A আমার সম্পর্কে কথা বলে তখন আমার সবসময়ই খুব অদ্ভুত শোনাত। স্পষ্টতই A আমার সম্পর্কে B কে অনেক কিছু বলে আসছে এবং যদিও আমি কোনও বিবরণ জানি না, বেশিরভাগই ঠিক ভালো ছিল না। CW B আমাকে আরও বলেছে যে A তাকে টেক্সট করে বলেছে যে সে মনে করে যে আমি 'একজন কাটার' এবং এটি তাকে সম্পূর্ণরূপে বিরক্ত করেছে। বিশেষ করে এটি আমাকে অত্যন্ত উদ্বিগ্ন করে তুলেছে, আমি বমি বমি ভাব এবং মাথা ঘোরাচ্ছি এবং A এর সাথে যোগাযোগ এড়াতে আমার অফিসে দীর্ঘ পথ বেছে নিয়েছি। আমি জানি না কেন আমার দাগের কারণে তাকে 'বিচলিত' করা আমার জন্য এত কঠিন। আমি সত্যিই, সত্যিই A এর সাথে সম্পর্ক চাই না। আমি এত অস্বাভাবিক এবং একরকম অদ্ভুত বোধ করি। মানুষ কতটা বিচারপ্রবণ তা বুঝতে আমার ভয় লাগে কারণ আর কতজন আমার সম্পর্কে একই রকম ভাববে? আমি চেষ্টা করেছি যেন কর্মক্ষেত্রে এই ধরণের জিনিসের কারণে আমার মানসিক স্বাস্থ্যের সমস্যা সম্পর্কে কাউকে না জানি। পিছনে কথা বলা পরিস্থিতিকে আরও খারাপ করে তোলে। তাকে এড়িয়ে চলা আমার খুব খারাপ লাগে। আমি জানি আমার তার সাথে কথা বলা উচিত কিন্তু বিষয়টি উত্থাপন করার কথা ভাবলেই আমার মাথা খারাপ হয়ে যায়। কেউ কি এরকম কিছু অনুভব করেছেন এবং এই ধরণের পরিস্থিতির জন্য পরামর্শ দিয়েছেন? পড়ার জন্য ধন্যবাদ।</v>
      </c>
    </row>
    <row r="2737" spans="1:3" ht="15" x14ac:dyDescent="0.25">
      <c r="A2737" s="3" t="s">
        <v>2730</v>
      </c>
      <c r="B2737" s="3" t="s">
        <v>1992</v>
      </c>
      <c r="C2737" s="4" t="str">
        <f ca="1">IFERROR(__xludf.DUMMYFUNCTION("GOOGLETRANSLATE(A2737, ""auto"", ""bn"")"),"দিশাহীন আমার মনে হচ্ছে আমি জীবনে কিছুই অর্জন করতে পারব না। আমার মনে হচ্ছে আমি কী করছি বা কী চাই তা আমি জানি না। স্কুল বা কাজের জন্য যখন কিছু করতে হয়, তখন আমি জিনিস পছন্দ করা বন্ধ করে দিই, তাহলে আমি কীভাবে এমন কিছু খুঁজে পাব যা আমার কাছে এত ঘৃণার কারণ হবে "&amp;"না যে আমি সবকিছু শেষ করে দেব? তাছাড়া, ২০১৬ সালের শেষ থেকে আমার মনে এই চিন্তাটা বারবার আসছিল। তখনই আমি সিদ্ধান্ত নিলাম যে এক বছরের ছুটি নেব এবং জানতে পারব যে আমি আসলে কী পছন্দ করি। আমি এক বছরের ছুটি নিয়েছিলাম, কিন্তু আমি আসলে কী পছন্দ করি তা খুঁজে পাইনি। "&amp;"শেষ পর্যন্ত আমি ভিন্ন শহরের একটি ভিন্ন কলেজে একটি ভিন্ন প্রোগ্রাম বেছে নিলাম। এখন আমার একই অনুভূতি হচ্ছে ""এটা তাই না"" এবং এর কারণে আমি অনেক কোর্সে পিছিয়ে আছি। এমন নয় যে আমি এই প্রোগ্রামগুলিতে ভালো নই, আমি যোগ্যতার চেয়েও বেশি যোগ্য, এবং আমার গ্রেডই এর"&amp;" প্রমাণ দিতে পারে। আমার মনে হচ্ছে আমি যেখানে যেতে চাই সেখানে যাচ্ছি না, এবং পয়সা পড়ার জন্য অপেক্ষা করার জন্য আমি খুব অধৈর্য। আমি এই অনুভূতির সাথেও মোকাবিলা করছি যে আমি বর্তমানে যা করছি তার চেয়ে বেশি করতে সক্ষম। তাছাড়া, আমি যদি চাইতাম তাহলে বিশ্ববিদ্যা"&amp;"লয় স্তরের কাজ করতে পারতাম, তাহলে কেন করব না? কারণটি বেশ সহজ: আমি এমন কোনও প্রোগ্রাম খুঁজে পাইনি যা আমার আগ্রহ জাগিয়ে তোলে কিন্তু কিছু কারণে যা আমার মাথায় গ্রহণযোগ্য নয়। আমি বর্তমানে যা করছি তা পছন্দ না করার একশ কারণ আছে এবং সেগুলি সবই বেশ অগভীর। যেমন,"&amp;" তারা মনে করে যে তাদের কারণ হওয়া উচিত নয়। আসলে তাদের মধ্যে কিছু কারণ প্রথমেই এই প্রোগ্রামটি বেছে নেওয়ার কারণ... এটা এমন যে আমি থামানোর অজুহাত খুঁজছি যাতে আমি কিছুই করতে না পারি এবং প্রতিদিন কোনও অগ্রগতি না করতে পারি। এটা সাহায্য করে না যে আমি চাপপূর্ণ "&amp;"সময়সীমা মোকাবেলা করতে পারি না এবং আক্ষরিক অর্থেই সবকিছু গড়িমসি করি। তাই এখন আমি এখানে বসে আছি, আমার ক্রিসমাসের ছুটির শেষ কয়েক দিনের সর্বাধিক ব্যবহার করার জন্য চাপ দিচ্ছি। নতুন বছর নিয়ে আমি উদ্বিগ্ন হয়ে পড়েছিলাম, কারণ আমার মনে হচ্ছে সময় খুব দ্রুত চল"&amp;"ে যাচ্ছে, এবং আমি এখনও যা করতে চেয়েছিলাম তা করছি না। চার মাস পর আমার বয়স ২১ হবে, কিন্তু মনে হচ্ছে আগামীকালই হবে। তাছাড়া, আমি ভেবেছিলাম এখনই আরও কিছু বিষয় বুঝতে পারব, কিন্তু আমি এখনও আগের মতোই হতাশ এবং দিকহীন, যদি না আরও বেশি...")</f>
        <v>দিশাহীন আমার মনে হচ্ছে আমি জীবনে কিছুই অর্জন করতে পারব না। আমার মনে হচ্ছে আমি কী করছি বা কী চাই তা আমি জানি না। স্কুল বা কাজের জন্য যখন কিছু করতে হয়, তখন আমি জিনিস পছন্দ করা বন্ধ করে দিই, তাহলে আমি কীভাবে এমন কিছু খুঁজে পাব যা আমার কাছে এত ঘৃণার কারণ হবে না যে আমি সবকিছু শেষ করে দেব? তাছাড়া, ২০১৬ সালের শেষ থেকে আমার মনে এই চিন্তাটা বারবার আসছিল। তখনই আমি সিদ্ধান্ত নিলাম যে এক বছরের ছুটি নেব এবং জানতে পারব যে আমি আসলে কী পছন্দ করি। আমি এক বছরের ছুটি নিয়েছিলাম, কিন্তু আমি আসলে কী পছন্দ করি তা খুঁজে পাইনি। শেষ পর্যন্ত আমি ভিন্ন শহরের একটি ভিন্ন কলেজে একটি ভিন্ন প্রোগ্রাম বেছে নিলাম। এখন আমার একই অনুভূতি হচ্ছে "এটা তাই না" এবং এর কারণে আমি অনেক কোর্সে পিছিয়ে আছি। এমন নয় যে আমি এই প্রোগ্রামগুলিতে ভালো নই, আমি যোগ্যতার চেয়েও বেশি যোগ্য, এবং আমার গ্রেডই এর প্রমাণ দিতে পারে। আমার মনে হচ্ছে আমি যেখানে যেতে চাই সেখানে যাচ্ছি না, এবং পয়সা পড়ার জন্য অপেক্ষা করার জন্য আমি খুব অধৈর্য। আমি এই অনুভূতির সাথেও মোকাবিলা করছি যে আমি বর্তমানে যা করছি তার চেয়ে বেশি করতে সক্ষম। তাছাড়া, আমি যদি চাইতাম তাহলে বিশ্ববিদ্যালয় স্তরের কাজ করতে পারতাম, তাহলে কেন করব না? কারণটি বেশ সহজ: আমি এমন কোনও প্রোগ্রাম খুঁজে পাইনি যা আমার আগ্রহ জাগিয়ে তোলে কিন্তু কিছু কারণে যা আমার মাথায় গ্রহণযোগ্য নয়। আমি বর্তমানে যা করছি তা পছন্দ না করার একশ কারণ আছে এবং সেগুলি সবই বেশ অগভীর। যেমন, তারা মনে করে যে তাদের কারণ হওয়া উচিত নয়। আসলে তাদের মধ্যে কিছু কারণ প্রথমেই এই প্রোগ্রামটি বেছে নেওয়ার কারণ... এটা এমন যে আমি থামানোর অজুহাত খুঁজছি যাতে আমি কিছুই করতে না পারি এবং প্রতিদিন কোনও অগ্রগতি না করতে পারি। এটা সাহায্য করে না যে আমি চাপপূর্ণ সময়সীমা মোকাবেলা করতে পারি না এবং আক্ষরিক অর্থেই সবকিছু গড়িমসি করি। তাই এখন আমি এখানে বসে আছি, আমার ক্রিসমাসের ছুটির শেষ কয়েক দিনের সর্বাধিক ব্যবহার করার জন্য চাপ দিচ্ছি। নতুন বছর নিয়ে আমি উদ্বিগ্ন হয়ে পড়েছিলাম, কারণ আমার মনে হচ্ছে সময় খুব দ্রুত চলে যাচ্ছে, এবং আমি এখনও যা করতে চেয়েছিলাম তা করছি না। চার মাস পর আমার বয়স ২১ হবে, কিন্তু মনে হচ্ছে আগামীকালই হবে। তাছাড়া, আমি ভেবেছিলাম এখনই আরও কিছু বিষয় বুঝতে পারব, কিন্তু আমি এখনও আগের মতোই হতাশ এবং দিকহীন, যদি না আরও বেশি...</v>
      </c>
    </row>
    <row r="2738" spans="1:3" ht="15" x14ac:dyDescent="0.25">
      <c r="A2738" s="3" t="s">
        <v>2731</v>
      </c>
      <c r="B2738" s="3" t="s">
        <v>1992</v>
      </c>
      <c r="C2738" s="4" t="str">
        <f ca="1">IFERROR(__xludf.DUMMYFUNCTION("GOOGLETRANSLATE(A2738, ""auto"", ""bn"")"),"কেমন লাগছে? অন্য কেউ কি তাদের উদ্বেগের মতো অনুভব করবে, সবচেয়ে ভালোভাবে ব্যাখ্যা করার জন্য, যদি তুমি তোমার ঘরে ঢুকে দেখো এবং সমস্ত আসবাবপত্র সামান্য পরিবর্তন করা হয়েছে, কিন্তু ঠিক কী তা বেছে নেওয়ার জন্য যথেষ্ট নয়, তাহলে তুমি কেবল ধীরে ধীরে ঘুরে বেড়াচ্"&amp;"ছ এবং চারপাশে এমনভাবে দেখছ যেন কী হচ্ছে, কী হচ্ছে। অথবা এটা লাফ দেওয়ার আগে সাসপেন্সের মতো - কিন্তু কোনও লাফ দেওয়ার ভয় নেই - এবং এটি চিরকালই এরকম।")</f>
        <v>কেমন লাগছে? অন্য কেউ কি তাদের উদ্বেগের মতো অনুভব করবে, সবচেয়ে ভালোভাবে ব্যাখ্যা করার জন্য, যদি তুমি তোমার ঘরে ঢুকে দেখো এবং সমস্ত আসবাবপত্র সামান্য পরিবর্তন করা হয়েছে, কিন্তু ঠিক কী তা বেছে নেওয়ার জন্য যথেষ্ট নয়, তাহলে তুমি কেবল ধীরে ধীরে ঘুরে বেড়াচ্ছ এবং চারপাশে এমনভাবে দেখছ যেন কী হচ্ছে, কী হচ্ছে। অথবা এটা লাফ দেওয়ার আগে সাসপেন্সের মতো - কিন্তু কোনও লাফ দেওয়ার ভয় নেই - এবং এটি চিরকালই এরকম।</v>
      </c>
    </row>
    <row r="2739" spans="1:3" ht="15" x14ac:dyDescent="0.25">
      <c r="A2739" s="3" t="s">
        <v>2732</v>
      </c>
      <c r="B2739" s="3" t="s">
        <v>1992</v>
      </c>
      <c r="C2739" s="4" t="str">
        <f ca="1">IFERROR(__xludf.DUMMYFUNCTION("GOOGLETRANSLATE(A2739, ""auto"", ""bn"")"),"উদ্বেগ আমার সম্পর্ক নষ্ট করে দিচ্ছে। হাই, আমি এক বছরেরও বেশি সময় ধরে আমার প্রেমিকার সাথে আছি, কিন্তু সম্প্রতি পরিস্থিতি কঠিন হয়ে পড়েছে (অন্তত আমার দৃষ্টিকোণ থেকে)। গত কয়েক মাস ধরে আমার উদ্বেগ স্বাভাবিকের চেয়ে অনেক খারাপ হয়ে যাচ্ছে, এবং আমি ভয় পাচ্ছ"&amp;"ি যে এটি আমার সম্পর্ক নষ্ট করে দেবে। আমার মনে সবসময় এমন চিন্তা আসে যে সে আমার সাথে প্রতারণা করছে, আমাকে ভালোবাসছে না বা দুঃখ করছে, এবং আমি বারবার জিজ্ঞাসা করি যে সে ঠিক আছে কিনা। এটি তাকে সত্যিই বিরক্ত করতে শুরু করেছে কারণ এটি এমন পর্যায়ে পৌঁছেছে যে আমি"&amp;" প্রতি দুই ঘন্টা অন্তর একবার তাকে জিজ্ঞাসা করি কারণ আমি ভীত যে আমরা ঠিক আছি/সে ঠিক নেই। যদি আমি কিছু পরামর্শ পেতে পারি বা জানতে পারি যে এটি স্বাভাবিক কিনা। এটি পড়ার জন্য আপনাকে ধন্যবাদ।")</f>
        <v>উদ্বেগ আমার সম্পর্ক নষ্ট করে দিচ্ছে। হাই, আমি এক বছরেরও বেশি সময় ধরে আমার প্রেমিকার সাথে আছি, কিন্তু সম্প্রতি পরিস্থিতি কঠিন হয়ে পড়েছে (অন্তত আমার দৃষ্টিকোণ থেকে)। গত কয়েক মাস ধরে আমার উদ্বেগ স্বাভাবিকের চেয়ে অনেক খারাপ হয়ে যাচ্ছে, এবং আমি ভয় পাচ্ছি যে এটি আমার সম্পর্ক নষ্ট করে দেবে। আমার মনে সবসময় এমন চিন্তা আসে যে সে আমার সাথে প্রতারণা করছে, আমাকে ভালোবাসছে না বা দুঃখ করছে, এবং আমি বারবার জিজ্ঞাসা করি যে সে ঠিক আছে কিনা। এটি তাকে সত্যিই বিরক্ত করতে শুরু করেছে কারণ এটি এমন পর্যায়ে পৌঁছেছে যে আমি প্রতি দুই ঘন্টা অন্তর একবার তাকে জিজ্ঞাসা করি কারণ আমি ভীত যে আমরা ঠিক আছি/সে ঠিক নেই। যদি আমি কিছু পরামর্শ পেতে পারি বা জানতে পারি যে এটি স্বাভাবিক কিনা। এটি পড়ার জন্য আপনাকে ধন্যবাদ।</v>
      </c>
    </row>
    <row r="2740" spans="1:3" ht="15" x14ac:dyDescent="0.25">
      <c r="A2740" s="3" t="s">
        <v>2733</v>
      </c>
      <c r="B2740" s="3" t="s">
        <v>1992</v>
      </c>
      <c r="C2740" s="4" t="str">
        <f ca="1">IFERROR(__xludf.DUMMYFUNCTION("GOOGLETRANSLATE(A2740, ""auto"", ""bn"")"),"বছরের পর বছর ধরে উদ্বেগের পর আমি এই সোমবার আমার প্রথম 'প্রকৃত' চাকরি শুরু করছি। আমার অযোগ্যতা এবং ভয় অনুভব করছি। TL;DR আমি সারা জীবন বিভিন্ন মাত্রায় ঝামেলায় ছিলাম, পথিমধ্যে নিজেকে সামলে নিয়েছি, একটি স্থিতিশীল এবং কার্যকর মানসিক স্তরে পৌঁছেছি যা আমাকে আমার"&amp;" পেশাদার ভবিষ্যতের জন্য কাজ করতে সক্ষম করেছে। স্নাতক ডিগ্রি অর্জন করেছি এবং এই সোমবার থেকে শুরু হওয়া একটি স্বপ্নের চাকরি পেয়েছি। আমি এখনও একজন ব্যর্থ এবং বোকা বলে মনে করি। এখন আমি নার্ভাস, ভীত এবং আইসক্রিমে ভরা। সাহায্য করুন। সত্যি বলতে, আমি বেশ কিছুদিন "&amp;"ধরে এই পোস্টটি পোস্ট করার ব্যাপারে দ্বিধা করছিলাম, কিন্তু এবার শুরু করা যাক। আমার উদ্বেগগুলি কীভাবে মোকাবেলা করতে হবে সে সম্পর্কে আমি সত্যিই কিছু ইনপুট ব্যবহার করতে পারি। আমার জীবনের প্রায় অর্ধেক সময় ধরে উদ্বেগ এবং অন্যান্য মানসিক সমস্যার ইতিহাস রয়েছে।"&amp;" দেখা যাচ্ছে যে একটি অস্বাভাবিক পরিবারে মানসিকভাবে অবহেলিত থাকা একজন স্থিতিশীল এবং আত্মবিশ্বাসী ব্যক্তিত্বের জন্য একটি ভাল শুরু নয়। 2013 এবং 2014 (বয়স 19/20) আমার খুব প্রিয় বন্ধু আত্মহত্যা করে মারা যাওয়ার পর সবচেয়ে খারাপ সময় ছিল। আমার মানসিক সমস্যাগ"&amp;"ুলির পাশাপাশি প্যানিক অ্যাটাকও হতে শুরু করে এবং আমার বিষণ্ণতা এতটাই তীব্র হয়ে ওঠে যে থেরাপি শুরু করার জন্য আমি এক শিক্ষাবর্ষের জন্য স্কুল ছেড়ে দিই। আমার জেনারেলাইজড অ্যাংজাইটি ডিসঅর্ডার, অ্যাগোরাফোবিয়া, ডিসথাইমিয়া, অ্যাভয়েডেন্ট পার্সোনালিটি ডিসঅর্ডার"&amp;" এবং প্যানিক ডিসঅর্ডার ধরা পড়ে। থেরাপি সফল হয়েছিল। আজ পর্যন্ত থেরাপি আমাকে একটি কার্যকর মানসিক বেসলাইন তৈরি করতে সাহায্য করেছে। আমি আবার কাজ করতে পারি, প্যানিক অ্যাটাক এবং ক্রমাগত অ্যাগোরাফোবিয়া আর নেই। এটি আমাকে আমার পড়াশোনা চালিয়ে যেতে এবং একটি সাম"&amp;"াজিক জীবন গড়ে তুলতে সক্ষম করেছে। যদিও পরিস্থিতি আদর্শ নয়। অনেক দিন আগে আমার পুরনো আমি মারা গিয়েছিলাম। আমি কিছু প্রত্যাশিত সামাজিক মিথস্ক্রিয়া বা আমার পেশাদার ভবিষ্যতের মতো সাধারণ বিষয়গুলি নিয়ে তীব্রভাবে চিন্তিত হতে পারি এবং আমি এখনও সময়ে সময়ে এড়ি"&amp;"য়ে চলার প্রবণতা রাখি। তাই হ্যাঁ, কার্যকর, কিন্তু দুর্দান্ত নয়। আমার থেরাপি মূলত আমার প্যানিক অ্যাটাক, বিষণ্ণতা এবং আত্মহত্যার প্রবণতার মতো দুর্বলকারী সমস্যাগুলির উপর দৃষ্টি নিবদ্ধ করেছিল যা আমাকে আমার জীবনযাপন থেকে বিরত রেখেছিল। পিছনে ফিরে তাকালে আমার ম"&amp;"নে হয় কিছু বেসলাইন সমস্যা উপেক্ষা করা হয়েছে। ডিসথাইমিয়াও বিভিন্ন মাত্রায় একটি স্থায়ী কারণ এবং আমি মনে করি এটি এভাবেই থাকবে। এই অংশটি এখানে পোস্ট করার জন্য আমি উদ্বিগ্ন। আমি সত্যিই চিন্তিত যে কেউ এটিকে নম্রভাবে দম্ভ করে ভাববে এবং খারাপ কিছু বলবে। আমি "&amp;"সত্যিই এই মুহূর্তে এটি ব্যবহার করতে পারছি না, এমনকি যদি এটি কোনও এলোমেলো বা ইন্টারনেট থেকেও হয়। বোকামি, আমি জানি। ভাষার বাধাও আমার পছন্দ মতো সঠিকভাবে নিজেকে প্রকাশ করা সহজ করে না, তাই দয়া করে দয়া করে সদয় হোন। আমার কী করা উচিত তা নিয়ে এত ক্রমাগত চিন্ত"&amp;"াভাবনা? এটি ফলপ্রসূ হয়েছে। আমার থেরাপি শেষ করার পরে আমি আমার পড়াশোনা চালিয়ে গেলাম। ক্রমাগত উদ্বেগ আমাকে সত্যিই মনোযোগী এবং আগের চেয়ে আরও উচ্চাকাঙ্ক্ষী করে তুলেছিল। আমি ভালো করেছি। গত ডিসেম্বরে আমি আমার আইন ডিগ্রি পেয়েছি। আমার স্নাতক হওয়ার একদিন পর আ"&amp;"মি একটি ফোন পেয়েছিলাম যে আমাকে এমন একটি চাকরির জন্য গ্রহণ করা হয়েছিল যা নিয়ে আমি সত্যিই উত্তেজিত, কিন্তু এখন আমি ভয়ও পাচ্ছি না। এটা বলা সত্যিই বিব্রতকর, তবে এটি কেন আমি এটি নিয়ে এত চিন্তিত তার একটি বড় ভূমিকা পালন করে: এটি একটি সত্যিই মর্যাদাপূর্ণ চা"&amp;"করি যা সাধারণত আমার শিক্ষার স্তর এবং বিশ্ববিদ্যালয় থেকে সদ্য উত্তীর্ণ ব্যক্তির জন্য উপযুক্ত নয়। যদি এটি ভালভাবে কাজ করে তবে আমার ভবিষ্যতের ক্যারিয়ারের জন্য আমার একটি দুর্দান্ত শুরু হবে। পঙ্গু উদ্বেগের কারণ। এবার সত্যিই আমার মাথা খারাপ হয়ে গেছে। বহু বছ"&amp;"র পর (!) প্রথমবারের মতো সবকিছু (!) খুব ভালো লাগছে, আর আমি এটা সামলাতে পারছি না। আমি এই সোমবার থেকে শুরু করছি, আর এটা নিয়ে আমি খুব চিন্তিত। জানি না কেন, কিন্তু সত্যিই মনে হচ্ছে আমি নিজেকে এই চাকরিতে প্রতারিত করেছি এবং যখন আমি আসলে শুরু করব তখন আমি খুব খার"&amp;"াপভাবে ব্যর্থ হব। আমার শব্দের সাথে (অন্তত আমার মাতৃভাষায়) একটা ধরণ আছে এবং আমার মনে হয় এই চাকরির জন্য প্রয়োজনীয় ক্ষমতা আমার নেই, আমি কেবল সেই ধারণা দিতেই ভালো। আমি এখনও সময়ে সময়ে সন্দেহ করি যে এটি সত্য কিনা। উত্তর দিন দিন পরিবর্তিত হয়। আজ আমি একজন "&amp;"প্রতারকের মতো অনুভব করছি। সামাজিক দিকটি নিয়েও সত্যিই চিন্তিত। আমি এটি সংক্ষিপ্ত রাখার চেষ্টা করেছি এবং ইতিমধ্যেই খারাপভাবে ব্যর্থ হয়েছি, তাই আরও বিস্তারিত না জানিয়ে আমার সামাজিক উদ্বেগ: কাজের পরিবেশ খুব পুরুষালি হয়ে উঠলে সামাজিকভাবে ভালোভাবে মিশে যেতে"&amp;" না পারা, নাম মনে না রাখা বা ভুল নামে কাউকে সম্বোধন না করা, পছন্দ না করা, দৃশ্যমান অতিরিক্ত নার্ভাসনেস (ঘাম, কাঁপুনি) এবং মূলত লোকেরা ভাববে যে আমি বিব্রতকর। ঈশ্বর, আমার কথা শুনে মনে হচ্ছে একটা ভয়াবহ ঝামেলা হয়ে গেছে, কিন্তু আমি সত্যিই উদ্বিগ্ন বন্ধুরা। প্র"&amp;"থমবারের মতো সবকিছু ঠিকঠাক দেখাচ্ছে, এবং এটা আমাকে ড্রপ আউট হওয়ার সময়ের চেয়েও বেশি উদ্বেগ দিচ্ছে। এটা সত্যিই খারাপ, আমি এত পরিশ্রম করিনি, বরং আরও খারাপ বোধ করছি। আমার পরিকল্পনা হল আবার থেরাপি নেওয়ার পথে। এখনও অনেক কাজ বাকি আছে। তবে এটি দীর্ঘমেয়াদী পরিকল্প"&amp;"না এবং আমার চাকরি সোমবার থেকে শুরু হচ্ছে। আমার চাকরি সম্পর্কে আমার উদ্বেগকে আবার কীভাবে নিয়ন্ত্রণে আনা যায় সে সম্পর্কে আমি সত্যিই কিছু পরামর্শ ব্যবহার করতে পারি। অন্য কেউ স্নাতক শেষ করে স্বপ্নের চাকরি পেয়ে এত খুশি হবে এবং আমি সত্যিই খারাপ বোধ করি যে আমি"&amp;" সেভাবে অনুভব করতে পারছি না। আমি এটা উপভোগ করতে চাই। আমি গর্বিত হতে চাই এবং সক্ষম বোধ করতে চাই। এটি আমার অতীতের সমস্ত ব্যর্থতা চিরতরে পিছনে ফেলে আসার লক্ষ্য, এবং আমি এটিকে উড়িয়ে দিতে চাই না।")</f>
        <v>বছরের পর বছর ধরে উদ্বেগের পর আমি এই সোমবার আমার প্রথম 'প্রকৃত' চাকরি শুরু করছি। আমার অযোগ্যতা এবং ভয় অনুভব করছি। TL;DR আমি সারা জীবন বিভিন্ন মাত্রায় ঝামেলায় ছিলাম, পথিমধ্যে নিজেকে সামলে নিয়েছি, একটি স্থিতিশীল এবং কার্যকর মানসিক স্তরে পৌঁছেছি যা আমাকে আমার পেশাদার ভবিষ্যতের জন্য কাজ করতে সক্ষম করেছে। স্নাতক ডিগ্রি অর্জন করেছি এবং এই সোমবার থেকে শুরু হওয়া একটি স্বপ্নের চাকরি পেয়েছি। আমি এখনও একজন ব্যর্থ এবং বোকা বলে মনে করি। এখন আমি নার্ভাস, ভীত এবং আইসক্রিমে ভরা। সাহায্য করুন। সত্যি বলতে, আমি বেশ কিছুদিন ধরে এই পোস্টটি পোস্ট করার ব্যাপারে দ্বিধা করছিলাম, কিন্তু এবার শুরু করা যাক। আমার উদ্বেগগুলি কীভাবে মোকাবেলা করতে হবে সে সম্পর্কে আমি সত্যিই কিছু ইনপুট ব্যবহার করতে পারি। আমার জীবনের প্রায় অর্ধেক সময় ধরে উদ্বেগ এবং অন্যান্য মানসিক সমস্যার ইতিহাস রয়েছে। দেখা যাচ্ছে যে একটি অস্বাভাবিক পরিবারে মানসিকভাবে অবহেলিত থাকা একজন স্থিতিশীল এবং আত্মবিশ্বাসী ব্যক্তিত্বের জন্য একটি ভাল শুরু নয়। 2013 এবং 2014 (বয়স 19/20) আমার খুব প্রিয় বন্ধু আত্মহত্যা করে মারা যাওয়ার পর সবচেয়ে খারাপ সময় ছিল। আমার মানসিক সমস্যাগুলির পাশাপাশি প্যানিক অ্যাটাকও হতে শুরু করে এবং আমার বিষণ্ণতা এতটাই তীব্র হয়ে ওঠে যে থেরাপি শুরু করার জন্য আমি এক শিক্ষাবর্ষের জন্য স্কুল ছেড়ে দিই। আমার জেনারেলাইজড অ্যাংজাইটি ডিসঅর্ডার, অ্যাগোরাফোবিয়া, ডিসথাইমিয়া, অ্যাভয়েডেন্ট পার্সোনালিটি ডিসঅর্ডার এবং প্যানিক ডিসঅর্ডার ধরা পড়ে। থেরাপি সফল হয়েছিল। আজ পর্যন্ত থেরাপি আমাকে একটি কার্যকর মানসিক বেসলাইন তৈরি করতে সাহায্য করেছে। আমি আবার কাজ করতে পারি, প্যানিক অ্যাটাক এবং ক্রমাগত অ্যাগোরাফোবিয়া আর নেই। এটি আমাকে আমার পড়াশোনা চালিয়ে যেতে এবং একটি সামাজিক জীবন গড়ে তুলতে সক্ষম করেছে। যদিও পরিস্থিতি আদর্শ নয়। অনেক দিন আগে আমার পুরনো আমি মারা গিয়েছিলাম। আমি কিছু প্রত্যাশিত সামাজিক মিথস্ক্রিয়া বা আমার পেশাদার ভবিষ্যতের মতো সাধারণ বিষয়গুলি নিয়ে তীব্রভাবে চিন্তিত হতে পারি এবং আমি এখনও সময়ে সময়ে এড়িয়ে চলার প্রবণতা রাখি। তাই হ্যাঁ, কার্যকর, কিন্তু দুর্দান্ত নয়। আমার থেরাপি মূলত আমার প্যানিক অ্যাটাক, বিষণ্ণতা এবং আত্মহত্যার প্রবণতার মতো দুর্বলকারী সমস্যাগুলির উপর দৃষ্টি নিবদ্ধ করেছিল যা আমাকে আমার জীবনযাপন থেকে বিরত রেখেছিল। পিছনে ফিরে তাকালে আমার মনে হয় কিছু বেসলাইন সমস্যা উপেক্ষা করা হয়েছে। ডিসথাইমিয়াও বিভিন্ন মাত্রায় একটি স্থায়ী কারণ এবং আমি মনে করি এটি এভাবেই থাকবে। এই অংশটি এখানে পোস্ট করার জন্য আমি উদ্বিগ্ন। আমি সত্যিই চিন্তিত যে কেউ এটিকে নম্রভাবে দম্ভ করে ভাববে এবং খারাপ কিছু বলবে। আমি সত্যিই এই মুহূর্তে এটি ব্যবহার করতে পারছি না, এমনকি যদি এটি কোনও এলোমেলো বা ইন্টারনেট থেকেও হয়। বোকামি, আমি জানি। ভাষার বাধাও আমার পছন্দ মতো সঠিকভাবে নিজেকে প্রকাশ করা সহজ করে না, তাই দয়া করে দয়া করে সদয় হোন। আমার কী করা উচিত তা নিয়ে এত ক্রমাগত চিন্তাভাবনা? এটি ফলপ্রসূ হয়েছে। আমার থেরাপি শেষ করার পরে আমি আমার পড়াশোনা চালিয়ে গেলাম। ক্রমাগত উদ্বেগ আমাকে সত্যিই মনোযোগী এবং আগের চেয়ে আরও উচ্চাকাঙ্ক্ষী করে তুলেছিল। আমি ভালো করেছি। গত ডিসেম্বরে আমি আমার আইন ডিগ্রি পেয়েছি। আমার স্নাতক হওয়ার একদিন পর আমি একটি ফোন পেয়েছিলাম যে আমাকে এমন একটি চাকরির জন্য গ্রহণ করা হয়েছিল যা নিয়ে আমি সত্যিই উত্তেজিত, কিন্তু এখন আমি ভয়ও পাচ্ছি না। এটা বলা সত্যিই বিব্রতকর, তবে এটি কেন আমি এটি নিয়ে এত চিন্তিত তার একটি বড় ভূমিকা পালন করে: এটি একটি সত্যিই মর্যাদাপূর্ণ চাকরি যা সাধারণত আমার শিক্ষার স্তর এবং বিশ্ববিদ্যালয় থেকে সদ্য উত্তীর্ণ ব্যক্তির জন্য উপযুক্ত নয়। যদি এটি ভালভাবে কাজ করে তবে আমার ভবিষ্যতের ক্যারিয়ারের জন্য আমার একটি দুর্দান্ত শুরু হবে। পঙ্গু উদ্বেগের কারণ। এবার সত্যিই আমার মাথা খারাপ হয়ে গেছে। বহু বছর পর (!) প্রথমবারের মতো সবকিছু (!) খুব ভালো লাগছে, আর আমি এটা সামলাতে পারছি না। আমি এই সোমবার থেকে শুরু করছি, আর এটা নিয়ে আমি খুব চিন্তিত। জানি না কেন, কিন্তু সত্যিই মনে হচ্ছে আমি নিজেকে এই চাকরিতে প্রতারিত করেছি এবং যখন আমি আসলে শুরু করব তখন আমি খুব খারাপভাবে ব্যর্থ হব। আমার শব্দের সাথে (অন্তত আমার মাতৃভাষায়) একটা ধরণ আছে এবং আমার মনে হয় এই চাকরির জন্য প্রয়োজনীয় ক্ষমতা আমার নেই, আমি কেবল সেই ধারণা দিতেই ভালো। আমি এখনও সময়ে সময়ে সন্দেহ করি যে এটি সত্য কিনা। উত্তর দিন দিন পরিবর্তিত হয়। আজ আমি একজন প্রতারকের মতো অনুভব করছি। সামাজিক দিকটি নিয়েও সত্যিই চিন্তিত। আমি এটি সংক্ষিপ্ত রাখার চেষ্টা করেছি এবং ইতিমধ্যেই খারাপভাবে ব্যর্থ হয়েছি, তাই আরও বিস্তারিত না জানিয়ে আমার সামাজিক উদ্বেগ: কাজের পরিবেশ খুব পুরুষালি হয়ে উঠলে সামাজিকভাবে ভালোভাবে মিশে যেতে না পারা, নাম মনে না রাখা বা ভুল নামে কাউকে সম্বোধন না করা, পছন্দ না করা, দৃশ্যমান অতিরিক্ত নার্ভাসনেস (ঘাম, কাঁপুনি) এবং মূলত লোকেরা ভাববে যে আমি বিব্রতকর। ঈশ্বর, আমার কথা শুনে মনে হচ্ছে একটা ভয়াবহ ঝামেলা হয়ে গেছে, কিন্তু আমি সত্যিই উদ্বিগ্ন বন্ধুরা। প্রথমবারের মতো সবকিছু ঠিকঠাক দেখাচ্ছে, এবং এটা আমাকে ড্রপ আউট হওয়ার সময়ের চেয়েও বেশি উদ্বেগ দিচ্ছে। এটা সত্যিই খারাপ, আমি এত পরিশ্রম করিনি, বরং আরও খারাপ বোধ করছি। আমার পরিকল্পনা হল আবার থেরাপি নেওয়ার পথে। এখনও অনেক কাজ বাকি আছে। তবে এটি দীর্ঘমেয়াদী পরিকল্পনা এবং আমার চাকরি সোমবার থেকে শুরু হচ্ছে। আমার চাকরি সম্পর্কে আমার উদ্বেগকে আবার কীভাবে নিয়ন্ত্রণে আনা যায় সে সম্পর্কে আমি সত্যিই কিছু পরামর্শ ব্যবহার করতে পারি। অন্য কেউ স্নাতক শেষ করে স্বপ্নের চাকরি পেয়ে এত খুশি হবে এবং আমি সত্যিই খারাপ বোধ করি যে আমি সেভাবে অনুভব করতে পারছি না। আমি এটা উপভোগ করতে চাই। আমি গর্বিত হতে চাই এবং সক্ষম বোধ করতে চাই। এটি আমার অতীতের সমস্ত ব্যর্থতা চিরতরে পিছনে ফেলে আসার লক্ষ্য, এবং আমি এটিকে উড়িয়ে দিতে চাই না।</v>
      </c>
    </row>
    <row r="2741" spans="1:3" ht="15" x14ac:dyDescent="0.25">
      <c r="A2741" s="3" t="s">
        <v>2734</v>
      </c>
      <c r="B2741" s="3" t="s">
        <v>1992</v>
      </c>
      <c r="C2741" s="4" t="str">
        <f ca="1">IFERROR(__xludf.DUMMYFUNCTION("GOOGLETRANSLATE(A2741, ""auto"", ""bn"")"),"'হারানোর ভয়' মোকাবেলা করা সবাইকে নমস্কার, মিস করার ভয় মোকাবেলা করা আমার কাছে খুব কঠিন মনে হয়। আমি কিছু জিনিস করতে চাই এবং কিছু জিনিস অর্জন করতে চাই, এবং আমি ক্রমাগত অনুভব করি যে আমি জীবনকে পূর্ণভাবে বেঁচে থাকার সুযোগ থেকে বঞ্চিত করছি। এর কারণ হল, আমার "&amp;"সমবয়সীদের সাথে ক্রমাগত নিজেকে তুলনা করা যারা আমার চেয়ে ভালো করছে (শখ, ক্যারিয়ার, ভ্রমণ ইত্যাদির ক্ষেত্রে)। এটি যথেষ্ট নয় এমন একটা অবিরাম অনুভূতি তৈরি করে। আমি এখন কোথায় আছি এবং আমি কোথায় থাকতে চাই তার মধ্যে (আমার ব্যক্তিগত আত্ম-চিত্রের মধ্যে) একটি ব"&amp;"ড় বিচ্ছিন্নতা রয়েছে এবং এটি একটি অধৈর্যতা এবং ভয় তৈরি করে যা আরও উদ্বেগ তৈরি করে। আপনি কি একই রকম আবেগ অনুভব করেছেন? আমি কীভাবে এইসব সচেতনভাবে মোকাবেলা করব? একদিকে এটি আমাকে সর্বদা চেষ্টা চালিয়ে যেতে এবং অন্বেষণ করতে অনুপ্রাণিত করে, অন্যদিকে এটি উদ্বে"&amp;"গ, অসন্তোষ এবং আত্ম-ঘৃণার মতো অনেক নেতিবাচক আবেগ তৈরি করে।")</f>
        <v>'হারানোর ভয়' মোকাবেলা করা সবাইকে নমস্কার, মিস করার ভয় মোকাবেলা করা আমার কাছে খুব কঠিন মনে হয়। আমি কিছু জিনিস করতে চাই এবং কিছু জিনিস অর্জন করতে চাই, এবং আমি ক্রমাগত অনুভব করি যে আমি জীবনকে পূর্ণভাবে বেঁচে থাকার সুযোগ থেকে বঞ্চিত করছি। এর কারণ হল, আমার সমবয়সীদের সাথে ক্রমাগত নিজেকে তুলনা করা যারা আমার চেয়ে ভালো করছে (শখ, ক্যারিয়ার, ভ্রমণ ইত্যাদির ক্ষেত্রে)। এটি যথেষ্ট নয় এমন একটা অবিরাম অনুভূতি তৈরি করে। আমি এখন কোথায় আছি এবং আমি কোথায় থাকতে চাই তার মধ্যে (আমার ব্যক্তিগত আত্ম-চিত্রের মধ্যে) একটি বড় বিচ্ছিন্নতা রয়েছে এবং এটি একটি অধৈর্যতা এবং ভয় তৈরি করে যা আরও উদ্বেগ তৈরি করে। আপনি কি একই রকম আবেগ অনুভব করেছেন? আমি কীভাবে এইসব সচেতনভাবে মোকাবেলা করব? একদিকে এটি আমাকে সর্বদা চেষ্টা চালিয়ে যেতে এবং অন্বেষণ করতে অনুপ্রাণিত করে, অন্যদিকে এটি উদ্বেগ, অসন্তোষ এবং আত্ম-ঘৃণার মতো অনেক নেতিবাচক আবেগ তৈরি করে।</v>
      </c>
    </row>
    <row r="2742" spans="1:3" ht="15" x14ac:dyDescent="0.25">
      <c r="A2742" s="3" t="s">
        <v>2735</v>
      </c>
      <c r="B2742" s="3" t="s">
        <v>1992</v>
      </c>
      <c r="C2742" s="4" t="str">
        <f ca="1">IFERROR(__xludf.DUMMYFUNCTION("GOOGLETRANSLATE(A2742, ""auto"", ""bn"")"),"দীর্ঘস্থায়ী টান/ব্যথা উদ্বেগের সাথে সম্পর্কিত? হাই বন্ধুরা, আমি দীর্ঘস্থায়ী টান, বিশেষ করে পিঠের নিচের অংশ/হিপ ফ্লেক্সর/প্রোস/ এবং আইটি ব্যান্ড, কাঁধ এবং কব্জির উপরের অংশে ব্যথায় ভুগছি, এবং বিভিন্ন মাত্রার উদ্বেগও আমার আছে। আমি ভাবছিলাম তোমাদের মধ্যে ক"&amp;"েউ কি একই রকম কিছু অনুভব করে এবং তোমরা কি এমন কিছু করো (পড়া/ব্যায়াম) যা সাহায্য করে? আগাম ধন্যবাদ :)")</f>
        <v>দীর্ঘস্থায়ী টান/ব্যথা উদ্বেগের সাথে সম্পর্কিত? হাই বন্ধুরা, আমি দীর্ঘস্থায়ী টান, বিশেষ করে পিঠের নিচের অংশ/হিপ ফ্লেক্সর/প্রোস/ এবং আইটি ব্যান্ড, কাঁধ এবং কব্জির উপরের অংশে ব্যথায় ভুগছি, এবং বিভিন্ন মাত্রার উদ্বেগও আমার আছে। আমি ভাবছিলাম তোমাদের মধ্যে কেউ কি একই রকম কিছু অনুভব করে এবং তোমরা কি এমন কিছু করো (পড়া/ব্যায়াম) যা সাহায্য করে? আগাম ধন্যবাদ :)</v>
      </c>
    </row>
    <row r="2743" spans="1:3" ht="15" x14ac:dyDescent="0.25">
      <c r="A2743" s="3" t="s">
        <v>2736</v>
      </c>
      <c r="B2743" s="3" t="s">
        <v>1992</v>
      </c>
      <c r="C2743" s="4" t="str">
        <f ca="1">IFERROR(__xludf.DUMMYFUNCTION("GOOGLETRANSLATE(A2743, ""auto"", ""bn"")"),"বিশ্ববিদ্যালয়ে অসুস্থতার ছুটির পর আবার শুরু করা এটা হয়তো একটা অসংলগ্ন কথাবার্তা, কিন্তু ভালোর আশা করা যাক। গত বছরের অক্টোবরে, আমি দুর্ঘটনার কবলে পড়েছিলাম। আমি সবসময় কাঁদছিলাম, খেতে, গোসল করতে, উঠতে পারছিলাম না। এটা ছিল আমার জীবনের সবচেয়ে খারাপ অবস্থা।"&amp;" বিষণ্ণতা এবং উদ্বেগের একটি সু-গঠিত মিশ্রণ। তখন আমি কোনও সাহায্য পাচ্ছিলাম না, কিন্তু যেহেতু আমি উদ্বেগ মোকাবেলা করার জন্য গ্রুপ থেরাপি শুরু করেছি, যা ধীরে ধীরে সাহায্য করছে, কিন্তু ফলাফল অপ্রতিরোধ্য নয়। যেহেতু আমি এই গ্রহের সবচেয়ে জেদী ব্যক্তিদের একজন,"&amp;" তাই আমি পুরো বছর ছুটি না নেওয়ার সিদ্ধান্ত নিয়েছি, বরং কয়েক মাস চেষ্টা করে দেখার চেষ্টা করেছি, যেখানে আমার সবচেয়ে গুরুত্বপূর্ণ গবেষণাপত্র লেখা উচিত ছিল, আমার ডিগ্রি শেষ করার জন্য। এটি গ্রুপ কাজ হওয়ার কথা ছিল, কিন্তু যেহেতু আমাকে অসুস্থতার ছুটি নিতে হ"&amp;"য়েছিল, তাই এখন আমাকে এটি নিজেই করতে হবে। এর অর্থ হল আমাকে নিজেই মৌখিক উপস্থাপনা করতে হবে, যা আমার জীবনকে ভয় পায়। সোমবার থেকে আমার পরীক্ষা শুরু হচ্ছে, এই মাসের শেষের দিকে আরও একটি, প্রায় তিন মাস ধরে বক্তৃতা এবং তারপর আরেকটি পরীক্ষা (ধন্যবাদ, একটি গ্রুপ"&amp;"ে), এবং এর মাঝামাঝি সময়ে আমাকে আমার স্নাতক ডিগ্রি শেষ করতে হবে। আমি ইতিমধ্যেই খুব চাপে আছি। মনে হচ্ছে বাড়িতে থাকা, কেবল থালা-বাসন ধোয়া, কাপড় ধোয়া, আমার বিড়াল এবং প্রেমিকের যত্ন নেওয়া, খাবার তৈরি করা এবং কেনাকাটা করার মতো নিয়মিত কাজ করা *যথেষ্ট*। আ"&amp;"মার মনে হয় না যে আমি এই সমস্ত কাজ করতে পারব, প্রবন্ধ লিখতে পারব, বক্তৃতা দিতে যেতে পারব এবং সামাজিকীকরণ করতে পারব - তবে আমার মনে হয় না যে আমার অসুস্থতার ছুটি বাড়ানো এটি একটি পছন্দ। আমাকে ওষুধের বিকল্প দেওয়া হয়েছে - সারট্রালাইন, আরও স্পষ্ট করে বলতে গে"&amp;"লে। আমি আমার কিশোর বয়সে (এখন আমার বয়স প্রায় ২৪) কয়েক বছর ধরে ফ্লোরিন গ্রহণ করছি, এবং এটি ছিল নরক। তাছাড়া, আমি সারট্রালাইনের পার্শ্বপ্রতিক্রিয়া সম্পর্কে পড়তে থাকি, এবং এটি মূল্যবান বলে মনে হয় না, তবে কোনওভাবে মনে হয় এটিই একমাত্র উপায়, এই সমস্ত কা"&amp;"জ করতে সক্ষম হওয়ার জন্য। এই শিক্ষা গ্রহণের জন্য নিজেকে চাপ দিয়ে চলাটা অর্থহীন বলে মনে হচ্ছে, কারণ এর জন্য আমার কোনও বিশেষ পরিকল্পনা নেই। আমার কেবল কিছু করার দরকার ছিল, এমন কিছু যা আমাকে আরও পরিপক্ক হতে এবং আরও ভালো হতে সময় দেবে। আমার কোনও অভিনব চাকরি প"&amp;"াওয়ার স্বপ্ন নেই, আমি কেবল আমার ভবিষ্যৎ পরিবারকে সাহায্য করার জন্য একটি ভাল বেতন পেতে চাই। তাছাড়া, আমি কেবল সুখী হতে চাই, কিন্তু আমি জানি না কিভাবে এটি করব। তাছাড়া, আমার মনে হয় আমার কাছে থাকা কোনও বিকল্পই যথেষ্ট নয়। তাছাড়া, আমি এখন চাকরি পেতে পারি, কিন"&amp;"্তু আমি ভয় পাচ্ছি যে উদ্বেগের কারণে আমি এটি ধরে রাখতে পারব না। TL;DR: উদ্বেগ এবং হতাশার কারণে বিশ্ববিদ্যালয় থেকে কয়েক মাসের অসুস্থতার ছুটি নিয়েছি, এখন আবার শুরু করতে হবে, কিন্তু এটি অপ্রতিরোধ্য বলে মনে হচ্ছে। সার্ট্রালিন শুরু করার সুযোগ আছে, কিন্তু এটি"&amp;" কি সাহায্য করবে? চালিয়ে যাওয়ার জন্য আমার প্রেরণার বড় অভাব আছে (ধন্যবাদ, হতাশা)")</f>
        <v>বিশ্ববিদ্যালয়ে অসুস্থতার ছুটির পর আবার শুরু করা এটা হয়তো একটা অসংলগ্ন কথাবার্তা, কিন্তু ভালোর আশা করা যাক। গত বছরের অক্টোবরে, আমি দুর্ঘটনার কবলে পড়েছিলাম। আমি সবসময় কাঁদছিলাম, খেতে, গোসল করতে, উঠতে পারছিলাম না। এটা ছিল আমার জীবনের সবচেয়ে খারাপ অবস্থা। বিষণ্ণতা এবং উদ্বেগের একটি সু-গঠিত মিশ্রণ। তখন আমি কোনও সাহায্য পাচ্ছিলাম না, কিন্তু যেহেতু আমি উদ্বেগ মোকাবেলা করার জন্য গ্রুপ থেরাপি শুরু করেছি, যা ধীরে ধীরে সাহায্য করছে, কিন্তু ফলাফল অপ্রতিরোধ্য নয়। যেহেতু আমি এই গ্রহের সবচেয়ে জেদী ব্যক্তিদের একজন, তাই আমি পুরো বছর ছুটি না নেওয়ার সিদ্ধান্ত নিয়েছি, বরং কয়েক মাস চেষ্টা করে দেখার চেষ্টা করেছি, যেখানে আমার সবচেয়ে গুরুত্বপূর্ণ গবেষণাপত্র লেখা উচিত ছিল, আমার ডিগ্রি শেষ করার জন্য। এটি গ্রুপ কাজ হওয়ার কথা ছিল, কিন্তু যেহেতু আমাকে অসুস্থতার ছুটি নিতে হয়েছিল, তাই এখন আমাকে এটি নিজেই করতে হবে। এর অর্থ হল আমাকে নিজেই মৌখিক উপস্থাপনা করতে হবে, যা আমার জীবনকে ভয় পায়। সোমবার থেকে আমার পরীক্ষা শুরু হচ্ছে, এই মাসের শেষের দিকে আরও একটি, প্রায় তিন মাস ধরে বক্তৃতা এবং তারপর আরেকটি পরীক্ষা (ধন্যবাদ, একটি গ্রুপে), এবং এর মাঝামাঝি সময়ে আমাকে আমার স্নাতক ডিগ্রি শেষ করতে হবে। আমি ইতিমধ্যেই খুব চাপে আছি। মনে হচ্ছে বাড়িতে থাকা, কেবল থালা-বাসন ধোয়া, কাপড় ধোয়া, আমার বিড়াল এবং প্রেমিকের যত্ন নেওয়া, খাবার তৈরি করা এবং কেনাকাটা করার মতো নিয়মিত কাজ করা *যথেষ্ট*। আমার মনে হয় না যে আমি এই সমস্ত কাজ করতে পারব, প্রবন্ধ লিখতে পারব, বক্তৃতা দিতে যেতে পারব এবং সামাজিকীকরণ করতে পারব - তবে আমার মনে হয় না যে আমার অসুস্থতার ছুটি বাড়ানো এটি একটি পছন্দ। আমাকে ওষুধের বিকল্প দেওয়া হয়েছে - সারট্রালাইন, আরও স্পষ্ট করে বলতে গেলে। আমি আমার কিশোর বয়সে (এখন আমার বয়স প্রায় ২৪) কয়েক বছর ধরে ফ্লোরিন গ্রহণ করছি, এবং এটি ছিল নরক। তাছাড়া, আমি সারট্রালাইনের পার্শ্বপ্রতিক্রিয়া সম্পর্কে পড়তে থাকি, এবং এটি মূল্যবান বলে মনে হয় না, তবে কোনওভাবে মনে হয় এটিই একমাত্র উপায়, এই সমস্ত কাজ করতে সক্ষম হওয়ার জন্য। এই শিক্ষা গ্রহণের জন্য নিজেকে চাপ দিয়ে চলাটা অর্থহীন বলে মনে হচ্ছে, কারণ এর জন্য আমার কোনও বিশেষ পরিকল্পনা নেই। আমার কেবল কিছু করার দরকার ছিল, এমন কিছু যা আমাকে আরও পরিপক্ক হতে এবং আরও ভালো হতে সময় দেবে। আমার কোনও অভিনব চাকরি পাওয়ার স্বপ্ন নেই, আমি কেবল আমার ভবিষ্যৎ পরিবারকে সাহায্য করার জন্য একটি ভাল বেতন পেতে চাই। তাছাড়া, আমি কেবল সুখী হতে চাই, কিন্তু আমি জানি না কিভাবে এটি করব। তাছাড়া, আমার মনে হয় আমার কাছে থাকা কোনও বিকল্পই যথেষ্ট নয়। তাছাড়া, আমি এখন চাকরি পেতে পারি, কিন্তু আমি ভয় পাচ্ছি যে উদ্বেগের কারণে আমি এটি ধরে রাখতে পারব না। TL;DR: উদ্বেগ এবং হতাশার কারণে বিশ্ববিদ্যালয় থেকে কয়েক মাসের অসুস্থতার ছুটি নিয়েছি, এখন আবার শুরু করতে হবে, কিন্তু এটি অপ্রতিরোধ্য বলে মনে হচ্ছে। সার্ট্রালিন শুরু করার সুযোগ আছে, কিন্তু এটি কি সাহায্য করবে? চালিয়ে যাওয়ার জন্য আমার প্রেরণার বড় অভাব আছে (ধন্যবাদ, হতাশা)</v>
      </c>
    </row>
    <row r="2744" spans="1:3" ht="15" x14ac:dyDescent="0.25">
      <c r="A2744" s="3" t="s">
        <v>2737</v>
      </c>
      <c r="B2744" s="3" t="s">
        <v>1992</v>
      </c>
      <c r="C2744" s="4" t="str">
        <f ca="1">IFERROR(__xludf.DUMMYFUNCTION("GOOGLETRANSLATE(A2744, ""auto"", ""bn"")"),"কাউকে ফোন করার জন্য অনেক দেরি। কথা বলতে হবে। আমি একটা ভয়াবহ স্বপ্ন দেখে ঘুম থেকে উঠেছিলাম যেখানে একটা গাড়ি দুর্ঘটনায় আমার মৃত্যু হয়েছিল। আমার হৃদস্পন্দন দ্রুত স্পন্দিত হয়ে ওঠার জন্য যথেষ্ট ছিল। আমি ঘুম থেকে উঠে আবার ঘুমিয়ে পড়ার চেষ্টা করেছিলাম, কিন্তু তাত"&amp;"েও কাজ হয়নি। তারপর আমি আমার বয়ফ্রেন্ডকে টেক্সট করে ভেবেছিলাম যে এটা বের করা ভালো হবে এবং মানসিক চাপ থেকে মুক্তি পাবে। কিন্তু এখন আমি কেবল এমন বিষয় নিয়ে ভাবছি যা আসলে সম্পর্কিত নয়। সম্প্রতি আমি সাময়িকভাবে একাকী জীবনযাপন শুরু করেছি। কিন্তু আমি এটা নিয়ে খুব "&amp;"উদ্বিগ্ন। নিশ্চিত হয়েছি যে আমি দরজা বন্ধ করে দিয়েছি। আমি কেবল অবাস্তবভাবে কল্পনা করছি যে কেউ আমাকে আঘাত করতে আসছে, কিন্তু আমি জানি যে এটা ঘটবে না। আমি জানি আমি অযৌক্তিক, কিন্তু আমি থামতে পারছি না। তাছাড়া, আমি শুধু ঘুমাতে চাই। সবকিছু ভুলে যাও। এবং সকালে "&amp;"ঘুম থেকে উঠো, তাই আমার এখনকার অনুভূতি থেকে কিছুটা দূরে।")</f>
        <v>কাউকে ফোন করার জন্য অনেক দেরি। কথা বলতে হবে। আমি একটা ভয়াবহ স্বপ্ন দেখে ঘুম থেকে উঠেছিলাম যেখানে একটা গাড়ি দুর্ঘটনায় আমার মৃত্যু হয়েছিল। আমার হৃদস্পন্দন দ্রুত স্পন্দিত হয়ে ওঠার জন্য যথেষ্ট ছিল। আমি ঘুম থেকে উঠে আবার ঘুমিয়ে পড়ার চেষ্টা করেছিলাম, কিন্তু তাতেও কাজ হয়নি। তারপর আমি আমার বয়ফ্রেন্ডকে টেক্সট করে ভেবেছিলাম যে এটা বের করা ভালো হবে এবং মানসিক চাপ থেকে মুক্তি পাবে। কিন্তু এখন আমি কেবল এমন বিষয় নিয়ে ভাবছি যা আসলে সম্পর্কিত নয়। সম্প্রতি আমি সাময়িকভাবে একাকী জীবনযাপন শুরু করেছি। কিন্তু আমি এটা নিয়ে খুব উদ্বিগ্ন। নিশ্চিত হয়েছি যে আমি দরজা বন্ধ করে দিয়েছি। আমি কেবল অবাস্তবভাবে কল্পনা করছি যে কেউ আমাকে আঘাত করতে আসছে, কিন্তু আমি জানি যে এটা ঘটবে না। আমি জানি আমি অযৌক্তিক, কিন্তু আমি থামতে পারছি না। তাছাড়া, আমি শুধু ঘুমাতে চাই। সবকিছু ভুলে যাও। এবং সকালে ঘুম থেকে উঠো, তাই আমার এখনকার অনুভূতি থেকে কিছুটা দূরে।</v>
      </c>
    </row>
    <row r="2745" spans="1:3" ht="15" x14ac:dyDescent="0.25">
      <c r="A2745" s="3" t="s">
        <v>2738</v>
      </c>
      <c r="B2745" s="3" t="s">
        <v>1992</v>
      </c>
      <c r="C2745" s="4" t="str">
        <f ca="1">IFERROR(__xludf.DUMMYFUNCTION("GOOGLETRANSLATE(A2745, ""auto"", ""bn"")"),"অন্য কেউ কি এটা বুঝতে পারে? আপনার কি কখনও এইরকম উদ্বেগজনক অস্বস্তির ঢেউ আসে যা প্রায় আপনার পুরো শরীরকে ঢেকে ফেলে কিন্তু মাত্র কয়েক সেকেন্ড স্থায়ী হয়? কখনও কখনও অতিরিক্ত চিন্তাভাবনার কারণে এটি ঘটে")</f>
        <v>অন্য কেউ কি এটা বুঝতে পারে? আপনার কি কখনও এইরকম উদ্বেগজনক অস্বস্তির ঢেউ আসে যা প্রায় আপনার পুরো শরীরকে ঢেকে ফেলে কিন্তু মাত্র কয়েক সেকেন্ড স্থায়ী হয়? কখনও কখনও অতিরিক্ত চিন্তাভাবনার কারণে এটি ঘটে</v>
      </c>
    </row>
    <row r="2746" spans="1:3" ht="15" x14ac:dyDescent="0.25">
      <c r="A2746" s="3" t="s">
        <v>2739</v>
      </c>
      <c r="B2746" s="3" t="s">
        <v>1992</v>
      </c>
      <c r="C2746" s="4" t="str">
        <f ca="1">IFERROR(__xludf.DUMMYFUNCTION("GOOGLETRANSLATE(A2746, ""auto"", ""bn"")"),"স্বয়ংক্রিয়ভাবে শ্বাস নেওয়া সম্ভব নয় মাঝে মাঝে যখন আমি উদ্বিগ্ন থাকি, তখন আমি অবচেতনভাবে আমার শ্বাস-প্রশ্বাসের উপর মনোযোগ কেন্দ্রীভূত করি, এবং মনে হয় যেন আমার শরীরের স্বয়ংক্রিয় শ্বাস-প্রশ্বাস বন্ধ হয়ে গেছে, এবং এটি নিয়ন্ত্রণ করা আমার উপর নির্ভর করে। এটি ব"&amp;"েশিরভাগ সময় ঘুমানোর আগে ঘটে এবং আমি ঘন্টার পর ঘন্টা জেগে থাকি এবং এটি যন্ত্রণার মতো মনে হয় কারণ যখনই আমি ঘুমিয়ে পড়ি তখনই আমি জেগে উঠি কারণ আমি শ্বাস নিচ্ছি না!! কেউ কি এটা বোঝেন বা জানেন কিভাবে এটি থেকে মুক্তি পাবো?")</f>
        <v>স্বয়ংক্রিয়ভাবে শ্বাস নেওয়া সম্ভব নয় মাঝে মাঝে যখন আমি উদ্বিগ্ন থাকি, তখন আমি অবচেতনভাবে আমার শ্বাস-প্রশ্বাসের উপর মনোযোগ কেন্দ্রীভূত করি, এবং মনে হয় যেন আমার শরীরের স্বয়ংক্রিয় শ্বাস-প্রশ্বাস বন্ধ হয়ে গেছে, এবং এটি নিয়ন্ত্রণ করা আমার উপর নির্ভর করে। এটি বেশিরভাগ সময় ঘুমানোর আগে ঘটে এবং আমি ঘন্টার পর ঘন্টা জেগে থাকি এবং এটি যন্ত্রণার মতো মনে হয় কারণ যখনই আমি ঘুমিয়ে পড়ি তখনই আমি জেগে উঠি কারণ আমি শ্বাস নিচ্ছি না!! কেউ কি এটা বোঝেন বা জানেন কিভাবে এটি থেকে মুক্তি পাবো?</v>
      </c>
    </row>
    <row r="2747" spans="1:3" ht="15" x14ac:dyDescent="0.25">
      <c r="A2747" s="3" t="s">
        <v>2740</v>
      </c>
      <c r="B2747" s="3" t="s">
        <v>1992</v>
      </c>
      <c r="C2747" s="4" t="str">
        <f ca="1">IFERROR(__xludf.DUMMYFUNCTION("GOOGLETRANSLATE(A2747, ""auto"", ""bn"")"),"জীবনে এত ভয় কখনও অনুভব করিনি। আমি নানা ধরণের উদ্বেগের সাথে প্রচণ্ডভাবে বিষণ্ণ এবং উদ্বিগ্ন। গত কয়েক সপ্তাহ ধরে আমি এই অবিরাম ভয় অনুভব করছি যে কিছু একটা ঘটতে চলেছে এবং/অথবা আমি এখানে আমার শেষ কয়েক দিন পার করছি। এখন আমি আত্মহত্যা করছি না যদিও আমার আগেও ক"&amp;"িছু চিন্তাভাবনা ছিল, তবে স্কুল খুব শীঘ্রই শুরু হচ্ছে এবং এটি আমার পরিস্থিতি আরও খারাপ করতে পারে।")</f>
        <v>জীবনে এত ভয় কখনও অনুভব করিনি। আমি নানা ধরণের উদ্বেগের সাথে প্রচণ্ডভাবে বিষণ্ণ এবং উদ্বিগ্ন। গত কয়েক সপ্তাহ ধরে আমি এই অবিরাম ভয় অনুভব করছি যে কিছু একটা ঘটতে চলেছে এবং/অথবা আমি এখানে আমার শেষ কয়েক দিন পার করছি। এখন আমি আত্মহত্যা করছি না যদিও আমার আগেও কিছু চিন্তাভাবনা ছিল, তবে স্কুল খুব শীঘ্রই শুরু হচ্ছে এবং এটি আমার পরিস্থিতি আরও খারাপ করতে পারে।</v>
      </c>
    </row>
    <row r="2748" spans="1:3" ht="15" x14ac:dyDescent="0.25">
      <c r="A2748" s="3" t="s">
        <v>2741</v>
      </c>
      <c r="B2748" s="3" t="s">
        <v>1992</v>
      </c>
      <c r="C2748" s="4" t="str">
        <f ca="1">IFERROR(__xludf.DUMMYFUNCTION("GOOGLETRANSLATE(A2748, ""auto"", ""bn"")"),"আমি মনে করি/জানি আমি বদলে গেছি, এবং মাঝে মাঝে এটা আমাকে দুঃখ দেয় কারণ আমার আর কখনও মনে হয় না যে আমি আর আমার মতো নই। আমি সবসময় এমন লোকদের সাথে থাকি যারা প্রশ্ন করে যে আমি কি এখানে আছি, মানুষ কি আমাকে এখানে চায়। এটা কষ্ট দেয়। মূলত কারণ আমার মনে হয় আমি"&amp;" না থাকলে তারা আরও সুখী হবে।")</f>
        <v>আমি মনে করি/জানি আমি বদলে গেছি, এবং মাঝে মাঝে এটা আমাকে দুঃখ দেয় কারণ আমার আর কখনও মনে হয় না যে আমি আর আমার মতো নই। আমি সবসময় এমন লোকদের সাথে থাকি যারা প্রশ্ন করে যে আমি কি এখানে আছি, মানুষ কি আমাকে এখানে চায়। এটা কষ্ট দেয়। মূলত কারণ আমার মনে হয় আমি না থাকলে তারা আরও সুখী হবে।</v>
      </c>
    </row>
    <row r="2749" spans="1:3" ht="15" x14ac:dyDescent="0.25">
      <c r="A2749" s="3" t="s">
        <v>2742</v>
      </c>
      <c r="B2749" s="3" t="s">
        <v>1992</v>
      </c>
      <c r="C2749" s="4" t="str">
        <f ca="1">IFERROR(__xludf.DUMMYFUNCTION("GOOGLETRANSLATE(A2749, ""auto"", ""bn"")"),"বিদেশে দ্বিতীয় সেমিস্টারে পড়াশোনার জন্য তীব্র উদ্বেগ। গত শরৎকালে আমি বিদেশে পড়াশোনা করছিলাম, কিন্তু আমার প্রোগ্রামের ধরণ দেখে আমরা ত্রৈমাসিক করি, তাই সেপ্টেম্বরের শেষের দিকে-ডিসেম্বরের শুরুতে, জানুয়ারি-মার্চ, এপ্রিল-জুন মাস সবকিছু কেমন যায় তার উপর নি"&amp;"র্ভর করে, এবং আমি দ্বিতীয় পর্বের জন্য ফিরে আসতে যাচ্ছি। এখানেই আসল কথা: আমি আর ফিরে যেতে চাই না। আমি শনিবার উড়ে যাই (এখানে শুক্রবার ভোর ৩টা) এবং আমি আমার স্বাভাবিক বিশ্ববিদ্যালয়ে ফিরে যেতে, আমার স্কুলের বন্ধুদের সাথে আড্ডা দিতে, ট্রেডার জো'স খেতে এবং প"&amp;"রবর্তী ৬ মাস আমার পরিচিত এবং প্রিয় অধ্যাপকদের সাথে কাজ করতে চাই। গত ত্রৈমাসিকটি আমার খুব ভালো সময় কেটেছে, এমন নয় যে আমি পুরো সময়টা খারাপ ছিলাম বা বাড়ির জন্য দুঃখিত ছিলাম, তবে আমি সত্যিই ফিরে যেতে চাই না, যেন আমার মনে হয় আমি আমার সময়টা শেষ করে ফেলেছ"&amp;"ি। আমার বয়ফ্রেন্ড, বন্ধুবান্ধব এবং আমাকে ভালোবাসে এমন মানুষদের সাথে এক মাস বাড়িতে থাকার পর, আমি নিজেকে আর খুশি ভাবতে পারছি না যে আমার চারজন ঘনিষ্ঠ মানুষ আছে যাদের সাথে আমি ভাত খাই এবং প্রতিদিন ৬ ঘন্টা লাইব্রেরিতে থাকি। ক্যালেন্ডারের দিকে তাকালে এবং যখন "&amp;"দেখি যে আমি ৬ মাস ধরে বাইরে আছি, তখন আমার বমি করতে ইচ্ছে করে, আমি সারাদিন কাঁদছি, আর আমি আর ফিরে যেতে চাই না। আর কেউ কি কখনও এই অভিজ্ঞতার সম্মুখীন হয়েছে? কারো কাছে কি এই পরিস্থিতি মোকাবেলা করার কোন টিপস আছে? আমি চিন্তিত যে আমি সেখানে পৌঁছে খুব বেশি বাড়ি"&amp;"র জন্য দুঃখিত এবং ভয়ঙ্কর বোধ করব এবং অবিলম্বে বাড়ি ফিরে আসতে চাইব।")</f>
        <v>বিদেশে দ্বিতীয় সেমিস্টারে পড়াশোনার জন্য তীব্র উদ্বেগ। গত শরৎকালে আমি বিদেশে পড়াশোনা করছিলাম, কিন্তু আমার প্রোগ্রামের ধরণ দেখে আমরা ত্রৈমাসিক করি, তাই সেপ্টেম্বরের শেষের দিকে-ডিসেম্বরের শুরুতে, জানুয়ারি-মার্চ, এপ্রিল-জুন মাস সবকিছু কেমন যায় তার উপর নির্ভর করে, এবং আমি দ্বিতীয় পর্বের জন্য ফিরে আসতে যাচ্ছি। এখানেই আসল কথা: আমি আর ফিরে যেতে চাই না। আমি শনিবার উড়ে যাই (এখানে শুক্রবার ভোর ৩টা) এবং আমি আমার স্বাভাবিক বিশ্ববিদ্যালয়ে ফিরে যেতে, আমার স্কুলের বন্ধুদের সাথে আড্ডা দিতে, ট্রেডার জো'স খেতে এবং পরবর্তী ৬ মাস আমার পরিচিত এবং প্রিয় অধ্যাপকদের সাথে কাজ করতে চাই। গত ত্রৈমাসিকটি আমার খুব ভালো সময় কেটেছে, এমন নয় যে আমি পুরো সময়টা খারাপ ছিলাম বা বাড়ির জন্য দুঃখিত ছিলাম, তবে আমি সত্যিই ফিরে যেতে চাই না, যেন আমার মনে হয় আমি আমার সময়টা শেষ করে ফেলেছি। আমার বয়ফ্রেন্ড, বন্ধুবান্ধব এবং আমাকে ভালোবাসে এমন মানুষদের সাথে এক মাস বাড়িতে থাকার পর, আমি নিজেকে আর খুশি ভাবতে পারছি না যে আমার চারজন ঘনিষ্ঠ মানুষ আছে যাদের সাথে আমি ভাত খাই এবং প্রতিদিন ৬ ঘন্টা লাইব্রেরিতে থাকি। ক্যালেন্ডারের দিকে তাকালে এবং যখন দেখি যে আমি ৬ মাস ধরে বাইরে আছি, তখন আমার বমি করতে ইচ্ছে করে, আমি সারাদিন কাঁদছি, আর আমি আর ফিরে যেতে চাই না। আর কেউ কি কখনও এই অভিজ্ঞতার সম্মুখীন হয়েছে? কারো কাছে কি এই পরিস্থিতি মোকাবেলা করার কোন টিপস আছে? আমি চিন্তিত যে আমি সেখানে পৌঁছে খুব বেশি বাড়ির জন্য দুঃখিত এবং ভয়ঙ্কর বোধ করব এবং অবিলম্বে বাড়ি ফিরে আসতে চাইব।</v>
      </c>
    </row>
    <row r="2750" spans="1:3" ht="15" x14ac:dyDescent="0.25">
      <c r="A2750" s="3" t="s">
        <v>2743</v>
      </c>
      <c r="B2750" s="3" t="s">
        <v>1992</v>
      </c>
      <c r="C2750" s="4" t="str">
        <f ca="1">IFERROR(__xludf.DUMMYFUNCTION("GOOGLETRANSLATE(A2750, ""auto"", ""bn"")"),"সেরোকেল শুরু করতে গিয়ে আমি নার্ভাস, তোমার কি এমন অভিজ্ঞতা হয়েছে যা তুমি আমাকে বর্ণনা করতে পারো? আমি কী আশা করতে পারি? হাই, আমাকে মারকুইস প্রেসক্রিপশন দেওয়া হয়েছে, আর আমি এটা শুরু করতে খুব নার্ভাস, তুমি কি এটা খাওয়া শুরু করেছ? ওষুধটি নিয়ে তোমার অভিজ্ঞতা কে"&amp;"মন?")</f>
        <v>সেরোকেল শুরু করতে গিয়ে আমি নার্ভাস, তোমার কি এমন অভিজ্ঞতা হয়েছে যা তুমি আমাকে বর্ণনা করতে পারো? আমি কী আশা করতে পারি? হাই, আমাকে মারকুইস প্রেসক্রিপশন দেওয়া হয়েছে, আর আমি এটা শুরু করতে খুব নার্ভাস, তুমি কি এটা খাওয়া শুরু করেছ? ওষুধটি নিয়ে তোমার অভিজ্ঞতা কেমন?</v>
      </c>
    </row>
    <row r="2751" spans="1:3" ht="15" x14ac:dyDescent="0.25">
      <c r="A2751" s="3" t="s">
        <v>2744</v>
      </c>
      <c r="B2751" s="3" t="s">
        <v>1992</v>
      </c>
      <c r="C2751" s="4" t="str">
        <f ca="1">IFERROR(__xludf.DUMMYFUNCTION("GOOGLETRANSLATE(A2751, ""auto"", ""bn"")"),"ঘুমাতে পারছি না। তাই গত কয়েকদিন ধরে আমার উদ্বেগ দ্রুত বৃদ্ধি পেয়েছে, স্বাভাবিকের চেয়ে অনেক বেশি। মনে হচ্ছে এখন আমার অন্তত ৩ বার প্যানিক অ্যাটাক হয়েছে, এখন ভোর ৩টা, এবং আমি মোটেও শান্ত হতে পারছি না যদিও আমার চিন্তার কোনও কারণ নেই (আমার ডেবিট কার্ড হারা"&amp;"নো ছাড়া, তবে আমি এটি বাতিল করছি TRW)। আর কারো কি এই অভিজ্ঞতা হয়েছে? কোন পরামর্শ। আমি গাঁজা ছাড়া কোনও ওষুধ খাচ্ছি না।")</f>
        <v>ঘুমাতে পারছি না। তাই গত কয়েকদিন ধরে আমার উদ্বেগ দ্রুত বৃদ্ধি পেয়েছে, স্বাভাবিকের চেয়ে অনেক বেশি। মনে হচ্ছে এখন আমার অন্তত ৩ বার প্যানিক অ্যাটাক হয়েছে, এখন ভোর ৩টা, এবং আমি মোটেও শান্ত হতে পারছি না যদিও আমার চিন্তার কোনও কারণ নেই (আমার ডেবিট কার্ড হারানো ছাড়া, তবে আমি এটি বাতিল করছি TRW)। আর কারো কি এই অভিজ্ঞতা হয়েছে? কোন পরামর্শ। আমি গাঁজা ছাড়া কোনও ওষুধ খাচ্ছি না।</v>
      </c>
    </row>
    <row r="2752" spans="1:3" ht="15" x14ac:dyDescent="0.25">
      <c r="A2752" s="3" t="s">
        <v>2745</v>
      </c>
      <c r="B2752" s="3" t="s">
        <v>1992</v>
      </c>
      <c r="C2752" s="4" t="str">
        <f ca="1">IFERROR(__xludf.DUMMYFUNCTION("GOOGLETRANSLATE(A2752, ""auto"", ""bn"")"),"আমি দুই সপ্তাহ আগের চাকরিটা ফিরে পেতে চাই। তাই আমি নতুন চাকরি শুরু করেছি যার জন্য আমি খুবই উত্তেজিত ছিলাম। চাকরিটা একটা বড় কোম্পানির সিস্টেম ইঞ্জিনিয়ারিং পদ, আর আইটিতে আমার ব্যাকগ্রাউন্ড বাবা হওয়ার সুযোগ পেয়ে আমি খুবই উত্তেজিত। প্রথম সপ্তাহটা দারুন ছিল ("&amp;"১৭ ডিসেম্বর থেকে শুরু)। ক্রিসমাসে বাড়ি গিয়েছিলাম, সবকিছুই দারুন ছিল, তার পরের সপ্তাহে ফিরে এসে, ২৭ ডিসেম্বর, বৃহস্পতিবার আমি আমার কম্পিউটারের সামনে বসে ছিলাম এবং একটা বড় প্যানিক অ্যাটাক হয়েছিল। আমি নিজেকে সামলে নেওয়ার জন্য সবকিছু করার চেষ্টা করেছিলাম কিন্"&amp;"তু যেহেতু এটিই আমার প্রথমবারের মতো হয়েছে, কোনওটিই কাজ করছিল না, আমি কোনওভাবে বাড়ি ফিরে আসি এবং আমার বান্ধবী সেখানে একটি ভারী কম্বল নিয়ে আমাকে সাহায্য করার জন্য ছিল, যা ভালো ছিল, কিন্তু তারপরও প্রায় ৫ ঘন্টা প্যানিক অ্যাটাক হয়েছিল। সবচেয়ে খারাপ ব্যাপার হলো,"&amp;" আমার আগে কখনও অ্যাটাক হয়নি, তাই আমি ভয়ে ছিলাম, কী হচ্ছে তা না জেনে। আমি আশা করছিলাম যে দিনের শেষে আমি সুস্থ হয়ে উঠব, কিন্তু ঘুমাতে পারছিলাম না। আমার মনে হচ্ছিল যেন আমি হ্যালুসিনেশন করছিলাম অথবা আমার স্বপ্নের সাথে এমন কিছু ছিল যেখানে অর্ধেক বাস্তব ছিল আর"&amp;" বাকি অর্ধেক বাস্তব ছিল না। এটা ভয়াবহ ছিল। এরপর উদ্বেগ শুরু হয়, এবং আমি সপ্তাহান্ত, নববর্ষ এবং এই সপ্তাহের পুরোটা সময় মস্তিষ্কের কুয়াশার মধ্যে কাটিয়েছি। ক্লিনিকে গিয়েছিলাম, তারা কিছুই করতে পারেনি, ওষুধের সামঞ্জস্যের জন্য আমার ডাক্তারকে ফোন করেছিলাম "&amp;"(আমার স্ট্রুটারের ডোজ ৮০ থেকে ৪০ মিলিগ্রামে কমিয়ে আনা হবে)। মঙ্গলবার ১২ বছর বয়সে তাদের সাথে দেখা করার পর প্রথমবারের মতো একজন থেরাপিস্টের সাথে অ্যাপয়েন্টমেন্টও করেছিলাম। সবকিছু ঠিকঠাক দেখাচ্ছিল, আমি আশা করছিলাম যে আমি শুক্রবার (আজ) কাজে ফিরব কিন্তু এখন "&amp;"আমি রাত ২:৩০ টায় এই পোস্টটি লিখছি কারণ আমি প্রায় সারা রাত ধরে উদ্বেগের মধ্যে ছিলাম। গতকাল (বৃহস্পতিবার) বিকেল ৩:৩০ টায় আমার বাসার কম্পিউটার থেকে কিছু কাজ করার সময় আমার একটি প্রচণ্ড প্যানিক অ্যাটাক হয়েছিল কিন্তু আমি খুব দ্রুত এটি নিয়ন্ত্রণ করতে সক্ষম হ"&amp;"য়েছিলাম, তবে এটি এখনও আগুনে আরও জ্বালানি যোগ করেছে। আমি বিরক্ত, ক্লান্ত, আর এটা শুধু উদ্বেগকেই বাড়িয়ে দিচ্ছে, আর এখন আমি ভীত যে আমার চাকরি আমাকে বরখাস্ত করবে কারণ আমি এখনও ৩ মাস ধরে প্রোবেশনে আছি। তাছাড়া, আমার মনে হয় মূল কারণ হল আমি এখন একা। আমার দুজ"&amp;"ন রুমমেট চলে গেছে, আমাকে আমার বাড়িতে এবং কাজে রেখে আমি কেবল ১-২ জনকে ভালোভাবে চিনি। আমি একজন সামাজিক প্রজাপতি থেকে একজন বন্ধ ঘরে পরিণত হয়েছি, আমি অজান্তেই। আমি শুধু কাজ করতে চাই, আমি ইঞ্জিনিয়ার হওয়ার জন্য এবং আমার পদ পেতে আমার গাধায় কাজ করেছি। তাছাড়া"&amp;", আমি আমার পুরো জীবন প্যানিক অ্যাটাক ছাড়াই কাটিয়েছি কিন্তু এখন আমার প্রথম প্যানিক অ্যাটাক হওয়ার পর আমার জীবন এত দ্রুত নষ্ট হয়ে গেছে যে মাত্র একটি প্যানিক অ্যাটাক হয়েছে। তাছাড়া, আমি ২ সপ্তাহ আগে খুব খুশি ছিলাম এবং এখন আমার একমাত্র অনুভূতি হল পঙ্গু উদ"&amp;"্বেগ। তাছাড়া, আমি কেবল দুই সপ্তাহ আগে আমার যে মানসিক অবস্থা ছিল তা পুনরুদ্ধার করতে চাই। শুধু সত্যিই প্রকাশ করার দরকার ছিল। এখানকার সম্প্রদায়টি দেখে আমি বুঝতে পারি যে আমি একা নই। আমি আসলে জানি না আর কি করবো, এখানে শুয়ে থাকলে আমার মাথা আটকে যাবে এবং আবার"&amp;"ও আতঙ্কিত হবো। আমি কতটা উত্তেজনায় ভুগছি তা দেখে আমার বুক ব্যাথা করছে। আমি খুব ক্লান্ত। আমি সেই পুরনো আমি ফিরে পেতে চাই।")</f>
        <v>আমি দুই সপ্তাহ আগের চাকরিটা ফিরে পেতে চাই। তাই আমি নতুন চাকরি শুরু করেছি যার জন্য আমি খুবই উত্তেজিত ছিলাম। চাকরিটা একটা বড় কোম্পানির সিস্টেম ইঞ্জিনিয়ারিং পদ, আর আইটিতে আমার ব্যাকগ্রাউন্ড বাবা হওয়ার সুযোগ পেয়ে আমি খুবই উত্তেজিত। প্রথম সপ্তাহটা দারুন ছিল (১৭ ডিসেম্বর থেকে শুরু)। ক্রিসমাসে বাড়ি গিয়েছিলাম, সবকিছুই দারুন ছিল, তার পরের সপ্তাহে ফিরে এসে, ২৭ ডিসেম্বর, বৃহস্পতিবার আমি আমার কম্পিউটারের সামনে বসে ছিলাম এবং একটা বড় প্যানিক অ্যাটাক হয়েছিল। আমি নিজেকে সামলে নেওয়ার জন্য সবকিছু করার চেষ্টা করেছিলাম কিন্তু যেহেতু এটিই আমার প্রথমবারের মতো হয়েছে, কোনওটিই কাজ করছিল না, আমি কোনওভাবে বাড়ি ফিরে আসি এবং আমার বান্ধবী সেখানে একটি ভারী কম্বল নিয়ে আমাকে সাহায্য করার জন্য ছিল, যা ভালো ছিল, কিন্তু তারপরও প্রায় ৫ ঘন্টা প্যানিক অ্যাটাক হয়েছিল। সবচেয়ে খারাপ ব্যাপার হলো, আমার আগে কখনও অ্যাটাক হয়নি, তাই আমি ভয়ে ছিলাম, কী হচ্ছে তা না জেনে। আমি আশা করছিলাম যে দিনের শেষে আমি সুস্থ হয়ে উঠব, কিন্তু ঘুমাতে পারছিলাম না। আমার মনে হচ্ছিল যেন আমি হ্যালুসিনেশন করছিলাম অথবা আমার স্বপ্নের সাথে এমন কিছু ছিল যেখানে অর্ধেক বাস্তব ছিল আর বাকি অর্ধেক বাস্তব ছিল না। এটা ভয়াবহ ছিল। এরপর উদ্বেগ শুরু হয়, এবং আমি সপ্তাহান্ত, নববর্ষ এবং এই সপ্তাহের পুরোটা সময় মস্তিষ্কের কুয়াশার মধ্যে কাটিয়েছি। ক্লিনিকে গিয়েছিলাম, তারা কিছুই করতে পারেনি, ওষুধের সামঞ্জস্যের জন্য আমার ডাক্তারকে ফোন করেছিলাম (আমার স্ট্রুটারের ডোজ ৮০ থেকে ৪০ মিলিগ্রামে কমিয়ে আনা হবে)। মঙ্গলবার ১২ বছর বয়সে তাদের সাথে দেখা করার পর প্রথমবারের মতো একজন থেরাপিস্টের সাথে অ্যাপয়েন্টমেন্টও করেছিলাম। সবকিছু ঠিকঠাক দেখাচ্ছিল, আমি আশা করছিলাম যে আমি শুক্রবার (আজ) কাজে ফিরব কিন্তু এখন আমি রাত ২:৩০ টায় এই পোস্টটি লিখছি কারণ আমি প্রায় সারা রাত ধরে উদ্বেগের মধ্যে ছিলাম। গতকাল (বৃহস্পতিবার) বিকেল ৩:৩০ টায় আমার বাসার কম্পিউটার থেকে কিছু কাজ করার সময় আমার একটি প্রচণ্ড প্যানিক অ্যাটাক হয়েছিল কিন্তু আমি খুব দ্রুত এটি নিয়ন্ত্রণ করতে সক্ষম হয়েছিলাম, তবে এটি এখনও আগুনে আরও জ্বালানি যোগ করেছে। আমি বিরক্ত, ক্লান্ত, আর এটা শুধু উদ্বেগকেই বাড়িয়ে দিচ্ছে, আর এখন আমি ভীত যে আমার চাকরি আমাকে বরখাস্ত করবে কারণ আমি এখনও ৩ মাস ধরে প্রোবেশনে আছি। তাছাড়া, আমার মনে হয় মূল কারণ হল আমি এখন একা। আমার দুজন রুমমেট চলে গেছে, আমাকে আমার বাড়িতে এবং কাজে রেখে আমি কেবল ১-২ জনকে ভালোভাবে চিনি। আমি একজন সামাজিক প্রজাপতি থেকে একজন বন্ধ ঘরে পরিণত হয়েছি, আমি অজান্তেই। আমি শুধু কাজ করতে চাই, আমি ইঞ্জিনিয়ার হওয়ার জন্য এবং আমার পদ পেতে আমার গাধায় কাজ করেছি। তাছাড়া, আমি আমার পুরো জীবন প্যানিক অ্যাটাক ছাড়াই কাটিয়েছি কিন্তু এখন আমার প্রথম প্যানিক অ্যাটাক হওয়ার পর আমার জীবন এত দ্রুত নষ্ট হয়ে গেছে যে মাত্র একটি প্যানিক অ্যাটাক হয়েছে। তাছাড়া, আমি ২ সপ্তাহ আগে খুব খুশি ছিলাম এবং এখন আমার একমাত্র অনুভূতি হল পঙ্গু উদ্বেগ। তাছাড়া, আমি কেবল দুই সপ্তাহ আগে আমার যে মানসিক অবস্থা ছিল তা পুনরুদ্ধার করতে চাই। শুধু সত্যিই প্রকাশ করার দরকার ছিল। এখানকার সম্প্রদায়টি দেখে আমি বুঝতে পারি যে আমি একা নই। আমি আসলে জানি না আর কি করবো, এখানে শুয়ে থাকলে আমার মাথা আটকে যাবে এবং আবারও আতঙ্কিত হবো। আমি কতটা উত্তেজনায় ভুগছি তা দেখে আমার বুক ব্যাথা করছে। আমি খুব ক্লান্ত। আমি সেই পুরনো আমি ফিরে পেতে চাই।</v>
      </c>
    </row>
    <row r="2753" spans="1:3" ht="15" x14ac:dyDescent="0.25">
      <c r="A2753" s="3" t="s">
        <v>2746</v>
      </c>
      <c r="B2753" s="3" t="s">
        <v>1992</v>
      </c>
      <c r="C2753" s="4" t="str">
        <f ca="1">IFERROR(__xludf.DUMMYFUNCTION("GOOGLETRANSLATE(A2753, ""auto"", ""bn"")"),"কেউ কি কোন কারণ ছাড়াই উদ্বিগ্ন বোধ করে এবং ক্লাসে মনোযোগ দিতে পারে না? আমি হাই স্কুলে কলেজ স্তরের রসায়ন ক্লাসে পড়ি এবং পাঠ্যক্রম নিজেই সহজ, কিন্তু আমার এটি শেখার কোন ইচ্ছা নেই এবং রসায়নে আমার কোন আগ্রহ নেই। আমি এটি ঘৃণা করি এবং এটি অত্যন্ত বিরক্তিকর। "&amp;"আমি এতে সাইন আপ করার একমাত্র কারণ ছিল কারণ আমি ভেবেছিলাম স্নাতকের জন্য এটি আমার প্রয়োজন। যাই হোক, প্রতিদিনই সাইন আপ করার জন্য আমি অনুতপ্ত। আমি সর্বদা এবং অত্যন্ত উদ্বিগ্ন এবং নোট নেওয়ার বা মনোযোগ দেওয়ার কোনও প্রেরণা নেই। এছাড়াও, আমার চারপাশের সবাই মনো"&amp;"যোগ দিচ্ছে এবং তারা কী করছে তা জানে, এবং আমি অজ্ঞ কারণ আমি শিখতে চাই না কারণ আমি খুব উদাসীন। এছাড়াও, প্রায় প্রতিদিনই আমি অসুস্থ বোধ করি এবং হয় বাথরুম ব্যবহার করতে হয় অথবা বমি বমি ভাব হয় এবং আমার মন উদ্বেগের চক্রে থাকে এবং আমি অবশ্যই কোনও নোট নেব না ব"&amp;"া মনোযোগ দেব না। আমি এটি প্রতিদিন অনুভব করি এবং ভয়ের এক অপ্রতিরোধ্য অনুভূতি। সেমিস্টারের শেষে আমি ক্লাসটি ছেড়ে দেওয়ার কথা ভাবছি কারণ এটি খুব চাপযুক্ত।")</f>
        <v>কেউ কি কোন কারণ ছাড়াই উদ্বিগ্ন বোধ করে এবং ক্লাসে মনোযোগ দিতে পারে না? আমি হাই স্কুলে কলেজ স্তরের রসায়ন ক্লাসে পড়ি এবং পাঠ্যক্রম নিজেই সহজ, কিন্তু আমার এটি শেখার কোন ইচ্ছা নেই এবং রসায়নে আমার কোন আগ্রহ নেই। আমি এটি ঘৃণা করি এবং এটি অত্যন্ত বিরক্তিকর। আমি এতে সাইন আপ করার একমাত্র কারণ ছিল কারণ আমি ভেবেছিলাম স্নাতকের জন্য এটি আমার প্রয়োজন। যাই হোক, প্রতিদিনই সাইন আপ করার জন্য আমি অনুতপ্ত। আমি সর্বদা এবং অত্যন্ত উদ্বিগ্ন এবং নোট নেওয়ার বা মনোযোগ দেওয়ার কোনও প্রেরণা নেই। এছাড়াও, আমার চারপাশের সবাই মনোযোগ দিচ্ছে এবং তারা কী করছে তা জানে, এবং আমি অজ্ঞ কারণ আমি শিখতে চাই না কারণ আমি খুব উদাসীন। এছাড়াও, প্রায় প্রতিদিনই আমি অসুস্থ বোধ করি এবং হয় বাথরুম ব্যবহার করতে হয় অথবা বমি বমি ভাব হয় এবং আমার মন উদ্বেগের চক্রে থাকে এবং আমি অবশ্যই কোনও নোট নেব না বা মনোযোগ দেব না। আমি এটি প্রতিদিন অনুভব করি এবং ভয়ের এক অপ্রতিরোধ্য অনুভূতি। সেমিস্টারের শেষে আমি ক্লাসটি ছেড়ে দেওয়ার কথা ভাবছি কারণ এটি খুব চাপযুক্ত।</v>
      </c>
    </row>
    <row r="2754" spans="1:3" ht="15" x14ac:dyDescent="0.25">
      <c r="A2754" s="3" t="s">
        <v>2747</v>
      </c>
      <c r="B2754" s="3" t="s">
        <v>1992</v>
      </c>
      <c r="C2754" s="4" t="str">
        <f ca="1">IFERROR(__xludf.DUMMYFUNCTION("GOOGLETRANSLATE(A2754, ""auto"", ""bn"")"),"লার্ন শেষ হয়ে গেছে, রিফিল করতে পারছি না। আমি কী করব? আমি এখনই ব্যবহার করছি, আর আমার কাছে প্রায় ১১ দিনের ১০ মিলিগ্রাম লার্ন পিল বাকি আছে। আমি প্রায় ৩ সপ্তাহ ধরে রিফিল করতে পারব না। আমি কী করব? আমার কি অর্ধেক ডোজ নেওয়া শুরু করা উচিত নাকি শেষ না হওয়া পর"&amp;"্যন্ত স্বাভাবিকভাবে খাওয়া উচিত?")</f>
        <v>লার্ন শেষ হয়ে গেছে, রিফিল করতে পারছি না। আমি কী করব? আমি এখনই ব্যবহার করছি, আর আমার কাছে প্রায় ১১ দিনের ১০ মিলিগ্রাম লার্ন পিল বাকি আছে। আমি প্রায় ৩ সপ্তাহ ধরে রিফিল করতে পারব না। আমি কী করব? আমার কি অর্ধেক ডোজ নেওয়া শুরু করা উচিত নাকি শেষ না হওয়া পর্যন্ত স্বাভাবিকভাবে খাওয়া উচিত?</v>
      </c>
    </row>
    <row r="2755" spans="1:3" ht="15" x14ac:dyDescent="0.25">
      <c r="A2755" s="3" t="s">
        <v>2748</v>
      </c>
      <c r="B2755" s="3" t="s">
        <v>1992</v>
      </c>
      <c r="C2755" s="4" t="str">
        <f ca="1">IFERROR(__xludf.DUMMYFUNCTION("GOOGLETRANSLATE(A2755, ""auto"", ""bn"")"),"অন্য কেউ কি এমন কিছু বাক্যাংশ বারবার বলে যা আপনি নার্ভাস বা ভয় পেলে অর্থহীন বলে মনে করেন? এটা বোকামি শোনাতে পারে, কিন্তু আমি সত্যিই জানতে চাই যে এটা অন্য কারো সাথেও ঘটে কিনা। আমার বয়স ২০ এবং অনেক সময় যদি আমার উদ্বেগ বেড়ে যায়, তাহলে আমি মুরগির মজার হওয়া ন"&amp;"িয়ে কিছু বলি। সামাজিকীকরণ আমার দৃঢ় প্রত্যয় নয়, এবং কখনও কখনও যদি আমার পরিবারের কেউ এমন কোনও প্রশ্ন জিজ্ঞাসা করে যা আমাকে নার্ভাস করে, আমি মাঝে মাঝে অর্ধেক প্রশ্নের উত্তর দিই, এবং তারপর এটি কেবল মুরগির মজার হয়ে যায়। অথবা যদি আমার মনে খুব অশ্লীল চিন্তা আসে"&amp;" যা আমি ভাবতে চাই না, তাহলে আমি মাঝে মাঝে বারবার এটি মনে করি।")</f>
        <v>অন্য কেউ কি এমন কিছু বাক্যাংশ বারবার বলে যা আপনি নার্ভাস বা ভয় পেলে অর্থহীন বলে মনে করেন? এটা বোকামি শোনাতে পারে, কিন্তু আমি সত্যিই জানতে চাই যে এটা অন্য কারো সাথেও ঘটে কিনা। আমার বয়স ২০ এবং অনেক সময় যদি আমার উদ্বেগ বেড়ে যায়, তাহলে আমি মুরগির মজার হওয়া নিয়ে কিছু বলি। সামাজিকীকরণ আমার দৃঢ় প্রত্যয় নয়, এবং কখনও কখনও যদি আমার পরিবারের কেউ এমন কোনও প্রশ্ন জিজ্ঞাসা করে যা আমাকে নার্ভাস করে, আমি মাঝে মাঝে অর্ধেক প্রশ্নের উত্তর দিই, এবং তারপর এটি কেবল মুরগির মজার হয়ে যায়। অথবা যদি আমার মনে খুব অশ্লীল চিন্তা আসে যা আমি ভাবতে চাই না, তাহলে আমি মাঝে মাঝে বারবার এটি মনে করি।</v>
      </c>
    </row>
    <row r="2756" spans="1:3" ht="15" x14ac:dyDescent="0.25">
      <c r="A2756" s="3" t="s">
        <v>2749</v>
      </c>
      <c r="B2756" s="3" t="s">
        <v>1992</v>
      </c>
      <c r="C2756" s="4" t="str">
        <f ca="1">IFERROR(__xludf.DUMMYFUNCTION("GOOGLETRANSLATE(A2756, ""auto"", ""bn"")"),"ঘুম থেকে ওঠার পর থেকে ঘুমানো পর্যন্ত আমি শ্বাস নিতে বা কাজ করতে পারছি না। ৩ সপ্তাহ ধরে এভাবেই। সারাদিন প্রতিদিন। আমি বেশিরভাগ সময় Xanax খেয়েছি, কিন্তু আর করতে চাই না। এটা চলে যাবে না। ৩ দিন ধরে আমি পরিষ্কার আছি এবং আমি কাজ করতে পারছি না। আমি সাধারণত প্র"&amp;"তিদিন গান বাজাই এবং কাজ এবং যে মেয়েটির সাথে আমি দেখা করি, তার বাইরে, আমি কেবল এটিই করি। কিন্তু আমি পারি না। সৃজনশীলতার অভাবের কারণে নয়, আমি কেবল কাজ করতে পারি না। আমি জানি না কী করব। আমি যখন ঠিক থাকি তখনই যখন আমি তার সাথে থাকি। কিন্তু সে দূরে ছিল। আমরা "&amp;"অনেক কথা বলছিলাম, এবং প্রায় প্রতিদিনই FaceTimed করা হয়েছিল, তখন নববর্ষে তার বন্ধু বলেছিল যে সে তার সাথে থাকা অন্য কারও চেয়ে আমার সাথে বেশি স্নেহশীল। এবং তারপর থেকে সে দূরে ছিল। আমি কখনও এই Subreddit ব্যবহার করিনি। আমি যদি কিছু ভুল করে থাকি বা যদি আমি ব"&amp;"িরক্তিকর হই তবে আমি আর কী করব তা জানি না। বিকল্প হিসেবে আমার প্রাক্তনকে ফেসটাইম করানো হচ্ছে। কারণ সে হতাশাগ্রস্ত এবং একা, এবং আমার মনে হচ্ছে আমি সারাদিন মারা যাব। কিন্তু আমরা ২ বছর ধরে একসাথে থাকি না, এটা তেমন কিছু নয়। আমি যে মেয়েটির সাথে আছি তার জন্য আ"&amp;"মি পাগল, সে খারাপ মুহূর্তে পিছু হটে এবং আমার মনে হচ্ছে আমি এখন একা থাকতে পারব না। আমি কারও উপর নির্ভর করতে চাই না। আমার সঙ্গীত খুব ভালো চলছিল, এবং আমি অবশেষে নড়াচড়া করছিলাম এবং উৎপাদনশীল হচ্ছি, তারপর কিছু একটা ঘটে গেল। আমি যা নিয়ে কথা বলতে চাই না তা কে"&amp;"বল জীবনের মতো বাজে কথা। এবং তারপর থেকে আমি কিছুই করতে পারছি না। আমার মনে হচ্ছে আমি একটা অলসতা, এবং এটি সবকিছুকে আরও খারাপ করে তোলে। প্রায় এক মাস ধরে কোনও কাজ না করেই, এবং কিছুই পরিবর্তন হয়নি। আমি জানি না বন্ধুরা। এর আগে আমি ""ঠিক আছে, তাই আমাকে অবশ্যই আ"&amp;"ত্মহত্যা করতে হবে"" এবং এখন আমি ঠিক থাকতে চাই তাই এটাই অগ্রগতি। কিন্তু শ্বাস নিতে, কাজ করতে না পারা, কাঁপুনি এবং বুকের টানটান ভাব এখনও দূর হয়নি। ওরা যাবে না, সারাদিন ওখানেই থাকে। জেগে থাকাটা যন্ত্রণা।")</f>
        <v>ঘুম থেকে ওঠার পর থেকে ঘুমানো পর্যন্ত আমি শ্বাস নিতে বা কাজ করতে পারছি না। ৩ সপ্তাহ ধরে এভাবেই। সারাদিন প্রতিদিন। আমি বেশিরভাগ সময় Xanax খেয়েছি, কিন্তু আর করতে চাই না। এটা চলে যাবে না। ৩ দিন ধরে আমি পরিষ্কার আছি এবং আমি কাজ করতে পারছি না। আমি সাধারণত প্রতিদিন গান বাজাই এবং কাজ এবং যে মেয়েটির সাথে আমি দেখা করি, তার বাইরে, আমি কেবল এটিই করি। কিন্তু আমি পারি না। সৃজনশীলতার অভাবের কারণে নয়, আমি কেবল কাজ করতে পারি না। আমি জানি না কী করব। আমি যখন ঠিক থাকি তখনই যখন আমি তার সাথে থাকি। কিন্তু সে দূরে ছিল। আমরা অনেক কথা বলছিলাম, এবং প্রায় প্রতিদিনই FaceTimed করা হয়েছিল, তখন নববর্ষে তার বন্ধু বলেছিল যে সে তার সাথে থাকা অন্য কারও চেয়ে আমার সাথে বেশি স্নেহশীল। এবং তারপর থেকে সে দূরে ছিল। আমি কখনও এই Subreddit ব্যবহার করিনি। আমি যদি কিছু ভুল করে থাকি বা যদি আমি বিরক্তিকর হই তবে আমি আর কী করব তা জানি না। বিকল্প হিসেবে আমার প্রাক্তনকে ফেসটাইম করানো হচ্ছে। কারণ সে হতাশাগ্রস্ত এবং একা, এবং আমার মনে হচ্ছে আমি সারাদিন মারা যাব। কিন্তু আমরা ২ বছর ধরে একসাথে থাকি না, এটা তেমন কিছু নয়। আমি যে মেয়েটির সাথে আছি তার জন্য আমি পাগল, সে খারাপ মুহূর্তে পিছু হটে এবং আমার মনে হচ্ছে আমি এখন একা থাকতে পারব না। আমি কারও উপর নির্ভর করতে চাই না। আমার সঙ্গীত খুব ভালো চলছিল, এবং আমি অবশেষে নড়াচড়া করছিলাম এবং উৎপাদনশীল হচ্ছি, তারপর কিছু একটা ঘটে গেল। আমি যা নিয়ে কথা বলতে চাই না তা কেবল জীবনের মতো বাজে কথা। এবং তারপর থেকে আমি কিছুই করতে পারছি না। আমার মনে হচ্ছে আমি একটা অলসতা, এবং এটি সবকিছুকে আরও খারাপ করে তোলে। প্রায় এক মাস ধরে কোনও কাজ না করেই, এবং কিছুই পরিবর্তন হয়নি। আমি জানি না বন্ধুরা। এর আগে আমি "ঠিক আছে, তাই আমাকে অবশ্যই আত্মহত্যা করতে হবে" এবং এখন আমি ঠিক থাকতে চাই তাই এটাই অগ্রগতি। কিন্তু শ্বাস নিতে, কাজ করতে না পারা, কাঁপুনি এবং বুকের টানটান ভাব এখনও দূর হয়নি। ওরা যাবে না, সারাদিন ওখানেই থাকে। জেগে থাকাটা যন্ত্রণা।</v>
      </c>
    </row>
    <row r="2757" spans="1:3" ht="15" x14ac:dyDescent="0.25">
      <c r="A2757" s="3" t="s">
        <v>2750</v>
      </c>
      <c r="B2757" s="3" t="s">
        <v>1992</v>
      </c>
      <c r="C2757" s="4" t="str">
        <f ca="1">IFERROR(__xludf.DUMMYFUNCTION("GOOGLETRANSLATE(A2757, ""auto"", ""bn"")"),"নতুন বছরে সবকিছুই মাথাচাড়া দিয়ে ওঠে এবং একটা বোকা বাকবিতণ্ডায় শেষ হয়। কয়েকদিন ধরেই আমার বুকে একটা পাথরের মতো অনুভূতি হচ্ছে। এটা নিয়ে ভাবতে পারছি না। তোমাদের কারো কি এই অভিজ্ঞতা আছে? কিছু একটা ঘটে, আর এটা তোমাকে কয়েকদিন ধরে যন্ত্রণাদায়কভাবে তাড়া ক"&amp;"রছে? এটা নিয়ে ভাবতে পারছি না? আমি এটাকে একপাশে রাখতে পারছি না, আমার মাথাই আমার নিজের সবচেয়ে বড় শত্রু। এটা জেনে ভালো লাগবে যে আমি একা এই সমস্যায় ভুগছি না। প্রতি কয়েক মাস অন্তর অন্তর এমন একটা ঘটনা ঘটে।")</f>
        <v>নতুন বছরে সবকিছুই মাথাচাড়া দিয়ে ওঠে এবং একটা বোকা বাকবিতণ্ডায় শেষ হয়। কয়েকদিন ধরেই আমার বুকে একটা পাথরের মতো অনুভূতি হচ্ছে। এটা নিয়ে ভাবতে পারছি না। তোমাদের কারো কি এই অভিজ্ঞতা আছে? কিছু একটা ঘটে, আর এটা তোমাকে কয়েকদিন ধরে যন্ত্রণাদায়কভাবে তাড়া করছে? এটা নিয়ে ভাবতে পারছি না? আমি এটাকে একপাশে রাখতে পারছি না, আমার মাথাই আমার নিজের সবচেয়ে বড় শত্রু। এটা জেনে ভালো লাগবে যে আমি একা এই সমস্যায় ভুগছি না। প্রতি কয়েক মাস অন্তর অন্তর এমন একটা ঘটনা ঘটে।</v>
      </c>
    </row>
    <row r="2758" spans="1:3" ht="15" x14ac:dyDescent="0.25">
      <c r="A2758" s="3" t="s">
        <v>2751</v>
      </c>
      <c r="B2758" s="3" t="s">
        <v>1992</v>
      </c>
      <c r="C2758" s="4" t="str">
        <f ca="1">IFERROR(__xludf.DUMMYFUNCTION("GOOGLETRANSLATE(A2758, ""auto"", ""bn"")"),"গাড়ি চালানোর সময় নিয়ন্ত্রণ হারিয়ে ফেলবো এবং অন্যান্য সমস্যায় আমার থ্রোওয়ে ব্যবহার করছি। প্রায় এক মাস আগে হাইওয়েতে গাড়ি চালানোর সময় আমি অতিরিক্ত চাপে ছিলাম এবং কোনও অজানা কারণে আমি প্রায় অজ্ঞাত হয়ে পড়েছিলাম। আমি ঠিক ছিলাম তখন হঠাৎ করেই আমার নি"&amp;"য়ন্ত্রণে নেই বলে মনে হতে থাকে। আমি রাস্তা থেকে নেমে পড়ি, কিছু শ্বাস-প্রশ্বাসের ব্যায়াম করি এবং আবাসিক রাস্তা দিয়ে বাড়ি ফিরে আসি। তারপর থেকে গাড়ি চালানো ঠিক আছে যতক্ষণ না আমি সেই ঘটনার কথা ভাবি এবং আমার আবার নিয়ন্ত্রণের বাইরে চলে যাওয়ার অনুভূতি হয়"&amp;"। তখনই আমার মনে হয়েছিল যে আমি হয়তো জিনিসগুলি নিয়ে আতঙ্কিত। তারপর অন্য দিন কর্মক্ষেত্রে তারা আমার উপর এত বেশি কাজ চাপিয়ে দেয় যা আমি কখনও সামলাতে পারি না। আমাকে কাজ করতে হবে। কিন্তু আমার শরীর কেবল জেগে থাকার জন্য লড়াই করছিল এবং আমার বুকে এত ব্যথা করছি"&amp;"ল। আমি কখনও আমার বুকে ব্যথা অনুভব করিনি, তবে তখন থেকেই করেছি। তারপর থেকে, আমি এত চাপে ছিলাম, এবং আমার অনেকবার হৃদস্পন্দন ভয়াবহ হয়ে উঠেছে (অ্যাপল ঘড়ি কতটা সঠিক?)। আমি সবকিছু থেকে ক্লান্ত। কোন পরামর্শ?")</f>
        <v>গাড়ি চালানোর সময় নিয়ন্ত্রণ হারিয়ে ফেলবো এবং অন্যান্য সমস্যায় আমার থ্রোওয়ে ব্যবহার করছি। প্রায় এক মাস আগে হাইওয়েতে গাড়ি চালানোর সময় আমি অতিরিক্ত চাপে ছিলাম এবং কোনও অজানা কারণে আমি প্রায় অজ্ঞাত হয়ে পড়েছিলাম। আমি ঠিক ছিলাম তখন হঠাৎ করেই আমার নিয়ন্ত্রণে নেই বলে মনে হতে থাকে। আমি রাস্তা থেকে নেমে পড়ি, কিছু শ্বাস-প্রশ্বাসের ব্যায়াম করি এবং আবাসিক রাস্তা দিয়ে বাড়ি ফিরে আসি। তারপর থেকে গাড়ি চালানো ঠিক আছে যতক্ষণ না আমি সেই ঘটনার কথা ভাবি এবং আমার আবার নিয়ন্ত্রণের বাইরে চলে যাওয়ার অনুভূতি হয়। তখনই আমার মনে হয়েছিল যে আমি হয়তো জিনিসগুলি নিয়ে আতঙ্কিত। তারপর অন্য দিন কর্মক্ষেত্রে তারা আমার উপর এত বেশি কাজ চাপিয়ে দেয় যা আমি কখনও সামলাতে পারি না। আমাকে কাজ করতে হবে। কিন্তু আমার শরীর কেবল জেগে থাকার জন্য লড়াই করছিল এবং আমার বুকে এত ব্যথা করছিল। আমি কখনও আমার বুকে ব্যথা অনুভব করিনি, তবে তখন থেকেই করেছি। তারপর থেকে, আমি এত চাপে ছিলাম, এবং আমার অনেকবার হৃদস্পন্দন ভয়াবহ হয়ে উঠেছে (অ্যাপল ঘড়ি কতটা সঠিক?)। আমি সবকিছু থেকে ক্লান্ত। কোন পরামর্শ?</v>
      </c>
    </row>
    <row r="2759" spans="1:3" ht="15" x14ac:dyDescent="0.25">
      <c r="A2759" s="3" t="s">
        <v>2752</v>
      </c>
      <c r="B2759" s="3" t="s">
        <v>1992</v>
      </c>
      <c r="C2759" s="4" t="str">
        <f ca="1">IFERROR(__xludf.DUMMYFUNCTION("GOOGLETRANSLATE(A2759, ""auto"", ""bn"")"),"আমার চাকরির কারণে আমি নিয়মিত শারীরিকভাবে অসুস্থ বোধ করি। আমি পক্ষাঘাতগ্রস্ত বোধ করি। আমি কী করব? চাকরি শুরু করার পর থেকে (আমি প্যারালিগ্যাল হিসেবে কাজ করি) কাজের সাথে সম্পর্কিত চাপ এবং উদ্বেগের শারীরিক লক্ষণগুলি আমি অনুভব করেছি। সত্যি বলতে, আমি এতে খুব ক"&amp;"্লান্ত। তাছাড়া, আমি সম্প্রতি ছুটি থেকে ফিরে এসেছি, এবং সাথে সাথেই আমার অসুস্থতার অনুভূতি এবং মানসিক লক্ষণগুলি ফিরে এসেছে। আমার একাংশ মনে করে আমার পদত্যাগ করা উচিত, কিন্তু আমার একাংশ মনে করে যে আমার প্রতিটি চাকরিই এইভাবে অনুভূত হবে, তা সে আমার উদ্বেগের কা"&amp;"রণে হোক বা আমি অলস/বোকা হওয়ার কারণে হোক। আমি সম্পূর্ণ পক্ষাঘাতগ্রস্ত বোধ করি। আমি ভালোভাবে মনোযোগ দিতে পারি না, এবং আমার মনে হয় যে আমার মস্তিষ্ক সর্বদা সতর্ক থাকে বলে আমি সমালোচনামূলক চিন্তাভাবনার সাথে লড়াই করি। এবং আমি এতটাই ক্লান্ত এবং ভীত যে আমি একজ"&amp;"ন ক্লায়েন্টের জীবন নষ্ট করতে যাচ্ছি কারণ আমার উদ্বেগ এতটাই অপ্রতিরোধ্য যে আমি আমার সর্বোচ্চ ক্ষমতা অনুযায়ী কাজ করতে পারছি না। কখন আপনি জানেন কখন চাকরি ছেড়ে দিতে হবে, বিশেষ করে যখন এটি উদ্বেগ এবং চাপের কারণে হয়?")</f>
        <v>আমার চাকরির কারণে আমি নিয়মিত শারীরিকভাবে অসুস্থ বোধ করি। আমি পক্ষাঘাতগ্রস্ত বোধ করি। আমি কী করব? চাকরি শুরু করার পর থেকে (আমি প্যারালিগ্যাল হিসেবে কাজ করি) কাজের সাথে সম্পর্কিত চাপ এবং উদ্বেগের শারীরিক লক্ষণগুলি আমি অনুভব করেছি। সত্যি বলতে, আমি এতে খুব ক্লান্ত। তাছাড়া, আমি সম্প্রতি ছুটি থেকে ফিরে এসেছি, এবং সাথে সাথেই আমার অসুস্থতার অনুভূতি এবং মানসিক লক্ষণগুলি ফিরে এসেছে। আমার একাংশ মনে করে আমার পদত্যাগ করা উচিত, কিন্তু আমার একাংশ মনে করে যে আমার প্রতিটি চাকরিই এইভাবে অনুভূত হবে, তা সে আমার উদ্বেগের কারণে হোক বা আমি অলস/বোকা হওয়ার কারণে হোক। আমি সম্পূর্ণ পক্ষাঘাতগ্রস্ত বোধ করি। আমি ভালোভাবে মনোযোগ দিতে পারি না, এবং আমার মনে হয় যে আমার মস্তিষ্ক সর্বদা সতর্ক থাকে বলে আমি সমালোচনামূলক চিন্তাভাবনার সাথে লড়াই করি। এবং আমি এতটাই ক্লান্ত এবং ভীত যে আমি একজন ক্লায়েন্টের জীবন নষ্ট করতে যাচ্ছি কারণ আমার উদ্বেগ এতটাই অপ্রতিরোধ্য যে আমি আমার সর্বোচ্চ ক্ষমতা অনুযায়ী কাজ করতে পারছি না। কখন আপনি জানেন কখন চাকরি ছেড়ে দিতে হবে, বিশেষ করে যখন এটি উদ্বেগ এবং চাপের কারণে হয়?</v>
      </c>
    </row>
    <row r="2760" spans="1:3" ht="15" x14ac:dyDescent="0.25">
      <c r="A2760" s="3" t="s">
        <v>2753</v>
      </c>
      <c r="B2760" s="3" t="s">
        <v>1992</v>
      </c>
      <c r="C2760" s="4" t="str">
        <f ca="1">IFERROR(__xludf.DUMMYFUNCTION("GOOGLETRANSLATE(A2760, ""auto"", ""bn"")"),"আবার সবকিছু নষ্ট করে ফেলো। তুমি কীভাবে নিজেকে এই মানসিকতা থেকে বের করে আনবে যে তুমি সবকিছু নষ্ট করে ফেলো? আমি খুব হতাশ এবং আমার উদ্বেগ আমাকে ভেঙে ফেলছে। আমি যা কিছু করি, আমি নষ্ট করে ফেলি।")</f>
        <v>আবার সবকিছু নষ্ট করে ফেলো। তুমি কীভাবে নিজেকে এই মানসিকতা থেকে বের করে আনবে যে তুমি সবকিছু নষ্ট করে ফেলো? আমি খুব হতাশ এবং আমার উদ্বেগ আমাকে ভেঙে ফেলছে। আমি যা কিছু করি, আমি নষ্ট করে ফেলি।</v>
      </c>
    </row>
    <row r="2761" spans="1:3" ht="15" x14ac:dyDescent="0.25">
      <c r="A2761" s="3" t="s">
        <v>2754</v>
      </c>
      <c r="B2761" s="3" t="s">
        <v>1992</v>
      </c>
      <c r="C2761" s="4" t="str">
        <f ca="1">IFERROR(__xludf.DUMMYFUNCTION("GOOGLETRANSLATE(A2761, ""auto"", ""bn"")"),"আমার ইন্টারভিউটা দারুন হয়েছে, তাহলে এখন কেন আমি এত বেশি নার্ভাস? আমি এক বছরেরও বেশি সময় ধরে চাকরির জন্য আবেদন করছি এবং ইন্টারভিউ দিচ্ছি, কিন্তু প্রতিবারই যখনই কোনও প্রস্তাব পাই, তখন আমার চোখ ঠান্ডা হয়ে যায় এবং আমি তা প্রত্যাখ্যান করি। যদিও বেশিরভাগ দি"&amp;"নই আমি আমার বর্তমান চাকরিতে যেতে ভয় পাই, তবুও আমি নিজেকে বোঝাতে পেরেছি যে পরিবর্তন এবং নতুন চ্যালেঞ্জের সম্মুখীন হওয়ার চেয়ে শয়তানের সাথে কাজ করা ভালো। আমি আমার বর্তমান দলকেও পছন্দ করি। আমাদের একটি বিশাল প্রকল্প/বিদেশ ভ্রমণের মুখোমুখি হতে হচ্ছে, এবং আম"&amp;"াকে অনেক দায়িত্ব দেওয়া হয়েছে। অবশ্যই যদি আমি এখন চলে যাই তবে আমি সবচেয়ে খারাপ ব্যক্তি হব এবং সবাই আমাকে ঘৃণা করবে। অপরাধবোধ আমাকে গ্রাস করবে। মূলত এটাই এখন আমার মানসিকতা। কিন্তু আজ আমি যে জায়গায় সাক্ষাৎকার নিয়েছি তা দুর্দান্ত। এটি প্রতিষ্ঠিত, একটি শিল"&amp;"্প মান, প্রচুর প্রবৃদ্ধি, এবং আমি যাদের সাথে দেখা করেছি তাদের অসাধারণ মনে হচ্ছে। তারা ইতিমধ্যেই আমার রেফারেন্স চেয়েছে। খুব বেশি অহংকারী না হওয়া, তবে আমি সহজেই দেখতে পাচ্ছি যে একটি প্রস্তাব বাড়ানো হচ্ছে। আমার জীবনের সবাই আমাকে আমার বর্তমান চাকরি ছেড়ে দি"&amp;"তে বলছে। আমি খুব চাপে আছি এবং আমি ঘুমাতে পারছি না। আমার মনে হয় যদি আমি কোনও প্রস্তাব পাই, তাহলে তা গ্রহণ না করাটা বোকামি হবে। তাছাড়া, আমার মনে হয় যদি আমি চলে যাই তাহলে আমি আমার বর্তমান দলকে নষ্ট করে ফেলব। কিন্তু এই জায়গায় ৫ বছর ধরে কাজ করছি এবং কখনও কো"&amp;"নও পরিবর্তন হয়নি, আমি জানি না কেন আমি আশা করি এটি হবে। এই মুহুর্তে আমি কিছু না করার জন্য প্রতিদিন দশ লক্ষ ডলার আয় করার প্রস্তাব পেতে পারি, এবং এখনও আমার এইরকমই মনে হবে।")</f>
        <v>আমার ইন্টারভিউটা দারুন হয়েছে, তাহলে এখন কেন আমি এত বেশি নার্ভাস? আমি এক বছরেরও বেশি সময় ধরে চাকরির জন্য আবেদন করছি এবং ইন্টারভিউ দিচ্ছি, কিন্তু প্রতিবারই যখনই কোনও প্রস্তাব পাই, তখন আমার চোখ ঠান্ডা হয়ে যায় এবং আমি তা প্রত্যাখ্যান করি। যদিও বেশিরভাগ দিনই আমি আমার বর্তমান চাকরিতে যেতে ভয় পাই, তবুও আমি নিজেকে বোঝাতে পেরেছি যে পরিবর্তন এবং নতুন চ্যালেঞ্জের সম্মুখীন হওয়ার চেয়ে শয়তানের সাথে কাজ করা ভালো। আমি আমার বর্তমান দলকেও পছন্দ করি। আমাদের একটি বিশাল প্রকল্প/বিদেশ ভ্রমণের মুখোমুখি হতে হচ্ছে, এবং আমাকে অনেক দায়িত্ব দেওয়া হয়েছে। অবশ্যই যদি আমি এখন চলে যাই তবে আমি সবচেয়ে খারাপ ব্যক্তি হব এবং সবাই আমাকে ঘৃণা করবে। অপরাধবোধ আমাকে গ্রাস করবে। মূলত এটাই এখন আমার মানসিকতা। কিন্তু আজ আমি যে জায়গায় সাক্ষাৎকার নিয়েছি তা দুর্দান্ত। এটি প্রতিষ্ঠিত, একটি শিল্প মান, প্রচুর প্রবৃদ্ধি, এবং আমি যাদের সাথে দেখা করেছি তাদের অসাধারণ মনে হচ্ছে। তারা ইতিমধ্যেই আমার রেফারেন্স চেয়েছে। খুব বেশি অহংকারী না হওয়া, তবে আমি সহজেই দেখতে পাচ্ছি যে একটি প্রস্তাব বাড়ানো হচ্ছে। আমার জীবনের সবাই আমাকে আমার বর্তমান চাকরি ছেড়ে দিতে বলছে। আমি খুব চাপে আছি এবং আমি ঘুমাতে পারছি না। আমার মনে হয় যদি আমি কোনও প্রস্তাব পাই, তাহলে তা গ্রহণ না করাটা বোকামি হবে। তাছাড়া, আমার মনে হয় যদি আমি চলে যাই তাহলে আমি আমার বর্তমান দলকে নষ্ট করে ফেলব। কিন্তু এই জায়গায় ৫ বছর ধরে কাজ করছি এবং কখনও কোনও পরিবর্তন হয়নি, আমি জানি না কেন আমি আশা করি এটি হবে। এই মুহুর্তে আমি কিছু না করার জন্য প্রতিদিন দশ লক্ষ ডলার আয় করার প্রস্তাব পেতে পারি, এবং এখনও আমার এইরকমই মনে হবে।</v>
      </c>
    </row>
    <row r="2762" spans="1:3" ht="15" x14ac:dyDescent="0.25">
      <c r="A2762" s="3" t="s">
        <v>2755</v>
      </c>
      <c r="B2762" s="3" t="s">
        <v>1992</v>
      </c>
      <c r="C2762" s="4" t="str">
        <f ca="1">IFERROR(__xludf.DUMMYFUNCTION("GOOGLETRANSLATE(A2762, ""auto"", ""bn"")"),"হঠাৎ করেই আমার মেসেঞ্জারে মানুষের সাথে চ্যাট করার শক্তি তৈরি হয়ে গেল! কীভাবে বা কেন, তা আমার জানা নেই, কিন্তু হঠাৎ করেই ফেসবুকের মেসেঞ্জারে মেসেজ পাঠানোর এবং উত্তর দেওয়ার ক্ষমতা তৈরি হয়ে গেল। এখন আমি কিছুক্ষণের জন্য কথোপকথন চালিয়ে যেতে পারি এবং কথা বলার"&amp;" জন্য বিষয়গুলিও তুলে ধরতে পারি! কয়েক মাস আগের তুলনায়, আমি কেবল ""ওহ কুল"", ""নীস"", ""ঠিক আছে"", ""নিশ্চয়ই"", ""বাই"" এর মতো শব্দ বা বাক্যাংশ দিয়ে লোকেদের পড়তে বা উত্তর দিতে দিই। আশা করি এই অদ্ভুত শক্তি কিছুক্ষণ টিকে থাকবে!")</f>
        <v>হঠাৎ করেই আমার মেসেঞ্জারে মানুষের সাথে চ্যাট করার শক্তি তৈরি হয়ে গেল! কীভাবে বা কেন, তা আমার জানা নেই, কিন্তু হঠাৎ করেই ফেসবুকের মেসেঞ্জারে মেসেজ পাঠানোর এবং উত্তর দেওয়ার ক্ষমতা তৈরি হয়ে গেল। এখন আমি কিছুক্ষণের জন্য কথোপকথন চালিয়ে যেতে পারি এবং কথা বলার জন্য বিষয়গুলিও তুলে ধরতে পারি! কয়েক মাস আগের তুলনায়, আমি কেবল "ওহ কুল", "নীস", "ঠিক আছে", "নিশ্চয়ই", "বাই" এর মতো শব্দ বা বাক্যাংশ দিয়ে লোকেদের পড়তে বা উত্তর দিতে দিই। আশা করি এই অদ্ভুত শক্তি কিছুক্ষণ টিকে থাকবে!</v>
      </c>
    </row>
    <row r="2763" spans="1:3" ht="15" x14ac:dyDescent="0.25">
      <c r="A2763" s="3" t="s">
        <v>2756</v>
      </c>
      <c r="B2763" s="3" t="s">
        <v>1992</v>
      </c>
      <c r="C2763" s="4" t="str">
        <f ca="1">IFERROR(__xludf.DUMMYFUNCTION("GOOGLETRANSLATE(A2763, ""auto"", ""bn"")"),"আমার উদ্বেগের কারণে উদ্বেগ। তাই আমি একজন কিশোরী মেয়ে এবং শীঘ্রই আমাকে আমার ভবিষ্যৎ, কোন ক্যারিয়ার অনুসরণ করব এবং কী করব না সে সম্পর্কে বড় সিদ্ধান্ত নিতে হবে। আমি উদ্বিগ্ন হওয়ার বিষয়ে অত্যন্ত উদ্বিগ্ন। আমার উদ্বেগ আমাকে সমাজকর্মী হতে বা বাজারে কাজ করত"&amp;"ে বাধা দেবে। আপনি কীভাবে এটি মোকাবেলা করবেন?! আমার মনে হচ্ছে আমি পিছিয়ে পড়ছি, যেন আমার উদ্বেগের কারণে আমার কাছে খুব কম সুযোগ রয়েছে। আমি বাড়ি থেকে কাজ করতে চাই কারণ আমি সবচেয়ে স্বাচ্ছন্দ্য বোধ করব, তবে আমি মনোবিজ্ঞানও পড়তে চাই, যা বাড়িতে অনুশীলন করা"&amp;" যায় না, অন্তত সবসময় নয়। তাছাড়া, আমি খুব চিন্তিত, এত চাপে আছি, এবং আমি সত্যিই জানি না আমার ভবিষ্যৎ কী হবে।")</f>
        <v>আমার উদ্বেগের কারণে উদ্বেগ। তাই আমি একজন কিশোরী মেয়ে এবং শীঘ্রই আমাকে আমার ভবিষ্যৎ, কোন ক্যারিয়ার অনুসরণ করব এবং কী করব না সে সম্পর্কে বড় সিদ্ধান্ত নিতে হবে। আমি উদ্বিগ্ন হওয়ার বিষয়ে অত্যন্ত উদ্বিগ্ন। আমার উদ্বেগ আমাকে সমাজকর্মী হতে বা বাজারে কাজ করতে বাধা দেবে। আপনি কীভাবে এটি মোকাবেলা করবেন?! আমার মনে হচ্ছে আমি পিছিয়ে পড়ছি, যেন আমার উদ্বেগের কারণে আমার কাছে খুব কম সুযোগ রয়েছে। আমি বাড়ি থেকে কাজ করতে চাই কারণ আমি সবচেয়ে স্বাচ্ছন্দ্য বোধ করব, তবে আমি মনোবিজ্ঞানও পড়তে চাই, যা বাড়িতে অনুশীলন করা যায় না, অন্তত সবসময় নয়। তাছাড়া, আমি খুব চিন্তিত, এত চাপে আছি, এবং আমি সত্যিই জানি না আমার ভবিষ্যৎ কী হবে।</v>
      </c>
    </row>
    <row r="2764" spans="1:3" ht="15" x14ac:dyDescent="0.25">
      <c r="A2764" s="3" t="s">
        <v>2757</v>
      </c>
      <c r="B2764" s="3" t="s">
        <v>1992</v>
      </c>
      <c r="C2764" s="4" t="str">
        <f ca="1">IFERROR(__xludf.DUMMYFUNCTION("GOOGLETRANSLATE(A2764, ""auto"", ""bn"")"),"বমি বমি ভাব কিভাবে মোকাবেলা করবো? আমার উদ্বেগের কারণে প্রায় প্রতিদিনই আমার বমি বমি ভাব হয়ে যাচ্ছে, আর আমি ভাবছিলাম যে এই সমস্যায় আক্রান্ত অন্য কারো কি এটি মোকাবেলা করার কোন উপায় জানা আছে?")</f>
        <v>বমি বমি ভাব কিভাবে মোকাবেলা করবো? আমার উদ্বেগের কারণে প্রায় প্রতিদিনই আমার বমি বমি ভাব হয়ে যাচ্ছে, আর আমি ভাবছিলাম যে এই সমস্যায় আক্রান্ত অন্য কারো কি এটি মোকাবেলা করার কোন উপায় জানা আছে?</v>
      </c>
    </row>
    <row r="2765" spans="1:3" ht="15" x14ac:dyDescent="0.25">
      <c r="A2765" s="3" t="s">
        <v>2758</v>
      </c>
      <c r="B2765" s="3" t="s">
        <v>1992</v>
      </c>
      <c r="C2765" s="4" t="str">
        <f ca="1">IFERROR(__xludf.DUMMYFUNCTION("GOOGLETRANSLATE(A2765, ""auto"", ""bn"")"),"খুব জোরে। আমি ১৮ বছরেরও বেশি সময় ধরে উদ্বেগ এবং বিষণ্ণতার সাথে মোকাবিলা করছি... কিন্তু সম্প্রতি আমার উদ্বেগ নতুন কিছুর জন্ম দিয়েছে। অথবা অন্তত আমার মনে হয় এটা আমার উদ্বেগ। এটা প্রায়শই খুব জোরে। নিয়মিত প্রতিদিনের শব্দগুলি খুব বেশি। আর আমি আমার পুরো সত"&amp;"্তা দিয়ে আমার মেয়েকে ভালোবাসি, কিন্তু আমি নিজেকে আমার কান বন্ধ করে রাখি কারণ এটি খুব বেশি [কথা বলা, খেলনা, টিভি শো]। বাস্তবে, কিছুই স্বাভাবিকের চেয়ে বেশি নয়... কিন্তু কিছু কারণে আমি তা সামলাতে পারি না, এবং এটি আমাকে বিরক্ত করে তোলে এবং এমন জায়গায় নি"&amp;"য়ে যায় যেখানে আমি মনোযোগ দিতে পারি না। দয়া করে আমাকে বলুন আমি একা নই? আর যদি আমি না থাকি, তাহলে তুমি কীভাবে সামলাবে?")</f>
        <v>খুব জোরে। আমি ১৮ বছরেরও বেশি সময় ধরে উদ্বেগ এবং বিষণ্ণতার সাথে মোকাবিলা করছি... কিন্তু সম্প্রতি আমার উদ্বেগ নতুন কিছুর জন্ম দিয়েছে। অথবা অন্তত আমার মনে হয় এটা আমার উদ্বেগ। এটা প্রায়শই খুব জোরে। নিয়মিত প্রতিদিনের শব্দগুলি খুব বেশি। আর আমি আমার পুরো সত্তা দিয়ে আমার মেয়েকে ভালোবাসি, কিন্তু আমি নিজেকে আমার কান বন্ধ করে রাখি কারণ এটি খুব বেশি [কথা বলা, খেলনা, টিভি শো]। বাস্তবে, কিছুই স্বাভাবিকের চেয়ে বেশি নয়... কিন্তু কিছু কারণে আমি তা সামলাতে পারি না, এবং এটি আমাকে বিরক্ত করে তোলে এবং এমন জায়গায় নিয়ে যায় যেখানে আমি মনোযোগ দিতে পারি না। দয়া করে আমাকে বলুন আমি একা নই? আর যদি আমি না থাকি, তাহলে তুমি কীভাবে সামলাবে?</v>
      </c>
    </row>
    <row r="2766" spans="1:3" ht="15" x14ac:dyDescent="0.25">
      <c r="A2766" s="3" t="s">
        <v>2759</v>
      </c>
      <c r="B2766" s="3" t="s">
        <v>1992</v>
      </c>
      <c r="C2766" s="4" t="str">
        <f ca="1">IFERROR(__xludf.DUMMYFUNCTION("GOOGLETRANSLATE(A2766, ""auto"", ""bn"")"),"আমার (বয়স ২০-এর দশকের গোড়ার দিকে) আজ আমার সবচেয়ে বড় উদ্বেগের আক্রমণের মধ্যে একটি হয়েছে প্রায় ৬ বছর বিশ্ববিদ্যালয়ে থাকার পর, যে সময় আমার মানসিক স্বাস্থ্য ধীরে ধীরে খারাপ হয়ে যায়, আমি আমার শেষ কয়েকটি কোর্স শেষ করার কথা ছিল। ক্রিসমাসের ছুটিতে যখন আমি চাকরি খ"&amp;"ুঁজতে ব্যস্ত ছিলাম, তখন আমার বিশ্ববিদ্যালয় থেকে একটি চিঠি পেলাম যেখানে লেখা ছিল যে আমি এখনও শর্তাবলী পূরণ করতে পারছি না। যদিও আমি মোটামুটি নিশ্চিত ছিলাম যে এটি একটি ভুল, আজ ভোর পর্যন্ত আমার মেজাজ ছিল উদ্বিগ্ন এবং খারাপ যেখানে আমি চিঠিটি সম্পর্কে জিজ্ঞাসা "&amp;"করার জন্য আমার রেজিস্ট্রারের সাথে যোগাযোগ করতে সক্ষম হয়েছিলাম। ভদ্রমহিলা আমাকে আটকে রাখেন, তারপর স্নাতকের ক্ষেত্রে আরও বিশেষজ্ঞ কারো কাছে স্থানান্তর করেন। আমি তাদের জন্য একটি ভয়েসমেইল রেখে যাই এবং উত্তরের জন্য অপেক্ষা করি। আমি অপেক্ষা করার সময়, আমি শর্"&amp;"তাবলী দুবার পরীক্ষা করে দেখি যে সেগুলি আসলেই সঠিক হতে পারে। আমার জীবনের সবচেয়ে খারাপ সময়গুলির মধ্যে একটি। পক্ষাঘাতগ্রস্ত উদ্বেগ, আত্ম-বিদ্বেষ, চিৎকার, আত্ম-অপমান, হিস্টিরিকাল হাসি, আত্মহত্যার ধারণা এবং এমনকি নিজের ক্ষতি। কল্পনা করার সময়, আমি, একজন পূর্"&amp;"ণবয়স্ক মানুষ, আমার বিছানায় শুয়ে নিজেকে আঘাত করছিলাম, যা আঘাতের মতো। আমার মেরুদণ্ড ঠান্ডা করে দেয়। আমি আমার জীবনে যা কিছু ভুল করেছি এবং এর যোগ্য আমি তা নিয়ে ভাবতে শুরু করলাম। সবাইকে বলার পর যে এই জায়গায় আমার জীবন শেষ হয়ে গেছে এবং সবাই আমাকে কীভাবে কোনরক"&amp;"ম দয়া করবে না, তা কল্পনা করতে শুরু করলাম। এই খারাপ খবরটি আমার বাবা-মায়ের উপর কীভাবে প্রভাব ফেলবে। প্রায় এক ঘন্টা পর, ভদ্রমহিলা আমাকে ফোন করে বললেন যে এটা একটা ভুল ছিল এবং আমার স্নাতক হওয়ার জন্য ভালো হওয়া উচিত। আমি ফোনে কান্নার সাথে লড়াই করি এবং তারপর ফো"&amp;"ন কেটে দেওয়ার পর মেঝেতে ভেঙে পড়ি। ঘন্টা পেরিয়ে গেছে, আমি এক বন্ধুর সাথে বাইরে গিয়েছি, খাইয়েছি এবং ফিরে এসেছি, কিন্তু আমি এখনও আমার প্রতিক্রিয়া মাথা থেকে বের করতে পারছি না। আমি আমার বাকি জীবন কী করব? আরও খারাপ খবর থেকে কীভাবে বেঁচে থাকব? আমার কোনও ধারণা "&amp;"নেই। আমি আমার জীবনে খুব কমই দেখিনি এবং আমি নিজেকে 30 বছর বয়স পর্যন্ত বেঁচে থাকার কল্পনাও করতে পারি না। আমার অস্তিত্ব অবিরাম নির্যাতনের মতো মনে হয়। 6 বছর আগে আমি একজন সাধারণ শিশু ছিলাম, আমি কীভাবে এই পর্যায়ে এসে পৌঁছেছিলাম? ইউনি আমাকে মানসিকভাবে ধ্বংস ক"&amp;"রে দিয়েছে, এবং আমি যা কিছুর মধ্য দিয়ে গেছি তার পরেও স্বাভাবিক জীবনযাপন করা কঠিন হয়ে পড়বে।")</f>
        <v>আমার (বয়স ২০-এর দশকের গোড়ার দিকে) আজ আমার সবচেয়ে বড় উদ্বেগের আক্রমণের মধ্যে একটি হয়েছে প্রায় ৬ বছর বিশ্ববিদ্যালয়ে থাকার পর, যে সময় আমার মানসিক স্বাস্থ্য ধীরে ধীরে খারাপ হয়ে যায়, আমি আমার শেষ কয়েকটি কোর্স শেষ করার কথা ছিল। ক্রিসমাসের ছুটিতে যখন আমি চাকরি খুঁজতে ব্যস্ত ছিলাম, তখন আমার বিশ্ববিদ্যালয় থেকে একটি চিঠি পেলাম যেখানে লেখা ছিল যে আমি এখনও শর্তাবলী পূরণ করতে পারছি না। যদিও আমি মোটামুটি নিশ্চিত ছিলাম যে এটি একটি ভুল, আজ ভোর পর্যন্ত আমার মেজাজ ছিল উদ্বিগ্ন এবং খারাপ যেখানে আমি চিঠিটি সম্পর্কে জিজ্ঞাসা করার জন্য আমার রেজিস্ট্রারের সাথে যোগাযোগ করতে সক্ষম হয়েছিলাম। ভদ্রমহিলা আমাকে আটকে রাখেন, তারপর স্নাতকের ক্ষেত্রে আরও বিশেষজ্ঞ কারো কাছে স্থানান্তর করেন। আমি তাদের জন্য একটি ভয়েসমেইল রেখে যাই এবং উত্তরের জন্য অপেক্ষা করি। আমি অপেক্ষা করার সময়, আমি শর্তাবলী দুবার পরীক্ষা করে দেখি যে সেগুলি আসলেই সঠিক হতে পারে। আমার জীবনের সবচেয়ে খারাপ সময়গুলির মধ্যে একটি। পক্ষাঘাতগ্রস্ত উদ্বেগ, আত্ম-বিদ্বেষ, চিৎকার, আত্ম-অপমান, হিস্টিরিকাল হাসি, আত্মহত্যার ধারণা এবং এমনকি নিজের ক্ষতি। কল্পনা করার সময়, আমি, একজন পূর্ণবয়স্ক মানুষ, আমার বিছানায় শুয়ে নিজেকে আঘাত করছিলাম, যা আঘাতের মতো। আমার মেরুদণ্ড ঠান্ডা করে দেয়। আমি আমার জীবনে যা কিছু ভুল করেছি এবং এর যোগ্য আমি তা নিয়ে ভাবতে শুরু করলাম। সবাইকে বলার পর যে এই জায়গায় আমার জীবন শেষ হয়ে গেছে এবং সবাই আমাকে কীভাবে কোনরকম দয়া করবে না, তা কল্পনা করতে শুরু করলাম। এই খারাপ খবরটি আমার বাবা-মায়ের উপর কীভাবে প্রভাব ফেলবে। প্রায় এক ঘন্টা পর, ভদ্রমহিলা আমাকে ফোন করে বললেন যে এটা একটা ভুল ছিল এবং আমার স্নাতক হওয়ার জন্য ভালো হওয়া উচিত। আমি ফোনে কান্নার সাথে লড়াই করি এবং তারপর ফোন কেটে দেওয়ার পর মেঝেতে ভেঙে পড়ি। ঘন্টা পেরিয়ে গেছে, আমি এক বন্ধুর সাথে বাইরে গিয়েছি, খাইয়েছি এবং ফিরে এসেছি, কিন্তু আমি এখনও আমার প্রতিক্রিয়া মাথা থেকে বের করতে পারছি না। আমি আমার বাকি জীবন কী করব? আরও খারাপ খবর থেকে কীভাবে বেঁচে থাকব? আমার কোনও ধারণা নেই। আমি আমার জীবনে খুব কমই দেখিনি এবং আমি নিজেকে 30 বছর বয়স পর্যন্ত বেঁচে থাকার কল্পনাও করতে পারি না। আমার অস্তিত্ব অবিরাম নির্যাতনের মতো মনে হয়। 6 বছর আগে আমি একজন সাধারণ শিশু ছিলাম, আমি কীভাবে এই পর্যায়ে এসে পৌঁছেছিলাম? ইউনি আমাকে মানসিকভাবে ধ্বংস করে দিয়েছে, এবং আমি যা কিছুর মধ্য দিয়ে গেছি তার পরেও স্বাভাবিক জীবনযাপন করা কঠিন হয়ে পড়বে।</v>
      </c>
    </row>
    <row r="2767" spans="1:3" ht="15" x14ac:dyDescent="0.25">
      <c r="A2767" s="3" t="s">
        <v>2760</v>
      </c>
      <c r="B2767" s="3" t="s">
        <v>1992</v>
      </c>
      <c r="C2767" s="4" t="str">
        <f ca="1">IFERROR(__xludf.DUMMYFUNCTION("GOOGLETRANSLATE(A2767, ""auto"", ""bn"")"),"খারাপ গ্রেডের সাথে কীভাবে মোকাবিলা করব? আমি সবেমাত্র হাই স্কুলে আমার সর্বনিম্ন গ্রেড পেয়েছি, আমি নির্দিষ্ট করে বলব না, তবে এটি আমি সাধারণত যা পাই তার চেয়ে উল্লেখযোগ্যভাবে কম। গ্রেডটি এমন একটি বিষয়ের উপর ক্লাসে একটি প্রবন্ধে ছিল যা আমরা আগে থেকে জানি না"&amp;"। আমরা খুব একটা প্রস্তুত ছিলাম না এবং ধরা যাক এটি এবং পরীক্ষার দিন উদ্বেগের মিশ্রণটি খুব একটা ভালো পরীক্ষায় পরিণত হয়নি। আমি ঠিক একই ধরণের আরেকটি পরীক্ষা দিয়েছি, এবং আমি নিশ্চিত নই যে আমি ভালো করেছি, তবে অন্তত ভালো করেছি। আরও খারাপ বিষয় হল এই পরীক্ষাটি"&amp;" আমাকে এই ত্রৈমাসিকের জন্য সম্মানসূচক নম্বর থেকে দূরে রাখতে পারে, এবং জুনিয়র হিসেবে এটি ভালো জিনিস নয়। আর কোনও গ্রেড বাকি নেই, এবং সত্যি বলতে, সত্যিই খুব উদ্বিগ্ন এবং রাগান্বিত। আমার সত্যিই সেই ক্লাসে একটি ভাল গ্রেড দরকার এবং আমার বাবা-মা যখন জানতে পারব"&amp;"েন তখন তারা রেগে যাবেন। আমি কতটা উদ্বিগ্ন বোধ করছি তা মোকাবেলা করার জন্য কেউ কি আমাকে কোন পরামর্শ দিতে পারেন?")</f>
        <v>খারাপ গ্রেডের সাথে কীভাবে মোকাবিলা করব? আমি সবেমাত্র হাই স্কুলে আমার সর্বনিম্ন গ্রেড পেয়েছি, আমি নির্দিষ্ট করে বলব না, তবে এটি আমি সাধারণত যা পাই তার চেয়ে উল্লেখযোগ্যভাবে কম। গ্রেডটি এমন একটি বিষয়ের উপর ক্লাসে একটি প্রবন্ধে ছিল যা আমরা আগে থেকে জানি না। আমরা খুব একটা প্রস্তুত ছিলাম না এবং ধরা যাক এটি এবং পরীক্ষার দিন উদ্বেগের মিশ্রণটি খুব একটা ভালো পরীক্ষায় পরিণত হয়নি। আমি ঠিক একই ধরণের আরেকটি পরীক্ষা দিয়েছি, এবং আমি নিশ্চিত নই যে আমি ভালো করেছি, তবে অন্তত ভালো করেছি। আরও খারাপ বিষয় হল এই পরীক্ষাটি আমাকে এই ত্রৈমাসিকের জন্য সম্মানসূচক নম্বর থেকে দূরে রাখতে পারে, এবং জুনিয়র হিসেবে এটি ভালো জিনিস নয়। আর কোনও গ্রেড বাকি নেই, এবং সত্যি বলতে, সত্যিই খুব উদ্বিগ্ন এবং রাগান্বিত। আমার সত্যিই সেই ক্লাসে একটি ভাল গ্রেড দরকার এবং আমার বাবা-মা যখন জানতে পারবেন তখন তারা রেগে যাবেন। আমি কতটা উদ্বিগ্ন বোধ করছি তা মোকাবেলা করার জন্য কেউ কি আমাকে কোন পরামর্শ দিতে পারেন?</v>
      </c>
    </row>
    <row r="2768" spans="1:3" ht="15" x14ac:dyDescent="0.25">
      <c r="A2768" s="3" t="s">
        <v>2761</v>
      </c>
      <c r="B2768" s="3" t="s">
        <v>1992</v>
      </c>
      <c r="C2768" s="4" t="str">
        <f ca="1">IFERROR(__xludf.DUMMYFUNCTION("GOOGLETRANSLATE(A2768, ""auto"", ""bn"")"),"ভ্রমণের অযৌক্তিক ভয় কাটিয়ে ওঠা। কোন পরামর্শ বন্ধুরা? এটা ভাবলেই আমার মন খারাপ হয়ে যায়। এই সীমাবদ্ধতাগুলো আসলে জীবনের মানকে খারাপ করে দেয়।")</f>
        <v>ভ্রমণের অযৌক্তিক ভয় কাটিয়ে ওঠা। কোন পরামর্শ বন্ধুরা? এটা ভাবলেই আমার মন খারাপ হয়ে যায়। এই সীমাবদ্ধতাগুলো আসলে জীবনের মানকে খারাপ করে দেয়।</v>
      </c>
    </row>
    <row r="2769" spans="1:3" ht="15" x14ac:dyDescent="0.25">
      <c r="A2769" s="3" t="s">
        <v>2762</v>
      </c>
      <c r="B2769" s="3" t="s">
        <v>1992</v>
      </c>
      <c r="C2769" s="4" t="str">
        <f ca="1">IFERROR(__xludf.DUMMYFUNCTION("GOOGLETRANSLATE(A2769, ""auto"", ""bn"")"),"30(M) অবশেষে কিছু একটা করছি প্রথম Reddit পোস্ট! এই সাব-এর সকলকে ধন্যবাদ জানাতে চাই আপনাদের গল্প এবং অভিজ্ঞতা শেয়ার করার জন্য। একই রকম পরিস্থিতিতে থাকা অন্যদের সাথে সম্পর্ক স্থাপন করতে পেরে আমার খুব সাহায্য হয়েছে। আমার একটা রাতে অতিরিক্ত মদ্যপান হয়েছিল,"&amp;" যেখানে আমি আমার বাড়ি থেকে বেরিয়ে এসেছিলাম, এবং আমার SO-কে সত্যিই বিরক্ত করেছিলাম। আমি কয়েক বছর ধরে একজন থেরাপিস্ট বা মনোরোগ বিশেষজ্ঞের সাথে দেখা করার কথা ভাবছিলাম কারণ আমি নিজের উদ্বেগের সাথে মানিয়ে নিচ্ছি। তাছাড়া, অবশেষে আমি আমার বীমা নেটওয়ার্কে ফ"&amp;"োন করে একজন ইন-নেটওয়ার্ক ডাক্তারের সাথে অ্যাপয়েন্টমেন্টের ব্যবস্থা করার সাহস করেছি এবং অবশ্যই সপ্তাহান্তে মনোরোগ বিভাগ বন্ধ থাকে, তাই সোমবার সকালে নিজেকে জবাবদিহি করার জন্য পোস্ট করছি। ছুটির দিনে আমি ভীষণ অসুস্থ ছিলাম - এক ধরণের ভাইরাস আমার শরীরে ঢুকে প"&amp;"ড়েছিল এবং অবশ্যই বুকে ব্যথার সাথে একটি অদ্ভুত মুহূর্ত কেটেছিল। ভাবতে শুরু করেছি যে গত দশকে আমার কয়েকটিতে দ্রুত/অনিয়মিত হৃদস্পন্দন হয়েছে। ডাক্তাররা সবসময়ই বলেছেন যে আমি সুস্থ, কিন্তু আমার মনে হয় আমার হয়তো আতঙ্ক/উদ্বেগের আক্রমণ হয়েছে এবং আমি কখনই বু"&amp;"ঝতে পারিনি যে এটা কেমন অনুভূতি। গত কয়েক বছর ধরে আমার জীবনে আমার উদ্বেগ ক্রমশ ছড়িয়ে পড়ছে। আমি সবসময়ই একটু কাজের প্রতি আসক্ত ছিলাম, এবং আমি বুঝতে শুরু করেছি যে এটি আমার মাথা থেকে গুঞ্জন এবং আত্ম-সন্দেহকে দূরে রাখতে সাহায্য করেছে। কলেজ থেকে বেরিয়েই আমি"&amp;" নিউ ইয়র্ক সিটিতে চলে আসি, এবং পাঁচ বছর ধরে টাইমস স্কয়ার এলাকায় কাজ করেছি এবং চলে যাওয়ার আগে। আমি সাধারণত সাবওয়েতে ঠিক ছিলাম, কিন্তু টাইমস স্কয়ারের ভিড়ের আশেপাশে কাজ করতে পারিনি। পডকাস্টগুলি উল্লেখযোগ্যভাবে সাহায্য করেছিল, এবং আমি নিজেকে আরও বেশি ক"&amp;"রে শুনতে পেয়েছি যে যখন আমি আমার ইয়ারবাড ভুলে যেতাম (অথবা ভেঙে যেত) তখন আমি আতঙ্কিত হয়ে পড়তাম এবং অবিলম্বে একটি নতুন জোড়া কিনতে হত। বছরের পর বছর ধরে পরিস্থিতি আরও খারাপ হতে থাকে এবং অবশেষে আমাকে নিউ ইয়র্ক সিটি ছেড়ে যেতে হয়েছিল কারণ এটি খুব বেশি হয়"&amp;"ে গিয়েছিল। আমি এখন ভিড়ের জায়গাগুলিতে ভয় পাই এবং ভিড়ের মুদিখানার গল্পগুলিতে আমার বেশ কষ্ট হয়। এতটাই যে, আমাকে প্রায়শই বাইরে বেরিয়ে শ্বাস নিতে হয়। এখন আমি পেছনে ফিরে তাকালে বুঝতে পারছি যে এটা সম্ভবত অ্যাগোরাফোবিয়া। আমি পরিবারের সাথে ঘনিষ্ঠ হওয়ার "&amp;"জন্য অন্যত্র চলে এসেছি, কিন্তু তাদের সাথে দেখা করতে আমার পক্ষাঘাতগ্রস্ত লাগছে। আমার ভাই ২০ মিনিট দূরে থাকে, কিন্তু আমি তাকে ফোন করে দেখা করার সাহস করতে পারছি না। এই বছর বড়দিন ছিল ভয়াবহ, এবং কেনাকাটা করা এবং পরিবারের সাথে দেখা করা আমার খুব কঠিন সময় ছিল।"&amp;" জানার জন্য - আমার বাবা-মা, আমার স্ত্রী এবং আমার ভাগ্নের জন্মদিন ক্রিসমাসে একে অপরের দুই সপ্তাহের মধ্যে। গত কয়েক বছর ধরে এটা খুব কঠিন ছিল। আমি বেশ কয়েক বছর ধরে মদ্যপান করছি, আমার মস্তিষ্ককে শান্ত করতে। কিছুদিন ধরে আমি মদ্যপ না হলে ঘুমাতে পারতাম না। কিছু"&amp;"দিন ধরে আমার SO-এর সাথে এটি একটি বিরোধের বিষয় হয়ে দাঁড়িয়েছে, এবং এটি এমন পর্যায়ে পৌঁছেছে যে যে কোনও রাতে সে দেরি করে বা শহরের বাইরে কাজ করে। আমি মাতাল হয়ে তাড়াতাড়ি ঘুমিয়ে পড়ার জন্য যথাসাধ্য চেষ্টা করতাম। আমি জানি এটি লুকানোর চেষ্টা করা বোকামি। আ"&amp;"মার কাজের নীতি সম্প্রতি সত্যিই দুর্বল হয়ে পড়েছে। সম্প্রতি আমি ক্যারিয়ার পরিবর্তন করেছি এবং যখন সবকিছু ধীর গতিতে চলছে তখন আমার সহজ কাজগুলোও করতে কষ্ট হচ্ছে। আমি সবকিছুতেই দেরি করছি, এবং আমি চিন্তা করতে শুরু করেছি যে এর কারণে আমাকে হয়তো ছেড়ে দেওয়া হবে"&amp;"। (আমি আরও ভয় পাচ্ছি যে যখন আমার সুপারভাইজাররা বন্ধ দরজার পিছনে থাকে তখন তারা আমার খারাপ পারফরম্যান্স নিয়ে আলোচনা করে, যদিও আমি মাত্র 4 মাস আগে বেতন বৃদ্ধি এবং বোনাস পেয়েছি।) তাই আমি এখানে, শনিবার রাতে আমার স্ত্রীর সাথে লুকিয়ে আছি যে আমার উপর রেগে আছে"&amp;", এবং আমার মনে হয় আমাকে ছেড়ে যাওয়ার কথা ভাবছে। বেশিরভাগ সপ্তাহান্তে, আমি খুব বেশি বাইরে যাই না - আমি আমার সমস্ত বন্ধুত্ব থেকে কমবেশি দূরে সরে গেছি, এবং সামাজিক মিথস্ক্রিয়া আমার উদ্বেগকে আরও বাড়িয়ে তোলে যদি না আমি মদ্যপ থাকি। আমার ধারণা এই কারণেই তার"&amp;"া এটিকে সামাজিক লুব্রিকেন্ট বলে। আমি বছরের পর বছর ধরে আমার SO কে বলে আসছি যে আমি একজন থেরাপিস্টের সাথে দেখা করব, কিন্তু আমি সবসময়ই আতঙ্কিত হই, এবং ""ভালো ফিট"" এমন কাউকে খুঁজে পেতে নার্ভাস থাকি। আমি বুঝতেও পারছি না যে একজন ভালো ফিট কেমন হবে। সারাদিন সাহা"&amp;"য্য খোঁজার চেষ্টা করার পর, এবং আমার জীবন এড়াতে গাড়ি চালিয়ে যাওয়ার পর, আমার মনে হলো আমার নিজের যত্ন নেওয়ার লক্ষ্য অর্জনে আমাকে কিছু অর্জন করতে হবে। নিজেকে জবাবদিহি করতে সাহায্য করার জন্য আমি এখানে আমার গল্পটি শেয়ার করছি। TL;DR - অবশেষে বুঝতে পারছি যে"&amp;" আমার একটি উদ্বেগজনিত ব্যাধি থাকতে পারে এবং অবশেষে পেশাদার সাহায্য নেওয়ার ক্ষেত্রে নিজেকে জবাবদিহি করতে সাহায্য করার জন্য কিছু করছি!")</f>
        <v>30(M) অবশেষে কিছু একটা করছি প্রথম Reddit পোস্ট! এই সাব-এর সকলকে ধন্যবাদ জানাতে চাই আপনাদের গল্প এবং অভিজ্ঞতা শেয়ার করার জন্য। একই রকম পরিস্থিতিতে থাকা অন্যদের সাথে সম্পর্ক স্থাপন করতে পেরে আমার খুব সাহায্য হয়েছে। আমার একটা রাতে অতিরিক্ত মদ্যপান হয়েছিল, যেখানে আমি আমার বাড়ি থেকে বেরিয়ে এসেছিলাম, এবং আমার SO-কে সত্যিই বিরক্ত করেছিলাম। আমি কয়েক বছর ধরে একজন থেরাপিস্ট বা মনোরোগ বিশেষজ্ঞের সাথে দেখা করার কথা ভাবছিলাম কারণ আমি নিজের উদ্বেগের সাথে মানিয়ে নিচ্ছি। তাছাড়া, অবশেষে আমি আমার বীমা নেটওয়ার্কে ফোন করে একজন ইন-নেটওয়ার্ক ডাক্তারের সাথে অ্যাপয়েন্টমেন্টের ব্যবস্থা করার সাহস করেছি এবং অবশ্যই সপ্তাহান্তে মনোরোগ বিভাগ বন্ধ থাকে, তাই সোমবার সকালে নিজেকে জবাবদিহি করার জন্য পোস্ট করছি। ছুটির দিনে আমি ভীষণ অসুস্থ ছিলাম - এক ধরণের ভাইরাস আমার শরীরে ঢুকে পড়েছিল এবং অবশ্যই বুকে ব্যথার সাথে একটি অদ্ভুত মুহূর্ত কেটেছিল। ভাবতে শুরু করেছি যে গত দশকে আমার কয়েকটিতে দ্রুত/অনিয়মিত হৃদস্পন্দন হয়েছে। ডাক্তাররা সবসময়ই বলেছেন যে আমি সুস্থ, কিন্তু আমার মনে হয় আমার হয়তো আতঙ্ক/উদ্বেগের আক্রমণ হয়েছে এবং আমি কখনই বুঝতে পারিনি যে এটা কেমন অনুভূতি। গত কয়েক বছর ধরে আমার জীবনে আমার উদ্বেগ ক্রমশ ছড়িয়ে পড়ছে। আমি সবসময়ই একটু কাজের প্রতি আসক্ত ছিলাম, এবং আমি বুঝতে শুরু করেছি যে এটি আমার মাথা থেকে গুঞ্জন এবং আত্ম-সন্দেহকে দূরে রাখতে সাহায্য করেছে। কলেজ থেকে বেরিয়েই আমি নিউ ইয়র্ক সিটিতে চলে আসি, এবং পাঁচ বছর ধরে টাইমস স্কয়ার এলাকায় কাজ করেছি এবং চলে যাওয়ার আগে। আমি সাধারণত সাবওয়েতে ঠিক ছিলাম, কিন্তু টাইমস স্কয়ারের ভিড়ের আশেপাশে কাজ করতে পারিনি। পডকাস্টগুলি উল্লেখযোগ্যভাবে সাহায্য করেছিল, এবং আমি নিজেকে আরও বেশি করে শুনতে পেয়েছি যে যখন আমি আমার ইয়ারবাড ভুলে যেতাম (অথবা ভেঙে যেত) তখন আমি আতঙ্কিত হয়ে পড়তাম এবং অবিলম্বে একটি নতুন জোড়া কিনতে হত। বছরের পর বছর ধরে পরিস্থিতি আরও খারাপ হতে থাকে এবং অবশেষে আমাকে নিউ ইয়র্ক সিটি ছেড়ে যেতে হয়েছিল কারণ এটি খুব বেশি হয়ে গিয়েছিল। আমি এখন ভিড়ের জায়গাগুলিতে ভয় পাই এবং ভিড়ের মুদিখানার গল্পগুলিতে আমার বেশ কষ্ট হয়। এতটাই যে, আমাকে প্রায়শই বাইরে বেরিয়ে শ্বাস নিতে হয়। এখন আমি পেছনে ফিরে তাকালে বুঝতে পারছি যে এটা সম্ভবত অ্যাগোরাফোবিয়া। আমি পরিবারের সাথে ঘনিষ্ঠ হওয়ার জন্য অন্যত্র চলে এসেছি, কিন্তু তাদের সাথে দেখা করতে আমার পক্ষাঘাতগ্রস্ত লাগছে। আমার ভাই ২০ মিনিট দূরে থাকে, কিন্তু আমি তাকে ফোন করে দেখা করার সাহস করতে পারছি না। এই বছর বড়দিন ছিল ভয়াবহ, এবং কেনাকাটা করা এবং পরিবারের সাথে দেখা করা আমার খুব কঠিন সময় ছিল। জানার জন্য - আমার বাবা-মা, আমার স্ত্রী এবং আমার ভাগ্নের জন্মদিন ক্রিসমাসে একে অপরের দুই সপ্তাহের মধ্যে। গত কয়েক বছর ধরে এটা খুব কঠিন ছিল। আমি বেশ কয়েক বছর ধরে মদ্যপান করছি, আমার মস্তিষ্ককে শান্ত করতে। কিছুদিন ধরে আমি মদ্যপ না হলে ঘুমাতে পারতাম না। কিছুদিন ধরে আমার SO-এর সাথে এটি একটি বিরোধের বিষয় হয়ে দাঁড়িয়েছে, এবং এটি এমন পর্যায়ে পৌঁছেছে যে যে কোনও রাতে সে দেরি করে বা শহরের বাইরে কাজ করে। আমি মাতাল হয়ে তাড়াতাড়ি ঘুমিয়ে পড়ার জন্য যথাসাধ্য চেষ্টা করতাম। আমি জানি এটি লুকানোর চেষ্টা করা বোকামি। আমার কাজের নীতি সম্প্রতি সত্যিই দুর্বল হয়ে পড়েছে। সম্প্রতি আমি ক্যারিয়ার পরিবর্তন করেছি এবং যখন সবকিছু ধীর গতিতে চলছে তখন আমার সহজ কাজগুলোও করতে কষ্ট হচ্ছে। আমি সবকিছুতেই দেরি করছি, এবং আমি চিন্তা করতে শুরু করেছি যে এর কারণে আমাকে হয়তো ছেড়ে দেওয়া হবে। (আমি আরও ভয় পাচ্ছি যে যখন আমার সুপারভাইজাররা বন্ধ দরজার পিছনে থাকে তখন তারা আমার খারাপ পারফরম্যান্স নিয়ে আলোচনা করে, যদিও আমি মাত্র 4 মাস আগে বেতন বৃদ্ধি এবং বোনাস পেয়েছি।) তাই আমি এখানে, শনিবার রাতে আমার স্ত্রীর সাথে লুকিয়ে আছি যে আমার উপর রেগে আছে, এবং আমার মনে হয় আমাকে ছেড়ে যাওয়ার কথা ভাবছে। বেশিরভাগ সপ্তাহান্তে, আমি খুব বেশি বাইরে যাই না - আমি আমার সমস্ত বন্ধুত্ব থেকে কমবেশি দূরে সরে গেছি, এবং সামাজিক মিথস্ক্রিয়া আমার উদ্বেগকে আরও বাড়িয়ে তোলে যদি না আমি মদ্যপ থাকি। আমার ধারণা এই কারণেই তারা এটিকে সামাজিক লুব্রিকেন্ট বলে। আমি বছরের পর বছর ধরে আমার SO কে বলে আসছি যে আমি একজন থেরাপিস্টের সাথে দেখা করব, কিন্তু আমি সবসময়ই আতঙ্কিত হই, এবং "ভালো ফিট" এমন কাউকে খুঁজে পেতে নার্ভাস থাকি। আমি বুঝতেও পারছি না যে একজন ভালো ফিট কেমন হবে। সারাদিন সাহায্য খোঁজার চেষ্টা করার পর, এবং আমার জীবন এড়াতে গাড়ি চালিয়ে যাওয়ার পর, আমার মনে হলো আমার নিজের যত্ন নেওয়ার লক্ষ্য অর্জনে আমাকে কিছু অর্জন করতে হবে। নিজেকে জবাবদিহি করতে সাহায্য করার জন্য আমি এখানে আমার গল্পটি শেয়ার করছি। TL;DR - অবশেষে বুঝতে পারছি যে আমার একটি উদ্বেগজনিত ব্যাধি থাকতে পারে এবং অবশেষে পেশাদার সাহায্য নেওয়ার ক্ষেত্রে নিজেকে জবাবদিহি করতে সাহায্য করার জন্য কিছু করছি!</v>
      </c>
    </row>
    <row r="2770" spans="1:3" ht="15" x14ac:dyDescent="0.25">
      <c r="A2770" s="3" t="s">
        <v>2763</v>
      </c>
      <c r="B2770" s="3" t="s">
        <v>1992</v>
      </c>
      <c r="C2770" s="4" t="str">
        <f ca="1">IFERROR(__xludf.DUMMYFUNCTION("GOOGLETRANSLATE(A2770, ""auto"", ""bn"")"),"কেউ কি জানেন যে সেলাডন আমাকে তীব্র উদ্বেগ/আতঙ্কের আক্রমণ/অ্যাগোরাফোবিয়ার জন্য জুরি ডিউটি ​​থেকে একটি অজুহাত নোট দিতে পারবে কিনা? আমার কয়েক সপ্তাহের মধ্যে জুরি ডিউটি ​​আছে এবং আগামী সপ্তাহে সেলাডনের সাথে ফোনে অ্যাপয়েন্টমেন্টের সময় নির্ধারণ করা হয়েছে। "&amp;"আমি জানি তারা রোগ নির্ণয় করতে পারে, ওষুধ লিখে দিতে পারে এবং অনুরোধ করলে অজুহাত নোট সরবরাহ করতে পারে। কিন্তু আমি তাদের ওয়েবসাইটে দেখেছি যে অজুহাত নোটের দৈর্ঘ্য সীমিত। আমি বিশ্বাস করি মানসিক স্বাস্থ্যের অবস্থার জন্য, সীমা 7 দিন এবং দীর্ঘমেয়াদী অজুহাতের জ"&amp;"ন্য, আমাকে সরাসরি একজন ডাক্তারের সাথে দেখা করতে হবে। কেউ কি কোনও কারণে জুরি ডিউটি ​​থেকে বেরিয়ে আসার জন্য সেলাডনের ডাক্তারের নোট ব্যবহার করেছেন? মানসিক স্বাস্থ্যের জন্য কি আমাকে 7 দিনের অজুহাতের জন্য জুরি ডিউটি ​​থেকে অব্যাহতি দেওয়া যেতে পারে? আমার অ্যা"&amp;"গোরাফোবিয়ার তীব্রতার কারণে আমি এই মুহুর্তে সরাসরি ডাক্তারের কাছে যেতে পারছি না।")</f>
        <v>কেউ কি জানেন যে সেলাডন আমাকে তীব্র উদ্বেগ/আতঙ্কের আক্রমণ/অ্যাগোরাফোবিয়ার জন্য জুরি ডিউটি ​​থেকে একটি অজুহাত নোট দিতে পারবে কিনা? আমার কয়েক সপ্তাহের মধ্যে জুরি ডিউটি ​​আছে এবং আগামী সপ্তাহে সেলাডনের সাথে ফোনে অ্যাপয়েন্টমেন্টের সময় নির্ধারণ করা হয়েছে। আমি জানি তারা রোগ নির্ণয় করতে পারে, ওষুধ লিখে দিতে পারে এবং অনুরোধ করলে অজুহাত নোট সরবরাহ করতে পারে। কিন্তু আমি তাদের ওয়েবসাইটে দেখেছি যে অজুহাত নোটের দৈর্ঘ্য সীমিত। আমি বিশ্বাস করি মানসিক স্বাস্থ্যের অবস্থার জন্য, সীমা 7 দিন এবং দীর্ঘমেয়াদী অজুহাতের জন্য, আমাকে সরাসরি একজন ডাক্তারের সাথে দেখা করতে হবে। কেউ কি কোনও কারণে জুরি ডিউটি ​​থেকে বেরিয়ে আসার জন্য সেলাডনের ডাক্তারের নোট ব্যবহার করেছেন? মানসিক স্বাস্থ্যের জন্য কি আমাকে 7 দিনের অজুহাতের জন্য জুরি ডিউটি ​​থেকে অব্যাহতি দেওয়া যেতে পারে? আমার অ্যাগোরাফোবিয়ার তীব্রতার কারণে আমি এই মুহুর্তে সরাসরি ডাক্তারের কাছে যেতে পারছি না।</v>
      </c>
    </row>
    <row r="2771" spans="1:3" ht="15" x14ac:dyDescent="0.25">
      <c r="A2771" s="3" t="s">
        <v>2764</v>
      </c>
      <c r="B2771" s="3" t="s">
        <v>1992</v>
      </c>
      <c r="C2771" s="4" t="str">
        <f ca="1">IFERROR(__xludf.DUMMYFUNCTION("GOOGLETRANSLATE(A2771, ""auto"", ""bn"")"),"আমার মা আমাকে সাহায্যের হাত থেকে বাঁচাচ্ছেন। আমার মা আমার একটি ইনস্টাগ্রাম পোস্ট থেকে জানতে পেরেছিলেন যে আমি একজন মনোরোগ বিশেষজ্ঞের কাছে যাচ্ছি। তিনি অবশ্যই খুব চিন্তিত ছিলেন এবং আমাকে মেসেজ পাঠিয়ে বললেন কী সমস্যা। অবশেষে আমি তাকে বলতে বাধ্য হয়েছিলাম যে"&amp;" সাধারণ সমস্যাটি কী (উদ্বেগপূর্ণ চিন্তাভাবনা, নিখুঁততাবাদ), এবং সে বলে যে সে চায় আমি আগে তার কাছে যাই। এবং অবশ্যই উল্লেখ করে যে সে বারবার আমার জন্য আছে। সে সবসময় ফেসবুক এবং ইনস্টাগ্রামে আমার পোস্টগুলিতে খুশি হয়ে মন্তব্য করে এবং বলে যে জিনিসগুলি ঘাম না "&amp;"করতে। এবং এটি আমার কাছে আসতে শুরু করেছে এবং আসলে আমার খারাপ লাগছে। আমি কীভাবে তাকে খবর দেব যে আমি তাকে ভালোবাসি, কিন্তু আমি চাই না যে সে আমার মানসিক স্বাস্থ্যের সাথে জড়িত হোক (এবং সোশ্যাল মিডিয়া মন্তব্য)?")</f>
        <v>আমার মা আমাকে সাহায্যের হাত থেকে বাঁচাচ্ছেন। আমার মা আমার একটি ইনস্টাগ্রাম পোস্ট থেকে জানতে পেরেছিলেন যে আমি একজন মনোরোগ বিশেষজ্ঞের কাছে যাচ্ছি। তিনি অবশ্যই খুব চিন্তিত ছিলেন এবং আমাকে মেসেজ পাঠিয়ে বললেন কী সমস্যা। অবশেষে আমি তাকে বলতে বাধ্য হয়েছিলাম যে সাধারণ সমস্যাটি কী (উদ্বেগপূর্ণ চিন্তাভাবনা, নিখুঁততাবাদ), এবং সে বলে যে সে চায় আমি আগে তার কাছে যাই। এবং অবশ্যই উল্লেখ করে যে সে বারবার আমার জন্য আছে। সে সবসময় ফেসবুক এবং ইনস্টাগ্রামে আমার পোস্টগুলিতে খুশি হয়ে মন্তব্য করে এবং বলে যে জিনিসগুলি ঘাম না করতে। এবং এটি আমার কাছে আসতে শুরু করেছে এবং আসলে আমার খারাপ লাগছে। আমি কীভাবে তাকে খবর দেব যে আমি তাকে ভালোবাসি, কিন্তু আমি চাই না যে সে আমার মানসিক স্বাস্থ্যের সাথে জড়িত হোক (এবং সোশ্যাল মিডিয়া মন্তব্য)?</v>
      </c>
    </row>
    <row r="2772" spans="1:3" ht="15" x14ac:dyDescent="0.25">
      <c r="A2772" s="3" t="s">
        <v>2765</v>
      </c>
      <c r="B2772" s="3" t="s">
        <v>1992</v>
      </c>
      <c r="C2772" s="4" t="str">
        <f ca="1">IFERROR(__xludf.DUMMYFUNCTION("GOOGLETRANSLATE(A2772, ""auto"", ""bn"")"),"উদ্বেগ এবং ঝিনঝিন/অসাড় অনুভূতি সম্পর্কে প্রশ্ন গত বছর উদ্বেগের সাথে মোকাবিলা করছি। বেশ কয়েকবার প্যানিক অ্যাটাক হয়েছে, কিন্তু আমি সেগুলো মোকাবেলা এবং প্রতিরোধ করার ক্ষেত্রে আরও ভালো হয়ে উঠছি। সম্প্রতি আমার কপাল এবং মাথার উপরের অংশে ঝিনঝিন/অসাড় অনুভূতি"&amp;"র মতো অদ্ভুত ঢেউ শুরু হয়েছে। কোনও ব্যথা বা অন্য কিছু নেই, কেবল একটি অদ্ভুত অনুভূতি। ভাবছেন কেউ কি এই অভিজ্ঞতাটি অনুভব করেছেন? আমি অ্যাকুরেট নামে একটি ব্রণের ওষুধ শুরু করেছিলাম যখন এটি আসতে শুরু করেছিল, কিন্তু এটি এত কম ডোজ যে আমি নিশ্চিত যে এটি ওষুধ থেকে"&amp;" হতে পারে না। কোন অন্তর্দৃষ্টি?")</f>
        <v>উদ্বেগ এবং ঝিনঝিন/অসাড় অনুভূতি সম্পর্কে প্রশ্ন গত বছর উদ্বেগের সাথে মোকাবিলা করছি। বেশ কয়েকবার প্যানিক অ্যাটাক হয়েছে, কিন্তু আমি সেগুলো মোকাবেলা এবং প্রতিরোধ করার ক্ষেত্রে আরও ভালো হয়ে উঠছি। সম্প্রতি আমার কপাল এবং মাথার উপরের অংশে ঝিনঝিন/অসাড় অনুভূতির মতো অদ্ভুত ঢেউ শুরু হয়েছে। কোনও ব্যথা বা অন্য কিছু নেই, কেবল একটি অদ্ভুত অনুভূতি। ভাবছেন কেউ কি এই অভিজ্ঞতাটি অনুভব করেছেন? আমি অ্যাকুরেট নামে একটি ব্রণের ওষুধ শুরু করেছিলাম যখন এটি আসতে শুরু করেছিল, কিন্তু এটি এত কম ডোজ যে আমি নিশ্চিত যে এটি ওষুধ থেকে হতে পারে না। কোন অন্তর্দৃষ্টি?</v>
      </c>
    </row>
    <row r="2773" spans="1:3" ht="15" x14ac:dyDescent="0.25">
      <c r="A2773" s="3" t="s">
        <v>2766</v>
      </c>
      <c r="B2773" s="3" t="s">
        <v>1992</v>
      </c>
      <c r="C2773" s="4" t="str">
        <f ca="1">IFERROR(__xludf.DUMMYFUNCTION("GOOGLETRANSLATE(A2773, ""auto"", ""bn"")"),"সার্কেলের পার্শ্বপ্রতিক্রিয়া সম্পর্কে প্রশ্ন আমার ডাক্তার আমার উদ্বেগ/বিষণ্ণতার জন্য সার্কেল লিখে দিয়েছেন। আমি প্রায় ২ সপ্তাহ ধরে প্রতিদিন ১০ মিলিগ্রাম খাচ্ছি। আমার ঘুমের ধরণে উল্লেখযোগ্য ব্যাঘাত লক্ষ্য করেছি। কিছুদিন ধরে, আমার ঘুম কম হতো, কিন্তু জেগে "&amp;"থাকাকালীন সারাদিন ক্লান্ত বোধ করতাম। গত ২ দিন ধরে, আমি ১৩-১৫ ঘন্টা ঘুমাচ্ছি এবং দিনের বেলায় ক্লান্ত বোধ করছি। আমি ভাবছি - এই পার্শ্বপ্রতিক্রিয়াগুলি কি সাময়িক? আমার কি অপেক্ষা করা উচিত এবং দেখা উচিত যে আমার শরীর ঠিক হয়ে যাচ্ছে কিনা? নাকি এটি এমন একটি ল"&amp;"ক্ষণ যে আমার অন্য কিছু চেষ্টা করা উচিত?")</f>
        <v>সার্কেলের পার্শ্বপ্রতিক্রিয়া সম্পর্কে প্রশ্ন আমার ডাক্তার আমার উদ্বেগ/বিষণ্ণতার জন্য সার্কেল লিখে দিয়েছেন। আমি প্রায় ২ সপ্তাহ ধরে প্রতিদিন ১০ মিলিগ্রাম খাচ্ছি। আমার ঘুমের ধরণে উল্লেখযোগ্য ব্যাঘাত লক্ষ্য করেছি। কিছুদিন ধরে, আমার ঘুম কম হতো, কিন্তু জেগে থাকাকালীন সারাদিন ক্লান্ত বোধ করতাম। গত ২ দিন ধরে, আমি ১৩-১৫ ঘন্টা ঘুমাচ্ছি এবং দিনের বেলায় ক্লান্ত বোধ করছি। আমি ভাবছি - এই পার্শ্বপ্রতিক্রিয়াগুলি কি সাময়িক? আমার কি অপেক্ষা করা উচিত এবং দেখা উচিত যে আমার শরীর ঠিক হয়ে যাচ্ছে কিনা? নাকি এটি এমন একটি লক্ষণ যে আমার অন্য কিছু চেষ্টা করা উচিত?</v>
      </c>
    </row>
    <row r="2774" spans="1:3" ht="15" x14ac:dyDescent="0.25">
      <c r="A2774" s="3" t="s">
        <v>2767</v>
      </c>
      <c r="B2774" s="3" t="s">
        <v>1992</v>
      </c>
      <c r="C2774" s="4" t="str">
        <f ca="1">IFERROR(__xludf.DUMMYFUNCTION("GOOGLETRANSLATE(A2774, ""auto"", ""bn"")"),"আমি আমার সোশ্যাল মিডিয়ায় এই পোস্টটি পোস্ট করতে যাচ্ছিলাম, কিন্তু আমি নিজেকে এটা করার জন্য প্রস্তুত করতে পারছিলাম না, তাই ভাবলাম আমি এটা বেনামে করব। যদি তুমি এটা পড়ো তাহলে আগাম ধন্যবাদ। আমার মন... আমি জানি না... মনে হচ্ছে আমি এটা হারিয়ে ফেলেছি। তাছাড়া,"&amp;" আমি একটা খালি খোলসের মতো, এবং এটা ভালো লাগছে না। তাছাড়া, আমি হতাশাগ্রস্ত এবং বিভ্রান্ত, আমি একটি সুসংগত চিন্তাভাবনা তৈরি করতে সংগ্রাম করছি, এই অনুভূতি দূর করার জন্য সর্বদা কোন না কোন ধরণের বিভ্রান্তি খুঁজছি। অনুশোচনা, বিরক্তি এবং অপরাধবোধ। আমি কখনই এটিক"&amp;"ে ১০০% করিনি বলে অপরাধবোধ। একই সাথে আমি কতটা অগভীর এবং খালি তা বুঝতে পেরে কিছুটা আলোকিত বোধ করি, যেন আমি একটি খারাপ পোকার মুখের মতো নিজেকে ধরে রাখি এবং কার্ডগুলি সবচেয়ে খারাপ হাতটি ধরতে পারে। আমার অনেক মানসিক অবরোধ রয়েছে, যা একসময় একটি মহান মন ছিল তা ভ"&amp;"েঙে পড়ছে এবং সবচেয়ে জটিল পরিস্থিতিতে আমি কেবল কিছুই অনুভব করতে পারি না। আমি আশা করি যে একদিন আমি আশা করি যে আমি আমার সবচেয়ে বড় শত্রুকে কাটিয়ে ওঠার শক্তি খুঁজে পাব যা নিজেকে বলে মনে হয়।")</f>
        <v>আমি আমার সোশ্যাল মিডিয়ায় এই পোস্টটি পোস্ট করতে যাচ্ছিলাম, কিন্তু আমি নিজেকে এটা করার জন্য প্রস্তুত করতে পারছিলাম না, তাই ভাবলাম আমি এটা বেনামে করব। যদি তুমি এটা পড়ো তাহলে আগাম ধন্যবাদ। আমার মন... আমি জানি না... মনে হচ্ছে আমি এটা হারিয়ে ফেলেছি। তাছাড়া, আমি একটা খালি খোলসের মতো, এবং এটা ভালো লাগছে না। তাছাড়া, আমি হতাশাগ্রস্ত এবং বিভ্রান্ত, আমি একটি সুসংগত চিন্তাভাবনা তৈরি করতে সংগ্রাম করছি, এই অনুভূতি দূর করার জন্য সর্বদা কোন না কোন ধরণের বিভ্রান্তি খুঁজছি। অনুশোচনা, বিরক্তি এবং অপরাধবোধ। আমি কখনই এটিকে ১০০% করিনি বলে অপরাধবোধ। একই সাথে আমি কতটা অগভীর এবং খালি তা বুঝতে পেরে কিছুটা আলোকিত বোধ করি, যেন আমি একটি খারাপ পোকার মুখের মতো নিজেকে ধরে রাখি এবং কার্ডগুলি সবচেয়ে খারাপ হাতটি ধরতে পারে। আমার অনেক মানসিক অবরোধ রয়েছে, যা একসময় একটি মহান মন ছিল তা ভেঙে পড়ছে এবং সবচেয়ে জটিল পরিস্থিতিতে আমি কেবল কিছুই অনুভব করতে পারি না। আমি আশা করি যে একদিন আমি আশা করি যে আমি আমার সবচেয়ে বড় শত্রুকে কাটিয়ে ওঠার শক্তি খুঁজে পাব যা নিজেকে বলে মনে হয়।</v>
      </c>
    </row>
    <row r="2775" spans="1:3" ht="15" x14ac:dyDescent="0.25">
      <c r="A2775" s="3" t="s">
        <v>2768</v>
      </c>
      <c r="B2775" s="3" t="s">
        <v>1992</v>
      </c>
      <c r="C2775" s="4" t="str">
        <f ca="1">IFERROR(__xludf.DUMMYFUNCTION("GOOGLETRANSLATE(A2775, ""auto"", ""bn"")"),"রাগে আমার মনে হচ্ছে আমি একটা বোকা মানুষ। আমি রাগে বারবার বিরক্ত হচ্ছি। আমি অনেক বেশি উদ্বিগ্ন। তাছাড়া, আমার ৪ মাস ধরে ইউটিআই ছিল। তাছাড়া, আমার প্রতি রাতে গ্যাস্ট্রাইটিস এবং দুঃস্বপ্ন হয়। তাছাড়া, আমার অনিদ্রা, মাইগ্রেন এবং উদ্বেগ রয়েছে। তাছাড়া, আমি ৫"&amp;" সপ্তাহের গর্ভবতী, এবং ৯ সপ্তাহে আমার শেষ সন্তানটিও চলে গেছে। তাছাড়া, আমার সাহায্যের প্রয়োজন। তাছাড়া, আমি এই মুহূর্তে রাগে বিরক্ত হচ্ছি।")</f>
        <v>রাগে আমার মনে হচ্ছে আমি একটা বোকা মানুষ। আমি রাগে বারবার বিরক্ত হচ্ছি। আমি অনেক বেশি উদ্বিগ্ন। তাছাড়া, আমার ৪ মাস ধরে ইউটিআই ছিল। তাছাড়া, আমার প্রতি রাতে গ্যাস্ট্রাইটিস এবং দুঃস্বপ্ন হয়। তাছাড়া, আমার অনিদ্রা, মাইগ্রেন এবং উদ্বেগ রয়েছে। তাছাড়া, আমি ৫ সপ্তাহের গর্ভবতী, এবং ৯ সপ্তাহে আমার শেষ সন্তানটিও চলে গেছে। তাছাড়া, আমার সাহায্যের প্রয়োজন। তাছাড়া, আমি এই মুহূর্তে রাগে বিরক্ত হচ্ছি।</v>
      </c>
    </row>
    <row r="2776" spans="1:3" ht="15" x14ac:dyDescent="0.25">
      <c r="A2776" s="3" t="s">
        <v>2769</v>
      </c>
      <c r="B2776" s="3" t="s">
        <v>1992</v>
      </c>
      <c r="C2776" s="4" t="str">
        <f ca="1">IFERROR(__xludf.DUMMYFUNCTION("GOOGLETRANSLATE(A2776, ""auto"", ""bn"")"),"আজ আমি সত্যিই হতাশ বোধ করছি। এখানে পড়া কিছু পোস্টের তুলনায়, আমার উদ্বেগ এবং বিষণ্ণতা অন্যদের মতো খারাপ নয়, কিন্তু প্রত্যেকেরই নিজস্ব সংগ্রাম আছে, তাই না? সম্প্রতি এটি আরও খারাপ হয়েছে, এবং আমি যে চিন্তাভাবনাগুলিকে ভুল এবং হাস্যকর বলে জানি তার সাথে লড়াই কর"&amp;"তে হচ্ছে, এবং আমি খুব ক্লান্ত। আমি শারীরিকভাবে আমার মধ্যে উদ্বেগ অনুভব করতে পারি যা আমার বুককে শক্ত করে তোলে, আমার চোখের পাতা ভারী করে তোলে এবং আমার পেট জমে যায়, এবং এটি সর্বদা থাকে। এটি অনেক সময় হয়ে গেছে, এবং এটি সর্বদা থাকে, এবং আমি যাই করি না কেন এট"&amp;"ি চলে যাবে না। আমি এটি থেকে মুক্তি পেতে চাইছি কারণ আমি এটি থেকে মুক্তি পেতে চেষ্টা করছি। আমি কেবল এটি সম্পর্কে আরও চিন্তা করি, এবং তারপরে আমার মাথা খারাপ হয়ে যায় এবং এটি সবকিছু আরও খারাপ করে তোলে। আমি সম্প্রতি একজন মনোরোগ বিশেষজ্ঞের কাছেও গিয়েছিলাম যেখ"&amp;"ানে আমাকে একটি অ্যান্টিডিপ্রেসেন্ট প্রেসক্রাইব করা হয়েছিল, কিন্তু এটি আরও এক মাস ধরে কাজ শুরু করার কথা নয়। যদিও আমি বছরের পর বছর ধরে এই সমস্যায় ভুগছি, তবুও সাহায্যের যত কাছে আসছি, মাসটা তত দীর্ঘ মনে হচ্ছে এবং ওষুধের প্রভাবে এভাবে চলতে থাকাটা তত খারাপ লা"&amp;"গছে। আর কয়েক মাস আগে আমি এর সাথে ভালোভাবে মোকাবিলা করতে শুরু করেছিলাম এবং তারপর একটা ধাক্কা লেগেছে এবং আমার মনে হচ্ছে আমি আগের অবস্থানে ফিরে এসেছি। তারপর এমনকি যখন আমি একদিন উন্নতি করি, ঘুমাতে যাওয়ার সাথে সাথেই মনে হচ্ছে রিসেট বোতাম টিপছি, আর সবকিছু আবার"&amp;" শুরু হয়ে গেছে। প্রতিদিন প্রতি মিনিটে এই সমস্যা মোকাবেলা করতে করতে আমি ক্লান্ত হয়ে পড়ছি, এবং এখনই আশা হারিয়ে ফেলছি যে আমি ভালো হয়ে যাব। আমি নিশ্চিত এক সপ্তাহ বা তারও বেশি সময় পরে আমার অন্যরকম অনুভূতি হবে, কিন্তু এখন আমি হাল ছেড়ে দিতে চাই। তাছাড়া, আ"&amp;"মি শুধু জেগে থাকতে চাই, যেন কিছু ভুল হচ্ছে বলে মনে না হয় এবং সব সময় নার্ভাস থাকি।")</f>
        <v>আজ আমি সত্যিই হতাশ বোধ করছি। এখানে পড়া কিছু পোস্টের তুলনায়, আমার উদ্বেগ এবং বিষণ্ণতা অন্যদের মতো খারাপ নয়, কিন্তু প্রত্যেকেরই নিজস্ব সংগ্রাম আছে, তাই না? সম্প্রতি এটি আরও খারাপ হয়েছে, এবং আমি যে চিন্তাভাবনাগুলিকে ভুল এবং হাস্যকর বলে জানি তার সাথে লড়াই করতে হচ্ছে, এবং আমি খুব ক্লান্ত। আমি শারীরিকভাবে আমার মধ্যে উদ্বেগ অনুভব করতে পারি যা আমার বুককে শক্ত করে তোলে, আমার চোখের পাতা ভারী করে তোলে এবং আমার পেট জমে যায়, এবং এটি সর্বদা থাকে। এটি অনেক সময় হয়ে গেছে, এবং এটি সর্বদা থাকে, এবং আমি যাই করি না কেন এটি চলে যাবে না। আমি এটি থেকে মুক্তি পেতে চাইছি কারণ আমি এটি থেকে মুক্তি পেতে চেষ্টা করছি। আমি কেবল এটি সম্পর্কে আরও চিন্তা করি, এবং তারপরে আমার মাথা খারাপ হয়ে যায় এবং এটি সবকিছু আরও খারাপ করে তোলে। আমি সম্প্রতি একজন মনোরোগ বিশেষজ্ঞের কাছেও গিয়েছিলাম যেখানে আমাকে একটি অ্যান্টিডিপ্রেসেন্ট প্রেসক্রাইব করা হয়েছিল, কিন্তু এটি আরও এক মাস ধরে কাজ শুরু করার কথা নয়। যদিও আমি বছরের পর বছর ধরে এই সমস্যায় ভুগছি, তবুও সাহায্যের যত কাছে আসছি, মাসটা তত দীর্ঘ মনে হচ্ছে এবং ওষুধের প্রভাবে এভাবে চলতে থাকাটা তত খারাপ লাগছে। আর কয়েক মাস আগে আমি এর সাথে ভালোভাবে মোকাবিলা করতে শুরু করেছিলাম এবং তারপর একটা ধাক্কা লেগেছে এবং আমার মনে হচ্ছে আমি আগের অবস্থানে ফিরে এসেছি। তারপর এমনকি যখন আমি একদিন উন্নতি করি, ঘুমাতে যাওয়ার সাথে সাথেই মনে হচ্ছে রিসেট বোতাম টিপছি, আর সবকিছু আবার শুরু হয়ে গেছে। প্রতিদিন প্রতি মিনিটে এই সমস্যা মোকাবেলা করতে করতে আমি ক্লান্ত হয়ে পড়ছি, এবং এখনই আশা হারিয়ে ফেলছি যে আমি ভালো হয়ে যাব। আমি নিশ্চিত এক সপ্তাহ বা তারও বেশি সময় পরে আমার অন্যরকম অনুভূতি হবে, কিন্তু এখন আমি হাল ছেড়ে দিতে চাই। তাছাড়া, আমি শুধু জেগে থাকতে চাই, যেন কিছু ভুল হচ্ছে বলে মনে না হয় এবং সব সময় নার্ভাস থাকি।</v>
      </c>
    </row>
    <row r="2777" spans="1:3" ht="15" x14ac:dyDescent="0.25">
      <c r="A2777" s="3" t="s">
        <v>2770</v>
      </c>
      <c r="B2777" s="3" t="s">
        <v>1992</v>
      </c>
      <c r="C2777" s="4" t="str">
        <f ca="1">IFERROR(__xludf.DUMMYFUNCTION("GOOGLETRANSLATE(A2777, ""auto"", ""bn"")"),"উদ্বেগের জন্য ম্যাগনেসিয়াম? কেউ কি এটি ব্যবহার করে দেখেছেন? যদি তাই হয়, তাহলে আপনার কোন ডোজ দিয়ে শুরু করা উচিত? এছাড়াও, অনেক ধরণের ম্যাগনেসিয়াম আছে। পরামর্শ দিন! এবং সুবিধা/অসুবিধাও স্বাগত। :)")</f>
        <v>উদ্বেগের জন্য ম্যাগনেসিয়াম? কেউ কি এটি ব্যবহার করে দেখেছেন? যদি তাই হয়, তাহলে আপনার কোন ডোজ দিয়ে শুরু করা উচিত? এছাড়াও, অনেক ধরণের ম্যাগনেসিয়াম আছে। পরামর্শ দিন! এবং সুবিধা/অসুবিধাও স্বাগত। :)</v>
      </c>
    </row>
    <row r="2778" spans="1:3" ht="15" x14ac:dyDescent="0.25">
      <c r="A2778" s="3" t="s">
        <v>2771</v>
      </c>
      <c r="B2778" s="3" t="s">
        <v>1992</v>
      </c>
      <c r="C2778" s="4" t="str">
        <f ca="1">IFERROR(__xludf.DUMMYFUNCTION("GOOGLETRANSLATE(A2778, ""auto"", ""bn"")"),"এই অভিজ্ঞতা কেউ কি আগে এই ঔষধটি খেয়েছেন? গতকালই শুরু করেছি, এবং ভাবছিলাম এটি কাজ করতে কতক্ষণ সময় নেয় এবং আপনার অভিজ্ঞতা কেমন।")</f>
        <v>এই অভিজ্ঞতা কেউ কি আগে এই ঔষধটি খেয়েছেন? গতকালই শুরু করেছি, এবং ভাবছিলাম এটি কাজ করতে কতক্ষণ সময় নেয় এবং আপনার অভিজ্ঞতা কেমন।</v>
      </c>
    </row>
    <row r="2779" spans="1:3" ht="15" x14ac:dyDescent="0.25">
      <c r="A2779" s="3" t="s">
        <v>2772</v>
      </c>
      <c r="B2779" s="3" t="s">
        <v>1992</v>
      </c>
      <c r="C2779" s="4" t="str">
        <f ca="1">IFERROR(__xludf.DUMMYFUNCTION("GOOGLETRANSLATE(A2779, ""auto"", ""bn"")"),"কেউ কি মনে করে যে অ্যালকোহল তাদের উদ্বেগকে আরও খারাপ করে তোলে? আমি জানি অনেক উদ্বেগে ভোগা ব্যক্তি তাদের স্নায়ু শান্ত করার জন্য অ্যালকোহলের দিকে ঝুঁকে পড়ে, বিশেষ করে সামাজিক পরিস্থিতিতে। যদিও এটি আমার জন্য সাময়িকভাবে কাজ করে, আমি দেখতে পাই যে পরে (যখন আ"&amp;"মি একটি বিভ্রান্ত অবস্থায় থাকি) আমার উদ্বেগ লক্ষ গুণ বেশি খারাপ হয়ে যায়। অন্য কেউ?")</f>
        <v>কেউ কি মনে করে যে অ্যালকোহল তাদের উদ্বেগকে আরও খারাপ করে তোলে? আমি জানি অনেক উদ্বেগে ভোগা ব্যক্তি তাদের স্নায়ু শান্ত করার জন্য অ্যালকোহলের দিকে ঝুঁকে পড়ে, বিশেষ করে সামাজিক পরিস্থিতিতে। যদিও এটি আমার জন্য সাময়িকভাবে কাজ করে, আমি দেখতে পাই যে পরে (যখন আমি একটি বিভ্রান্ত অবস্থায় থাকি) আমার উদ্বেগ লক্ষ গুণ বেশি খারাপ হয়ে যায়। অন্য কেউ?</v>
      </c>
    </row>
    <row r="2780" spans="1:3" ht="15" x14ac:dyDescent="0.25">
      <c r="A2780" s="3" t="s">
        <v>2773</v>
      </c>
      <c r="B2780" s="3" t="s">
        <v>1992</v>
      </c>
      <c r="C2780" s="4" t="str">
        <f ca="1">IFERROR(__xludf.DUMMYFUNCTION("GOOGLETRANSLATE(A2780, ""auto"", ""bn"")"),"GAD-এর জন্য ডায়াজেপাম প্রেসক্রাইব করা হয়েছে, এটা কি সাহায্য করবে? প্রথমবারের মতো পোস্টারটি এখানে, গত কয়েক মাস ধরে আমার সাধারণ উদ্বেগ / বিষণ্ণতার ভয়ানক প্রবণতা ছিল, এবং অবশেষে এটি এতটাই খারাপ হয়ে গেল যে আমি এটি নিয়ে ডাক্তারের কাছে গিয়েছিলাম। আমাকে 5"&amp;" মিলিগ্রাম ভ্যালিয়াম প্রেসক্রাইব করা হয়েছে, কিন্তু আমি এটি গ্রহণ সম্পর্কে চিন্তিত (সম্ভবত আবার উদ্বেগ....) আমি পড়েছি যে এগুলি সত্যিই আসক্তিকর হতে পারে এবং কাজ করা বন্ধ করে দিতে পারে ইত্যাদি। বন্ধুরা এবং মেয়েরা কোন পরামর্শ? এগুলি কি সাহায্য করবে ধন্যবা"&amp;"দ।")</f>
        <v>GAD-এর জন্য ডায়াজেপাম প্রেসক্রাইব করা হয়েছে, এটা কি সাহায্য করবে? প্রথমবারের মতো পোস্টারটি এখানে, গত কয়েক মাস ধরে আমার সাধারণ উদ্বেগ / বিষণ্ণতার ভয়ানক প্রবণতা ছিল, এবং অবশেষে এটি এতটাই খারাপ হয়ে গেল যে আমি এটি নিয়ে ডাক্তারের কাছে গিয়েছিলাম। আমাকে 5 মিলিগ্রাম ভ্যালিয়াম প্রেসক্রাইব করা হয়েছে, কিন্তু আমি এটি গ্রহণ সম্পর্কে চিন্তিত (সম্ভবত আবার উদ্বেগ....) আমি পড়েছি যে এগুলি সত্যিই আসক্তিকর হতে পারে এবং কাজ করা বন্ধ করে দিতে পারে ইত্যাদি। বন্ধুরা এবং মেয়েরা কোন পরামর্শ? এগুলি কি সাহায্য করবে ধন্যবাদ।</v>
      </c>
    </row>
    <row r="2781" spans="1:3" ht="15" x14ac:dyDescent="0.25">
      <c r="A2781" s="3" t="s">
        <v>2774</v>
      </c>
      <c r="B2781" s="3" t="s">
        <v>1992</v>
      </c>
      <c r="C2781" s="4" t="str">
        <f ca="1">IFERROR(__xludf.DUMMYFUNCTION("GOOGLETRANSLATE(A2781, ""auto"", ""bn"")"),"অতিরিক্ত চিন্তাভাবনার পরামর্শ? সম্প্রতি আমি গত কয়েকদিনে আমার করা প্রতিটি ছোট ছোট কাজ নিয়ে অতিরিক্ত চিন্তা করছি, সমালোচনা করছি এবং ভাবছি যে তারা কতটা বোকা ছিল, এবং আমার আরও ভালোভাবে কাজ করা উচিত ছিল। আমি অদূর ভবিষ্যতে কী ঘটবে তা নিয়েও জোর দিচ্ছি। আমার ম"&amp;"াথার পিছনের ছোট্ট কণ্ঠস্বর সবসময় আমাকে বলে যে সবকিছুই ব্যর্থ হবে। আমার কোনও প্রেরণা বা অনুপ্রেরণা নেই। ছোট ছোট, বোকা জিনিস নিয়ে অতিরিক্ত চিন্তাভাবনা করার সাথে তোমরা কীভাবে মোকাবিলা করো?")</f>
        <v>অতিরিক্ত চিন্তাভাবনার পরামর্শ? সম্প্রতি আমি গত কয়েকদিনে আমার করা প্রতিটি ছোট ছোট কাজ নিয়ে অতিরিক্ত চিন্তা করছি, সমালোচনা করছি এবং ভাবছি যে তারা কতটা বোকা ছিল, এবং আমার আরও ভালোভাবে কাজ করা উচিত ছিল। আমি অদূর ভবিষ্যতে কী ঘটবে তা নিয়েও জোর দিচ্ছি। আমার মাথার পিছনের ছোট্ট কণ্ঠস্বর সবসময় আমাকে বলে যে সবকিছুই ব্যর্থ হবে। আমার কোনও প্রেরণা বা অনুপ্রেরণা নেই। ছোট ছোট, বোকা জিনিস নিয়ে অতিরিক্ত চিন্তাভাবনা করার সাথে তোমরা কীভাবে মোকাবিলা করো?</v>
      </c>
    </row>
    <row r="2782" spans="1:3" ht="15" x14ac:dyDescent="0.25">
      <c r="A2782" s="3" t="s">
        <v>2775</v>
      </c>
      <c r="B2782" s="3" t="s">
        <v>1992</v>
      </c>
      <c r="C2782" s="4" t="str">
        <f ca="1">IFERROR(__xludf.DUMMYFUNCTION("GOOGLETRANSLATE(A2782, ""auto"", ""bn"")"),"আমি আমার ল্যাপটপে পানি ছিটিয়েছি, এবং মনে হচ্ছে এটি স্বাভাবিকভাবে কাজ করছে, কিন্তু এখন আমি কাঁপতে পারছি না, আমি শান্ত হতে পারছি না। আমার মাইক্রোসফ্ট সারফেসে ক্ষতি হওয়ার পর দুই ঘন্টা হয়ে গেছে, এবং আমার রুমমেট আমাকে আশ্বস্ত করার চেষ্টা করছে যে সবকিছু ঠিক "&amp;"আছে কারণ আমার ল্যাপটপ স্বাভাবিকভাবে কাজ করছে যেন কিছুই হয়নি, কিন্তু আমি এখনও শান্ত হতে পারছি না, এবং আমি খুব অসুস্থ বোধ করছি। এখন যদি এটি ঠিক থাকে, কিন্তু পরে এটি কাজ করা বন্ধ করে দেয়? আমি নিজেকে বিশ্বাস করার চেষ্টা করছি যে যদি ক্ষতি হয় তবে এটি এখন কাজ"&amp;" করবে না। আমি ভয় পাচ্ছি। এটি সত্যিই ব্যয়বহুল ছিল। আমার বাবা যদি জানতে পারেন তবে তিনি আমাকে মেরে ফেলবেন। আমি এই অনুভূতি ঘৃণা করি। আমি এমনকি জানি না এটি এর জন্য সঠিক সাব কিনা। তদুপরি, আমি ইতিমধ্যেই r/laptops-এ পোস্ট করেছি যাতে জিজ্ঞাসা করা হয় যে আমার ল্য"&amp;"াপটপ ঠিক আছে কিনা এবং কী ঘটেছে তা আরও বিস্তারিতভাবে বর্ণনা করা হয়েছে, এবং আমি মনে করি সম্ভবত এই পোস্টটি r/rant-এর। তদুপরি, আমার শান্ত হওয়া দরকার কিন্তু আমি পারছি না। তদুপরি, আমি জানি না আমার কী সমস্যা হয়েছে। তাছাড়া, এতদিন ধরে আমার আর কখনও এরকম অনুভূতি "&amp;"হয়নি - দুই ঘন্টা! সাধারণত আমি সেই সময়ের আগে শান্ত হতে শুরু করি। আমার মনে হয় আমার ল্যাপটপে পানি পড়লে হয়তো কিছু ট্রিগার বেরিয়ে গেছে যা আমার আরও অনেক সমস্যার সৃষ্টি করেছে এবং আমাকে ভয় পাওয়ার একটা অজুহাত দিয়েছে। কিন্তু তা ছাড়াও, আমি আমার ল্যাপটপ নিয়ে চিন্তিত।"&amp;" আমি এর সমস্ত ফাংশন (যেমন শব্দ, টাইপিং, টাচস্ক্রিন ইত্যাদি) পরীক্ষা করেছি এবং এটি স্বাভাবিকভাবে কাজ করছে বলে মনে হচ্ছে, কিন্তু আমি ভয় পাচ্ছি। আমাকে কেবল জোর করে শান্ত হতে বলা দরকার। তাছাড়া, আমার মনে হচ্ছে লোকেরা আমার উপর বিরক্ত হয় এবং আমাকে চুপ থাকতে এবং "&amp;"মানসিক আচরণ বন্ধ করতে বলতে চায়। আমি জানি না কী করব। আমার মনে হচ্ছে এখনই আমার সাথে কথা বলার মতো কেউ নেই। আমি আমার রুমমেটকে ফোন করেছি, কিন্তু আমার মনে হচ্ছে আমি ভয় পাচ্ছি না যে আমি ভয় পাচ্ছি। আমার দাঁত বকবক করছে, যখন আমি নার্ভাস হই, অথবা যা-ই হোক, তারা তা ক"&amp;"রে। আমি আমার বন্ধুর সাথে যোগাযোগ করার চেষ্টা করেছি, কিন্তু সে সাড়া দেয়নি, এবং আমি কেবল এমন একজনকে চাই যে আমার সাথে মিথ্যা কথা বলবে না এবং যে আমার অনুভূতি সম্পর্কে সৎভাবে চিন্তা করবে। আমি সমর্থন অনুভব করতে চাই। তদুপরি, আমি হাই স্কুলের প্রথম বর্ষ থেকেই আম"&amp;"ার বন্ধুর সাথে ঘনিষ্ঠ ছিলাম, কিন্তু মাঝে মাঝে আমার মনে হয় আমি যোগাযোগ করছি না। তদুপরি, আমার কেবল কারও সাথে কথা বলা এবং তাদের কণ্ঠস্বর শুনতে হবে অথবা কেবল জানতে হবে যে তারা সত্যিই আমার যত্ন করে। তদুপরি, আমি এই পরিস্থিতিতে থাকতে এবং এমন কাউকে না পেয়ে ঘৃণা"&amp;" করি। তদুপরি, আমি খুব একা বোধ করি। এর কোনও অর্থ হয় না। আমি ভেঙে পড়ছি, এবং সোমবার থেকে আমার কলেজের দ্বিতীয় সেমিস্টার শুরু হচ্ছে। আমি জানি না আমি আর এইসব কিছু সামলাতে পারব কিনা। এটি এমন একটা জিনিসের মতো, এবং এটি আমাকে হতাশ করে, এবং আমি সবকিছুতে একটি ঘটনা"&amp;" সম্পর্কে আমার কেমন অনুভূতি হয় তা প্রজেক্ট করতে শুরু করি এবং আমি সবচেয়ে খারাপ পরিস্থিতি কল্পনা করতে থাকি। আমি জানতে চাই যে আমার ল্যাপটপ ঠিক থাকবে কিনা। (এখানে যে কোনও প্রযুক্তিবিদ, আসুন কী ঘটেছে তা নিয়ে কথা বলি? আমি উদ্বিগ্ন।) আমি জানতে চাই আমি ঠিক থাক"&amp;"ব। আমার জীবনের মতো। আমি জানতে চাই যে আমি যেন একটা ভালো ক্যারিয়ার পাই, একজন ভালো মানুষ পাই, সন্তান পাই এবং খুশি হই। আমি এখন এই বোকা বোকা কথা বলা বন্ধ করতে যাচ্ছি। তাছাড়া, আমি বিশ্বাস করতে পারছি না যে আমি আমার ল্যাপটপে পানি ঢেলে দিয়েছি। তাছাড়া, আমি খুবই "&amp;"খারাপ। এমনকি নিশ্চিত নই যে এটি এর জন্য সঠিক সাব কিনা, সম্ভবত না। যারা এতদূর পড়েছেন তাদের সকলকে ধন্যবাদ।")</f>
        <v>আমি আমার ল্যাপটপে পানি ছিটিয়েছি, এবং মনে হচ্ছে এটি স্বাভাবিকভাবে কাজ করছে, কিন্তু এখন আমি কাঁপতে পারছি না, আমি শান্ত হতে পারছি না। আমার মাইক্রোসফ্ট সারফেসে ক্ষতি হওয়ার পর দুই ঘন্টা হয়ে গেছে, এবং আমার রুমমেট আমাকে আশ্বস্ত করার চেষ্টা করছে যে সবকিছু ঠিক আছে কারণ আমার ল্যাপটপ স্বাভাবিকভাবে কাজ করছে যেন কিছুই হয়নি, কিন্তু আমি এখনও শান্ত হতে পারছি না, এবং আমি খুব অসুস্থ বোধ করছি। এখন যদি এটি ঠিক থাকে, কিন্তু পরে এটি কাজ করা বন্ধ করে দেয়? আমি নিজেকে বিশ্বাস করার চেষ্টা করছি যে যদি ক্ষতি হয় তবে এটি এখন কাজ করবে না। আমি ভয় পাচ্ছি। এটি সত্যিই ব্যয়বহুল ছিল। আমার বাবা যদি জানতে পারেন তবে তিনি আমাকে মেরে ফেলবেন। আমি এই অনুভূতি ঘৃণা করি। আমি এমনকি জানি না এটি এর জন্য সঠিক সাব কিনা। তদুপরি, আমি ইতিমধ্যেই r/laptops-এ পোস্ট করেছি যাতে জিজ্ঞাসা করা হয় যে আমার ল্যাপটপ ঠিক আছে কিনা এবং কী ঘটেছে তা আরও বিস্তারিতভাবে বর্ণনা করা হয়েছে, এবং আমি মনে করি সম্ভবত এই পোস্টটি r/rant-এর। তদুপরি, আমার শান্ত হওয়া দরকার কিন্তু আমি পারছি না। তদুপরি, আমি জানি না আমার কী সমস্যা হয়েছে। তাছাড়া, এতদিন ধরে আমার আর কখনও এরকম অনুভূতি হয়নি - দুই ঘন্টা! সাধারণত আমি সেই সময়ের আগে শান্ত হতে শুরু করি। আমার মনে হয় আমার ল্যাপটপে পানি পড়লে হয়তো কিছু ট্রিগার বেরিয়ে গেছে যা আমার আরও অনেক সমস্যার সৃষ্টি করেছে এবং আমাকে ভয় পাওয়ার একটা অজুহাত দিয়েছে। কিন্তু তা ছাড়াও, আমি আমার ল্যাপটপ নিয়ে চিন্তিত। আমি এর সমস্ত ফাংশন (যেমন শব্দ, টাইপিং, টাচস্ক্রিন ইত্যাদি) পরীক্ষা করেছি এবং এটি স্বাভাবিকভাবে কাজ করছে বলে মনে হচ্ছে, কিন্তু আমি ভয় পাচ্ছি। আমাকে কেবল জোর করে শান্ত হতে বলা দরকার। তাছাড়া, আমার মনে হচ্ছে লোকেরা আমার উপর বিরক্ত হয় এবং আমাকে চুপ থাকতে এবং মানসিক আচরণ বন্ধ করতে বলতে চায়। আমি জানি না কী করব। আমার মনে হচ্ছে এখনই আমার সাথে কথা বলার মতো কেউ নেই। আমি আমার রুমমেটকে ফোন করেছি, কিন্তু আমার মনে হচ্ছে আমি ভয় পাচ্ছি না যে আমি ভয় পাচ্ছি। আমার দাঁত বকবক করছে, যখন আমি নার্ভাস হই, অথবা যা-ই হোক, তারা তা করে। আমি আমার বন্ধুর সাথে যোগাযোগ করার চেষ্টা করেছি, কিন্তু সে সাড়া দেয়নি, এবং আমি কেবল এমন একজনকে চাই যে আমার সাথে মিথ্যা কথা বলবে না এবং যে আমার অনুভূতি সম্পর্কে সৎভাবে চিন্তা করবে। আমি সমর্থন অনুভব করতে চাই। তদুপরি, আমি হাই স্কুলের প্রথম বর্ষ থেকেই আমার বন্ধুর সাথে ঘনিষ্ঠ ছিলাম, কিন্তু মাঝে মাঝে আমার মনে হয় আমি যোগাযোগ করছি না। তদুপরি, আমার কেবল কারও সাথে কথা বলা এবং তাদের কণ্ঠস্বর শুনতে হবে অথবা কেবল জানতে হবে যে তারা সত্যিই আমার যত্ন করে। তদুপরি, আমি এই পরিস্থিতিতে থাকতে এবং এমন কাউকে না পেয়ে ঘৃণা করি। তদুপরি, আমি খুব একা বোধ করি। এর কোনও অর্থ হয় না। আমি ভেঙে পড়ছি, এবং সোমবার থেকে আমার কলেজের দ্বিতীয় সেমিস্টার শুরু হচ্ছে। আমি জানি না আমি আর এইসব কিছু সামলাতে পারব কিনা। এটি এমন একটা জিনিসের মতো, এবং এটি আমাকে হতাশ করে, এবং আমি সবকিছুতে একটি ঘটনা সম্পর্কে আমার কেমন অনুভূতি হয় তা প্রজেক্ট করতে শুরু করি এবং আমি সবচেয়ে খারাপ পরিস্থিতি কল্পনা করতে থাকি। আমি জানতে চাই যে আমার ল্যাপটপ ঠিক থাকবে কিনা। (এখানে যে কোনও প্রযুক্তিবিদ, আসুন কী ঘটেছে তা নিয়ে কথা বলি? আমি উদ্বিগ্ন।) আমি জানতে চাই আমি ঠিক থাকব। আমার জীবনের মতো। আমি জানতে চাই যে আমি যেন একটা ভালো ক্যারিয়ার পাই, একজন ভালো মানুষ পাই, সন্তান পাই এবং খুশি হই। আমি এখন এই বোকা বোকা কথা বলা বন্ধ করতে যাচ্ছি। তাছাড়া, আমি বিশ্বাস করতে পারছি না যে আমি আমার ল্যাপটপে পানি ঢেলে দিয়েছি। তাছাড়া, আমি খুবই খারাপ। এমনকি নিশ্চিত নই যে এটি এর জন্য সঠিক সাব কিনা, সম্ভবত না। যারা এতদূর পড়েছেন তাদের সকলকে ধন্যবাদ।</v>
      </c>
    </row>
    <row r="2783" spans="1:3" ht="15" x14ac:dyDescent="0.25">
      <c r="A2783" s="3" t="s">
        <v>2776</v>
      </c>
      <c r="B2783" s="3" t="s">
        <v>1992</v>
      </c>
      <c r="C2783" s="4" t="str">
        <f ca="1">IFERROR(__xludf.DUMMYFUNCTION("GOOGLETRANSLATE(A2783, ""auto"", ""bn"")"),"আমি নতুন বন্ধু বানাতে চাই, কিন্তু আমার উদ্বেগ আমাকে মূলত এইভাবে চলতে দিচ্ছে না যে আমি গত গ্রীষ্মে অন্য শহরে চলে এসেছি এবং পুরো একটি কলেজ সেমিস্টার পরেও, আমার এখনও কোনও বন্ধু নেই (যাদের সাথে আমি শারীরিকভাবে আড্ডা দিতে পারি)। স্কুল আবার শুরু হতে আমার কাছে প"&amp;"ুরো এক মাসেরও কম সময় আছে এবং আমার কাজ ছাড়া আর কিছুই করার নেই এবং যখন আমি কাজে থাকি না তখন সারাদিন আমার ঘরে লুকিয়ে থাকি। এমন একজন ব্যক্তির জন্য আপনি কী সুপারিশ করবেন যিনি এমন জায়গায় বন্ধু বানাতে চান যেখানে তিনি একেবারেই কাউকে চেনেন না, কিন্তু বাইরে গি"&amp;"য়ে মানুষের সাথে দেখা করতে এবং সামাজিকীকরণ করতে খুব ভয় পান? যদি আপনি আমার মতো পরিস্থিতিতে থাকেন, তাহলে আপনি কীভাবে বন্ধু বানালেন? কেউ জিজ্ঞাসা করার আগেই, আমি কলেজে বন্ধু বানাতে *চেষ্টা* করেছি কিন্তু শেষবার চেষ্টা করার সময় **ভালো** হয়নি* এবং তারপর থেকে "&amp;"আমি যাদের চিনি না তাদের সাথে কথোপকথন শুরু করতে আরও ভয় পাচ্ছি। :-)")</f>
        <v>আমি নতুন বন্ধু বানাতে চাই, কিন্তু আমার উদ্বেগ আমাকে মূলত এইভাবে চলতে দিচ্ছে না যে আমি গত গ্রীষ্মে অন্য শহরে চলে এসেছি এবং পুরো একটি কলেজ সেমিস্টার পরেও, আমার এখনও কোনও বন্ধু নেই (যাদের সাথে আমি শারীরিকভাবে আড্ডা দিতে পারি)। স্কুল আবার শুরু হতে আমার কাছে পুরো এক মাসেরও কম সময় আছে এবং আমার কাজ ছাড়া আর কিছুই করার নেই এবং যখন আমি কাজে থাকি না তখন সারাদিন আমার ঘরে লুকিয়ে থাকি। এমন একজন ব্যক্তির জন্য আপনি কী সুপারিশ করবেন যিনি এমন জায়গায় বন্ধু বানাতে চান যেখানে তিনি একেবারেই কাউকে চেনেন না, কিন্তু বাইরে গিয়ে মানুষের সাথে দেখা করতে এবং সামাজিকীকরণ করতে খুব ভয় পান? যদি আপনি আমার মতো পরিস্থিতিতে থাকেন, তাহলে আপনি কীভাবে বন্ধু বানালেন? কেউ জিজ্ঞাসা করার আগেই, আমি কলেজে বন্ধু বানাতে *চেষ্টা* করেছি কিন্তু শেষবার চেষ্টা করার সময় **ভালো** হয়নি* এবং তারপর থেকে আমি যাদের চিনি না তাদের সাথে কথোপকথন শুরু করতে আরও ভয় পাচ্ছি। :-)</v>
      </c>
    </row>
    <row r="2784" spans="1:3" ht="15" x14ac:dyDescent="0.25">
      <c r="A2784" s="3" t="s">
        <v>2777</v>
      </c>
      <c r="B2784" s="3" t="s">
        <v>1992</v>
      </c>
      <c r="C2784" s="4" t="str">
        <f ca="1">IFERROR(__xludf.DUMMYFUNCTION("GOOGLETRANSLATE(A2784, ""auto"", ""bn"")"),"আমি যদি দুশ্চিন্তা না করতাম, তাহলে আমি আমার পছন্দের জীবনযাপন করার জন্য যথেষ্ট সাহসী হতে পারতাম। আমি খুবই কাপুরুষ। তাছাড়া, আমি যদি অসাবধানতাবশত বাঁচতে পারতাম। তাছাড়া, আমি যদি আমার জিনিসপত্র গুছিয়ে যে দেশে যেতে চাই সেখানে চলে যেতে পারতাম। যদি আমি সাহসী হ"&amp;"তাম, তাহলে আমি কলেজ ছেড়ে দিতাম এবং লেখক হওয়ার স্বপ্ন পূরণ করতাম। আমি যাকে ভালোবাসি তাকে আমার অনুভূতি জানাতাম। আমি নিজেকে আরও বেশি করে প্রকাশ করতাম এবং নতুন মানুষের সাথে দেখা করতাম। দুশ্চিন্তা আমাকে আমার পছন্দের জীবনযাপন থেকে বিরত রাখে এবং এর জন্য আমি নি"&amp;"জেকে ঘৃণা করি। সবচেয়ে খারাপ দিক হল আমার মনে হয় এর কোনও প্রতিকার নেই। আমি আমার জীবনের শেষ অবধি এভাবেই আটকে আছি।")</f>
        <v>আমি যদি দুশ্চিন্তা না করতাম, তাহলে আমি আমার পছন্দের জীবনযাপন করার জন্য যথেষ্ট সাহসী হতে পারতাম। আমি খুবই কাপুরুষ। তাছাড়া, আমি যদি অসাবধানতাবশত বাঁচতে পারতাম। তাছাড়া, আমি যদি আমার জিনিসপত্র গুছিয়ে যে দেশে যেতে চাই সেখানে চলে যেতে পারতাম। যদি আমি সাহসী হতাম, তাহলে আমি কলেজ ছেড়ে দিতাম এবং লেখক হওয়ার স্বপ্ন পূরণ করতাম। আমি যাকে ভালোবাসি তাকে আমার অনুভূতি জানাতাম। আমি নিজেকে আরও বেশি করে প্রকাশ করতাম এবং নতুন মানুষের সাথে দেখা করতাম। দুশ্চিন্তা আমাকে আমার পছন্দের জীবনযাপন থেকে বিরত রাখে এবং এর জন্য আমি নিজেকে ঘৃণা করি। সবচেয়ে খারাপ দিক হল আমার মনে হয় এর কোনও প্রতিকার নেই। আমি আমার জীবনের শেষ অবধি এভাবেই আটকে আছি।</v>
      </c>
    </row>
    <row r="2785" spans="1:3" ht="15" x14ac:dyDescent="0.25">
      <c r="A2785" s="3" t="s">
        <v>2778</v>
      </c>
      <c r="B2785" s="3" t="s">
        <v>1992</v>
      </c>
      <c r="C2785" s="4" t="str">
        <f ca="1">IFERROR(__xludf.DUMMYFUNCTION("GOOGLETRANSLATE(A2785, ""auto"", ""bn"")"),"তীব্র ব্যথা কারো কি কখনও সারা শরীরে দিনে একাধিকবার তীব্র গুলি করার ব্যথা হয়? আমার এই মুহূর্তে আমার পায়ে একটি আছে, এবং এটি কেবল একটি অবিরাম ছুরিকাঘাতের অনুভূতি। এটি সর্বদা নড়াচড়া করে, আমি প্রতিবার আমার শরীরের বিভিন্ন অংশে ব্যথা অনুভব করি এবং এটি প্রায়"&amp;" ৫ মিনিট স্থায়ী হয়। আমি ভাবছি কেউ কি এটি অনুভব করে?")</f>
        <v>তীব্র ব্যথা কারো কি কখনও সারা শরীরে দিনে একাধিকবার তীব্র গুলি করার ব্যথা হয়? আমার এই মুহূর্তে আমার পায়ে একটি আছে, এবং এটি কেবল একটি অবিরাম ছুরিকাঘাতের অনুভূতি। এটি সর্বদা নড়াচড়া করে, আমি প্রতিবার আমার শরীরের বিভিন্ন অংশে ব্যথা অনুভব করি এবং এটি প্রায় ৫ মিনিট স্থায়ী হয়। আমি ভাবছি কেউ কি এটি অনুভব করে?</v>
      </c>
    </row>
    <row r="2786" spans="1:3" ht="15" x14ac:dyDescent="0.25">
      <c r="A2786" s="3" t="s">
        <v>2779</v>
      </c>
      <c r="B2786" s="3" t="s">
        <v>1992</v>
      </c>
      <c r="C2786" s="4" t="str">
        <f ca="1">IFERROR(__xludf.DUMMYFUNCTION("GOOGLETRANSLATE(A2786, ""auto"", ""bn"")"),"এই উদ্বেগ ""ট্রিগার"" কাটিয়ে ওঠার টিপস? ঠিক কী বলবো বুঝতে পারছি না, আমি মনে করি এটি একটি ট্রিগার কিন্তু IDK। আমার বিড়ালদের ঘিরে আমার ভয়ানক উদ্বেগ রয়েছে। এতটাই যে এখন এটি টাইপ করলেই আমার কান্না পাচ্ছে। আমার বয়স ২০ এর কোঠার প্রথম দিকে এবং আমার জীবনে ১১"&amp;" টি বিড়াল আছে, যার মধ্যে এখন আমার ৩ টি। এর আগে সবগুলোই বাইরে থাকার কারণে মারা গেছে। গাড়ির ধাক্কায়, বন্য প্রাণীর খেয়ে ইত্যাদি। আমার সাধারণত উদ্বেগ থাকে, কিন্তু এত বিড়াল প্রেমী হওয়া এবং এত বেশি বেদনাদায়ক উপায়ে তাদের সময়ের আগে মারা যাওয়ার কারণে আমা"&amp;"র বিড়ালদের নিয়ে চিন্তা করার সময় আমার উদ্বেগ আরও ভয়াবহ হয়ে উঠেছে। আমি এমনকি এটির সাথে অদ্ভুত OCD তৈরি করেছি যেখানে আমি আমার মোজা সামান্যতমও মেলাতে পারি না বা একটি বিড়াল মারা যাবে। তদুপরি, আমি জানি এটি আসলে সত্য নয়, তবে আমার মস্তিষ্ক আমাকে এটি ভাবতে "&amp;"প্ররোচিত করে। যাই হোক, এই বছরের শুরুতে যখন আমাদের শেষ বিড়ালটি মারা গিয়েছিল তখন আমার মা আমাকে একটি বহিরঙ্গন ঘের তৈরি করতে সাহায্য করেছিলেন। আমি ১৩ বছর বয়স থেকেই তাকে রেখেছিলাম, এবং এটি আমার জন্য সত্যিই কঠিন ছিল/এখনও। তার সাথে আমার সত্যিই একটা দৃঢ় সম্পর"&amp;"্ক ছিল, অন্য যেকোনো বিড়ালের চেয়েও বেশি। তাছাড়া, আমি অবশেষে আমার মাকে আমাদের বিড়ালদের ঘরের ভেতরে/ভিতরে রাখতে রাজি করাতে সক্ষম হয়েছিলাম, বিশেষ করে যখন সে বাড়িতে একটি নতুন বিড়ালছানা নিয়ে আসে। আমাদের অন্য দুটি বিড়াল যারা বাইরে যেতে অভ্যস্ত ছিল, বিশেষ"&amp;" করে স্পাঙ্কি, বিশেষ করে আমার বিড়াল, তাদের জন্য এটি এক ধরণের কঠিন পরিবর্তন ছিল। এখন পরিস্থিতি অনেক ভালো হয়ে গেছে, কিন্তু সে এখনও মাঝে মাঝে বাইরে যাওয়ার জন্য মিউ করে। আমি কেবল তার জন্য বিড়ালের দরজা খুলে দেব যাতে সে ঘরের ভেতরে যায় কিন্তু যদি আমার বাবা "&amp;"বাড়িতে থাকে তবে সে তাকে সরাসরি বাইরে যেতে দেয়। সে সাধারণত কয়েক ঘন্টার মধ্যে ফিরে আসে, কিন্তু তবুও আমার চিন্তা থামায় না। প্রায় এক সপ্তাহ আগে মুষলধারে বৃষ্টি হচ্ছিল, এবং সে সারা দিন/রাত ঘুমানোর আগে পর্যন্ত ফিরে আসেনি। আমার মা এমনকি রাস্তার দিকে তাকিয়ে"&amp;" চিন্তিত ছিলেন যে সে মারা গেছে কিনা তা নিশ্চিত করতে। আমি আক্ষরিক অর্থেই প্রতিদিন আমার বাবাকে তাকে বাইরে না যেতে বলেছি, এবং সে এখনও করে। আমি অনেক সদয়ভাবে অনুরোধ করেছি, আর আমিই সবসময় লিটার বাক্স পরিষ্কার করি এবং তাদের খাওয়াই, তাই এটা আমার বাবার উপর কোনও বোঝ"&amp;"া বলে মনে হয় না। তিনি তো পরোয়া করেন না। আমার মনে হয় মাঝে মাঝে যদি দিনের বেলায় হয় তাহলে আমি এটা নিয়ে বাঁচতে পারতাম। কিন্তু এটা সবসময়ই হয়। একাকী। দিনের বেলায়। আর সে সবসময় রাতে তাকে বাইরে বের হতে দেয়?? আমার মনে হয় সে আমার ঘরে না আসা পর্যন্ত অপেক্ষা করে, যেহে"&amp;"তু আমি সাধারণত দিনের বেলায় জেগে থাকি, তাই সে অপেক্ষা করে যে আমি তাকে বাইরে বের হতে দেই যাতে আমি তাকে দেখতে না পাই। কিন্তু আমি এখনও জানি এটা ঘটে, আর আমার বিড়ালটি ভেতরে ফিরে না আসা পর্যন্ত আমার ক্রমাগত উদ্বেগ থাকে। এটা সত্যিই আমাকে ক্লান্ত করতে শুরু করেছে। "&amp;"আমি একটি নিখুঁত মানসিক স্বাস্থ্যের দিন কাটাতে পারি, কিন্তু তারপর এটি সবকিছু নষ্ট করে দেবে। দুঃখিত, এটা অনেক দীর্ঘ... কিন্তু আমি সত্যিই কিছু সাহায্য চাই। আমার বাবা বদলাবেন না, তাই আমি মনে করি আমাকে বদলাতে হবে, কিন্তু আমি নিশ্চিত নই কিভাবে।")</f>
        <v>এই উদ্বেগ "ট্রিগার" কাটিয়ে ওঠার টিপস? ঠিক কী বলবো বুঝতে পারছি না, আমি মনে করি এটি একটি ট্রিগার কিন্তু IDK। আমার বিড়ালদের ঘিরে আমার ভয়ানক উদ্বেগ রয়েছে। এতটাই যে এখন এটি টাইপ করলেই আমার কান্না পাচ্ছে। আমার বয়স ২০ এর কোঠার প্রথম দিকে এবং আমার জীবনে ১১ টি বিড়াল আছে, যার মধ্যে এখন আমার ৩ টি। এর আগে সবগুলোই বাইরে থাকার কারণে মারা গেছে। গাড়ির ধাক্কায়, বন্য প্রাণীর খেয়ে ইত্যাদি। আমার সাধারণত উদ্বেগ থাকে, কিন্তু এত বিড়াল প্রেমী হওয়া এবং এত বেশি বেদনাদায়ক উপায়ে তাদের সময়ের আগে মারা যাওয়ার কারণে আমার বিড়ালদের নিয়ে চিন্তা করার সময় আমার উদ্বেগ আরও ভয়াবহ হয়ে উঠেছে। আমি এমনকি এটির সাথে অদ্ভুত OCD তৈরি করেছি যেখানে আমি আমার মোজা সামান্যতমও মেলাতে পারি না বা একটি বিড়াল মারা যাবে। তদুপরি, আমি জানি এটি আসলে সত্য নয়, তবে আমার মস্তিষ্ক আমাকে এটি ভাবতে প্ররোচিত করে। যাই হোক, এই বছরের শুরুতে যখন আমাদের শেষ বিড়ালটি মারা গিয়েছিল তখন আমার মা আমাকে একটি বহিরঙ্গন ঘের তৈরি করতে সাহায্য করেছিলেন। আমি ১৩ বছর বয়স থেকেই তাকে রেখেছিলাম, এবং এটি আমার জন্য সত্যিই কঠিন ছিল/এখনও। তার সাথে আমার সত্যিই একটা দৃঢ় সম্পর্ক ছিল, অন্য যেকোনো বিড়ালের চেয়েও বেশি। তাছাড়া, আমি অবশেষে আমার মাকে আমাদের বিড়ালদের ঘরের ভেতরে/ভিতরে রাখতে রাজি করাতে সক্ষম হয়েছিলাম, বিশেষ করে যখন সে বাড়িতে একটি নতুন বিড়ালছানা নিয়ে আসে। আমাদের অন্য দুটি বিড়াল যারা বাইরে যেতে অভ্যস্ত ছিল, বিশেষ করে স্পাঙ্কি, বিশেষ করে আমার বিড়াল, তাদের জন্য এটি এক ধরণের কঠিন পরিবর্তন ছিল। এখন পরিস্থিতি অনেক ভালো হয়ে গেছে, কিন্তু সে এখনও মাঝে মাঝে বাইরে যাওয়ার জন্য মিউ করে। আমি কেবল তার জন্য বিড়ালের দরজা খুলে দেব যাতে সে ঘরের ভেতরে যায় কিন্তু যদি আমার বাবা বাড়িতে থাকে তবে সে তাকে সরাসরি বাইরে যেতে দেয়। সে সাধারণত কয়েক ঘন্টার মধ্যে ফিরে আসে, কিন্তু তবুও আমার চিন্তা থামায় না। প্রায় এক সপ্তাহ আগে মুষলধারে বৃষ্টি হচ্ছিল, এবং সে সারা দিন/রাত ঘুমানোর আগে পর্যন্ত ফিরে আসেনি। আমার মা এমনকি রাস্তার দিকে তাকিয়ে চিন্তিত ছিলেন যে সে মারা গেছে কিনা তা নিশ্চিত করতে। আমি আক্ষরিক অর্থেই প্রতিদিন আমার বাবাকে তাকে বাইরে না যেতে বলেছি, এবং সে এখনও করে। আমি অনেক সদয়ভাবে অনুরোধ করেছি, আর আমিই সবসময় লিটার বাক্স পরিষ্কার করি এবং তাদের খাওয়াই, তাই এটা আমার বাবার উপর কোনও বোঝা বলে মনে হয় না। তিনি তো পরোয়া করেন না। আমার মনে হয় মাঝে মাঝে যদি দিনের বেলায় হয় তাহলে আমি এটা নিয়ে বাঁচতে পারতাম। কিন্তু এটা সবসময়ই হয়। একাকী। দিনের বেলায়। আর সে সবসময় রাতে তাকে বাইরে বের হতে দেয়?? আমার মনে হয় সে আমার ঘরে না আসা পর্যন্ত অপেক্ষা করে, যেহেতু আমি সাধারণত দিনের বেলায় জেগে থাকি, তাই সে অপেক্ষা করে যে আমি তাকে বাইরে বের হতে দেই যাতে আমি তাকে দেখতে না পাই। কিন্তু আমি এখনও জানি এটা ঘটে, আর আমার বিড়ালটি ভেতরে ফিরে না আসা পর্যন্ত আমার ক্রমাগত উদ্বেগ থাকে। এটা সত্যিই আমাকে ক্লান্ত করতে শুরু করেছে। আমি একটি নিখুঁত মানসিক স্বাস্থ্যের দিন কাটাতে পারি, কিন্তু তারপর এটি সবকিছু নষ্ট করে দেবে। দুঃখিত, এটা অনেক দীর্ঘ... কিন্তু আমি সত্যিই কিছু সাহায্য চাই। আমার বাবা বদলাবেন না, তাই আমি মনে করি আমাকে বদলাতে হবে, কিন্তু আমি নিশ্চিত নই কিভাবে।</v>
      </c>
    </row>
    <row r="2787" spans="1:3" ht="15" x14ac:dyDescent="0.25">
      <c r="A2787" s="3" t="s">
        <v>2780</v>
      </c>
      <c r="B2787" s="3" t="s">
        <v>1992</v>
      </c>
      <c r="C2787" s="4" t="str">
        <f ca="1">IFERROR(__xludf.DUMMYFUNCTION("GOOGLETRANSLATE(A2787, ""auto"", ""bn"")"),"বন্ধুরা, আমার আসলে কোন বন্ধু নেই। আমি একজন মা এবং আমার বেশিরভাগ সময় কাজ করে, বাচ্চাদের দেখাশোনা করে এবং আমার পড়াশোনা উন্নত করে। আমার বয়ফ্রেন্ড কাজের পরে এবং সপ্তাহান্তে আমার সাথে খুব একটা সময় কাটায় না কারণ সে ভিডিও গেম খেলে নিজের কাজ নিয়ে ব্যস্ত থাক"&amp;"ে এবং আমি সবসময় খুব একাকী বোধ করি। সে বলেছিল যে নিজেকে ব্যস্ত রাখার জন্য আমার বন্ধু তৈরি করা উচিত এবং আমি একাকী বোধ করব না, তাই আমি বন্ধুদের সাথে দেখা করার জন্য মায়ের দলে যোগদান করার চেষ্টা করছি, কিন্তু কারও সাথে যোগাযোগ করতে আমার খুব কষ্ট হচ্ছে। আমার মন"&amp;"ে হচ্ছে আমি কেবল একজন ব্যর্থ ব্যক্তি। যেমন আমার কেন বন্ধু থাকতে পারে না? আমি যাকে আমার বন্ধু মনে করব সে আমার কাজের লোক, এবং সে সবকিছু নিয়ে অতিরিক্ত চিন্তা করে এবং খুব নেতিবাচক এবং কেবল নিজের সম্পর্কে কথা বলে, আমি যদি আমার সাথে কথা বলতে শুরু করি, সে কেবল "&amp;"আমাকে অগ্রাহ্য করে, তাই আমি তার সাথে খুব বেশি মেলামেশা না করার চেষ্টা করছি। আমি কীভাবে বন্ধু তৈরি করতে পারি তার কোন ধারণা আছে।")</f>
        <v>বন্ধুরা, আমার আসলে কোন বন্ধু নেই। আমি একজন মা এবং আমার বেশিরভাগ সময় কাজ করে, বাচ্চাদের দেখাশোনা করে এবং আমার পড়াশোনা উন্নত করে। আমার বয়ফ্রেন্ড কাজের পরে এবং সপ্তাহান্তে আমার সাথে খুব একটা সময় কাটায় না কারণ সে ভিডিও গেম খেলে নিজের কাজ নিয়ে ব্যস্ত থাকে এবং আমি সবসময় খুব একাকী বোধ করি। সে বলেছিল যে নিজেকে ব্যস্ত রাখার জন্য আমার বন্ধু তৈরি করা উচিত এবং আমি একাকী বোধ করব না, তাই আমি বন্ধুদের সাথে দেখা করার জন্য মায়ের দলে যোগদান করার চেষ্টা করছি, কিন্তু কারও সাথে যোগাযোগ করতে আমার খুব কষ্ট হচ্ছে। আমার মনে হচ্ছে আমি কেবল একজন ব্যর্থ ব্যক্তি। যেমন আমার কেন বন্ধু থাকতে পারে না? আমি যাকে আমার বন্ধু মনে করব সে আমার কাজের লোক, এবং সে সবকিছু নিয়ে অতিরিক্ত চিন্তা করে এবং খুব নেতিবাচক এবং কেবল নিজের সম্পর্কে কথা বলে, আমি যদি আমার সাথে কথা বলতে শুরু করি, সে কেবল আমাকে অগ্রাহ্য করে, তাই আমি তার সাথে খুব বেশি মেলামেশা না করার চেষ্টা করছি। আমি কীভাবে বন্ধু তৈরি করতে পারি তার কোন ধারণা আছে।</v>
      </c>
    </row>
    <row r="2788" spans="1:3" ht="15" x14ac:dyDescent="0.25">
      <c r="A2788" s="3" t="s">
        <v>2781</v>
      </c>
      <c r="B2788" s="3" t="s">
        <v>1992</v>
      </c>
      <c r="C2788" s="4" t="str">
        <f ca="1">IFERROR(__xludf.DUMMYFUNCTION("GOOGLETRANSLATE(A2788, ""auto"", ""bn"")"),"স্কুল/কর্মক্ষেত্রে ভয়। সবাই। বয়স ২০, কানাডায় থাকি। প্রায় আট বছর ধরে আমার একটি উদ্বেগজনিত ব্যাধি ধরা পড়েছে। অনেক থেরাপি হয়েছে এবং আমি ওষুধ খাচ্ছি। আট বছর আগে সেই রোগ নির্ণয়ের পর থেকে আমি এতদূর এসেছি, কিন্তু এখনও আমার সাথে লড়াই চলছে। এখনকার প্রধান স"&amp;"মস্যা হল স্কুল এবং কাজ সম্পর্কে ভয়। আমি একজন বিশ্ববিদ্যালয়ের ছাত্র এবং আমি ক্রমাগত স্কুলে যেতে ভয় পাই। স্কুলের সমস্ত দিকই আমার ভয় করে, যার মধ্যে রয়েছে বাসে ভ্রমণ এবং ফিরে আসা, ঘন্টার পর ঘন্টা ক্লাসে বসে থাকা, অ্যাসাইনমেন্ট ইত্যাদি। আমি শেখা ভালোবাসি,"&amp;" কিন্তু আমার উদ্বেগ আমাকে এত চাপ দেয়। কাজের জন্য, আমি মাসে গড়ে মাত্র তিনবার কাজ করি কারণ আমি যে কোম্পানিতে কাজ করি তা একটি ইভেন্ট কোম্পানি (আমি ইভেন্টের জন্য খাদ্য পরিষেবায় ক্যাশিয়ার হিসেবে কাজ করি) এবং আমি ক্রমাগত আমার শিফটগুলিকে ভয় পাই (যদিও আমি সে"&amp;"খানে কয়েক বছর ধরে আছি)। মাঝে মাঝে এটি আমাকে রাতে জাগিয়ে রাখে। মাঝে মাঝে আমি কাঁদতে শুরু করি কারণ আমি আমার সমস্ত স্কুলের কাজ সম্পর্কে চিন্তা করি, এবং আমার মনে হয় আমি শ্বাস নিতে পারছি না। মাঝে মাঝে যখন আমার মনে হয় আমার কাজের শিফট আসছে তখন আমার বমি বমি ভ"&amp;"াব হয়। আমি আর কখনও স্কুল বা কাজের জন্য অপেক্ষা করি না। মোটামুটি মনে হচ্ছে আগের মতো ঝাঁকুনি না পেলেও ছোটখাটো প্যানিক অ্যাটাক হয়। এটা কঠিন কারণ এখন স্কুলই আমার জীবন, তাই আমাকে এই হতাশা এবং ভয়ের অনুভূতি মোকাবেলা করার উপায় খুঁজে বের করতে হবে। কাজের কথা বল"&amp;"তে গেলে, আমার টাকার প্রয়োজন, তাই আমি চাকরি ছেড়ে দিতে পারছি না। মনে হচ্ছে প্রতিদিন স্কুলে যাওয়ার জন্য নিজেকে বাস স্টপে টেনে নিয়ে যেতে হচ্ছে, যেন আমাকে সচেতনভাবে নিজের বিরুদ্ধে কাজ করতে হচ্ছে। আমি প্রায় চার বছর ধরে পোস্ট সেকেন্ডারি স্কুলে আছি তাই আমার "&amp;"এতে অভ্যস্ত হয়ে যাওয়া উচিত। বরং, আমার উদ্বেগ আরও খারাপ হয়েছে। মনে রাখবেন আমি কাউন্সেলিং এর জন্য অপেক্ষার তালিকায় আছি। কোন পরামর্শ? ধন্যবাদ")</f>
        <v>স্কুল/কর্মক্ষেত্রে ভয়। সবাই। বয়স ২০, কানাডায় থাকি। প্রায় আট বছর ধরে আমার একটি উদ্বেগজনিত ব্যাধি ধরা পড়েছে। অনেক থেরাপি হয়েছে এবং আমি ওষুধ খাচ্ছি। আট বছর আগে সেই রোগ নির্ণয়ের পর থেকে আমি এতদূর এসেছি, কিন্তু এখনও আমার সাথে লড়াই চলছে। এখনকার প্রধান সমস্যা হল স্কুল এবং কাজ সম্পর্কে ভয়। আমি একজন বিশ্ববিদ্যালয়ের ছাত্র এবং আমি ক্রমাগত স্কুলে যেতে ভয় পাই। স্কুলের সমস্ত দিকই আমার ভয় করে, যার মধ্যে রয়েছে বাসে ভ্রমণ এবং ফিরে আসা, ঘন্টার পর ঘন্টা ক্লাসে বসে থাকা, অ্যাসাইনমেন্ট ইত্যাদি। আমি শেখা ভালোবাসি, কিন্তু আমার উদ্বেগ আমাকে এত চাপ দেয়। কাজের জন্য, আমি মাসে গড়ে মাত্র তিনবার কাজ করি কারণ আমি যে কোম্পানিতে কাজ করি তা একটি ইভেন্ট কোম্পানি (আমি ইভেন্টের জন্য খাদ্য পরিষেবায় ক্যাশিয়ার হিসেবে কাজ করি) এবং আমি ক্রমাগত আমার শিফটগুলিকে ভয় পাই (যদিও আমি সেখানে কয়েক বছর ধরে আছি)। মাঝে মাঝে এটি আমাকে রাতে জাগিয়ে রাখে। মাঝে মাঝে আমি কাঁদতে শুরু করি কারণ আমি আমার সমস্ত স্কুলের কাজ সম্পর্কে চিন্তা করি, এবং আমার মনে হয় আমি শ্বাস নিতে পারছি না। মাঝে মাঝে যখন আমার মনে হয় আমার কাজের শিফট আসছে তখন আমার বমি বমি ভাব হয়। আমি আর কখনও স্কুল বা কাজের জন্য অপেক্ষা করি না। মোটামুটি মনে হচ্ছে আগের মতো ঝাঁকুনি না পেলেও ছোটখাটো প্যানিক অ্যাটাক হয়। এটা কঠিন কারণ এখন স্কুলই আমার জীবন, তাই আমাকে এই হতাশা এবং ভয়ের অনুভূতি মোকাবেলা করার উপায় খুঁজে বের করতে হবে। কাজের কথা বলতে গেলে, আমার টাকার প্রয়োজন, তাই আমি চাকরি ছেড়ে দিতে পারছি না। মনে হচ্ছে প্রতিদিন স্কুলে যাওয়ার জন্য নিজেকে বাস স্টপে টেনে নিয়ে যেতে হচ্ছে, যেন আমাকে সচেতনভাবে নিজের বিরুদ্ধে কাজ করতে হচ্ছে। আমি প্রায় চার বছর ধরে পোস্ট সেকেন্ডারি স্কুলে আছি তাই আমার এতে অভ্যস্ত হয়ে যাওয়া উচিত। বরং, আমার উদ্বেগ আরও খারাপ হয়েছে। মনে রাখবেন আমি কাউন্সেলিং এর জন্য অপেক্ষার তালিকায় আছি। কোন পরামর্শ? ধন্যবাদ</v>
      </c>
    </row>
    <row r="2789" spans="1:3" ht="15" x14ac:dyDescent="0.25">
      <c r="A2789" s="3" t="s">
        <v>2782</v>
      </c>
      <c r="B2789" s="3" t="s">
        <v>1992</v>
      </c>
      <c r="C2789" s="4" t="str">
        <f ca="1">IFERROR(__xludf.DUMMYFUNCTION("GOOGLETRANSLATE(A2789, ""auto"", ""bn"")"),"আমার এখন একটা প্যানিক অ্যাটাক হচ্ছে। আমি একটা অনুষ্ঠানে গিয়েছিলাম যেখানে আমার কিছু পুরনো বন্ধু ছিল। একটা পার্টিতে পৌঁছালাম, অনেক মাতাল মানুষ আমার চারপাশে জড়িয়ে পড়েছিল। আমি আর ঠাণ্ডা হতে পারছিলাম না। অবশেষে আমি ভয় পেয়ে গেলাম এবং কাঁদতে শুরু করলাম এবং দৌড়ে "&amp;"বেরিয়ে এলাম। নিজেকে সবচেয়ে জঘন্য, সবচেয়ে করুণ অবাঞ্ছিত পরাজিতের মতো মনে হচ্ছে। আমার একটা মহৎ উদ্দেশ্য ছিল একটা দৃশ্য তৈরি করা। তাছাড়া, আমি আশা করিনি যে একের পর এক মাতাল মেয়ের বিরুদ্ধে অভিযোগ আনা হবে। একজন আমাকে বলল যে আমার ওজন বাড়তে স্বাচ্ছন্দ্যবোধ করছে "&amp;"দেখে সে খুশি। আমি নিজেকে বলার চেষ্টা করছি যে এখন কেউ তোমার কথা ভাবছে না এবং যদি এটা এতটাই খারাপ হয়, তাহলে তাদের ছেড়ে দেওয়া ঠিক আছে। কিন্তু এটা কাজ করছে না। আমার মনে হচ্ছে পৃথিবীর শেষ এবং আমি একটা নোংরা জিনিস।")</f>
        <v>আমার এখন একটা প্যানিক অ্যাটাক হচ্ছে। আমি একটা অনুষ্ঠানে গিয়েছিলাম যেখানে আমার কিছু পুরনো বন্ধু ছিল। একটা পার্টিতে পৌঁছালাম, অনেক মাতাল মানুষ আমার চারপাশে জড়িয়ে পড়েছিল। আমি আর ঠাণ্ডা হতে পারছিলাম না। অবশেষে আমি ভয় পেয়ে গেলাম এবং কাঁদতে শুরু করলাম এবং দৌড়ে বেরিয়ে এলাম। নিজেকে সবচেয়ে জঘন্য, সবচেয়ে করুণ অবাঞ্ছিত পরাজিতের মতো মনে হচ্ছে। আমার একটা মহৎ উদ্দেশ্য ছিল একটা দৃশ্য তৈরি করা। তাছাড়া, আমি আশা করিনি যে একের পর এক মাতাল মেয়ের বিরুদ্ধে অভিযোগ আনা হবে। একজন আমাকে বলল যে আমার ওজন বাড়তে স্বাচ্ছন্দ্যবোধ করছে দেখে সে খুশি। আমি নিজেকে বলার চেষ্টা করছি যে এখন কেউ তোমার কথা ভাবছে না এবং যদি এটা এতটাই খারাপ হয়, তাহলে তাদের ছেড়ে দেওয়া ঠিক আছে। কিন্তু এটা কাজ করছে না। আমার মনে হচ্ছে পৃথিবীর শেষ এবং আমি একটা নোংরা জিনিস।</v>
      </c>
    </row>
    <row r="2790" spans="1:3" ht="15" x14ac:dyDescent="0.25">
      <c r="A2790" s="3" t="s">
        <v>2783</v>
      </c>
      <c r="B2790" s="3" t="s">
        <v>1992</v>
      </c>
      <c r="C2790" s="4" t="str">
        <f ca="1">IFERROR(__xludf.DUMMYFUNCTION("GOOGLETRANSLATE(A2790, ""auto"", ""bn"")"),"আমার রোগ নির্ণয় হয়নি কিন্তু আমি জানি না আর কোথায় যাব। আমি সবসময় চিন্তিত থাকতাম, যখন আমি ছোট ছিলাম (৮-১২) তখন আমি এতটাই চিন্তিত থাকতাম যে আমার মা যদি তার সাথে কিছু ঘটে যায় তাহলে আমাকে স্কুল থেকে নিতে আসবে না। দ্রুত এগিয়ে এখন পর্যন্ত, সেই সময়ের মধ্যে"&amp;" আমি প্রচুর বোকামি নিয়ে চিন্তিত ছিলাম কিন্তু সম্প্রতি এটি আমার বান্ধবী সম্পর্কে ছিল, আমি জানি এটি বোকামি বলে মনে হচ্ছে কারণ আমার বয়স মাত্র ১৬ বছর তাই এটি কোন ব্যাপার না কিন্তু আমি হয়তো বোকা হচ্ছি, কিন্তু তার সাথে এটি আলাদা মনে হয়, আমার আসলে মনে হয় আম"&amp;"ি তার কারণে ভালোবাসা কী তা জানি, যাইহোক যেহেতু আমি তার সাথে ছিলাম সে ঘুমিয়ে পড়েছিল এই ভেবে যে সে আমার সাথে সম্পর্ক ছিন্ন করবে, সে অন্য ছেলেদের বেশি পছন্দ করে, আমি যথেষ্ট ভালো নই ইত্যাদি। আমি তাকে এটি সম্পর্কে একাধিকবার বলেছি এবং সে আমাকে আশ্বস্ত করেছে য"&amp;"ে আমার চিন্তা করার কিছু নেই তবে আমি তাকে বলতে ঘৃণা করি কারণ আমি চাই না সে ভাবুক যে আমি অস্থির বা এমন কিছু, সে এমন একজনের যোগ্য যে 24/7 চিন্তা করে না। এই সবই যথেষ্ট খারাপ ছিল কিন্তু বক্সিং ডে তে আমার মনে হয় আমার প্রথম প্যানিক অ্যাটাক হয়েছিল (আমি নিশ্চিত "&amp;"নই এটা কী ছিল)। আমি পরিবারের সাথে ছিলাম এবং কোন কারণ ছাড়াই আমি কিছুটা হতাশ বোধ করছিলাম এবং আমার পরিবার আমাকে সোফা থেকে নেমে তাদের সাথে যোগ দিতে বারবার জোর করছিল, আমি এটা করেছি কারণ আমি বিরক্তিকর দেখাতে চাইনি কিন্তু এর পরে আমি নিজেকে এক কোণে লুকিয়ে দেখতে"&amp;" পেলাম, আমার কাজিনরা আমাকে যোগ দিতে বলেছিল কিন্তু আমি কোনও কারণে তা সহ্য করতে পারিনি এবং আমি দরজা দিয়ে দৌড়ে বেরিয়ে যাই এবং কোন কারণ ছাড়াই কাঁদতে শুরু করি, আমার হাইপারভেন্টিলেটেশন শুরু হয় এবং তারপর প্রায় 5 মিনিট পরে আমি ঠিক হয়ে যাই। আমি জানি না আমার"&amp;" কী হয়েছে।")</f>
        <v>আমার রোগ নির্ণয় হয়নি কিন্তু আমি জানি না আর কোথায় যাব। আমি সবসময় চিন্তিত থাকতাম, যখন আমি ছোট ছিলাম (৮-১২) তখন আমি এতটাই চিন্তিত থাকতাম যে আমার মা যদি তার সাথে কিছু ঘটে যায় তাহলে আমাকে স্কুল থেকে নিতে আসবে না। দ্রুত এগিয়ে এখন পর্যন্ত, সেই সময়ের মধ্যে আমি প্রচুর বোকামি নিয়ে চিন্তিত ছিলাম কিন্তু সম্প্রতি এটি আমার বান্ধবী সম্পর্কে ছিল, আমি জানি এটি বোকামি বলে মনে হচ্ছে কারণ আমার বয়স মাত্র ১৬ বছর তাই এটি কোন ব্যাপার না কিন্তু আমি হয়তো বোকা হচ্ছি, কিন্তু তার সাথে এটি আলাদা মনে হয়, আমার আসলে মনে হয় আমি তার কারণে ভালোবাসা কী তা জানি, যাইহোক যেহেতু আমি তার সাথে ছিলাম সে ঘুমিয়ে পড়েছিল এই ভেবে যে সে আমার সাথে সম্পর্ক ছিন্ন করবে, সে অন্য ছেলেদের বেশি পছন্দ করে, আমি যথেষ্ট ভালো নই ইত্যাদি। আমি তাকে এটি সম্পর্কে একাধিকবার বলেছি এবং সে আমাকে আশ্বস্ত করেছে যে আমার চিন্তা করার কিছু নেই তবে আমি তাকে বলতে ঘৃণা করি কারণ আমি চাই না সে ভাবুক যে আমি অস্থির বা এমন কিছু, সে এমন একজনের যোগ্য যে 24/7 চিন্তা করে না। এই সবই যথেষ্ট খারাপ ছিল কিন্তু বক্সিং ডে তে আমার মনে হয় আমার প্রথম প্যানিক অ্যাটাক হয়েছিল (আমি নিশ্চিত নই এটা কী ছিল)। আমি পরিবারের সাথে ছিলাম এবং কোন কারণ ছাড়াই আমি কিছুটা হতাশ বোধ করছিলাম এবং আমার পরিবার আমাকে সোফা থেকে নেমে তাদের সাথে যোগ দিতে বারবার জোর করছিল, আমি এটা করেছি কারণ আমি বিরক্তিকর দেখাতে চাইনি কিন্তু এর পরে আমি নিজেকে এক কোণে লুকিয়ে দেখতে পেলাম, আমার কাজিনরা আমাকে যোগ দিতে বলেছিল কিন্তু আমি কোনও কারণে তা সহ্য করতে পারিনি এবং আমি দরজা দিয়ে দৌড়ে বেরিয়ে যাই এবং কোন কারণ ছাড়াই কাঁদতে শুরু করি, আমার হাইপারভেন্টিলেটেশন শুরু হয় এবং তারপর প্রায় 5 মিনিট পরে আমি ঠিক হয়ে যাই। আমি জানি না আমার কী হয়েছে।</v>
      </c>
    </row>
    <row r="2791" spans="1:3" ht="15" x14ac:dyDescent="0.25">
      <c r="A2791" s="3" t="s">
        <v>2784</v>
      </c>
      <c r="B2791" s="3" t="s">
        <v>1992</v>
      </c>
      <c r="C2791" s="4" t="str">
        <f ca="1">IFERROR(__xludf.DUMMYFUNCTION("GOOGLETRANSLATE(A2791, ""auto"", ""bn"")"),"অন্য কেউ কি সামান্য আতঙ্কের মুহূর্ত অনুভব করে, আর তুমি কেবল সামনের দিকেই দেখতে পাও? আর, আমি নিশ্চিত নই যে সবার সাথেই এমনটা হয় কিনা, কিন্তু আমার পা অবশ হয়ে যায় এবং আমার শরীরের চারপাশে একটা স্পন্দন অনুভূত হয়। এটা কী?")</f>
        <v>অন্য কেউ কি সামান্য আতঙ্কের মুহূর্ত অনুভব করে, আর তুমি কেবল সামনের দিকেই দেখতে পাও? আর, আমি নিশ্চিত নই যে সবার সাথেই এমনটা হয় কিনা, কিন্তু আমার পা অবশ হয়ে যায় এবং আমার শরীরের চারপাশে একটা স্পন্দন অনুভূত হয়। এটা কী?</v>
      </c>
    </row>
    <row r="2792" spans="1:3" ht="15" x14ac:dyDescent="0.25">
      <c r="A2792" s="3" t="s">
        <v>2785</v>
      </c>
      <c r="B2792" s="3" t="s">
        <v>1992</v>
      </c>
      <c r="C2792" s="4" t="str">
        <f ca="1">IFERROR(__xludf.DUMMYFUNCTION("GOOGLETRANSLATE(A2792, ""auto"", ""bn"")"),"একজন উদ্বিগ্ন ব্যক্তির জন্য ভূতপ্রেত কেমন লাগে, এই বিষয়টি আমার মনে হয় আমার আলোচনা করা উচিত। আমি দোষারোপ করছি বলে নয়, বরং আরও বেশি কারণ এটি একটি গুরুত্বপূর্ণ বিষয় যা কেউ স্পর্শ করে না। আমার মতে, বেশিরভাগ পরিস্থিতিতে ভূতপ্রেত একটি ভালো ধারণা নয়। আমার উদ্বে"&amp;"গ আমাকে সৎ থাকতে বাধ্য করে। আমি চাই একজন লোক সরাসরি আমাকে বলে যে সে আমার প্রতি আগ্রহী নয়, পৃথিবীর মুখ থেকে অদৃশ্য হয়ে যাওয়ার পরিবর্তে। সপ্তাহের পর সপ্তাহ চলে গেলে, আপনি একই ব্যক্তির সাথে কথা বলছেন, এবং তারপর তারা আপনাকে ফেলে দেয় এবং আপনার টেক্সটের উত্"&amp;"তর দেওয়া বন্ধ করে দেয়, তখন এটা খারাপ লাগে। আমি ভাবছি এটা অন্য কারো সাথে ঘটে কিনা? আমি জানি এই যুগে, আমি খুব বেশি আশা করতে পারি না। সোশ্যাল মিডিয়া এতটাই প্রচলিত। কিন্তু যদি আমরা আড্ডা দেই, টেক্সট করি এবং হুক আপ করি - তাহলে কি আমি অন্তত কোনও যুক্তিসঙ্গত "&amp;"সম্মানের যোগ্য নই? আমি কেবল অন্য কোনও মতামত শুনতে চেয়েছিলাম। এটি আমার উদ্বেগকে পাগল করে তোলে। আমি ভাবতে শুরু করি যে আমি কী করেছি/তারা ঠিক আছে কিনা। আমি আমার থেরাপিস্টের কাছে এটি সম্পর্কে খোলাখুলিভাবে কথা বলতে শুরু করেছি, কিন্তু এটি এত কঠিন। বিশেষ করে ডেট"&amp;"িং অ্যাপের সমুদ্রে একজন অবিবাহিত, অতিরিক্ত চিন্তাশীল মহিলা হিসেবে। দীর্ঘশ্বাস ফেলছি।")</f>
        <v>একজন উদ্বিগ্ন ব্যক্তির জন্য ভূতপ্রেত কেমন লাগে, এই বিষয়টি আমার মনে হয় আমার আলোচনা করা উচিত। আমি দোষারোপ করছি বলে নয়, বরং আরও বেশি কারণ এটি একটি গুরুত্বপূর্ণ বিষয় যা কেউ স্পর্শ করে না। আমার মতে, বেশিরভাগ পরিস্থিতিতে ভূতপ্রেত একটি ভালো ধারণা নয়। আমার উদ্বেগ আমাকে সৎ থাকতে বাধ্য করে। আমি চাই একজন লোক সরাসরি আমাকে বলে যে সে আমার প্রতি আগ্রহী নয়, পৃথিবীর মুখ থেকে অদৃশ্য হয়ে যাওয়ার পরিবর্তে। সপ্তাহের পর সপ্তাহ চলে গেলে, আপনি একই ব্যক্তির সাথে কথা বলছেন, এবং তারপর তারা আপনাকে ফেলে দেয় এবং আপনার টেক্সটের উত্তর দেওয়া বন্ধ করে দেয়, তখন এটা খারাপ লাগে। আমি ভাবছি এটা অন্য কারো সাথে ঘটে কিনা? আমি জানি এই যুগে, আমি খুব বেশি আশা করতে পারি না। সোশ্যাল মিডিয়া এতটাই প্রচলিত। কিন্তু যদি আমরা আড্ডা দেই, টেক্সট করি এবং হুক আপ করি - তাহলে কি আমি অন্তত কোনও যুক্তিসঙ্গত সম্মানের যোগ্য নই? আমি কেবল অন্য কোনও মতামত শুনতে চেয়েছিলাম। এটি আমার উদ্বেগকে পাগল করে তোলে। আমি ভাবতে শুরু করি যে আমি কী করেছি/তারা ঠিক আছে কিনা। আমি আমার থেরাপিস্টের কাছে এটি সম্পর্কে খোলাখুলিভাবে কথা বলতে শুরু করেছি, কিন্তু এটি এত কঠিন। বিশেষ করে ডেটিং অ্যাপের সমুদ্রে একজন অবিবাহিত, অতিরিক্ত চিন্তাশীল মহিলা হিসেবে। দীর্ঘশ্বাস ফেলছি।</v>
      </c>
    </row>
    <row r="2793" spans="1:3" ht="15" x14ac:dyDescent="0.25">
      <c r="A2793" s="3" t="s">
        <v>2786</v>
      </c>
      <c r="B2793" s="3" t="s">
        <v>1992</v>
      </c>
      <c r="C2793" s="4" t="str">
        <f ca="1">IFERROR(__xludf.DUMMYFUNCTION("GOOGLETRANSLATE(A2793, ""auto"", ""bn"")"),"আমাদের দুর্বলতাকে আলিঙ্গন করার জন্য আমরা সকলেই যা করতে পারি বন্ধুরা, আমি বিন ব্রাউনের লেখা *ডেয়ারিং গ্রেটলি* বইটি পড়া শুরু করেছি। এখন পর্যন্ত এটি নিখুঁত। তিনি দুর্বলতা সম্পর্কে কথা বলেছেন এবং কীভাবে এটিকে দুর্বলতা হিসেবে দেখা হয়, যখন বাস্তবে দুর্বলতা আ"&amp;"মাদের জীবিত এবং মানবিক বোধ করায়। দুর্বলতা ভালো বা খারাপ নয়, এটি আবেগ এবং অনুভূতির কেন্দ্রবিন্দুতে রয়েছে, দুটি গুরুত্বপূর্ণ দিক যা আমাদের জীবিত বোধ করায়। আমি আরও দুর্বল জীবনযাপন শুরু করতে চাই। আপনারা যদি এমন কিছু মন্তব্য/পরামর্শ দেন যা কাউকে দুর্বল করে"&amp;" তুলবে তবে আমি খুশি হব।")</f>
        <v>আমাদের দুর্বলতাকে আলিঙ্গন করার জন্য আমরা সকলেই যা করতে পারি বন্ধুরা, আমি বিন ব্রাউনের লেখা *ডেয়ারিং গ্রেটলি* বইটি পড়া শুরু করেছি। এখন পর্যন্ত এটি নিখুঁত। তিনি দুর্বলতা সম্পর্কে কথা বলেছেন এবং কীভাবে এটিকে দুর্বলতা হিসেবে দেখা হয়, যখন বাস্তবে দুর্বলতা আমাদের জীবিত এবং মানবিক বোধ করায়। দুর্বলতা ভালো বা খারাপ নয়, এটি আবেগ এবং অনুভূতির কেন্দ্রবিন্দুতে রয়েছে, দুটি গুরুত্বপূর্ণ দিক যা আমাদের জীবিত বোধ করায়। আমি আরও দুর্বল জীবনযাপন শুরু করতে চাই। আপনারা যদি এমন কিছু মন্তব্য/পরামর্শ দেন যা কাউকে দুর্বল করে তুলবে তবে আমি খুশি হব।</v>
      </c>
    </row>
    <row r="2794" spans="1:3" ht="15" x14ac:dyDescent="0.25">
      <c r="A2794" s="3" t="s">
        <v>2787</v>
      </c>
      <c r="B2794" s="3" t="s">
        <v>1992</v>
      </c>
      <c r="C2794" s="4" t="str">
        <f ca="1">IFERROR(__xludf.DUMMYFUNCTION("GOOGLETRANSLATE(A2794, ""auto"", ""bn"")"),"আমি নিজেকে ফিরে পেলাম ২০১৭ সালের জানুয়ারীতে, আমার নতুন করে ধরা পড়া এক মানসিক অসুস্থতার সাথে আমার এক ভয়াবহ অভিজ্ঞতা হয়েছিল। এর আগে কখনও কোনও নির্দিষ্ট অসুস্থতার নির্ণয় আমার হয়নি, তাই পথচলা করা কঠিন ছিল। সেই ভয়াবহ অভিজ্ঞতার দিন, আমার মাথা আমার জীবনের"&amp;" সবচেয়ে গুরুত্বপূর্ণ জিনিসটিকে দূরে ঠেলে ঠেলে দূরে ঠেলে দিল যতক্ষণ না আমার মনে হল আমি এটি সম্পূর্ণরূপে হারিয়ে ফেলেছি। ২০১৮ সালের এপ্রিলে, এক বছরেরও বেশি সময় পরে প্রথমবারের মতো (ঠিক দিনগুলি ছিল ৯ই জানুয়ারী ২০১৭ এবং ২০ই এপ্রিল ২০১৮) আমার মনে হয়েছিল যে "&amp;"আমি অবশেষে এতদিন আগে যা হারিয়েছিলাম তা ফিরে পেয়েছি, এমনকি এক সেকেন্ডের জন্যও। তারপর থেকে, আমার মনে হয় আমি আমার গুরুত্বপূর্ণ জিনিসগুলিকে আরও ভালভাবে ধরে রেখেছি এবং পরিস্থিতিগুলিকে আরও ভালভাবে মোকাবেলা করেছি। ২০১৮ সালের শেষের আগে পর্যন্ত আমি কখনও ভাবিনি "&amp;"যে এটা আমার জন্য কতটা বড় ছিল। নতুন বছরকে এখন আমি ভীষণ ভয় পাই, নতুন বছর আসার দুশ্চিন্তা আমাকে ২০১৭ সালে কী হারিয়েছিল তা মনে করিয়ে দেয়। কিন্তু আমরা সবেমাত্র জানুয়ারিতে পৌঁছেছি, এবং এখন বেশ কয়েক দিন বাকি, এবং আমি এখনও ঠিক আছি। আমার সুখ ফিরে পাওয়া ছিল আমার জ"&amp;"ীবনের সবচেয়ে বড় সাফল্য, আমি মনে করি আমি আবার নিঃশ্বাস নিতে পারছি। উদ্বেগ অবশ্যই অদৃশ্য হয় না, তবে অনেক দিন পর প্রথমবারের মতো আমি বলতে পারি যে আমি সুখী হতে এবং আবার আমার মতো হতে পেরেছি, যেন আমি নিজেকে ফিরে পেয়েছি। আশা করি এই বছরটি তোমাদের সকলের সাথে আগে"&amp;"র যেকোনো বছরের চেয়ে ভালো ব্যবহার করবে। আশা করি পরবর্তী প্রতিটি বছর আরও ভালো থেকে ভালোতর হবে। সবাইকে নতুন বছরের শুভেচ্ছা!")</f>
        <v>আমি নিজেকে ফিরে পেলাম ২০১৭ সালের জানুয়ারীতে, আমার নতুন করে ধরা পড়া এক মানসিক অসুস্থতার সাথে আমার এক ভয়াবহ অভিজ্ঞতা হয়েছিল। এর আগে কখনও কোনও নির্দিষ্ট অসুস্থতার নির্ণয় আমার হয়নি, তাই পথচলা করা কঠিন ছিল। সেই ভয়াবহ অভিজ্ঞতার দিন, আমার মাথা আমার জীবনের সবচেয়ে গুরুত্বপূর্ণ জিনিসটিকে দূরে ঠেলে ঠেলে দূরে ঠেলে দিল যতক্ষণ না আমার মনে হল আমি এটি সম্পূর্ণরূপে হারিয়ে ফেলেছি। ২০১৮ সালের এপ্রিলে, এক বছরেরও বেশি সময় পরে প্রথমবারের মতো (ঠিক দিনগুলি ছিল ৯ই জানুয়ারী ২০১৭ এবং ২০ই এপ্রিল ২০১৮) আমার মনে হয়েছিল যে আমি অবশেষে এতদিন আগে যা হারিয়েছিলাম তা ফিরে পেয়েছি, এমনকি এক সেকেন্ডের জন্যও। তারপর থেকে, আমার মনে হয় আমি আমার গুরুত্বপূর্ণ জিনিসগুলিকে আরও ভালভাবে ধরে রেখেছি এবং পরিস্থিতিগুলিকে আরও ভালভাবে মোকাবেলা করেছি। ২০১৮ সালের শেষের আগে পর্যন্ত আমি কখনও ভাবিনি যে এটা আমার জন্য কতটা বড় ছিল। নতুন বছরকে এখন আমি ভীষণ ভয় পাই, নতুন বছর আসার দুশ্চিন্তা আমাকে ২০১৭ সালে কী হারিয়েছিল তা মনে করিয়ে দেয়। কিন্তু আমরা সবেমাত্র জানুয়ারিতে পৌঁছেছি, এবং এখন বেশ কয়েক দিন বাকি, এবং আমি এখনও ঠিক আছি। আমার সুখ ফিরে পাওয়া ছিল আমার জীবনের সবচেয়ে বড় সাফল্য, আমি মনে করি আমি আবার নিঃশ্বাস নিতে পারছি। উদ্বেগ অবশ্যই অদৃশ্য হয় না, তবে অনেক দিন পর প্রথমবারের মতো আমি বলতে পারি যে আমি সুখী হতে এবং আবার আমার মতো হতে পেরেছি, যেন আমি নিজেকে ফিরে পেয়েছি। আশা করি এই বছরটি তোমাদের সকলের সাথে আগের যেকোনো বছরের চেয়ে ভালো ব্যবহার করবে। আশা করি পরবর্তী প্রতিটি বছর আরও ভালো থেকে ভালোতর হবে। সবাইকে নতুন বছরের শুভেচ্ছা!</v>
      </c>
    </row>
    <row r="2795" spans="1:3" ht="15" x14ac:dyDescent="0.25">
      <c r="A2795" s="3" t="s">
        <v>2788</v>
      </c>
      <c r="B2795" s="3" t="s">
        <v>1992</v>
      </c>
      <c r="C2795" s="4" t="str">
        <f ca="1">IFERROR(__xludf.DUMMYFUNCTION("GOOGLETRANSLATE(A2795, ""auto"", ""bn"")"),"আর কেউ কি মনে করে যে তাদের উদ্বেগ মূলত পরিস্থিতিগত? এই লেখাটি সত্যিই আমার মনে দাগ কেটেছে। https://www.buzzfeednews.com/article/annehelenpetersen/millenials-burnout-generation-debt-work আমি সবসময়ই উদ্বিগ্ন বাচ্চাদের এবং উদ্বিগ্ন প্রাপ্তবয়স্কদের মধ্যে ছিল"&amp;"াম, তাই আমার মনে হয় উচ্চ-শক্তিসম্পন্ন স্নায়বিকতার দিকে ঝোঁক থাকা অবশ্যই আমার ডিএনএতে রয়েছে, তবে আমি মনে করি যে শিথিল হতে না পারা বা অ-উৎপাদনশীল কার্যকলাপে ঠিক থাকতে না পারাও উদ্বেগের কারণ। করণীয় তালিকার অংশটি যা ক্রমশ দীর্ঘ হচ্ছে, জাগতিক-তবুও-জটিল প্র"&amp;"াপ্তবয়স্কদের কাজের প্রতিরোধ, এবং সহস্রাব্দের পিতামাতা হিসেবে নেভিগেট করা, এবং আপনার উপর যে প্রত্যাশাগুলি চাপিয়ে দেওয়া হচ্ছে তা নিয়ে আমি সত্যিই অনুরণিত হয়েছি। কর্মক্ষেত্রে আরও প্রতিযোগিতামূলক হওয়ার জন্য, প্রচণ্ড প্রতিরোধ সত্ত্বেও, আরও কঠোর পরিশ্রম কর"&amp;"ার চাপ। হ্যামস্টার হুইল প্রতি বছর গতি পাচ্ছে।")</f>
        <v>আর কেউ কি মনে করে যে তাদের উদ্বেগ মূলত পরিস্থিতিগত? এই লেখাটি সত্যিই আমার মনে দাগ কেটেছে। https://www.buzzfeednews.com/article/annehelenpetersen/millenials-burnout-generation-debt-work আমি সবসময়ই উদ্বিগ্ন বাচ্চাদের এবং উদ্বিগ্ন প্রাপ্তবয়স্কদের মধ্যে ছিলাম, তাই আমার মনে হয় উচ্চ-শক্তিসম্পন্ন স্নায়বিকতার দিকে ঝোঁক থাকা অবশ্যই আমার ডিএনএতে রয়েছে, তবে আমি মনে করি যে শিথিল হতে না পারা বা অ-উৎপাদনশীল কার্যকলাপে ঠিক থাকতে না পারাও উদ্বেগের কারণ। করণীয় তালিকার অংশটি যা ক্রমশ দীর্ঘ হচ্ছে, জাগতিক-তবুও-জটিল প্রাপ্তবয়স্কদের কাজের প্রতিরোধ, এবং সহস্রাব্দের পিতামাতা হিসেবে নেভিগেট করা, এবং আপনার উপর যে প্রত্যাশাগুলি চাপিয়ে দেওয়া হচ্ছে তা নিয়ে আমি সত্যিই অনুরণিত হয়েছি। কর্মক্ষেত্রে আরও প্রতিযোগিতামূলক হওয়ার জন্য, প্রচণ্ড প্রতিরোধ সত্ত্বেও, আরও কঠোর পরিশ্রম করার চাপ। হ্যামস্টার হুইল প্রতি বছর গতি পাচ্ছে।</v>
      </c>
    </row>
    <row r="2796" spans="1:3" ht="15" x14ac:dyDescent="0.25">
      <c r="A2796" s="3" t="s">
        <v>2789</v>
      </c>
      <c r="B2796" s="3" t="s">
        <v>1992</v>
      </c>
      <c r="C2796" s="4" t="str">
        <f ca="1">IFERROR(__xludf.DUMMYFUNCTION("GOOGLETRANSLATE(A2796, ""auto"", ""bn"")"),"ঘরে থাকা: বাইরে যেতে ভয় পাচ্ছি না, শুধু বাইরে যেতে চাইছি না। আমার এমন কিছু আছে যা আমাকে খুব উদ্বিগ্ন করে তুলছে... স্বামী আগামী কয়েক সপ্তাহের মধ্যে ভ্রমণ করবে... আর আমি কেবল বিড়ালদের সাথে শোবার ঘরে লুকিয়ে আছি, পর্যায়ক্রমে ঘুমাচ্ছি এবং চিন্তা করছি। আমি"&amp;" বাইরে যেতে ভয় পাচ্ছি না, আমি কেবল ভিতরেই থেকে নিজেকে গুটিয়ে রাখতে পছন্দ করি। তাছাড়া, আমি জানি না এটি সবচেয়ে কার্যকর মোকাবেলা করার পদ্ধতি কিনা, তবে এখন আমি এটি করতে সক্ষম। এটি চলে যাবে। ততক্ষণ পর্যন্ত, আমি আরও উদ্বেগের কোনও সম্ভাবনা দূর করব কারণ তখন আ"&amp;"মি সম্পূর্ণরূপে এবং সম্পূর্ণরূপে অভিভূত হয়ে যাব। অন্য কেউ কি এটি করে? আপনি কি মনে করেন এটি করা ঠিক?")</f>
        <v>ঘরে থাকা: বাইরে যেতে ভয় পাচ্ছি না, শুধু বাইরে যেতে চাইছি না। আমার এমন কিছু আছে যা আমাকে খুব উদ্বিগ্ন করে তুলছে... স্বামী আগামী কয়েক সপ্তাহের মধ্যে ভ্রমণ করবে... আর আমি কেবল বিড়ালদের সাথে শোবার ঘরে লুকিয়ে আছি, পর্যায়ক্রমে ঘুমাচ্ছি এবং চিন্তা করছি। আমি বাইরে যেতে ভয় পাচ্ছি না, আমি কেবল ভিতরেই থেকে নিজেকে গুটিয়ে রাখতে পছন্দ করি। তাছাড়া, আমি জানি না এটি সবচেয়ে কার্যকর মোকাবেলা করার পদ্ধতি কিনা, তবে এখন আমি এটি করতে সক্ষম। এটি চলে যাবে। ততক্ষণ পর্যন্ত, আমি আরও উদ্বেগের কোনও সম্ভাবনা দূর করব কারণ তখন আমি সম্পূর্ণরূপে এবং সম্পূর্ণরূপে অভিভূত হয়ে যাব। অন্য কেউ কি এটি করে? আপনি কি মনে করেন এটি করা ঠিক?</v>
      </c>
    </row>
    <row r="2797" spans="1:3" ht="15" x14ac:dyDescent="0.25">
      <c r="A2797" s="3" t="s">
        <v>2790</v>
      </c>
      <c r="B2797" s="3" t="s">
        <v>1992</v>
      </c>
      <c r="C2797" s="4" t="str">
        <f ca="1">IFERROR(__xludf.DUMMYFUNCTION("GOOGLETRANSLATE(A2797, ""auto"", ""bn"")"),"এই মুহূর্তে বছরগুলো ঝাপসা লাগছে। সত্যি বলতে, আমি আমার জীবন নিয়ে খুব কমই করি, আর সবকিছুই এত দ্রুত চলে যায়। সপ্তাহের পর সপ্তাহ কেটে যায়; মাস চলে যায়, অর্থপূর্ণ কিছুই ঘটে না, সবকিছুই ঝাপসা হয়ে যায়। যত বড় হই, আমি আগের মতোই থাকি, এখনও আমার জীবনে কিছুই অ"&amp;"র্জন করতে পারি না, এবং আমার উদ্বেগ এখনও বিশাল ছায়ার মতো ঘুরে বেড়ায়, আমার প্রতিটি সিদ্ধান্ত নিয়ে প্রশ্ন তোলে এবং ক্রমাগত সন্দেহের বীজ বপন করে। আমি মনে করি না যে এটি ২০১৯ সাল। সত্যিই আমাকে ভয় পেতে শুরু করেছে। আমি ভাবতে পছন্দ করি যে এই বছরটিই আমি অবশেষে"&amp;" সবকিছু বদলে দেব, কিন্তু আমি এখনও জীবনের কোথাও যেতে ভয় পাই, আমি এখনও বন্ধুহীন, আমার উদ্বেগ এখনও আমাকে বাইরে যাওয়ার সাথে সম্পর্কিত সহজতম কাজগুলি করতে বাধা দেয়। মাঝে মাঝে আমি কতটা একাকী তা ভেবে কাঁদতে চাই। মাঝে মাঝে, আমি কেবল বসে জানালার বাইরে তাকাই, এবং"&amp;" ভাবি যে আমার জন্য সবকিছু কোথায় ভুল হয়েছে। কেন আমার জীবন এইভাবে শেষ হতে হয়েছিল? মনে হচ্ছে অনলাইনের মাধ্যমেই আমি সান্ত্বনা এবং সমর্থন পেতে পারি। আর যোগাযোগ এখনও অনেক দূরে। আমি আবার ভালোবাসা অনুভব করতে চাই, এবং অনুভব করতে চাই যে মানুষ আমার যত্ন নেয় এবং "&amp;"আমার সাথে জীবন ভাগাভাগি করতে চায়। কেউ যেন সবসময় এত একা না থাকে। আমি কেবল উদ্বেগকে ঘৃণা করি। আমার কেবল আমার বুক থেকে কিছু একটা বের করার দরকার ছিল, এমনকি যদি তা কেবল স্ক্রিনে লেখা হয়। হয়তো তোমরাও এখন একই রকম অনুভব করছো, গভীর রাত পর্যন্ত জেগে, ঘুমাতে পার"&amp;"ছো না, নানাভাবে ভুলের কথা ভাবছো। অন্তত এই মুহূর্তে আমরা একে অপরের সাথে আছি। আমি সত্যিই আশা করি আমাদের জন্য সবকিছু ভালো হয়ে যাবে। জীবন আমাকে পিছনে ফেলে যাচ্ছে, এবং আমার জন্য কোন জায়গা রাখছে না।")</f>
        <v>এই মুহূর্তে বছরগুলো ঝাপসা লাগছে। সত্যি বলতে, আমি আমার জীবন নিয়ে খুব কমই করি, আর সবকিছুই এত দ্রুত চলে যায়। সপ্তাহের পর সপ্তাহ কেটে যায়; মাস চলে যায়, অর্থপূর্ণ কিছুই ঘটে না, সবকিছুই ঝাপসা হয়ে যায়। যত বড় হই, আমি আগের মতোই থাকি, এখনও আমার জীবনে কিছুই অর্জন করতে পারি না, এবং আমার উদ্বেগ এখনও বিশাল ছায়ার মতো ঘুরে বেড়ায়, আমার প্রতিটি সিদ্ধান্ত নিয়ে প্রশ্ন তোলে এবং ক্রমাগত সন্দেহের বীজ বপন করে। আমি মনে করি না যে এটি ২০১৯ সাল। সত্যিই আমাকে ভয় পেতে শুরু করেছে। আমি ভাবতে পছন্দ করি যে এই বছরটিই আমি অবশেষে সবকিছু বদলে দেব, কিন্তু আমি এখনও জীবনের কোথাও যেতে ভয় পাই, আমি এখনও বন্ধুহীন, আমার উদ্বেগ এখনও আমাকে বাইরে যাওয়ার সাথে সম্পর্কিত সহজতম কাজগুলি করতে বাধা দেয়। মাঝে মাঝে আমি কতটা একাকী তা ভেবে কাঁদতে চাই। মাঝে মাঝে, আমি কেবল বসে জানালার বাইরে তাকাই, এবং ভাবি যে আমার জন্য সবকিছু কোথায় ভুল হয়েছে। কেন আমার জীবন এইভাবে শেষ হতে হয়েছিল? মনে হচ্ছে অনলাইনের মাধ্যমেই আমি সান্ত্বনা এবং সমর্থন পেতে পারি। আর যোগাযোগ এখনও অনেক দূরে। আমি আবার ভালোবাসা অনুভব করতে চাই, এবং অনুভব করতে চাই যে মানুষ আমার যত্ন নেয় এবং আমার সাথে জীবন ভাগাভাগি করতে চায়। কেউ যেন সবসময় এত একা না থাকে। আমি কেবল উদ্বেগকে ঘৃণা করি। আমার কেবল আমার বুক থেকে কিছু একটা বের করার দরকার ছিল, এমনকি যদি তা কেবল স্ক্রিনে লেখা হয়। হয়তো তোমরাও এখন একই রকম অনুভব করছো, গভীর রাত পর্যন্ত জেগে, ঘুমাতে পারছো না, নানাভাবে ভুলের কথা ভাবছো। অন্তত এই মুহূর্তে আমরা একে অপরের সাথে আছি। আমি সত্যিই আশা করি আমাদের জন্য সবকিছু ভালো হয়ে যাবে। জীবন আমাকে পিছনে ফেলে যাচ্ছে, এবং আমার জন্য কোন জায়গা রাখছে না।</v>
      </c>
    </row>
    <row r="2798" spans="1:3" ht="15" x14ac:dyDescent="0.25">
      <c r="A2798" s="3" t="s">
        <v>2791</v>
      </c>
      <c r="B2798" s="3" t="s">
        <v>1992</v>
      </c>
      <c r="C2798" s="4" t="str">
        <f ca="1">IFERROR(__xludf.DUMMYFUNCTION("GOOGLETRANSLATE(A2798, ""auto"", ""bn"")"),"আমার খুব গুরুত্বপূর্ণ কিছু শেষ করতে হবে, কিন্তু সেটা নিয়ে আমার অবিশ্বাস্য উদ্বেগ হচ্ছে... শুরু করতে পারছি না... গত বসন্তে আমি প্রায় কলেজ থেকে স্নাতক হয়েছি, কিন্তু দুর্ভাগ্যজনক ঘটনা আমাকে তা করতে বাধা দিয়েছে। স্নাতক শেষ হওয়ার শেষ দুই মাসের মধ্যে, আমার ভয়ঙ"&amp;"্কর রুমমেট আমাকে শ্বাসরোধ করে হত্যার হুমকি দিয়েছিল, যা অতীতের নির্যাতনমূলক সম্পর্কের কারণে PTSD-এর সূত্রপাত করেছিল - এমন একটি ট্রিগার যা আমি জানতামও না যে আমার কী হয়েছে, এমনকি আমি সপ্তাহের পর সপ্তাহ ধরে কাজ করার জন্য এতটাই হতবাক হয়ে গিয়েছিলাম যে। এই কা"&amp;"রণে, আমি আমার চাকরি হারিয়েছি, কোনও টাকা না রেখেই অন্যত্র চলে যেতে হয়েছিল, এবং কলেজের শেষ কোয়ার্টার শেষ করতে পারিনি। এখন ৭ মাস হয়ে গেছে, এবং আমি অনলাইন কোর্স করে শেষ করার জন্য প্রয়োজনীয় ৩টি ক্লাসের মধ্যে ২টি পূরণ করতে পেরেছি। যাইহোক, এখন আমার সিনিয়র প্র"&amp;"জেক্টটি সম্পূর্ণ করতে বাকি আছে। আমি এটি শুরুও করিনি। আমার কাছে কী করতে হবে সে সম্পর্কে অনেক ধারণা আছে কিন্তু প্রতিবার যখন আমি শুরু করতে বসি, তখন আমি নিজেকে বিভ্রান্ত করি। কয়েক সপ্তাহ আগে, আমার সিনিয়র প্রজেক্ট অ্যাডভাইজার আমার সাথে যোগাযোগ করে জানতে চাইল"&amp;"েন যে আমি এটি সম্পর্কে কী করতে চাই, কারণ আমার কাছে এটি করার জন্য নির্দিষ্ট সময় আছে, কারণ আমি এটি করতে পারব না এবং আমার ডিগ্রি শেষ করার জন্য পুনরায় ভর্তি হতে হবে। আমি এটি নিয়ে এত উদ্বিগ্ন হওয়ার একটি কারণ হল, আমি গ্র্যাজুয়েট স্কুলে যেতে মরিয়া এবং এটি "&amp;"একটি ভাল সিনিয়র প্রজেক্ট হতে চাই যাতে আমি এটিকে কাজের নমুনা হিসেবে পেতে পারি। কিন্তু আমার মনে হয় না যে আমার কাছে সমর্থন আছে, এমনকি আমার সিনিয়র প্রজেক্ট অ্যাডভাইজার থেকেও, আমি নিজে থেকে ভালো কিছু তৈরি করতে সক্ষম হব। আমি এখন পূর্ণকালীন কাজ করছি (আমি তাদে"&amp;"র বলেছিলাম যে আমি শীঘ্রই আমার ডিগ্রি পেতে যাচ্ছি)। আমি জানি না কী আমাকে এটি শুরু করতে বাধা দিচ্ছে। তাছাড়া, আমার মনে হয় এটি ছাড়াও আমার মানসিক স্বাস্থ্যের উপর আমার নিয়ন্ত্রণ আছে। এটি নিয়ে ভাবতে আমার অনেক লজ্জা এবং উদ্বেগ আসে। এটি আমাকে আমার সিনিয়র বছর"&amp;"ের শেষ কতটা ভয়াবহ ছিল এবং এর আশেপাশের ঘটনাগুলি, আমি প্রথমে এটি সম্পন্ন না করার কারণগুলি সম্পর্কে ফিরিয়ে আনে। আমি চাইতাম কেউ যদি আমাকে এটা করার জন্য চাপ দিত, কিন্তু আমি জানি যে, এখন যেহেতু আমি একজন স্বাধীন প্রাপ্তবয়স্ক, তাই আমাকেই এটা করতে হবে। আমার মনে"&amp;" হচ্ছে আমি নিজেকে ব্যর্থ করছি এবং স্নাতকোত্তর স্কুলে যাওয়ার সম্ভাবনা নষ্ট করছি।")</f>
        <v>আমার খুব গুরুত্বপূর্ণ কিছু শেষ করতে হবে, কিন্তু সেটা নিয়ে আমার অবিশ্বাস্য উদ্বেগ হচ্ছে... শুরু করতে পারছি না... গত বসন্তে আমি প্রায় কলেজ থেকে স্নাতক হয়েছি, কিন্তু দুর্ভাগ্যজনক ঘটনা আমাকে তা করতে বাধা দিয়েছে। স্নাতক শেষ হওয়ার শেষ দুই মাসের মধ্যে, আমার ভয়ঙ্কর রুমমেট আমাকে শ্বাসরোধ করে হত্যার হুমকি দিয়েছিল, যা অতীতের নির্যাতনমূলক সম্পর্কের কারণে PTSD-এর সূত্রপাত করেছিল - এমন একটি ট্রিগার যা আমি জানতামও না যে আমার কী হয়েছে, এমনকি আমি সপ্তাহের পর সপ্তাহ ধরে কাজ করার জন্য এতটাই হতবাক হয়ে গিয়েছিলাম যে। এই কারণে, আমি আমার চাকরি হারিয়েছি, কোনও টাকা না রেখেই অন্যত্র চলে যেতে হয়েছিল, এবং কলেজের শেষ কোয়ার্টার শেষ করতে পারিনি। এখন ৭ মাস হয়ে গেছে, এবং আমি অনলাইন কোর্স করে শেষ করার জন্য প্রয়োজনীয় ৩টি ক্লাসের মধ্যে ২টি পূরণ করতে পেরেছি। যাইহোক, এখন আমার সিনিয়র প্রজেক্টটি সম্পূর্ণ করতে বাকি আছে। আমি এটি শুরুও করিনি। আমার কাছে কী করতে হবে সে সম্পর্কে অনেক ধারণা আছে কিন্তু প্রতিবার যখন আমি শুরু করতে বসি, তখন আমি নিজেকে বিভ্রান্ত করি। কয়েক সপ্তাহ আগে, আমার সিনিয়র প্রজেক্ট অ্যাডভাইজার আমার সাথে যোগাযোগ করে জানতে চাইলেন যে আমি এটি সম্পর্কে কী করতে চাই, কারণ আমার কাছে এটি করার জন্য নির্দিষ্ট সময় আছে, কারণ আমি এটি করতে পারব না এবং আমার ডিগ্রি শেষ করার জন্য পুনরায় ভর্তি হতে হবে। আমি এটি নিয়ে এত উদ্বিগ্ন হওয়ার একটি কারণ হল, আমি গ্র্যাজুয়েট স্কুলে যেতে মরিয়া এবং এটি একটি ভাল সিনিয়র প্রজেক্ট হতে চাই যাতে আমি এটিকে কাজের নমুনা হিসেবে পেতে পারি। কিন্তু আমার মনে হয় না যে আমার কাছে সমর্থন আছে, এমনকি আমার সিনিয়র প্রজেক্ট অ্যাডভাইজার থেকেও, আমি নিজে থেকে ভালো কিছু তৈরি করতে সক্ষম হব। আমি এখন পূর্ণকালীন কাজ করছি (আমি তাদের বলেছিলাম যে আমি শীঘ্রই আমার ডিগ্রি পেতে যাচ্ছি)। আমি জানি না কী আমাকে এটি শুরু করতে বাধা দিচ্ছে। তাছাড়া, আমার মনে হয় এটি ছাড়াও আমার মানসিক স্বাস্থ্যের উপর আমার নিয়ন্ত্রণ আছে। এটি নিয়ে ভাবতে আমার অনেক লজ্জা এবং উদ্বেগ আসে। এটি আমাকে আমার সিনিয়র বছরের শেষ কতটা ভয়াবহ ছিল এবং এর আশেপাশের ঘটনাগুলি, আমি প্রথমে এটি সম্পন্ন না করার কারণগুলি সম্পর্কে ফিরিয়ে আনে। আমি চাইতাম কেউ যদি আমাকে এটা করার জন্য চাপ দিত, কিন্তু আমি জানি যে, এখন যেহেতু আমি একজন স্বাধীন প্রাপ্তবয়স্ক, তাই আমাকেই এটা করতে হবে। আমার মনে হচ্ছে আমি নিজেকে ব্যর্থ করছি এবং স্নাতকোত্তর স্কুলে যাওয়ার সম্ভাবনা নষ্ট করছি।</v>
      </c>
    </row>
    <row r="2799" spans="1:3" ht="15" x14ac:dyDescent="0.25">
      <c r="A2799" s="3" t="s">
        <v>2792</v>
      </c>
      <c r="B2799" s="3" t="s">
        <v>1992</v>
      </c>
      <c r="C2799" s="4" t="str">
        <f ca="1">IFERROR(__xludf.DUMMYFUNCTION("GOOGLETRANSLATE(A2799, ""auto"", ""bn"")"),"মূলত, এই নামটা আমার কাছে তেমন ভালো লাগছে না। কিছু পটভূমির জন্য, আমি ১৬ বছর বয়সী একজন ছেলে যে সবেমাত্র তার লাইসেন্স এবং একটি ডেবিট কার্ড পেয়েছে। আজ, আমার মা আমাকে দোকানে যেতে এবং রাতের খাবারের জন্য প্রায় ৪টি জিনিস নিতে বলেছিলেন। এটি আমাকে তাৎক্ষণিকভাবে "&amp;"ভয় দেখায়, কারণ আমি কখনও একা আমার ডেবিট কার্ড ব্যবহার করিনি এবং বড় পার্কিং লটে গাড়ি চালানো সত্যিই বিরক্তিকর। স্বাভাবিকভাবেই, আমার বাবা-মা ""তুমি ঠিক থাকবে, ঘাবড়াও না"" ইত্যাদি বলে থাকেন। তাই আমি সেখানে গাড়ি চালাই, এবং একবার আমি লটে পৌঁছানোর পরে অন্যদ"&amp;"ের অনুকরণ করে একটি জায়গা খুঁজে পাই। ভিতরের পুরো ভ্রমণটি কেবল একটি গোলমাল। আমি পুরো সময় বোকার মতো অনুভব করি, কিন্তু অবশেষে আমার প্রয়োজনীয় সমস্ত জিনিসপত্র পেয়ে চেক-আউটে যাই। আমি চেক-আউটে মহিলাকে খোলাখুলিভাবে জানিয়েছিলাম যে আমি নতুন এবং আমি কখনও আমার ড"&amp;"েবিট কার্ড ব্যবহার করিনি, এবং এটি সাধারণত সত্যিই অস্বস্তিকর ছিল এবং আমাকে সত্যিই বোকা বোধ করেছিল। আমি যে বিষয়টা বুঝতে চাইছি তা হলো, আমি নিজেকে বোকা ছেলে মনে করি, ১৬ বছর বয়সের নয়। আমার বয়সী (৫'৫) ছেলের সাথে আমার উচ্চতা খুবই কম এবং এটা আমার আত্মবিশ্বাসকে বে"&amp;"শ আঘাত করে। আমি বোকা নই, অন্তত আমার মনে হয় না। আমার ভালো নম্বর আছে, কিন্তু এই অনুভূতি থেকে আমি বেরিয়ে আসতে পারছি না। যতবারই আমি এর প্রতি আসক্ত হই, আমি অযৌক্তিকভাবে সবকিছুতেই চেষ্টা করা বন্ধ করে দিতে চাই। শুধু একটু বেঁচে থাকা বন্ধ করে দেই যাতে অন্যদের টেন"&amp;"ে না তুলতে হয়। আমি জানি না। এই পোস্ট করাও কঠিন ছিল কারণ আমি সত্যিই নিজের উপর হাল ছেড়ে দিতে যাচ্ছিলাম। এবং হ্যাঁ, আমি জানি। আমার বয়স মাত্র ১৬ এবং পরিস্থিতি ভালো হচ্ছে এবং যাই হোক না কেন, কিন্তু মূল কথা হল আমি আরও অনেক ১৬ বছর বয়সী ছেলেকে চিনি যারা এই বিষয়ে"&amp;" অনেক ভালো, এবং তারা সত্যিকারের মানুষ বলে মনে হয়, কিন্তু আমি তা করি না। আমি কখনও এই উদ্বেগকে সত্যিকার অর্থে বলিনি, তাই যদি আপনি মনে করেন এটি অন্য কিছু।")</f>
        <v>মূলত, এই নামটা আমার কাছে তেমন ভালো লাগছে না। কিছু পটভূমির জন্য, আমি ১৬ বছর বয়সী একজন ছেলে যে সবেমাত্র তার লাইসেন্স এবং একটি ডেবিট কার্ড পেয়েছে। আজ, আমার মা আমাকে দোকানে যেতে এবং রাতের খাবারের জন্য প্রায় ৪টি জিনিস নিতে বলেছিলেন। এটি আমাকে তাৎক্ষণিকভাবে ভয় দেখায়, কারণ আমি কখনও একা আমার ডেবিট কার্ড ব্যবহার করিনি এবং বড় পার্কিং লটে গাড়ি চালানো সত্যিই বিরক্তিকর। স্বাভাবিকভাবেই, আমার বাবা-মা "তুমি ঠিক থাকবে, ঘাবড়াও না" ইত্যাদি বলে থাকেন। তাই আমি সেখানে গাড়ি চালাই, এবং একবার আমি লটে পৌঁছানোর পরে অন্যদের অনুকরণ করে একটি জায়গা খুঁজে পাই। ভিতরের পুরো ভ্রমণটি কেবল একটি গোলমাল। আমি পুরো সময় বোকার মতো অনুভব করি, কিন্তু অবশেষে আমার প্রয়োজনীয় সমস্ত জিনিসপত্র পেয়ে চেক-আউটে যাই। আমি চেক-আউটে মহিলাকে খোলাখুলিভাবে জানিয়েছিলাম যে আমি নতুন এবং আমি কখনও আমার ডেবিট কার্ড ব্যবহার করিনি, এবং এটি সাধারণত সত্যিই অস্বস্তিকর ছিল এবং আমাকে সত্যিই বোকা বোধ করেছিল। আমি যে বিষয়টা বুঝতে চাইছি তা হলো, আমি নিজেকে বোকা ছেলে মনে করি, ১৬ বছর বয়সের নয়। আমার বয়সী (৫'৫) ছেলের সাথে আমার উচ্চতা খুবই কম এবং এটা আমার আত্মবিশ্বাসকে বেশ আঘাত করে। আমি বোকা নই, অন্তত আমার মনে হয় না। আমার ভালো নম্বর আছে, কিন্তু এই অনুভূতি থেকে আমি বেরিয়ে আসতে পারছি না। যতবারই আমি এর প্রতি আসক্ত হই, আমি অযৌক্তিকভাবে সবকিছুতেই চেষ্টা করা বন্ধ করে দিতে চাই। শুধু একটু বেঁচে থাকা বন্ধ করে দেই যাতে অন্যদের টেনে না তুলতে হয়। আমি জানি না। এই পোস্ট করাও কঠিন ছিল কারণ আমি সত্যিই নিজের উপর হাল ছেড়ে দিতে যাচ্ছিলাম। এবং হ্যাঁ, আমি জানি। আমার বয়স মাত্র ১৬ এবং পরিস্থিতি ভালো হচ্ছে এবং যাই হোক না কেন, কিন্তু মূল কথা হল আমি আরও অনেক ১৬ বছর বয়সী ছেলেকে চিনি যারা এই বিষয়ে অনেক ভালো, এবং তারা সত্যিকারের মানুষ বলে মনে হয়, কিন্তু আমি তা করি না। আমি কখনও এই উদ্বেগকে সত্যিকার অর্থে বলিনি, তাই যদি আপনি মনে করেন এটি অন্য কিছু।</v>
      </c>
    </row>
    <row r="2800" spans="1:3" ht="15" x14ac:dyDescent="0.25">
      <c r="A2800" s="3" t="s">
        <v>2793</v>
      </c>
      <c r="B2800" s="3" t="s">
        <v>1992</v>
      </c>
      <c r="C2800" s="4" t="str">
        <f ca="1">IFERROR(__xludf.DUMMYFUNCTION("GOOGLETRANSLATE(A2800, ""auto"", ""bn"")"),"অবশেষে আমি থেরাপি নিচ্ছি। সম্প্রতি আমি একজন থেরাপিস্টকে পেয়েছি যিনি আমার বিশ্বাস এখন পর্যন্ত আমার জন্য উপযুক্ত। পরিস্থিতি নিয়ন্ত্রণের বাইরে চলে যাচ্ছে এবং আমি সিদ্ধান্ত নিয়েছি যে আমি আর একা এটা করতে পারব না, এবং আমার প্রিয়জনদের উপর অপ্রয়োজনীয় চাপ দে"&amp;"ওয়া আমার পক্ষে ঠিক নয়। মানসিক এবং শারীরিক সুস্থতার জন্য কাজ করার চিন্তাভাবনায় আমি খুব উত্তেজিত। আমি আশাবাদী।")</f>
        <v>অবশেষে আমি থেরাপি নিচ্ছি। সম্প্রতি আমি একজন থেরাপিস্টকে পেয়েছি যিনি আমার বিশ্বাস এখন পর্যন্ত আমার জন্য উপযুক্ত। পরিস্থিতি নিয়ন্ত্রণের বাইরে চলে যাচ্ছে এবং আমি সিদ্ধান্ত নিয়েছি যে আমি আর একা এটা করতে পারব না, এবং আমার প্রিয়জনদের উপর অপ্রয়োজনীয় চাপ দেওয়া আমার পক্ষে ঠিক নয়। মানসিক এবং শারীরিক সুস্থতার জন্য কাজ করার চিন্তাভাবনায় আমি খুব উত্তেজিত। আমি আশাবাদী।</v>
      </c>
    </row>
    <row r="2801" spans="1:3" ht="15" x14ac:dyDescent="0.25">
      <c r="A2801" s="3" t="s">
        <v>2794</v>
      </c>
      <c r="B2801" s="3" t="s">
        <v>1992</v>
      </c>
      <c r="C2801" s="4" t="str">
        <f ca="1">IFERROR(__xludf.DUMMYFUNCTION("GOOGLETRANSLATE(A2801, ""auto"", ""bn"")"),"উদ্বেগ: ছদ্মবেশে এক পরাশক্তি মাঝে মাঝে আমি বুঝতে পারি না যে আমার উদ্বেগ আমাকে সাহায্য করছে নাকি ক্ষতি করছে। দুর্ভাগ্যবশত, আমি খুব দ্রুত মানুষের রুটিন এবং অভ্যাসগুলি বুঝতে পারি। ছেলেদের ক্ষেত্রে, আমি ছোট ছোট পরিবর্তনগুলি লক্ষ্য করি এবং আমার মস্তিষ্ক স্পাইর"&amp;"াল হয় এবং আমার উদ্বেগ ছাদের উপরে উঠে যায়। আমি নিজেকে খুঁজে বের করার চেষ্টা করি যে এই পরিবর্তনের কারণ কী, অন্য কোনও মেয়ে আছে কিনা, সে যদি আর আমাকে পছন্দ করে না, যদি কোনও অস্পষ্ট ঘটনা ঘটছে ইত্যাদি। 8/10 আমি ঠিক। যখন আমি ভুল করি তখন আমার নিজেকে একেবারে পা"&amp;"গল মনে হয়। যাই হোক না কেন আমি এখনও হতাশ বোধ করি।")</f>
        <v>উদ্বেগ: ছদ্মবেশে এক পরাশক্তি মাঝে মাঝে আমি বুঝতে পারি না যে আমার উদ্বেগ আমাকে সাহায্য করছে নাকি ক্ষতি করছে। দুর্ভাগ্যবশত, আমি খুব দ্রুত মানুষের রুটিন এবং অভ্যাসগুলি বুঝতে পারি। ছেলেদের ক্ষেত্রে, আমি ছোট ছোট পরিবর্তনগুলি লক্ষ্য করি এবং আমার মস্তিষ্ক স্পাইরাল হয় এবং আমার উদ্বেগ ছাদের উপরে উঠে যায়। আমি নিজেকে খুঁজে বের করার চেষ্টা করি যে এই পরিবর্তনের কারণ কী, অন্য কোনও মেয়ে আছে কিনা, সে যদি আর আমাকে পছন্দ করে না, যদি কোনও অস্পষ্ট ঘটনা ঘটছে ইত্যাদি। 8/10 আমি ঠিক। যখন আমি ভুল করি তখন আমার নিজেকে একেবারে পাগল মনে হয়। যাই হোক না কেন আমি এখনও হতাশ বোধ করি।</v>
      </c>
    </row>
    <row r="2802" spans="1:3" ht="15" x14ac:dyDescent="0.25">
      <c r="A2802" s="3" t="s">
        <v>2795</v>
      </c>
      <c r="B2802" s="3" t="s">
        <v>1992</v>
      </c>
      <c r="C2802" s="4" t="str">
        <f ca="1">IFERROR(__xludf.DUMMYFUNCTION("GOOGLETRANSLATE(A2802, ""auto"", ""bn"")"),"খাদ্যের পটভূমি: খাবারের প্রতি তীব্র অ্যালার্জির প্রতিক্রিয়ার ভয় কাটিয়ে ওঠার জন্য আমি আমার থেরাপিস্টের সাথে সত্যিই কঠোর পরিশ্রম করছি। বিশেষ করে আমি কখনও প্রতিক্রিয়া না হওয়া সত্ত্বেও বাদাম এড়িয়ে চলেছি। যাই হোক, সম্প্রতি এটি নিয়ে আমার খুব কষ্ট হচ্ছে "&amp;"এবং নিজেকে সত্যিই হতাশ করার কথা ভাবতে শুরু করেছি। কিন্তু আজ রাতে (প্রায় ২ ঘন্টা সাহস সঞ্চয় করার পর) আমি এক মুঠো বাদাম খেয়েছি এবং গল্পটি বলার জন্য বেঁচে আছি! ???? আমি জানি আমার এখনও অনেক পথ পাড়ি দিতে হবে, কিন্তু অবশেষে সঠিক পথে একটি পদক্ষেপ নিতে পেরে খ"&amp;"ুব ভালো লাগছে।")</f>
        <v>খাদ্যের পটভূমি: খাবারের প্রতি তীব্র অ্যালার্জির প্রতিক্রিয়ার ভয় কাটিয়ে ওঠার জন্য আমি আমার থেরাপিস্টের সাথে সত্যিই কঠোর পরিশ্রম করছি। বিশেষ করে আমি কখনও প্রতিক্রিয়া না হওয়া সত্ত্বেও বাদাম এড়িয়ে চলেছি। যাই হোক, সম্প্রতি এটি নিয়ে আমার খুব কষ্ট হচ্ছে এবং নিজেকে সত্যিই হতাশ করার কথা ভাবতে শুরু করেছি। কিন্তু আজ রাতে (প্রায় ২ ঘন্টা সাহস সঞ্চয় করার পর) আমি এক মুঠো বাদাম খেয়েছি এবং গল্পটি বলার জন্য বেঁচে আছি! ???? আমি জানি আমার এখনও অনেক পথ পাড়ি দিতে হবে, কিন্তু অবশেষে সঠিক পথে একটি পদক্ষেপ নিতে পেরে খুব ভালো লাগছে।</v>
      </c>
    </row>
    <row r="2803" spans="1:3" ht="15" x14ac:dyDescent="0.25">
      <c r="A2803" s="3" t="s">
        <v>2796</v>
      </c>
      <c r="B2803" s="3" t="s">
        <v>1992</v>
      </c>
      <c r="C2803" s="4" t="str">
        <f ca="1">IFERROR(__xludf.DUMMYFUNCTION("GOOGLETRANSLATE(A2803, ""auto"", ""bn"")"),"রক্তাক্ত পুরুষ আমার বন্ধু উদ্বিগ্ন, সে বলে যে সে ঘুমাতে পারছে না কারণ সে জানে যে একজন লোক তার ঘরে ঢুকবে (সে কী ঘটবে সে সম্পর্কে বেশ বিস্তারিতভাবে বলেছিল)। সে আরও বলে যে সে অনিচ্ছা সত্ত্বেও তার প্রিয়জনদের মৃত্যুর কথা স্পষ্টভাবে কল্পনা করে। এটা কি অপ্রত্যা"&amp;"শিত? আরও গুরুত্বপূর্ণ বিষয় হল আমি কীভাবে সাহায্য করতে পারি?")</f>
        <v>রক্তাক্ত পুরুষ আমার বন্ধু উদ্বিগ্ন, সে বলে যে সে ঘুমাতে পারছে না কারণ সে জানে যে একজন লোক তার ঘরে ঢুকবে (সে কী ঘটবে সে সম্পর্কে বেশ বিস্তারিতভাবে বলেছিল)। সে আরও বলে যে সে অনিচ্ছা সত্ত্বেও তার প্রিয়জনদের মৃত্যুর কথা স্পষ্টভাবে কল্পনা করে। এটা কি অপ্রত্যাশিত? আরও গুরুত্বপূর্ণ বিষয় হল আমি কীভাবে সাহায্য করতে পারি?</v>
      </c>
    </row>
    <row r="2804" spans="1:3" ht="15" x14ac:dyDescent="0.25">
      <c r="A2804" s="3" t="s">
        <v>2797</v>
      </c>
      <c r="B2804" s="3" t="s">
        <v>1992</v>
      </c>
      <c r="C2804" s="4" t="str">
        <f ca="1">IFERROR(__xludf.DUMMYFUNCTION("GOOGLETRANSLATE(A2804, ""auto"", ""bn"")"),"শুধু GAD কি নিজের ক্ষতি করতে পারে? (নিজের ক্ষতির জন্য TW উল্লেখ) আমার হালকা GAD এবং OCD বৈশিষ্ট্য ধরা পড়েছে। যখন থেকে আমি মনে করতে পারছি, মাঝে মাঝে আমার বেশ খারাপ ব্রেকডাউন হয়েছে, সাধারণত হতাশা এবং মাঝে মাঝে উদ্বেগের কারণে (পরীক্ষা, সামাজিক সমাবেশ ইত্যা"&amp;"দি)। কিন্তু হতাশার কারণে যে ব্রেকডাউন হয়েছে তা আরও খারাপ। আমি ছোটবেলায় মাটিতে পড়ে যেতে শুরু করেছিলাম, প্রায় তিন বছর বয়সে, তারপর থামিয়ে নিজেকে আঘাত করার তাগিদ পেতে শুরু করি। সম্প্রতি এটি আরও খারাপ হয়েছে। যদি পারতাম, আমি কিছু ভেঙে ফেলতাম বা অন্য কিছুতে ঘু"&amp;"ষি মারতাম, কিন্তু নিজের উপর এটি করা আরও তাৎক্ষণিক এবং কম ক্ষতিকারক। যখন আমি এই অবস্থায় থাকি, তখন আমিও মানুষের উপর প্রচণ্ড চিৎকার করি। অপ্রত্যাশিত ঘটনাগুলির জন্য উদ্বেগ, রাগের চেয়ে রাগ এবং হতাশাকে বেশি প্রকাশ করা সম্পূর্ণ শারীরিক প্রবৃত্তি। মনে হচ্ছে আমি"&amp;" এত অল্পের জন্য এত বেশি অনুভব করি যে আমার শরীর তা ধরে রাখতে পারে না, আমি কেবল সহিংসতার মাধ্যমে হতাশা প্রকাশ করতে পারি, এটাই একমাত্র উপায় যা আমি এটি করতে পারি, কারণ কেবল উচ্চারণ করা কখনই যথেষ্ট হবে না। তাছাড়া, এটা এতটাই শক্তিশালী যে, শুধু কাঁদতে এবং অন্য "&amp;"কিছু করতেও পারছে না। আমি বলতে চাই যে কয়েক বছর ধরে থেরাপির পর, আমি খুব কমই ক্লাসিক GAD লক্ষণগুলি পাই, হতাশার কারণে নিজের ক্ষতি করতে পারে এমন আবেগপ্রবণ চিন্তার চক্রের মধ্যে পড়ে যাই। তবে, এই ভাঙ্গনগুলি খুব কমই উদ্বেগের অনুভূতির সাথে সম্পর্কিত - যখন আমি উদ্"&amp;"বিগ্ন বোধ করি তখন আমি কিছুই করতে পারি না, আমি কেবল অসুস্থ বোধ করি এবং শ্বাস নিতে কষ্ট পাই। GAD কি কেবল এই ধরণের ভাঙ্গনের কারণ হতে পারে, নাকি অন্য কোনও ব্যাধির জন্য পরীক্ষা করার জন্য আমার সাহায্য নেওয়া উচিত?")</f>
        <v>শুধু GAD কি নিজের ক্ষতি করতে পারে? (নিজের ক্ষতির জন্য TW উল্লেখ) আমার হালকা GAD এবং OCD বৈশিষ্ট্য ধরা পড়েছে। যখন থেকে আমি মনে করতে পারছি, মাঝে মাঝে আমার বেশ খারাপ ব্রেকডাউন হয়েছে, সাধারণত হতাশা এবং মাঝে মাঝে উদ্বেগের কারণে (পরীক্ষা, সামাজিক সমাবেশ ইত্যাদি)। কিন্তু হতাশার কারণে যে ব্রেকডাউন হয়েছে তা আরও খারাপ। আমি ছোটবেলায় মাটিতে পড়ে যেতে শুরু করেছিলাম, প্রায় তিন বছর বয়সে, তারপর থামিয়ে নিজেকে আঘাত করার তাগিদ পেতে শুরু করি। সম্প্রতি এটি আরও খারাপ হয়েছে। যদি পারতাম, আমি কিছু ভেঙে ফেলতাম বা অন্য কিছুতে ঘুষি মারতাম, কিন্তু নিজের উপর এটি করা আরও তাৎক্ষণিক এবং কম ক্ষতিকারক। যখন আমি এই অবস্থায় থাকি, তখন আমিও মানুষের উপর প্রচণ্ড চিৎকার করি। অপ্রত্যাশিত ঘটনাগুলির জন্য উদ্বেগ, রাগের চেয়ে রাগ এবং হতাশাকে বেশি প্রকাশ করা সম্পূর্ণ শারীরিক প্রবৃত্তি। মনে হচ্ছে আমি এত অল্পের জন্য এত বেশি অনুভব করি যে আমার শরীর তা ধরে রাখতে পারে না, আমি কেবল সহিংসতার মাধ্যমে হতাশা প্রকাশ করতে পারি, এটাই একমাত্র উপায় যা আমি এটি করতে পারি, কারণ কেবল উচ্চারণ করা কখনই যথেষ্ট হবে না। তাছাড়া, এটা এতটাই শক্তিশালী যে, শুধু কাঁদতে এবং অন্য কিছু করতেও পারছে না। আমি বলতে চাই যে কয়েক বছর ধরে থেরাপির পর, আমি খুব কমই ক্লাসিক GAD লক্ষণগুলি পাই, হতাশার কারণে নিজের ক্ষতি করতে পারে এমন আবেগপ্রবণ চিন্তার চক্রের মধ্যে পড়ে যাই। তবে, এই ভাঙ্গনগুলি খুব কমই উদ্বেগের অনুভূতির সাথে সম্পর্কিত - যখন আমি উদ্বিগ্ন বোধ করি তখন আমি কিছুই করতে পারি না, আমি কেবল অসুস্থ বোধ করি এবং শ্বাস নিতে কষ্ট পাই। GAD কি কেবল এই ধরণের ভাঙ্গনের কারণ হতে পারে, নাকি অন্য কোনও ব্যাধির জন্য পরীক্ষা করার জন্য আমার সাহায্য নেওয়া উচিত?</v>
      </c>
    </row>
    <row r="2805" spans="1:3" ht="15" x14ac:dyDescent="0.25">
      <c r="A2805" s="3" t="s">
        <v>2798</v>
      </c>
      <c r="B2805" s="3" t="s">
        <v>1992</v>
      </c>
      <c r="C2805" s="4" t="str">
        <f ca="1">IFERROR(__xludf.DUMMYFUNCTION("GOOGLETRANSLATE(A2805, ""auto"", ""bn"")"),"পরকাল নিয়ে চিন্তা করে কি কারো মনে দুশ্চিন্তা জাগে? তুমি কী বিশ্বাস করো?")</f>
        <v>পরকাল নিয়ে চিন্তা করে কি কারো মনে দুশ্চিন্তা জাগে? তুমি কী বিশ্বাস করো?</v>
      </c>
    </row>
    <row r="2806" spans="1:3" ht="15" x14ac:dyDescent="0.25">
      <c r="A2806" s="3" t="s">
        <v>2799</v>
      </c>
      <c r="B2806" s="3" t="s">
        <v>1992</v>
      </c>
      <c r="C2806" s="4" t="str">
        <f ca="1">IFERROR(__xludf.DUMMYFUNCTION("GOOGLETRANSLATE(A2806, ""auto"", ""bn"")"),"কমান্ড দিলেই আমি প্যানিক অ্যাটাক শুরু করতে পারি। যদি আমি প্যানিক অ্যাটাকের ধারণার উপর খুব বেশি মনোযোগ দিই, তাহলে আমি এমন এক আতঙ্কের মধ্যে পড়ে যাই যেখানে আমার হৃদস্পন্দন বেড়ে যায় এবং আমার মস্তিষ্ক প্যানিক মোডে চলে যায়। অন্য কেউ কি এটা করতে পারে?")</f>
        <v>কমান্ড দিলেই আমি প্যানিক অ্যাটাক শুরু করতে পারি। যদি আমি প্যানিক অ্যাটাকের ধারণার উপর খুব বেশি মনোযোগ দিই, তাহলে আমি এমন এক আতঙ্কের মধ্যে পড়ে যাই যেখানে আমার হৃদস্পন্দন বেড়ে যায় এবং আমার মস্তিষ্ক প্যানিক মোডে চলে যায়। অন্য কেউ কি এটা করতে পারে?</v>
      </c>
    </row>
    <row r="2807" spans="1:3" ht="15" x14ac:dyDescent="0.25">
      <c r="A2807" s="3" t="s">
        <v>2800</v>
      </c>
      <c r="B2807" s="3" t="s">
        <v>1992</v>
      </c>
      <c r="C2807" s="4" t="str">
        <f ca="1">IFERROR(__xludf.DUMMYFUNCTION("GOOGLETRANSLATE(A2807, ""auto"", ""bn"")"),"মনে হচ্ছে আমি প্যানিক অ্যাটাকের দ্বারপ্রান্তে পৌঁছে গেছি ঠিক আছে, তাই আমি বেশ কিছুদিন ধরে উদ্বেগ এবং প্যানিক অ্যাটাকের সাথে মোকাবিলা করছি। তবে গত সপ্তাহ/মাসে, এটি আরও খারাপ হয়ে গেছে। আমার ক্রমাগত উদ্বেগের অনুভূতি ছিল এবং গত দুই দিন ধরে আমারও অনুভূতি হয়ে"&amp;"ছে যে একটি ভয়ানক প্যানিক অ্যাটাক আসছে। এই অনুভূতিটি একটি স্ব-পরিপূর্ণ ভবিষ্যদ্বাণীতে পরিণত হয়, বিশেষ করে যেহেতু আমার কিছু প্যানিক অ্যাটাক ভয়াবহ ছিল (আমার এমন একটি ছিল যা এক ঘন্টারও বেশি সময় ধরে স্থায়ী হয়েছিল) যার ফলে এটি হওয়ার ভয় ছিল। এই মুহূর্তে "&amp;"এমন কেউ নেই যারা আমাকে প্যানিক অ্যাটাক থেকে বের করে আনতে সক্ষম, তাই আমি কেবল একটি করার সামর্থ্য রাখছি না। কেউ জানেন কিভাবে এটি মোকাবেলা করতে হবে? আমি সত্যিই আরেকটি প্যানিক অ্যাটাক চাই না, বিশেষ করে যেহেতু আমি শেষ বড় ধরনের অ্যাটাকটি অনুভব করেছি। সাধারণ উদ"&amp;"্বেগের অনুভূতি মোকাবেলায় যেকোনো সাহায্যও প্রশংসনীয় :)")</f>
        <v>মনে হচ্ছে আমি প্যানিক অ্যাটাকের দ্বারপ্রান্তে পৌঁছে গেছি ঠিক আছে, তাই আমি বেশ কিছুদিন ধরে উদ্বেগ এবং প্যানিক অ্যাটাকের সাথে মোকাবিলা করছি। তবে গত সপ্তাহ/মাসে, এটি আরও খারাপ হয়ে গেছে। আমার ক্রমাগত উদ্বেগের অনুভূতি ছিল এবং গত দুই দিন ধরে আমারও অনুভূতি হয়েছে যে একটি ভয়ানক প্যানিক অ্যাটাক আসছে। এই অনুভূতিটি একটি স্ব-পরিপূর্ণ ভবিষ্যদ্বাণীতে পরিণত হয়, বিশেষ করে যেহেতু আমার কিছু প্যানিক অ্যাটাক ভয়াবহ ছিল (আমার এমন একটি ছিল যা এক ঘন্টারও বেশি সময় ধরে স্থায়ী হয়েছিল) যার ফলে এটি হওয়ার ভয় ছিল। এই মুহূর্তে এমন কেউ নেই যারা আমাকে প্যানিক অ্যাটাক থেকে বের করে আনতে সক্ষম, তাই আমি কেবল একটি করার সামর্থ্য রাখছি না। কেউ জানেন কিভাবে এটি মোকাবেলা করতে হবে? আমি সত্যিই আরেকটি প্যানিক অ্যাটাক চাই না, বিশেষ করে যেহেতু আমি শেষ বড় ধরনের অ্যাটাকটি অনুভব করেছি। সাধারণ উদ্বেগের অনুভূতি মোকাবেলায় যেকোনো সাহায্যও প্রশংসনীয় :)</v>
      </c>
    </row>
    <row r="2808" spans="1:3" ht="15" x14ac:dyDescent="0.25">
      <c r="A2808" s="3" t="s">
        <v>2801</v>
      </c>
      <c r="B2808" s="3" t="s">
        <v>1992</v>
      </c>
      <c r="C2808" s="4" t="str">
        <f ca="1">IFERROR(__xludf.DUMMYFUNCTION("GOOGLETRANSLATE(A2808, ""auto"", ""bn"")"),"আমার উদ্বেগ এবং বিষণ্ণতা ধরা পড়েছে এবং আজ আমি ক্রমাগত আমার জীবন নেওয়ার কথা ভাবছি। আমার সবসময়ই ভয়ানক উদ্বেগ থাকে এবং আমি ক্রমাগত বিষণ্ণতার পর্বে হারিয়ে যাই। তদুপরি, আমাকে জোলফ্ট ওষুধ দেওয়া হয়েছে যা আমি প্রায় এক মাস ধরে খেয়েছি কিন্তু এর সাথে আমার ভ"&amp;"য়াবহ সময় কেটেছে। জোলফ্ট আমাকে একাধিক পার্শ্বপ্রতিক্রিয়া দিয়েছে যার মধ্যে রয়েছে উদ্বেগ এবং বিষণ্ণতা বৃদ্ধি, অতিরিক্ত গরমের অনুভূতি, অনিদ্রা, কোষ্ঠকাঠিন্য, ডায়রিয়া, উত্তেজনা, বিভ্রান্তি, আত্মহত্যার চিন্তাভাবনা এবং আরও অনেক কিছু। সম্প্রতি আমাকে তীব্র "&amp;"উদ্বেগের আক্রমণের কারণে জোলফ্ট বন্ধ করতে বলা হয়েছে এবং উদ্বেগের আক্রমণ মোকাবেলা করার জন্য আমাকে এশিয়ান 0.5 মিলিগ্রাম ওষুধ দেওয়া হয়েছে। অতীতে আমার অনেক ওষুধের সমস্যা ছিল এবং আজ আমি ভাবছি হয় আত্মহত্যা করব অথবা আমার চলমান মানসিক ব্যাধি মোকাবেলা করার জন্"&amp;"য এশিয়ান ওষুধ সেবন করব। তদুপরি, আমি এই পোস্টটি সহানুভূতির জন্য বা লোকেদের আমার জন্য খারাপ বোধ করানোর জন্য করছি না, আমি কেবল মানুষের সাথে সম্পর্ক স্থাপন করতে চাই। তদুপরি, আমার অনেক বছর ধরে আত্মহত্যার চিন্তাভাবনা ছিল এবং আজ আমি মনে করি আমি আসলে এর মধ্য দিয"&amp;"়ে যেতে পারি। তদুপরি, সম্ভব হলে আমি আপনাকে আপডেট করব।")</f>
        <v>আমার উদ্বেগ এবং বিষণ্ণতা ধরা পড়েছে এবং আজ আমি ক্রমাগত আমার জীবন নেওয়ার কথা ভাবছি। আমার সবসময়ই ভয়ানক উদ্বেগ থাকে এবং আমি ক্রমাগত বিষণ্ণতার পর্বে হারিয়ে যাই। তদুপরি, আমাকে জোলফ্ট ওষুধ দেওয়া হয়েছে যা আমি প্রায় এক মাস ধরে খেয়েছি কিন্তু এর সাথে আমার ভয়াবহ সময় কেটেছে। জোলফ্ট আমাকে একাধিক পার্শ্বপ্রতিক্রিয়া দিয়েছে যার মধ্যে রয়েছে উদ্বেগ এবং বিষণ্ণতা বৃদ্ধি, অতিরিক্ত গরমের অনুভূতি, অনিদ্রা, কোষ্ঠকাঠিন্য, ডায়রিয়া, উত্তেজনা, বিভ্রান্তি, আত্মহত্যার চিন্তাভাবনা এবং আরও অনেক কিছু। সম্প্রতি আমাকে তীব্র উদ্বেগের আক্রমণের কারণে জোলফ্ট বন্ধ করতে বলা হয়েছে এবং উদ্বেগের আক্রমণ মোকাবেলা করার জন্য আমাকে এশিয়ান 0.5 মিলিগ্রাম ওষুধ দেওয়া হয়েছে। অতীতে আমার অনেক ওষুধের সমস্যা ছিল এবং আজ আমি ভাবছি হয় আত্মহত্যা করব অথবা আমার চলমান মানসিক ব্যাধি মোকাবেলা করার জন্য এশিয়ান ওষুধ সেবন করব। তদুপরি, আমি এই পোস্টটি সহানুভূতির জন্য বা লোকেদের আমার জন্য খারাপ বোধ করানোর জন্য করছি না, আমি কেবল মানুষের সাথে সম্পর্ক স্থাপন করতে চাই। তদুপরি, আমার অনেক বছর ধরে আত্মহত্যার চিন্তাভাবনা ছিল এবং আজ আমি মনে করি আমি আসলে এর মধ্য দিয়ে যেতে পারি। তদুপরি, সম্ভব হলে আমি আপনাকে আপডেট করব।</v>
      </c>
    </row>
    <row r="2809" spans="1:3" ht="15" x14ac:dyDescent="0.25">
      <c r="A2809" s="3" t="s">
        <v>2802</v>
      </c>
      <c r="B2809" s="3" t="s">
        <v>1992</v>
      </c>
      <c r="C2809" s="4" t="str">
        <f ca="1">IFERROR(__xludf.DUMMYFUNCTION("GOOGLETRANSLATE(A2809, ""auto"", ""bn"")"),"অনেক দূরে, দুঃখিত, এটা কোথায় পোস্ট করবো তা নিশ্চিত ছিলাম না, এবং আমার মনে হয় এটা এখানে আমার প্রথম পোস্ট। মূলত যখন তুমি তোমার বন্ধুবান্ধব বা পরিবারের সাথে প্রায়ই দেখা করতে পারো না, তখন প্রথমে আমি পুরো পরিস্থিতি নিয়ে বেশ উদ্বিগ্ন হয়ে পড়ি কারণ আমি সবসম"&amp;"য় অতিরিক্ত চিন্তা করি এবং সবকিছু... তারপর, যখন তুমি তাদের সাথে দেখা করো, তখন সবচেয়ে ভালো সময় কাটাও এবং তুমি যা বলেছো বা কীভাবে আচরণ করেছো তা নিয়ে খুব বেশি বোকা বোধ করো না, কিন্তু এক পর্যায়ে তোমাকে আলাদা হতে হবে, এবং তুমি খারাপ/দুঃখিত বোধ করো। কারণ তু"&amp;"মি আসলে বছর বা যাই হোক না কেন তাদের সাথে আরও বেশি সময় কাটাতে চাইবে (যদিও সামাজিক মিথস্ক্রিয়া আমার কাছ থেকে যথেষ্ট শক্তি নেয়) এবং তুমি জানো না কখন তুমি তাদের আবার দেখতে পাবে (যা সম্ভবত কয়েক মাস পরে হবে, যদি বছর না হয়) :/")</f>
        <v>অনেক দূরে, দুঃখিত, এটা কোথায় পোস্ট করবো তা নিশ্চিত ছিলাম না, এবং আমার মনে হয় এটা এখানে আমার প্রথম পোস্ট। মূলত যখন তুমি তোমার বন্ধুবান্ধব বা পরিবারের সাথে প্রায়ই দেখা করতে পারো না, তখন প্রথমে আমি পুরো পরিস্থিতি নিয়ে বেশ উদ্বিগ্ন হয়ে পড়ি কারণ আমি সবসময় অতিরিক্ত চিন্তা করি এবং সবকিছু... তারপর, যখন তুমি তাদের সাথে দেখা করো, তখন সবচেয়ে ভালো সময় কাটাও এবং তুমি যা বলেছো বা কীভাবে আচরণ করেছো তা নিয়ে খুব বেশি বোকা বোধ করো না, কিন্তু এক পর্যায়ে তোমাকে আলাদা হতে হবে, এবং তুমি খারাপ/দুঃখিত বোধ করো। কারণ তুমি আসলে বছর বা যাই হোক না কেন তাদের সাথে আরও বেশি সময় কাটাতে চাইবে (যদিও সামাজিক মিথস্ক্রিয়া আমার কাছ থেকে যথেষ্ট শক্তি নেয়) এবং তুমি জানো না কখন তুমি তাদের আবার দেখতে পাবে (যা সম্ভবত কয়েক মাস পরে হবে, যদি বছর না হয়) :/</v>
      </c>
    </row>
    <row r="2810" spans="1:3" ht="15" x14ac:dyDescent="0.25">
      <c r="A2810" s="3" t="s">
        <v>2803</v>
      </c>
      <c r="B2810" s="3" t="s">
        <v>1992</v>
      </c>
      <c r="C2810" s="4" t="str">
        <f ca="1">IFERROR(__xludf.DUMMYFUNCTION("GOOGLETRANSLATE(A2810, ""auto"", ""bn"")"),"প্রায় দুই মাসের মধ্যে আমার প্রথম উদ্বেগের আক্রমণ হয়েছে, এবং আমি গর্বিত। আমি উদ্বেগ, এবং প্যানিক অ্যাটাক এবং তারপর ডিরিয়ালাইজেশনে ভুগছি। মূলত, আমার মনে হয় আমি স্বপ্নে আছি, এবং বাস্তবতার কিছুই সত্য নয়। একবার এটা অনেক বেশি হয়েছিল, আমি ১ ঘন্টা ধরে বিছানায় শুয়"&amp;"ে ছিলাম, কাঁপছিলাম এবং অনুভব করছিলাম যে আমি স্বপ্নে আছি, এবং ""বাস্তবতার"" মধ্যে, আমার সাথে খুব খারাপ কিছু ঘটছে। তাই আমি একজন মনোরোগ বিশেষজ্ঞের সাথে দেখা করার সিদ্ধান্ত নিলাম। তিনি আমাকে বুঝতে দিলেন যে এটা খুবই স্বাভাবিক কিছু, এবং আমি পাগল হচ্ছি না (ধন্যব"&amp;"াদ যীশু, আমি এতে খুব ভয় পেয়েছিলাম)। তিনি আমাকে অ্যান্টিডিপ্রেসিভ (মনে হচ্ছে প্যানিক অ্যাটাক মানুষের উপর বিষণ্নতা শুরু করে) এবং অ্যানসিওলাইটিক্স দিয়েছিলেন। বন্ধুর সাথে ব্যান্ডারসন্যাচ না দেখা পর্যন্ত আমি খুব ভালো বোধ করছি। জানো, সেই ব্ল্যাক মিরর সিনেমাটি।"&amp;" সিনেমাটিতে, তারা মাদক, বাস্তবতা, নিয়ন্ত্রণ ইত্যাদি সম্পর্কে অনেক কথা বলে। আমার প্যানিক অ্যাটাক শুরু করে এমন সবকিছু। আমি অ্যানসিওলাইটিক্স গ্রহণ করেছিলাম, এবং বিছানায় শুতে গিয়েছিলাম, কারণ আমি অনেক কাঁপতে শুরু করেছিলাম। কয়েকদিন আগে, আমি একা সিনেমাটি দেখার"&amp;" সিদ্ধান্ত নিয়েছিলাম। আমি নিজেকে বলেছিলাম ""আমি এই জিনিসটার সাথে লড়াই করতে চাই"", এবং এটি দেখেছিলাম। আমার প্যানিক অ্যাটাক সম্পর্কিত প্রতিটি সিদ্ধান্ত আমি ইচ্ছাকৃতভাবে নিয়েছিলাম। এবং আমার ভালো লেগেছে। আমি জানতাম এটি কেবল একটি সিনেমা, এবং আসলে, একটি ভালো "&amp;"সিনেমা। আমার ভয় কেবল ভয়। আমি স্বপ্নে, কোমায়, বা এরকম কিছুতে নেই। আমি বাস্তব জীবনে আছি এবং আমি কেবল প্যানিক অ্যাটাক থেকে ভুগছি। ধুর! আমাকে কেবল লড়াই চালিয়ে যেতে হবে, আমার ওষুধ খেতে হবে, মাসে একবার বা দুবার মনোরোগ বিশেষজ্ঞের কাছে যেতে হবে, এবং সবকিছু স"&amp;"্বাভাবিক অবস্থায় ফিরে আসবে। হ্যাঁ, এটা বোকামি। শুধু একটি সিনেমা। কিন্তু এটি আমাকে অনেক ভয় দেখিয়েছিল। এবং আমি আরও কিছুর জন্য গিয়েছিলাম, এবং আমার কিছু ভয় কাটিয়েছি। এবং আমি এতে খুব গর্বিত। এবং আমাকে এটি আপনার সাথে ভাগ করে নিতে হয়েছিল। শুভ রাত্রি, এবং "&amp;"আমি আপনাদের সকলের শুভ নববর্ষ কামনা করি, কোনও (বা কম) উদ্বেগ ছাড়াই।")</f>
        <v>প্রায় দুই মাসের মধ্যে আমার প্রথম উদ্বেগের আক্রমণ হয়েছে, এবং আমি গর্বিত। আমি উদ্বেগ, এবং প্যানিক অ্যাটাক এবং তারপর ডিরিয়ালাইজেশনে ভুগছি। মূলত, আমার মনে হয় আমি স্বপ্নে আছি, এবং বাস্তবতার কিছুই সত্য নয়। একবার এটা অনেক বেশি হয়েছিল, আমি ১ ঘন্টা ধরে বিছানায় শুয়ে ছিলাম, কাঁপছিলাম এবং অনুভব করছিলাম যে আমি স্বপ্নে আছি, এবং "বাস্তবতার" মধ্যে, আমার সাথে খুব খারাপ কিছু ঘটছে। তাই আমি একজন মনোরোগ বিশেষজ্ঞের সাথে দেখা করার সিদ্ধান্ত নিলাম। তিনি আমাকে বুঝতে দিলেন যে এটা খুবই স্বাভাবিক কিছু, এবং আমি পাগল হচ্ছি না (ধন্যবাদ যীশু, আমি এতে খুব ভয় পেয়েছিলাম)। তিনি আমাকে অ্যান্টিডিপ্রেসিভ (মনে হচ্ছে প্যানিক অ্যাটাক মানুষের উপর বিষণ্নতা শুরু করে) এবং অ্যানসিওলাইটিক্স দিয়েছিলেন। বন্ধুর সাথে ব্যান্ডারসন্যাচ না দেখা পর্যন্ত আমি খুব ভালো বোধ করছি। জানো, সেই ব্ল্যাক মিরর সিনেমাটি। সিনেমাটিতে, তারা মাদক, বাস্তবতা, নিয়ন্ত্রণ ইত্যাদি সম্পর্কে অনেক কথা বলে। আমার প্যানিক অ্যাটাক শুরু করে এমন সবকিছু। আমি অ্যানসিওলাইটিক্স গ্রহণ করেছিলাম, এবং বিছানায় শুতে গিয়েছিলাম, কারণ আমি অনেক কাঁপতে শুরু করেছিলাম। কয়েকদিন আগে, আমি একা সিনেমাটি দেখার সিদ্ধান্ত নিয়েছিলাম। আমি নিজেকে বলেছিলাম "আমি এই জিনিসটার সাথে লড়াই করতে চাই", এবং এটি দেখেছিলাম। আমার প্যানিক অ্যাটাক সম্পর্কিত প্রতিটি সিদ্ধান্ত আমি ইচ্ছাকৃতভাবে নিয়েছিলাম। এবং আমার ভালো লেগেছে। আমি জানতাম এটি কেবল একটি সিনেমা, এবং আসলে, একটি ভালো সিনেমা। আমার ভয় কেবল ভয়। আমি স্বপ্নে, কোমায়, বা এরকম কিছুতে নেই। আমি বাস্তব জীবনে আছি এবং আমি কেবল প্যানিক অ্যাটাক থেকে ভুগছি। ধুর! আমাকে কেবল লড়াই চালিয়ে যেতে হবে, আমার ওষুধ খেতে হবে, মাসে একবার বা দুবার মনোরোগ বিশেষজ্ঞের কাছে যেতে হবে, এবং সবকিছু স্বাভাবিক অবস্থায় ফিরে আসবে। হ্যাঁ, এটা বোকামি। শুধু একটি সিনেমা। কিন্তু এটি আমাকে অনেক ভয় দেখিয়েছিল। এবং আমি আরও কিছুর জন্য গিয়েছিলাম, এবং আমার কিছু ভয় কাটিয়েছি। এবং আমি এতে খুব গর্বিত। এবং আমাকে এটি আপনার সাথে ভাগ করে নিতে হয়েছিল। শুভ রাত্রি, এবং আমি আপনাদের সকলের শুভ নববর্ষ কামনা করি, কোনও (বা কম) উদ্বেগ ছাড়াই।</v>
      </c>
    </row>
    <row r="2811" spans="1:3" ht="15" x14ac:dyDescent="0.25">
      <c r="A2811" s="3" t="s">
        <v>2804</v>
      </c>
      <c r="B2811" s="3" t="s">
        <v>1992</v>
      </c>
      <c r="C2811" s="4" t="str">
        <f ca="1">IFERROR(__xludf.DUMMYFUNCTION("GOOGLETRANSLATE(A2811, ""auto"", ""bn"")"),"শৈশবের অভিজ্ঞতা ট্রমার জন্য পরামর্শের প্রয়োজন বাবা-মা আমাদের মারধর করেছেন এবং বলেছেন যে তারা আর বাঁচতে চান না। আমি EMDR চেষ্টা করেছি এটি সাহায্য করেছে আমি অন্যান্য চিকিৎসা সম্পর্কে জানতে চাই। Xanax অস্থায়ীভাবে সাহায্য করে।")</f>
        <v>শৈশবের অভিজ্ঞতা ট্রমার জন্য পরামর্শের প্রয়োজন বাবা-মা আমাদের মারধর করেছেন এবং বলেছেন যে তারা আর বাঁচতে চান না। আমি EMDR চেষ্টা করেছি এটি সাহায্য করেছে আমি অন্যান্য চিকিৎসা সম্পর্কে জানতে চাই। Xanax অস্থায়ীভাবে সাহায্য করে।</v>
      </c>
    </row>
    <row r="2812" spans="1:3" ht="15" x14ac:dyDescent="0.25">
      <c r="A2812" s="3" t="s">
        <v>2805</v>
      </c>
      <c r="B2812" s="3" t="s">
        <v>1992</v>
      </c>
      <c r="C2812" s="4" t="str">
        <f ca="1">IFERROR(__xludf.DUMMYFUNCTION("GOOGLETRANSLATE(A2812, ""auto"", ""bn"")"),"কারো কাছে কি নিদ্রাহীন রাত কাটানোর টিপস আছে? তাহলে গত কয়েক সপ্তাহে আমার বেশ কিছু রাত কেটেছে যেগুলোতে আমি ঘুমাতে পারছি না। আমার একটা উদ্বিগ্ন অনুভূতি হচ্ছে কিন্তু আমি জানি না আমি কী ভয় পাচ্ছি, শুধু আসন্ন ধ্বংসের অনুভূতি। মনে হচ্ছে আমি আমার মস্তিষ্ককে ঘুর"&amp;"িয়ে দিতে পারছি না। আমার মনে হচ্ছে আমি সবকিছু চেষ্টা করেছি, ফোন নেই, ক্যাফেইন নেই, তাড়াতাড়ি ঘুমাতে যাচ্ছি। এমনকি এর জন্য আমাকে বিভিন্ন ধরণের ওষুধও লিখে দেওয়া হয়েছে কিন্তু কিছুই সাহায্য করে না। তাছাড়া, আমি এই মুহূর্তে বেশ মরিয়া। কারো কি কোন টিপস বা অ"&amp;"ভিজ্ঞতা আছে?")</f>
        <v>কারো কাছে কি নিদ্রাহীন রাত কাটানোর টিপস আছে? তাহলে গত কয়েক সপ্তাহে আমার বেশ কিছু রাত কেটেছে যেগুলোতে আমি ঘুমাতে পারছি না। আমার একটা উদ্বিগ্ন অনুভূতি হচ্ছে কিন্তু আমি জানি না আমি কী ভয় পাচ্ছি, শুধু আসন্ন ধ্বংসের অনুভূতি। মনে হচ্ছে আমি আমার মস্তিষ্ককে ঘুরিয়ে দিতে পারছি না। আমার মনে হচ্ছে আমি সবকিছু চেষ্টা করেছি, ফোন নেই, ক্যাফেইন নেই, তাড়াতাড়ি ঘুমাতে যাচ্ছি। এমনকি এর জন্য আমাকে বিভিন্ন ধরণের ওষুধও লিখে দেওয়া হয়েছে কিন্তু কিছুই সাহায্য করে না। তাছাড়া, আমি এই মুহূর্তে বেশ মরিয়া। কারো কি কোন টিপস বা অভিজ্ঞতা আছে?</v>
      </c>
    </row>
    <row r="2813" spans="1:3" ht="15" x14ac:dyDescent="0.25">
      <c r="A2813" s="3" t="s">
        <v>2806</v>
      </c>
      <c r="B2813" s="3" t="s">
        <v>1992</v>
      </c>
      <c r="C2813" s="4" t="str">
        <f ca="1">IFERROR(__xludf.DUMMYFUNCTION("GOOGLETRANSLATE(A2813, ""auto"", ""bn"")"),"উদ্বেগজনিত ব্যাধির কোন চিকিৎসা আছে? মাঝে মাঝে আমি শুধু ভাবি যে আমি কখনোই ভালো হব না। আমি প্রায় ২ বছর ধরে সপ্তাহে ২ বার থেরাপিস্টের কাছে যাই এবং এখনও মাঝে মাঝে এটি নিয়ে লড়াই করি (এটি আসে এবং যায়), কখনও কখনও সবকিছু ঠিক থাকে এবং রোদ থাকে, এবং মনে হয় আমি"&amp;" ভালো হয়ে যাব, এবং কখনও কখনও সত্যিই আমাকে কষ্ট দেয়, এবং আমাকে প্রশ্ন করতে বাধ্য করে যে আমি কি কখনও চিরতরে ভালো হয়ে যাব। আমি জানি উদ্বেগ একটি স্বাভাবিক অনুভূতি, তাই উদ্বেগের মুহুর্তগুলিতে আমার উদ্বেগ থাকবে, কিন্তু আমি এই ব্যাধি সম্পর্কে কথা বলছি, যেমন এ"&amp;"ই অনুভূতি যা আমি বেশিরভাগ দিন অনুভব করি (এমনকি যখন কিছুই ঘটছে না) এটি কি ভালো হয়ে যেতে পারে এবং আমার মধ্যে সঠিক কাজ করা বন্ধ করে দিতে পারে?")</f>
        <v>উদ্বেগজনিত ব্যাধির কোন চিকিৎসা আছে? মাঝে মাঝে আমি শুধু ভাবি যে আমি কখনোই ভালো হব না। আমি প্রায় ২ বছর ধরে সপ্তাহে ২ বার থেরাপিস্টের কাছে যাই এবং এখনও মাঝে মাঝে এটি নিয়ে লড়াই করি (এটি আসে এবং যায়), কখনও কখনও সবকিছু ঠিক থাকে এবং রোদ থাকে, এবং মনে হয় আমি ভালো হয়ে যাব, এবং কখনও কখনও সত্যিই আমাকে কষ্ট দেয়, এবং আমাকে প্রশ্ন করতে বাধ্য করে যে আমি কি কখনও চিরতরে ভালো হয়ে যাব। আমি জানি উদ্বেগ একটি স্বাভাবিক অনুভূতি, তাই উদ্বেগের মুহুর্তগুলিতে আমার উদ্বেগ থাকবে, কিন্তু আমি এই ব্যাধি সম্পর্কে কথা বলছি, যেমন এই অনুভূতি যা আমি বেশিরভাগ দিন অনুভব করি (এমনকি যখন কিছুই ঘটছে না) এটি কি ভালো হয়ে যেতে পারে এবং আমার মধ্যে সঠিক কাজ করা বন্ধ করে দিতে পারে?</v>
      </c>
    </row>
    <row r="2814" spans="1:3" ht="15" x14ac:dyDescent="0.25">
      <c r="A2814" s="3" t="s">
        <v>2807</v>
      </c>
      <c r="B2814" s="3" t="s">
        <v>1992</v>
      </c>
      <c r="C2814" s="4" t="str">
        <f ca="1">IFERROR(__xludf.DUMMYFUNCTION("GOOGLETRANSLATE(A2814, ""auto"", ""bn"")"),"স্ত্রীর বিষণ্ণতা সুস্থ হওয়ার পরও উদ্বেগের আক্রমণের কারণ হয়ে দাঁড়াচ্ছে গত এক দশক ধরে আমার উদ্বেগের আক্রমণ হয়েছে, কিছু অন্যদের তুলনায় হালকা এবং মাঝে মাঝে বিভিন্ন সময়। সাধারণত ব্যস্ত/কোলাহলপূর্ণ জায়গাগুলি এই কৌশলটি করে। কিন্তু গত বছর থেকে এটি আরও খারা"&amp;"প/ঘন ঘন ঘন হয়েছে, এবং আমি বুঝতে শুরু করেছি যে আমার বিবাহের ঘটনাগুলি কারণ হতে পারে। আমি আমার স্ত্রীর সাথে কিছুক্ষণ মার্কিন যুক্তরাষ্ট্রে কাজ করার সময় দেখা করেছিলাম, এবং ফিরে আসার সময় আমরা বিয়ে না হওয়া পর্যন্ত LDR করেছি, এবং সে এখানে চলে গেছে - সবকিছু "&amp;"পিছনে ফেলে। স্থানান্তরের পর প্রথম কয়েক মাস সাধারণত খুব বিরক্তিকর হয় - আপনি কাউকে চেনেন না, আপনি কাজ করতে পারবেন না, ... এই সব আপনার মেজাজে কাজ করতে পারে, এবং এটি তার জন্যও তাই হয়েছিল। তাই আমি যতটা সম্ভব সেখানে থাকার চেষ্টা করেছি, তার জন্য যথাসাধ্য চেষ্"&amp;"টা করেছি। ""আমি এখানে কখনও চাকরি খুঁজে পাব না"" দিনগুলি কাটিয়ে ওঠার চেষ্টা করি। কিন্তু হ্যাঁ, সে এমন একটা চাকরি পেয়েছে যেখানে সে প্রথমে ভালো বোধ করতো, তার সহকর্মীরা ভালো লাগছিলো, ... কিন্তু কিছুক্ষণ পর সে অফিসে বিষাক্ত আচরণ লক্ষ্য করতে শুরু করে, যা সে ব্"&amp;"যবস্থাপনা কর্তৃপক্ষের কাছে তুলে ধরার চেষ্টা করে এবং সম্পূর্ণরূপে বধির হয়ে যায়। পরিস্থিতি ক্রমশ খারাপ হতে থাকে, এবং সে শেষ পর্যন্ত জ্বালাপোড়া এবং বিষণ্ণতা নিয়ে বাড়িতেই থাকতে থাকে। ভাগ্যক্রমে আমি তাকে আমাদের ডাক্তারের কাছে যেতে রাজি করি। যে ভালো দিনগুল"&amp;"িতে সে সবচেয়ে মিষ্টি মেয়ে ছিল, সে হঠাৎ করেই বিষণ্ণতার দিনগুলিতে পরিণত হতে পারে, যেমন পরিকল্পনা অনুযায়ী কিছু না হওয়া, কিছু মিস করা, কিছু করার চাপ অনুভব করা, ... আমি সাহায্য করার জন্য যা ভাবতে পারি তার চেষ্টা করতাম, কিন্তু সাধারণত সে সাহায্য গ্রহণ করতো "&amp;"না - কিছুই ভালো/সঠিক ছিল না, এবং অতিরিক্ত চিন্তাভাবনার কারণে সে ঘুমাতে পারতো না। সে চাইতো না কেউ কিছু জানুক, এমনকি তার পরিবারও না। আমি ডিমের খোসার উপর হাঁটছিলাম, এবং আমি ক্রমশ অসহায় বোধ করতে শুরু করতাম। প্রতিটি ঘটনার সাথে সাথে এই বিষণ্ণতা আরও গভীর থেকে দ"&amp;"ীর্ঘতর হতে থাকে, এবং অবশেষে সে আত্মহত্যা করতে শুরু করে। এক পর্যায়ে আমি এমনকি তাকে ঘুমের ওষুধ খাওয়ার ইচ্ছা করতে দেখেছিলাম কিন্তু সে পারার আগেই তার কাছে পৌঁছে যায়। সম্ভবত এটা মনে রাখা গুরুত্বপূর্ণ যে, আমার মা যখন ছোট ছিলাম, তখন একবার এইভাবে আত্মহত্যার চে"&amp;"ষ্টা করেছিলেন। আমার অসহায়ত্বের অনুভূতির কারণে তীব্র উদ্বেগের আক্রমণ শুরু হয়েছিল, পেটে ক্রমাগত ব্যথা হতে থাকে, ওজন কমে যায়, ... আমাকে এই জ্ঞান নিয়েও বেঁচে থাকতে হয়েছিল যে আমি কর্মক্ষেত্রে থাকাকালীন যদি সে কিছু সিদ্ধান্ত নেয়, তাহলে আমি কিছুই করতে পারত"&amp;"াম না - সে ডায়াবেটিস রোগী, তাই এটি কেবল অতিরিক্ত ইনসুলিন ইনজেকশনের ব্যাপার হবে। অবশেষে, সেই কোম্পানির সাথে তার চুক্তি শেষ হওয়ার পর, এবং যখন সে আবিষ্কার করে যে আরও অনেক লোক কোম্পানি ছেড়ে চলে গেছে এবং/অথবা তাদের শরীরে জ্বালাপোড়া হচ্ছে, তখন সে তার অনুভূত"&amp;"িতে বৈধতা অনুভব করে এবং আরও ভালো হতে শুরু করে। আজকাল সে আবার তার পুরনো আশাবাদী, সুখী স্বভাবের। কিন্তু যখন এমন কিছু ঘটে যা আগে বিষণ্ণতার একটি পর্বের সূত্রপাত করতে পারত তখন আমি এখনও উদ্বেগের আক্রমণ না করে পারি না, কিন্তু এখন সে কাঁধ ঝাঁকিয়ে নেয়। আমি তাকে এই"&amp;" বিষয়ে বলিনি, কারণ আমি ভয় পাচ্ছি যে সে অপরাধী বোধ করবে। সে একজন আশ্চর্যজনক, যত্নশীল ব্যক্তি যিনি অবশেষে আবার যে সুখ পেয়েছেন তার যোগ্য। টিএল; ডিআর স্ত্রীর আত্মহত্যার প্রবণতার কারণে ছয় মাস আগেও আমার আজও উদ্বেগের আক্রমণ হয় এবং আমি জানি না তাকে কীভাবে বল"&amp;"া উচিত কিনা।")</f>
        <v>স্ত্রীর বিষণ্ণতা সুস্থ হওয়ার পরও উদ্বেগের আক্রমণের কারণ হয়ে দাঁড়াচ্ছে গত এক দশক ধরে আমার উদ্বেগের আক্রমণ হয়েছে, কিছু অন্যদের তুলনায় হালকা এবং মাঝে মাঝে বিভিন্ন সময়। সাধারণত ব্যস্ত/কোলাহলপূর্ণ জায়গাগুলি এই কৌশলটি করে। কিন্তু গত বছর থেকে এটি আরও খারাপ/ঘন ঘন ঘন হয়েছে, এবং আমি বুঝতে শুরু করেছি যে আমার বিবাহের ঘটনাগুলি কারণ হতে পারে। আমি আমার স্ত্রীর সাথে কিছুক্ষণ মার্কিন যুক্তরাষ্ট্রে কাজ করার সময় দেখা করেছিলাম, এবং ফিরে আসার সময় আমরা বিয়ে না হওয়া পর্যন্ত LDR করেছি, এবং সে এখানে চলে গেছে - সবকিছু পিছনে ফেলে। স্থানান্তরের পর প্রথম কয়েক মাস সাধারণত খুব বিরক্তিকর হয় - আপনি কাউকে চেনেন না, আপনি কাজ করতে পারবেন না, ... এই সব আপনার মেজাজে কাজ করতে পারে, এবং এটি তার জন্যও তাই হয়েছিল। তাই আমি যতটা সম্ভব সেখানে থাকার চেষ্টা করেছি, তার জন্য যথাসাধ্য চেষ্টা করেছি। "আমি এখানে কখনও চাকরি খুঁজে পাব না" দিনগুলি কাটিয়ে ওঠার চেষ্টা করি। কিন্তু হ্যাঁ, সে এমন একটা চাকরি পেয়েছে যেখানে সে প্রথমে ভালো বোধ করতো, তার সহকর্মীরা ভালো লাগছিলো, ... কিন্তু কিছুক্ষণ পর সে অফিসে বিষাক্ত আচরণ লক্ষ্য করতে শুরু করে, যা সে ব্যবস্থাপনা কর্তৃপক্ষের কাছে তুলে ধরার চেষ্টা করে এবং সম্পূর্ণরূপে বধির হয়ে যায়। পরিস্থিতি ক্রমশ খারাপ হতে থাকে, এবং সে শেষ পর্যন্ত জ্বালাপোড়া এবং বিষণ্ণতা নিয়ে বাড়িতেই থাকতে থাকে। ভাগ্যক্রমে আমি তাকে আমাদের ডাক্তারের কাছে যেতে রাজি করি। যে ভালো দিনগুলিতে সে সবচেয়ে মিষ্টি মেয়ে ছিল, সে হঠাৎ করেই বিষণ্ণতার দিনগুলিতে পরিণত হতে পারে, যেমন পরিকল্পনা অনুযায়ী কিছু না হওয়া, কিছু মিস করা, কিছু করার চাপ অনুভব করা, ... আমি সাহায্য করার জন্য যা ভাবতে পারি তার চেষ্টা করতাম, কিন্তু সাধারণত সে সাহায্য গ্রহণ করতো না - কিছুই ভালো/সঠিক ছিল না, এবং অতিরিক্ত চিন্তাভাবনার কারণে সে ঘুমাতে পারতো না। সে চাইতো না কেউ কিছু জানুক, এমনকি তার পরিবারও না। আমি ডিমের খোসার উপর হাঁটছিলাম, এবং আমি ক্রমশ অসহায় বোধ করতে শুরু করতাম। প্রতিটি ঘটনার সাথে সাথে এই বিষণ্ণতা আরও গভীর থেকে দীর্ঘতর হতে থাকে, এবং অবশেষে সে আত্মহত্যা করতে শুরু করে। এক পর্যায়ে আমি এমনকি তাকে ঘুমের ওষুধ খাওয়ার ইচ্ছা করতে দেখেছিলাম কিন্তু সে পারার আগেই তার কাছে পৌঁছে যায়। সম্ভবত এটা মনে রাখা গুরুত্বপূর্ণ যে, আমার মা যখন ছোট ছিলাম, তখন একবার এইভাবে আত্মহত্যার চেষ্টা করেছিলেন। আমার অসহায়ত্বের অনুভূতির কারণে তীব্র উদ্বেগের আক্রমণ শুরু হয়েছিল, পেটে ক্রমাগত ব্যথা হতে থাকে, ওজন কমে যায়, ... আমাকে এই জ্ঞান নিয়েও বেঁচে থাকতে হয়েছিল যে আমি কর্মক্ষেত্রে থাকাকালীন যদি সে কিছু সিদ্ধান্ত নেয়, তাহলে আমি কিছুই করতে পারতাম না - সে ডায়াবেটিস রোগী, তাই এটি কেবল অতিরিক্ত ইনসুলিন ইনজেকশনের ব্যাপার হবে। অবশেষে, সেই কোম্পানির সাথে তার চুক্তি শেষ হওয়ার পর, এবং যখন সে আবিষ্কার করে যে আরও অনেক লোক কোম্পানি ছেড়ে চলে গেছে এবং/অথবা তাদের শরীরে জ্বালাপোড়া হচ্ছে, তখন সে তার অনুভূতিতে বৈধতা অনুভব করে এবং আরও ভালো হতে শুরু করে। আজকাল সে আবার তার পুরনো আশাবাদী, সুখী স্বভাবের। কিন্তু যখন এমন কিছু ঘটে যা আগে বিষণ্ণতার একটি পর্বের সূত্রপাত করতে পারত তখন আমি এখনও উদ্বেগের আক্রমণ না করে পারি না, কিন্তু এখন সে কাঁধ ঝাঁকিয়ে নেয়। আমি তাকে এই বিষয়ে বলিনি, কারণ আমি ভয় পাচ্ছি যে সে অপরাধী বোধ করবে। সে একজন আশ্চর্যজনক, যত্নশীল ব্যক্তি যিনি অবশেষে আবার যে সুখ পেয়েছেন তার যোগ্য। টিএল; ডিআর স্ত্রীর আত্মহত্যার প্রবণতার কারণে ছয় মাস আগেও আমার আজও উদ্বেগের আক্রমণ হয় এবং আমি জানি না তাকে কীভাবে বলা উচিত কিনা।</v>
      </c>
    </row>
    <row r="2815" spans="1:3" ht="15" x14ac:dyDescent="0.25">
      <c r="A2815" s="3" t="s">
        <v>2808</v>
      </c>
      <c r="B2815" s="3" t="s">
        <v>1992</v>
      </c>
      <c r="C2815" s="4" t="str">
        <f ca="1">IFERROR(__xludf.DUMMYFUNCTION("GOOGLETRANSLATE(A2815, ""auto"", ""bn"")"),"DPDR পরামর্শ, কেউ কি? সম্প্রতি, আমার শরীর থেকে বিচ্ছিন্ন বোধের কিছু ঘটনা ঘটছে - যেন আমি কোনও সিনেমা দেখছি। আমার মস্তিষ্ক প্রায় অনুমান করার চেষ্টা করছে যে আমার শরীর কী করতে চলেছে। গত কয়েক মাস ধরে আমার উদ্বেগ বেশ খারাপ, এবং আমি নিশ্চিত এটি তারই একটি পরিণত"&amp;"ি। আমার আতঙ্কিত হওয়ার কোনও প্রয়োজন নেই - এটি হঠাৎ করেই আসে এবং আমি যত বেশি এটি সম্পর্কে ভাবি ততই তীব্র হয়। কেউ কি এইরকম অনুভব করেছেন এবং এটি কাটিয়ে উঠতে পেরেছেন? কোন টিপস আছে? এটি ক্ষতিকারক হওয়ার চেয়ে বেশি বিরক্তিকর, তবে খুব ভীতিকর।")</f>
        <v>DPDR পরামর্শ, কেউ কি? সম্প্রতি, আমার শরীর থেকে বিচ্ছিন্ন বোধের কিছু ঘটনা ঘটছে - যেন আমি কোনও সিনেমা দেখছি। আমার মস্তিষ্ক প্রায় অনুমান করার চেষ্টা করছে যে আমার শরীর কী করতে চলেছে। গত কয়েক মাস ধরে আমার উদ্বেগ বেশ খারাপ, এবং আমি নিশ্চিত এটি তারই একটি পরিণতি। আমার আতঙ্কিত হওয়ার কোনও প্রয়োজন নেই - এটি হঠাৎ করেই আসে এবং আমি যত বেশি এটি সম্পর্কে ভাবি ততই তীব্র হয়। কেউ কি এইরকম অনুভব করেছেন এবং এটি কাটিয়ে উঠতে পেরেছেন? কোন টিপস আছে? এটি ক্ষতিকারক হওয়ার চেয়ে বেশি বিরক্তিকর, তবে খুব ভীতিকর।</v>
      </c>
    </row>
    <row r="2816" spans="1:3" ht="15" x14ac:dyDescent="0.25">
      <c r="A2816" s="3" t="s">
        <v>2809</v>
      </c>
      <c r="B2816" s="3" t="s">
        <v>1992</v>
      </c>
      <c r="C2816" s="4" t="str">
        <f ca="1">IFERROR(__xludf.DUMMYFUNCTION("GOOGLETRANSLATE(A2816, ""auto"", ""bn"")"),"খেতে সাহায্য করবেন? এই সপ্তাহে আমার উদ্বেগ সত্যিই তীব্র। আমার একেবারেই ক্ষুধা লাগছে না, তাই খেতে ভুলে গেছি এবং আমার মাথা খারাপ হয়ে গেছে। আজ আমার দৃষ্টি ঝাপসা, যা আমাকে সত্যিই চিন্তিত করছে। আমি অ্যালার্ম সেট করার চেষ্টা করেছি, কিন্তু আমি বারবার স্নুজ করছি"&amp;"/উপেক্ষা করছি। কারো কাছে কি কোন পরামর্শ আছে?")</f>
        <v>খেতে সাহায্য করবেন? এই সপ্তাহে আমার উদ্বেগ সত্যিই তীব্র। আমার একেবারেই ক্ষুধা লাগছে না, তাই খেতে ভুলে গেছি এবং আমার মাথা খারাপ হয়ে গেছে। আজ আমার দৃষ্টি ঝাপসা, যা আমাকে সত্যিই চিন্তিত করছে। আমি অ্যালার্ম সেট করার চেষ্টা করেছি, কিন্তু আমি বারবার স্নুজ করছি/উপেক্ষা করছি। কারো কাছে কি কোন পরামর্শ আছে?</v>
      </c>
    </row>
    <row r="2817" spans="1:3" ht="15" x14ac:dyDescent="0.25">
      <c r="A2817" s="3" t="s">
        <v>2810</v>
      </c>
      <c r="B2817" s="3" t="s">
        <v>1992</v>
      </c>
      <c r="C2817" s="4" t="str">
        <f ca="1">IFERROR(__xludf.DUMMYFUNCTION("GOOGLETRANSLATE(A2817, ""auto"", ""bn"")"),"যখন তোমার উদ্বেগ আবার ফিরে আসে... আরে! বিভিন্ন কারণে এখানে পোস্ট করছি। কয়েকদিন ধরে আমার উদ্বেগ ফিরে এসেছে। যতটা খারাপ হতে পারে ততটা খারাপ নয় কিন্তু... ঘুম থেকে ওঠার সাথে সাথেই মূলত উচ্চ উদ্বেগ এবং সারাদিন ধরে কমবেশি একটানা উত্তেজনা। আমি এটি পোস্ট করতে চ"&amp;"েয়েছিলাম কারণ আমি জানি কীভাবে এটি বন্ধ করতে হয়, কিন্তু আমি কিছুটা আটকে আছি। আমার উদ্বেগ একাকীত্ব/নিম্ন আত্মসম্মানের সাথে যুক্ত। আমি অনেক ঘুরে বেড়াচ্ছি এবং সম্প্রতি একটি নতুন জায়গায় চলে এসেছি। আমার মূলত ভালো বন্ধু নেই এবং মূলত পুরনো দূরের বন্ধুদের শুধ"&amp;"ু ফেসবুকে। তাছাড়া, আমি খুব সহজেই একাকী বোধ করি এবং খারাপ বোধ করি কারণ আমি ভালো বন্ধু পেতে পারি না বা আমার আগের বন্ধুদের রাখতে পারি না। তাছাড়া, আমি এমন একজনের সাথে দেখা করেছি যে দ্রুত আমার বান্ধবী হয়ে উঠেছে। আমরা এখন 2 মাস ধরে একসাথে আছি, কিন্তু এটি খুব এ"&amp;"কটা ভালো ছিল না। 31 তারিখ সবকিছু শুরু করে দিয়েছে। জানা সত্ত্বেও, আমি একা থাকব আমার প্রেমিকা আমাকে তার বন্ধুদের সাথে আমন্ত্রণ জানায়নি। যখন সে বুঝতে পারল যে আমি অত্যন্ত হতাশ হয়ে পড়ছি তখন সে আমার সাথে থাকা বাতিল করার সিদ্ধান্ত নিয়েছে... করুণার জন্য এবং "&amp;"বোকার মতো বোধ না করার জন্য (তার কথা)। আমি অজানা লোকদের সাথে রাত কাটাতে পেরেছিলাম, এবং এটি প্রত্যাশার চেয়ে অনেক ভালো রাত ছিল। সমস্যাটা এখানেই। আমি জানি আমি তার সাথে খুশি নই। আমরা একসাথে থাকার পর থেকে সে আমার আত্মমর্যাদা হ্রাস করেছে, আমার নিরাপত্তাহীনতা বা"&amp;"ড়িয়েছে। ৩১ তারিখের কারণে এটি তার পক্ষে অদ্ভুত হয়ে উঠেছে। আমি ছিটকে পড়ার ধারণা নিয়ে উদ্বিগ্ন, আমি তার সাথে সম্পর্ক ছিন্ন করার ধারণা নিয়ে উদ্বিগ্ন। আমি একাকীত্বে ভুগতে খুব ভয় পাই। তাছাড়া, ৭ মাস আগেও আমি একই পরিস্থিতিতে ছিলাম তাই আমি জানি আমার কী করা"&amp;" উচিত, কিন্তু আমি পারছি না। দুঃখিত যদি আমি যেখানে পোস্ট করা উচিত সেখানে পোস্ট না করি। আমার এটি শেয়ার করা দরকার ছিল এবং আপনি এ সম্পর্কে কী ভাবছেন তা জানতে আমার আপত্তি নেই। ধন্যবাদ।")</f>
        <v>যখন তোমার উদ্বেগ আবার ফিরে আসে... আরে! বিভিন্ন কারণে এখানে পোস্ট করছি। কয়েকদিন ধরে আমার উদ্বেগ ফিরে এসেছে। যতটা খারাপ হতে পারে ততটা খারাপ নয় কিন্তু... ঘুম থেকে ওঠার সাথে সাথেই মূলত উচ্চ উদ্বেগ এবং সারাদিন ধরে কমবেশি একটানা উত্তেজনা। আমি এটি পোস্ট করতে চেয়েছিলাম কারণ আমি জানি কীভাবে এটি বন্ধ করতে হয়, কিন্তু আমি কিছুটা আটকে আছি। আমার উদ্বেগ একাকীত্ব/নিম্ন আত্মসম্মানের সাথে যুক্ত। আমি অনেক ঘুরে বেড়াচ্ছি এবং সম্প্রতি একটি নতুন জায়গায় চলে এসেছি। আমার মূলত ভালো বন্ধু নেই এবং মূলত পুরনো দূরের বন্ধুদের শুধু ফেসবুকে। তাছাড়া, আমি খুব সহজেই একাকী বোধ করি এবং খারাপ বোধ করি কারণ আমি ভালো বন্ধু পেতে পারি না বা আমার আগের বন্ধুদের রাখতে পারি না। তাছাড়া, আমি এমন একজনের সাথে দেখা করেছি যে দ্রুত আমার বান্ধবী হয়ে উঠেছে। আমরা এখন 2 মাস ধরে একসাথে আছি, কিন্তু এটি খুব একটা ভালো ছিল না। 31 তারিখ সবকিছু শুরু করে দিয়েছে। জানা সত্ত্বেও, আমি একা থাকব আমার প্রেমিকা আমাকে তার বন্ধুদের সাথে আমন্ত্রণ জানায়নি। যখন সে বুঝতে পারল যে আমি অত্যন্ত হতাশ হয়ে পড়ছি তখন সে আমার সাথে থাকা বাতিল করার সিদ্ধান্ত নিয়েছে... করুণার জন্য এবং বোকার মতো বোধ না করার জন্য (তার কথা)। আমি অজানা লোকদের সাথে রাত কাটাতে পেরেছিলাম, এবং এটি প্রত্যাশার চেয়ে অনেক ভালো রাত ছিল। সমস্যাটা এখানেই। আমি জানি আমি তার সাথে খুশি নই। আমরা একসাথে থাকার পর থেকে সে আমার আত্মমর্যাদা হ্রাস করেছে, আমার নিরাপত্তাহীনতা বাড়িয়েছে। ৩১ তারিখের কারণে এটি তার পক্ষে অদ্ভুত হয়ে উঠেছে। আমি ছিটকে পড়ার ধারণা নিয়ে উদ্বিগ্ন, আমি তার সাথে সম্পর্ক ছিন্ন করার ধারণা নিয়ে উদ্বিগ্ন। আমি একাকীত্বে ভুগতে খুব ভয় পাই। তাছাড়া, ৭ মাস আগেও আমি একই পরিস্থিতিতে ছিলাম তাই আমি জানি আমার কী করা উচিত, কিন্তু আমি পারছি না। দুঃখিত যদি আমি যেখানে পোস্ট করা উচিত সেখানে পোস্ট না করি। আমার এটি শেয়ার করা দরকার ছিল এবং আপনি এ সম্পর্কে কী ভাবছেন তা জানতে আমার আপত্তি নেই। ধন্যবাদ।</v>
      </c>
    </row>
    <row r="2818" spans="1:3" ht="15" x14ac:dyDescent="0.25">
      <c r="A2818" s="3" t="s">
        <v>2811</v>
      </c>
      <c r="B2818" s="3" t="s">
        <v>1992</v>
      </c>
      <c r="C2818" s="4" t="str">
        <f ca="1">IFERROR(__xludf.DUMMYFUNCTION("GOOGLETRANSLATE(A2818, ""auto"", ""bn"")"),"ঔষধ ব্যবস্থাপনার জন্য সাহায্য/ধারণা? আমি গত দুই মাস ধরে নিয়মিতভাবে আমার ক্লোনোপিন ব্যবহার করছি, এবং আমার ডাক্তার এই বিষয়ে অবগত নন, কিন্তু শীঘ্রই আমাকে এটি থেকে মুক্তি দিতে চান। সমস্যা হল যে আমার নির্ধারিত ডোজে, এটি আসলে আমার উদ্বেগকে সাহায্য করে, তাই আম"&amp;"ি এটি সম্পূর্ণরূপে দূর করতে চাই না। এটি ছাড়া, আমার উদ্বেগ এতটাই তীব্র যে আমি কাজ করতে পারি না, এবং এমনকি যদি সে আমাকে দুধ ছাড়াতে শুরু করে, তবুও আমার কাছে কমপক্ষে আরও এক মাস ধরে চলার জন্য যথেষ্ট সঞ্চয় আছে। আমার মনে হয় আমার ওষুধ পরিচালনা করতে সাহায্য কর"&amp;"ার জন্য কাউকে থাকা সহায়ক হবে, কিন্তু আমার কাছে এমন কেউ নেই যে এটি করতে পারে। কেউ কি একই রকম সমস্যার সম্মুখীন হয়েছে এবং সৃজনশীল সমাধান নিয়ে এসেছে? অথবা কোন সম্ভাব্য ধারণা আছে? আমি জানি যে আমি এটি কীভাবে ব্যবহার করছি তা ভয়ানক এবং এটি কি নির্ধারিত হিসাবে"&amp;" ব্যবহার করতে আমার সমস্যা হচ্ছে। যেকোনো প্রতিক্রিয়া/পরামর্শ অত্যন্ত প্রশংসাযোগ্য।")</f>
        <v>ঔষধ ব্যবস্থাপনার জন্য সাহায্য/ধারণা? আমি গত দুই মাস ধরে নিয়মিতভাবে আমার ক্লোনোপিন ব্যবহার করছি, এবং আমার ডাক্তার এই বিষয়ে অবগত নন, কিন্তু শীঘ্রই আমাকে এটি থেকে মুক্তি দিতে চান। সমস্যা হল যে আমার নির্ধারিত ডোজে, এটি আসলে আমার উদ্বেগকে সাহায্য করে, তাই আমি এটি সম্পূর্ণরূপে দূর করতে চাই না। এটি ছাড়া, আমার উদ্বেগ এতটাই তীব্র যে আমি কাজ করতে পারি না, এবং এমনকি যদি সে আমাকে দুধ ছাড়াতে শুরু করে, তবুও আমার কাছে কমপক্ষে আরও এক মাস ধরে চলার জন্য যথেষ্ট সঞ্চয় আছে। আমার মনে হয় আমার ওষুধ পরিচালনা করতে সাহায্য করার জন্য কাউকে থাকা সহায়ক হবে, কিন্তু আমার কাছে এমন কেউ নেই যে এটি করতে পারে। কেউ কি একই রকম সমস্যার সম্মুখীন হয়েছে এবং সৃজনশীল সমাধান নিয়ে এসেছে? অথবা কোন সম্ভাব্য ধারণা আছে? আমি জানি যে আমি এটি কীভাবে ব্যবহার করছি তা ভয়ানক এবং এটি কি নির্ধারিত হিসাবে ব্যবহার করতে আমার সমস্যা হচ্ছে। যেকোনো প্রতিক্রিয়া/পরামর্শ অত্যন্ত প্রশংসাযোগ্য।</v>
      </c>
    </row>
    <row r="2819" spans="1:3" ht="15" x14ac:dyDescent="0.25">
      <c r="A2819" s="3" t="s">
        <v>2812</v>
      </c>
      <c r="B2819" s="3" t="s">
        <v>1992</v>
      </c>
      <c r="C2819" s="4" t="str">
        <f ca="1">IFERROR(__xludf.DUMMYFUNCTION("GOOGLETRANSLATE(A2819, ""auto"", ""bn"")"),"আজ কর্মক্ষেত্রে আমার প্যানিক অ্যাটাক হয়েছে। যতটা খারাপ হওয়ার কথা ছিল, ততটা খারাপ হয়নি, যা ভাগ্যের ব্যাপার। কিন্তু আমার সহকর্মী/ঊর্ধ্বতনরা আমাকে এভাবে দেখেছেন, এটা খুবই দুঃখজনক। এখন সব শেষ, আর আমি ঠিক আছি, নিজেকে শান্ত করতে না পেরে এবং কর্মক্ষেত্রে লোকেরা "&amp;"আমাকে একটা নির্দিষ্টভাবে দেখবে এই ভেবে চিন্তিত হওয়ার জন্য নিজেকে সত্যিই বোকা মনে হচ্ছে। আমার শুধু কিছু আশ্বাস শিবির দরকার; একটা আলিঙ্গন।")</f>
        <v>আজ কর্মক্ষেত্রে আমার প্যানিক অ্যাটাক হয়েছে। যতটা খারাপ হওয়ার কথা ছিল, ততটা খারাপ হয়নি, যা ভাগ্যের ব্যাপার। কিন্তু আমার সহকর্মী/ঊর্ধ্বতনরা আমাকে এভাবে দেখেছেন, এটা খুবই দুঃখজনক। এখন সব শেষ, আর আমি ঠিক আছি, নিজেকে শান্ত করতে না পেরে এবং কর্মক্ষেত্রে লোকেরা আমাকে একটা নির্দিষ্টভাবে দেখবে এই ভেবে চিন্তিত হওয়ার জন্য নিজেকে সত্যিই বোকা মনে হচ্ছে। আমার শুধু কিছু আশ্বাস শিবির দরকার; একটা আলিঙ্গন।</v>
      </c>
    </row>
    <row r="2820" spans="1:3" ht="15" x14ac:dyDescent="0.25">
      <c r="A2820" s="3" t="s">
        <v>2813</v>
      </c>
      <c r="B2820" s="3" t="s">
        <v>1992</v>
      </c>
      <c r="C2820" s="4" t="str">
        <f ca="1">IFERROR(__xludf.DUMMYFUNCTION("GOOGLETRANSLATE(A2820, ""auto"", ""bn"")"),"বুধবার আমার স্ত্রীর জন্য কিছু সাহায্যের আশা করছি, তার প্রথম উদ্বেগের আক্রমণ হয়েছিল, সে মূলত স্বাস্থ্যগত উদ্বেগে ভুগছে, তাই এটি নতুন। এখন তার আবার উদ্বেগের আক্রমণ হওয়ার আশঙ্কা রয়েছে। এই চক্র ভাঙতে আমি কি কিছু করতে পারি?")</f>
        <v>বুধবার আমার স্ত্রীর জন্য কিছু সাহায্যের আশা করছি, তার প্রথম উদ্বেগের আক্রমণ হয়েছিল, সে মূলত স্বাস্থ্যগত উদ্বেগে ভুগছে, তাই এটি নতুন। এখন তার আবার উদ্বেগের আক্রমণ হওয়ার আশঙ্কা রয়েছে। এই চক্র ভাঙতে আমি কি কিছু করতে পারি?</v>
      </c>
    </row>
    <row r="2821" spans="1:3" ht="15" x14ac:dyDescent="0.25">
      <c r="A2821" s="3" t="s">
        <v>2814</v>
      </c>
      <c r="B2821" s="3" t="s">
        <v>1992</v>
      </c>
      <c r="C2821" s="4" t="str">
        <f ca="1">IFERROR(__xludf.DUMMYFUNCTION("GOOGLETRANSLATE(A2821, ""auto"", ""bn"")"),"আর কেউ?? আচ্ছা, গত বছর আমার উদ্বেগ ধরা পড়েছিল। রোগ নির্ণয়ের আগে আমি এখনকার মতো সতর্ক এবং সতর্ক ছিলাম না, অবশ্যই আমার এমন কিছু মুহূর্ত ছিল যখন আমি ভয় পেতাম যে আমার হার্ট অ্যাটাক হবে এবং আমি মারা যাব কিন্তু এরকম নয়। আমার খুব হাস্যকর লাগে কিন্তু যখনই আমি"&amp;" কিছু পড়ি, এবং এটি কোনও স্বাস্থ্য সমস্যার মতো কিছু বলে, তখন আমি খুব ভয় পেয়ে যাই এবং সাথে সাথে মনে করি যে আমার এটি হয়েছে। একবার আমি স্ন্যাপচ্যাটে ছিলাম এবং ম্যাপেল সিরাপ রোগ বা অন্য কিছু সম্পর্কে এই জিনিসটি দেখে আমি এত ভীত হয়ে পড়েছিলাম (এখনও আছি) তাই"&amp;" এখন আমার মনে হয় আমার মূত্রাশয়ে একটি ছত্রাক জন্মেছে, এবং আমি আক্ষরিক অর্থেই মৃত্যুর অপেক্ষায় বসে থাকা হাঁসের মতো। আরেকবার আমি ভেবেছিলাম যে আমাদের বয়লার থেকে কার্বন মনোক্সাইড বেরিয়ে আসছে এবং ক্লান্তিতে অজ্ঞান হয়ে যাওয়ার পর আমি কয়েকদিন ঘুমাইনি। এছাড"&amp;"়াও, মাঝে মাঝে আমি ভাবি যে আমার পরিবার (সাধারণত আমার মা) আমাকে বিষ দেওয়ার চেষ্টা করছে, তাই আমি কিছু পান করব না এবং আমি সত্যিই পানিশূন্য হয়ে পড়ি। খাবারের ক্ষেত্রেও একই অবস্থা। এটা কি শুধু আমার? এটা কি এমন কিছু যা নিয়ে আমার চিন্তিত হওয়া উচিত?")</f>
        <v>আর কেউ?? আচ্ছা, গত বছর আমার উদ্বেগ ধরা পড়েছিল। রোগ নির্ণয়ের আগে আমি এখনকার মতো সতর্ক এবং সতর্ক ছিলাম না, অবশ্যই আমার এমন কিছু মুহূর্ত ছিল যখন আমি ভয় পেতাম যে আমার হার্ট অ্যাটাক হবে এবং আমি মারা যাব কিন্তু এরকম নয়। আমার খুব হাস্যকর লাগে কিন্তু যখনই আমি কিছু পড়ি, এবং এটি কোনও স্বাস্থ্য সমস্যার মতো কিছু বলে, তখন আমি খুব ভয় পেয়ে যাই এবং সাথে সাথে মনে করি যে আমার এটি হয়েছে। একবার আমি স্ন্যাপচ্যাটে ছিলাম এবং ম্যাপেল সিরাপ রোগ বা অন্য কিছু সম্পর্কে এই জিনিসটি দেখে আমি এত ভীত হয়ে পড়েছিলাম (এখনও আছি) তাই এখন আমার মনে হয় আমার মূত্রাশয়ে একটি ছত্রাক জন্মেছে, এবং আমি আক্ষরিক অর্থেই মৃত্যুর অপেক্ষায় বসে থাকা হাঁসের মতো। আরেকবার আমি ভেবেছিলাম যে আমাদের বয়লার থেকে কার্বন মনোক্সাইড বেরিয়ে আসছে এবং ক্লান্তিতে অজ্ঞান হয়ে যাওয়ার পর আমি কয়েকদিন ঘুমাইনি। এছাড়াও, মাঝে মাঝে আমি ভাবি যে আমার পরিবার (সাধারণত আমার মা) আমাকে বিষ দেওয়ার চেষ্টা করছে, তাই আমি কিছু পান করব না এবং আমি সত্যিই পানিশূন্য হয়ে পড়ি। খাবারের ক্ষেত্রেও একই অবস্থা। এটা কি শুধু আমার? এটা কি এমন কিছু যা নিয়ে আমার চিন্তিত হওয়া উচিত?</v>
      </c>
    </row>
    <row r="2822" spans="1:3" ht="15" x14ac:dyDescent="0.25">
      <c r="A2822" s="3" t="s">
        <v>2815</v>
      </c>
      <c r="B2822" s="3" t="s">
        <v>1992</v>
      </c>
      <c r="C2822" s="4" t="str">
        <f ca="1">IFERROR(__xludf.DUMMYFUNCTION("GOOGLETRANSLATE(A2822, ""auto"", ""bn"")"),"কারো কি Abilify খাওয়ার অভিজ্ঞতা আছে? আমার অন্যান্য অ্যান্টিডিপ্রেসেন্টগুলি তাদের কার্যকারিতা হারাচ্ছে বলে আমাকে Abilify লিখে দেওয়া হয়েছিল। আমি Zoloft এবং Wellbutrin খাচ্ছি। প্রথমে আমি অর্ধেক খেয়েছিলাম, তারপর ডাক্তার পুরোটা খেতে বললেন। কিন্তু আমার উদ্ব"&amp;"েগ ক্রমশ আরও খারাপ হতে থাকে। তাই তিনি আমাকে 1.5 ট্যাবলেট খেতে বললেন এবং আমার উদ্বেগ আগের চেয়ে আরও খারাপ হয়ে গেল। অবশেষে, আমি অর্ধেক ট্যাবলেটে ফিরে এলাম। যেহেতু আমি Abilify খাচ্ছি, আমি উদ্বিগ্ন চিন্তাভাবনা বেশি লক্ষ্য করছি কিন্তু আত্মহত্যার চিন্তাভাবনা ক"&amp;"রছি না। আমি জানি না আমার কি এটি কমানো উচিত নাকি অর্ধেক ট্যাবলেট খাওয়া চালিয়ে যাওয়া উচিত। আমি অন্যদের এবং Abilify নিয়ে তাদের অভিজ্ঞতা সম্পর্কে জানতে চাই।")</f>
        <v>কারো কি Abilify খাওয়ার অভিজ্ঞতা আছে? আমার অন্যান্য অ্যান্টিডিপ্রেসেন্টগুলি তাদের কার্যকারিতা হারাচ্ছে বলে আমাকে Abilify লিখে দেওয়া হয়েছিল। আমি Zoloft এবং Wellbutrin খাচ্ছি। প্রথমে আমি অর্ধেক খেয়েছিলাম, তারপর ডাক্তার পুরোটা খেতে বললেন। কিন্তু আমার উদ্বেগ ক্রমশ আরও খারাপ হতে থাকে। তাই তিনি আমাকে 1.5 ট্যাবলেট খেতে বললেন এবং আমার উদ্বেগ আগের চেয়ে আরও খারাপ হয়ে গেল। অবশেষে, আমি অর্ধেক ট্যাবলেটে ফিরে এলাম। যেহেতু আমি Abilify খাচ্ছি, আমি উদ্বিগ্ন চিন্তাভাবনা বেশি লক্ষ্য করছি কিন্তু আত্মহত্যার চিন্তাভাবনা করছি না। আমি জানি না আমার কি এটি কমানো উচিত নাকি অর্ধেক ট্যাবলেট খাওয়া চালিয়ে যাওয়া উচিত। আমি অন্যদের এবং Abilify নিয়ে তাদের অভিজ্ঞতা সম্পর্কে জানতে চাই।</v>
      </c>
    </row>
    <row r="2823" spans="1:3" ht="15" x14ac:dyDescent="0.25">
      <c r="A2823" s="3" t="s">
        <v>2816</v>
      </c>
      <c r="B2823" s="3" t="s">
        <v>1992</v>
      </c>
      <c r="C2823" s="4" t="str">
        <f ca="1">IFERROR(__xludf.DUMMYFUNCTION("GOOGLETRANSLATE(A2823, ""auto"", ""bn"")"),"কখনোই খুশি হতে পারি না যখনই আমি খুশি বোধ করতে শুরু করি, অথবা সবকিছু ঠিকঠাক আছে বলে মনে করি, তখনই কিছু একটা ঘটে। এটা কখনোই ব্যর্থ হয় না, এবং এমন কিছু যা আমি নিয়ন্ত্রণ করতে পারি না। তাই এখন আমি খুশি বোধ করতে ভয় পাই, এবং ঠিক আছে। কারণ যখন কিছু ঘটে তখন আমি"&amp;" হতাশ হতে চাই না। আমি জানি এটা খুবই বোকামি শোনাচ্ছে, কিন্তু সবসময় মন খারাপ থাকাটা মোকাবেলা করা সহজ। আমি মনে করতে পারছি না শেষ কবে আমি সত্যিই ঠিক ছিলাম। তাছাড়া, যতদিন মনে পড়ে আমার উদ্বেগ ছিল, কিন্তু জন্মনিয়ন্ত্রণ ইমপ্লান্ট আমার বাহুতে না পাওয়া পর্যন্ত "&amp;"এটি এত খারাপ হয়নি। তাছাড়া, এটি লাগানোর পরপরই আমার খিঁচুনি হয়েছিল, তারপর পুরো 9 মাস ধরে আমি এটি ভিতরে রেখেছিলাম, যা আমার মেজাজ, বিষণ্ণতা এবং উদ্বেগকে আকাশছোঁয়া করে তুলেছিল। তাছাড়া, আমি এটি সরিয়ে ফেলতে পেরেছিলাম, কিন্তু উদ্বেগ এবং বিষণ্ণতা কখনও শেষ হয"&amp;"়নি। তাছাড়া, আমি আক্ষরিক অর্থেই সবকিছুকে ভয় পাই। তাছাড়া, আমি যখন গাড়ি চালাই তখন আমি ভয় পাই, আমি অজানাকে ভয় পাই। তাছাড়া, আমার মেয়ের যত্ন নেওয়ার জন্য আমাকে সকালে নিজেকে শারীরিকভাবে বিছানা থেকে বের করতে হয়। তাছাড়া, মাঝে মাঝে মিথ্যে হাসি দেখানোর জন্"&amp;"য আমি নিজেকে ঘৃণা করি, তাই সে কখনোই আমাকে সেভাবে দেখে না। আমি জানি না আমার শুধু মুখ ফেরা উচিত ছিল।")</f>
        <v>কখনোই খুশি হতে পারি না যখনই আমি খুশি বোধ করতে শুরু করি, অথবা সবকিছু ঠিকঠাক আছে বলে মনে করি, তখনই কিছু একটা ঘটে। এটা কখনোই ব্যর্থ হয় না, এবং এমন কিছু যা আমি নিয়ন্ত্রণ করতে পারি না। তাই এখন আমি খুশি বোধ করতে ভয় পাই, এবং ঠিক আছে। কারণ যখন কিছু ঘটে তখন আমি হতাশ হতে চাই না। আমি জানি এটা খুবই বোকামি শোনাচ্ছে, কিন্তু সবসময় মন খারাপ থাকাটা মোকাবেলা করা সহজ। আমি মনে করতে পারছি না শেষ কবে আমি সত্যিই ঠিক ছিলাম। তাছাড়া, যতদিন মনে পড়ে আমার উদ্বেগ ছিল, কিন্তু জন্মনিয়ন্ত্রণ ইমপ্লান্ট আমার বাহুতে না পাওয়া পর্যন্ত এটি এত খারাপ হয়নি। তাছাড়া, এটি লাগানোর পরপরই আমার খিঁচুনি হয়েছিল, তারপর পুরো 9 মাস ধরে আমি এটি ভিতরে রেখেছিলাম, যা আমার মেজাজ, বিষণ্ণতা এবং উদ্বেগকে আকাশছোঁয়া করে তুলেছিল। তাছাড়া, আমি এটি সরিয়ে ফেলতে পেরেছিলাম, কিন্তু উদ্বেগ এবং বিষণ্ণতা কখনও শেষ হয়নি। তাছাড়া, আমি আক্ষরিক অর্থেই সবকিছুকে ভয় পাই। তাছাড়া, আমি যখন গাড়ি চালাই তখন আমি ভয় পাই, আমি অজানাকে ভয় পাই। তাছাড়া, আমার মেয়ের যত্ন নেওয়ার জন্য আমাকে সকালে নিজেকে শারীরিকভাবে বিছানা থেকে বের করতে হয়। তাছাড়া, মাঝে মাঝে মিথ্যে হাসি দেখানোর জন্য আমি নিজেকে ঘৃণা করি, তাই সে কখনোই আমাকে সেভাবে দেখে না। আমি জানি না আমার শুধু মুখ ফেরা উচিত ছিল।</v>
      </c>
    </row>
    <row r="2824" spans="1:3" ht="15" x14ac:dyDescent="0.25">
      <c r="A2824" s="3" t="s">
        <v>2817</v>
      </c>
      <c r="B2824" s="3" t="s">
        <v>1992</v>
      </c>
      <c r="C2824" s="4" t="str">
        <f ca="1">IFERROR(__xludf.DUMMYFUNCTION("GOOGLETRANSLATE(A2824, ""auto"", ""bn"")"),"প্রতিদিন যখনই আমি আমার উদ্বেগ কাটিয়ে উঠতে ব্যর্থ হই, তখনই আমার মস্তিষ্ক ক্রমাগত ভয়ের মধ্যে বেঁচে থাকার জন্য দৃঢ়ভাবে বিশ্বাসী হয়ে ওঠে। যখনই এমন কোনও দিন আসে যেখানে এমন কিছু ঘটে যা আমি সপ্তাহের পর মাস ধরে ভয় পাচ্ছিলাম (দন্তচিকিৎসকের অ্যাপয়েন্টমেন্ট, প"&amp;"রীক্ষা, চাকরির ইন্টারভিউ, আপনিই বলুন) তখনই তা পাওয়ার স্বস্তি প্রায় সঙ্গে সঙ্গেই ভেসে যায় যখন আমার মস্তিষ্ক ইতিমধ্যেই পরবর্তী জিনিসের উপর মনোযোগ কেন্দ্রীভূত করতে শুরু করেছে যা আমি ভয়ঙ্করভাবে আশা করি। গত ৪ বছরে এমন একটি দিনও মনে করতে পারছি না যখন আমি কো"&amp;"নও জিনিস নিয়ে চিন্তিত ছিলাম না। এটা অনেকটা সেই মুহূর্তে রোলারকোস্টারে চড়ার মতো, ঠিক যখন একটি বিশাল পতন ঘটে, তবে সেই মুহূর্তটির অনুভূতি বছরের পর বছর ধরে স্থায়ী হয়েছে। আমার মস্তিষ্ক নিজে থেকেই এটি করে, এবং আমি এটি সম্পর্কে কিছুই করতে পারি না এই বিষয়টি "&amp;"আমাকে প্রচণ্ড বিরক্ত করে। আরও বিরক্তিকর বিষয় হল যে আমি জানি এই সমস্ত ভয় সম্পূর্ণ অযৌক্তিক, এবং ভয় পাওয়ার কিছু নেই, তবুও আমি চিন্তা করা বন্ধ করতে পারছি না। আর যতবারই এটা ঘটে, আমি আরও বেশি নিশ্চিত হই যে আমি এইরকম চিন্তা করার জন্য তৈরি, আর এই বিষ্ঠা কখনো"&amp;"ই শেষ হবে না।")</f>
        <v>প্রতিদিন যখনই আমি আমার উদ্বেগ কাটিয়ে উঠতে ব্যর্থ হই, তখনই আমার মস্তিষ্ক ক্রমাগত ভয়ের মধ্যে বেঁচে থাকার জন্য দৃঢ়ভাবে বিশ্বাসী হয়ে ওঠে। যখনই এমন কোনও দিন আসে যেখানে এমন কিছু ঘটে যা আমি সপ্তাহের পর মাস ধরে ভয় পাচ্ছিলাম (দন্তচিকিৎসকের অ্যাপয়েন্টমেন্ট, পরীক্ষা, চাকরির ইন্টারভিউ, আপনিই বলুন) তখনই তা পাওয়ার স্বস্তি প্রায় সঙ্গে সঙ্গেই ভেসে যায় যখন আমার মস্তিষ্ক ইতিমধ্যেই পরবর্তী জিনিসের উপর মনোযোগ কেন্দ্রীভূত করতে শুরু করেছে যা আমি ভয়ঙ্করভাবে আশা করি। গত ৪ বছরে এমন একটি দিনও মনে করতে পারছি না যখন আমি কোনও জিনিস নিয়ে চিন্তিত ছিলাম না। এটা অনেকটা সেই মুহূর্তে রোলারকোস্টারে চড়ার মতো, ঠিক যখন একটি বিশাল পতন ঘটে, তবে সেই মুহূর্তটির অনুভূতি বছরের পর বছর ধরে স্থায়ী হয়েছে। আমার মস্তিষ্ক নিজে থেকেই এটি করে, এবং আমি এটি সম্পর্কে কিছুই করতে পারি না এই বিষয়টি আমাকে প্রচণ্ড বিরক্ত করে। আরও বিরক্তিকর বিষয় হল যে আমি জানি এই সমস্ত ভয় সম্পূর্ণ অযৌক্তিক, এবং ভয় পাওয়ার কিছু নেই, তবুও আমি চিন্তা করা বন্ধ করতে পারছি না। আর যতবারই এটা ঘটে, আমি আরও বেশি নিশ্চিত হই যে আমি এইরকম চিন্তা করার জন্য তৈরি, আর এই বিষ্ঠা কখনোই শেষ হবে না।</v>
      </c>
    </row>
    <row r="2825" spans="1:3" ht="15" x14ac:dyDescent="0.25">
      <c r="A2825" s="3" t="s">
        <v>2818</v>
      </c>
      <c r="B2825" s="3" t="s">
        <v>1992</v>
      </c>
      <c r="C2825" s="4" t="str">
        <f ca="1">IFERROR(__xludf.DUMMYFUNCTION("GOOGLETRANSLATE(A2825, ""auto"", ""bn"")"),"কাজের উদ্বেগ, চাকরি যাই হোক না কেন, চাকরি যতই সহজ হোক না কেন, আমার খুব বেশি উদ্বেগ হয় এবং আমি চাকরি ছেড়ে দিতে বাধ্য হই, আমি প্রায় ৩-৪টি চাকরির জন্য এটি করেছি। আমি আমার বর্তমান চাকরি ছেড়ে দিতে চাই না, কিন্তু আমি প্রতিটি জেগে ওঠার সময় এটির ভয়ে কাটিয়ে"&amp;" দিই। আমি সপ্তাহে মাত্র ২২ ঘন্টা কাজ করি, এবং অন্যদের আমি যা দেখি তার তুলনায় এটি কিছুই নয়, এবং এটি আমার মনে হয় যে আমি যদি একটি সাধারণ চাকরিও ধরে রাখতে না পারি তবে আমি জীবনের জন্য উপযুক্ত নই। আমি কেবল পালিয়ে যেতে চাই, তবে আমি সবসময় এটাই করি। আমি যদি চ"&amp;"াকরি ছেড়ে দেই তবে আমি আমার পরিবারকে মুখ দেখাতেও পারি না কারণ আমার চাকরি ছেড়ে দেওয়ার ইতিহাস রয়েছে। আমি কর্মক্ষেত্রে এত চাপে থাকি যে আমি কোনও চাপ না থাকলেও চোখের জল ধরে রাখি, তারপর আমি বাড়িতে ফিরে আমার অবসর সময় কাটাই এই চিন্তায় যে আগামীকাল কীভাবে ফির"&amp;"ে আসব। চাকরি ছেড়ে দেওয়াই একমাত্র স্বস্তি, তবে এটি কেবল আরও চাপ আনবে। আমি প্রাপ্তবয়স্ক হতে চাই না হা হা আমাকে এখান থেকে বের করে দাও")</f>
        <v>কাজের উদ্বেগ, চাকরি যাই হোক না কেন, চাকরি যতই সহজ হোক না কেন, আমার খুব বেশি উদ্বেগ হয় এবং আমি চাকরি ছেড়ে দিতে বাধ্য হই, আমি প্রায় ৩-৪টি চাকরির জন্য এটি করেছি। আমি আমার বর্তমান চাকরি ছেড়ে দিতে চাই না, কিন্তু আমি প্রতিটি জেগে ওঠার সময় এটির ভয়ে কাটিয়ে দিই। আমি সপ্তাহে মাত্র ২২ ঘন্টা কাজ করি, এবং অন্যদের আমি যা দেখি তার তুলনায় এটি কিছুই নয়, এবং এটি আমার মনে হয় যে আমি যদি একটি সাধারণ চাকরিও ধরে রাখতে না পারি তবে আমি জীবনের জন্য উপযুক্ত নই। আমি কেবল পালিয়ে যেতে চাই, তবে আমি সবসময় এটাই করি। আমি যদি চাকরি ছেড়ে দেই তবে আমি আমার পরিবারকে মুখ দেখাতেও পারি না কারণ আমার চাকরি ছেড়ে দেওয়ার ইতিহাস রয়েছে। আমি কর্মক্ষেত্রে এত চাপে থাকি যে আমি কোনও চাপ না থাকলেও চোখের জল ধরে রাখি, তারপর আমি বাড়িতে ফিরে আমার অবসর সময় কাটাই এই চিন্তায় যে আগামীকাল কীভাবে ফিরে আসব। চাকরি ছেড়ে দেওয়াই একমাত্র স্বস্তি, তবে এটি কেবল আরও চাপ আনবে। আমি প্রাপ্তবয়স্ক হতে চাই না হা হা আমাকে এখান থেকে বের করে দাও</v>
      </c>
    </row>
    <row r="2826" spans="1:3" ht="15" x14ac:dyDescent="0.25">
      <c r="A2826" s="3" t="s">
        <v>2819</v>
      </c>
      <c r="B2826" s="3" t="s">
        <v>1992</v>
      </c>
      <c r="C2826" s="4" t="str">
        <f ca="1">IFERROR(__xludf.DUMMYFUNCTION("GOOGLETRANSLATE(A2826, ""auto"", ""bn"")"),"29 [M] প্রথম অনুমিত উদ্বেগ 'পর্ব' এটি এখানে আমার প্রথম পোস্ট, এবং এটি এমন একটি পোস্ট যা আমি নিজেকে কখনও করতে দেখিনি। আমার অবিশ্বাস্য হলেও সত্য, সম্প্রতি একাধিক ডাক্তার আমাকে বলেছেন যে আমার উদ্বেগ আছে। দুই সপ্তাহ আগে আমার ক্রিসমাসের ছুটির শুরুতে আমার দিনটি"&amp;" স্বাভাবিক ছিল। দিনের শেষে আমি কিছু বন্ধুদের সাথে অনলাইনে কয়েকটি গেম খেলি। আমি লক্ষ্য করলাম প্রায় এক ঘন্টা ধরে গেম খেলার সময় আমার দৃষ্টি কিছুটা ঝাপসা হয়ে আসছে। আমি ভাবলাম, ""আচ্ছা, এটা অদ্ভুত"", এবং আমি গেমটি প্যাক করে বিছানায় গেলাম। গদিতে আঘাত করার "&amp;"সাথে সাথেই আমি কাঁপুনি/কম্পন অনুভব করলাম এবং লক্ষ্য করলাম যে আমার বুকে স্পন্দন এবং হৃদস্পন্দন অনুভূত হচ্ছে। এটি এমন একটি অনুভূতি যা আমি আগে কখনও অনুভব করিনি। এটি প্রায় সারা রাত ধরে চলতে থাকে, যার সময় আমার সাথে শারীরিকভাবে যা ঘটছিল তার কারণে আমি শান্ত থা"&amp;"কতে কষ্ট পেয়েছি। পরের দিন এটি খুব ধীরে ধীরে কমে যায়। পরের দিন আমি আমার ডাক্তারের কাছে গিয়েছিলাম। সে নিয়মিত কিছু পরীক্ষা করলো, যেমন রক্তচাপ এবং আমার হৃদস্পন্দন শোনা, কিন্তু তা হালকা করে বললো এবং বললো এটা ফ্লু হতে পারে। মূলত অপেক্ষা করো। এটা আমার সাথে ঠ"&amp;"িক হয়নি, বিশেষ করে কারণ আমি সেদিনের বেশিরভাগ সময় ১০০% সুস্থ বোধ করতাম, এবং আমার ফ্লু হয়েছিল - এটা এমন মনে হয় না। আমি রক্ত ​​পরীক্ষা এবং ইলেক্ট্রোকার্ডিওগ্রাফি পরীক্ষা চেয়েছিলাম। আমি সেই পরীক্ষাগুলি করিয়েছিলাম, এবং তারা ইঙ্গিত দেয় যে আমি সুস্থ। দুই "&amp;"সপ্তাহ পরে দ্রুত এগিয়ে যাও। আমি পরিবারের সাথে সময় উপভোগ করছি এবং সেই ঘটনাটি পিছনে ফেলে রেখেছি। এই মুহুর্তে, আমি এটিকে এককালীন ঘটনা বলে স্থগিত রেখেছি - হয়তো ডাক্তার ঠিক বলেছেন, এটি ফ্লু হতে পারে। আমি অনুভব করছি এটি আবার শুরু হচ্ছে। এবার আমি পরিবারের সাথ"&amp;"ে ঘেরা এবং একই শারীরবৃত্তীয় প্রভাব অনুভব করতে শুরু করেছি। কাঁপুনি, স্পন্দিত হৃদস্পন্দন, অজ্ঞান বোধ। আবার, এটি সারা রাত এবং পরের দিন পর্যন্ত স্থায়ী হয়। এটি খুব ধীরে ধীরে কমে যায়। ঠিক আছে, এখন আমি নিশ্চিত যে আমার কিছু সমস্যা আছে। আমি আজ একজন ডাক্তারের স"&amp;"াথে দেখা করেছি, এবং তিনি মোটামুটি নিশ্চিত ছিলেন যে আমি উদ্বেগ সম্পর্কিত লক্ষণগুলি অনুভব করছি। আমার কাছে এটা অর্থহীন মনে হয়, বিশেষ করে কারণ ১. আমি একজন সুস্থ ব্যক্তি (জিম/ব্যায়াম/খাওয়ার অভ্যাস নিয়ে নিজেকে গর্বিত করি, ২. জীবনে এর আগে কখনও এই অভিজ্ঞতা পাইনি,"&amp;" এবং এখন আমার বয়স ২৯, ৩. তাছাড়া, আমার ব্যক্তিগত জীবনে এমন কোনও অহংকারী অভিজ্ঞতার কথা আমি ভাবতেও পারছি না যা মূল কারণ হতে পারে (অবচেতন কিছু বাদ দেওয়া ছাড়া, কিন্তু আমি কিছুই খুঁজে পাচ্ছি না)। এই সম্প্রদায়ের জন্য আমার প্রশ্ন: এই বর্ণনা কি এখানে কারও সাথে ম"&amp;"িলে যায়? একই রকম লক্ষণ? পর্বগুলি এত দীর্ঘস্থায়ী হওয়া কি স্বাভাবিক?")</f>
        <v>29 [M] প্রথম অনুমিত উদ্বেগ 'পর্ব' এটি এখানে আমার প্রথম পোস্ট, এবং এটি এমন একটি পোস্ট যা আমি নিজেকে কখনও করতে দেখিনি। আমার অবিশ্বাস্য হলেও সত্য, সম্প্রতি একাধিক ডাক্তার আমাকে বলেছেন যে আমার উদ্বেগ আছে। দুই সপ্তাহ আগে আমার ক্রিসমাসের ছুটির শুরুতে আমার দিনটি স্বাভাবিক ছিল। দিনের শেষে আমি কিছু বন্ধুদের সাথে অনলাইনে কয়েকটি গেম খেলি। আমি লক্ষ্য করলাম প্রায় এক ঘন্টা ধরে গেম খেলার সময় আমার দৃষ্টি কিছুটা ঝাপসা হয়ে আসছে। আমি ভাবলাম, "আচ্ছা, এটা অদ্ভুত", এবং আমি গেমটি প্যাক করে বিছানায় গেলাম। গদিতে আঘাত করার সাথে সাথেই আমি কাঁপুনি/কম্পন অনুভব করলাম এবং লক্ষ্য করলাম যে আমার বুকে স্পন্দন এবং হৃদস্পন্দন অনুভূত হচ্ছে। এটি এমন একটি অনুভূতি যা আমি আগে কখনও অনুভব করিনি। এটি প্রায় সারা রাত ধরে চলতে থাকে, যার সময় আমার সাথে শারীরিকভাবে যা ঘটছিল তার কারণে আমি শান্ত থাকতে কষ্ট পেয়েছি। পরের দিন এটি খুব ধীরে ধীরে কমে যায়। পরের দিন আমি আমার ডাক্তারের কাছে গিয়েছিলাম। সে নিয়মিত কিছু পরীক্ষা করলো, যেমন রক্তচাপ এবং আমার হৃদস্পন্দন শোনা, কিন্তু তা হালকা করে বললো এবং বললো এটা ফ্লু হতে পারে। মূলত অপেক্ষা করো। এটা আমার সাথে ঠিক হয়নি, বিশেষ করে কারণ আমি সেদিনের বেশিরভাগ সময় ১০০% সুস্থ বোধ করতাম, এবং আমার ফ্লু হয়েছিল - এটা এমন মনে হয় না। আমি রক্ত ​​পরীক্ষা এবং ইলেক্ট্রোকার্ডিওগ্রাফি পরীক্ষা চেয়েছিলাম। আমি সেই পরীক্ষাগুলি করিয়েছিলাম, এবং তারা ইঙ্গিত দেয় যে আমি সুস্থ। দুই সপ্তাহ পরে দ্রুত এগিয়ে যাও। আমি পরিবারের সাথে সময় উপভোগ করছি এবং সেই ঘটনাটি পিছনে ফেলে রেখেছি। এই মুহুর্তে, আমি এটিকে এককালীন ঘটনা বলে স্থগিত রেখেছি - হয়তো ডাক্তার ঠিক বলেছেন, এটি ফ্লু হতে পারে। আমি অনুভব করছি এটি আবার শুরু হচ্ছে। এবার আমি পরিবারের সাথে ঘেরা এবং একই শারীরবৃত্তীয় প্রভাব অনুভব করতে শুরু করেছি। কাঁপুনি, স্পন্দিত হৃদস্পন্দন, অজ্ঞান বোধ। আবার, এটি সারা রাত এবং পরের দিন পর্যন্ত স্থায়ী হয়। এটি খুব ধীরে ধীরে কমে যায়। ঠিক আছে, এখন আমি নিশ্চিত যে আমার কিছু সমস্যা আছে। আমি আজ একজন ডাক্তারের সাথে দেখা করেছি, এবং তিনি মোটামুটি নিশ্চিত ছিলেন যে আমি উদ্বেগ সম্পর্কিত লক্ষণগুলি অনুভব করছি। আমার কাছে এটা অর্থহীন মনে হয়, বিশেষ করে কারণ ১. আমি একজন সুস্থ ব্যক্তি (জিম/ব্যায়াম/খাওয়ার অভ্যাস নিয়ে নিজেকে গর্বিত করি, ২. জীবনে এর আগে কখনও এই অভিজ্ঞতা পাইনি, এবং এখন আমার বয়স ২৯, ৩. তাছাড়া, আমার ব্যক্তিগত জীবনে এমন কোনও অহংকারী অভিজ্ঞতার কথা আমি ভাবতেও পারছি না যা মূল কারণ হতে পারে (অবচেতন কিছু বাদ দেওয়া ছাড়া, কিন্তু আমি কিছুই খুঁজে পাচ্ছি না)। এই সম্প্রদায়ের জন্য আমার প্রশ্ন: এই বর্ণনা কি এখানে কারও সাথে মিলে যায়? একই রকম লক্ষণ? পর্বগুলি এত দীর্ঘস্থায়ী হওয়া কি স্বাভাবিক?</v>
      </c>
    </row>
    <row r="2827" spans="1:3" ht="15" x14ac:dyDescent="0.25">
      <c r="A2827" s="3" t="s">
        <v>2820</v>
      </c>
      <c r="B2827" s="3" t="s">
        <v>1992</v>
      </c>
      <c r="C2827" s="4" t="str">
        <f ca="1">IFERROR(__xludf.DUMMYFUNCTION("GOOGLETRANSLATE(A2827, ""auto"", ""bn"")"),"আগামীকাল ট্যাটু শিক্ষানবিশের জন্য আমার প্রথম সাক্ষাৎকার। আমি অত্যন্ত উদ্বিগ্ন... তাছাড়া, আমি অসুস্থ বোধ করছি, আমি খুব উদ্বিগ্ন। এটা আমার স্বপ্নের ক্যারিয়ার এবং আমি এটাকে এলোমেলো করতে চাই না... আমি ভয় পাচ্ছি, এবং আমি যাচ্ছি এবং লোকেরা ভাবছে যে আমি শেষ ম"&amp;"ুহূর্তে পিছিয়ে যাব এবং না যাওয়ার সিদ্ধান্ত নেব। যা সাহায্য করে না, এটি আমার নিজের সম্পর্কে খারাপ বোধ করে এবং আমি চাই না যে এটি অন্য সময়ের মতো হোক যখন আমি ঘর থেকে বের হতে বা বাইরে যেতে খুব বেশি উদ্বিগ্ন হয়ে পড়ি... আমি শিক্ষানবিশের জন্য যথেষ্ট ভালো হতে"&amp;" চাই, এবং আমি ভয় পাচ্ছি যে আমি নই।")</f>
        <v>আগামীকাল ট্যাটু শিক্ষানবিশের জন্য আমার প্রথম সাক্ষাৎকার। আমি অত্যন্ত উদ্বিগ্ন... তাছাড়া, আমি অসুস্থ বোধ করছি, আমি খুব উদ্বিগ্ন। এটা আমার স্বপ্নের ক্যারিয়ার এবং আমি এটাকে এলোমেলো করতে চাই না... আমি ভয় পাচ্ছি, এবং আমি যাচ্ছি এবং লোকেরা ভাবছে যে আমি শেষ মুহূর্তে পিছিয়ে যাব এবং না যাওয়ার সিদ্ধান্ত নেব। যা সাহায্য করে না, এটি আমার নিজের সম্পর্কে খারাপ বোধ করে এবং আমি চাই না যে এটি অন্য সময়ের মতো হোক যখন আমি ঘর থেকে বের হতে বা বাইরে যেতে খুব বেশি উদ্বিগ্ন হয়ে পড়ি... আমি শিক্ষানবিশের জন্য যথেষ্ট ভালো হতে চাই, এবং আমি ভয় পাচ্ছি যে আমি নই।</v>
      </c>
    </row>
    <row r="2828" spans="1:3" ht="15" x14ac:dyDescent="0.25">
      <c r="A2828" s="3" t="s">
        <v>2821</v>
      </c>
      <c r="B2828" s="3" t="s">
        <v>1992</v>
      </c>
      <c r="C2828" s="4" t="str">
        <f ca="1">IFERROR(__xludf.DUMMYFUNCTION("GOOGLETRANSLATE(A2828, ""auto"", ""bn"")"),"সম্পর্কের উদ্বেগ - কীভাবে এগিয়ে যাবেন প্রথমবারের মতো পোস্টারটি এখানে। আমার বয়স 30F এবং আমার জীবনের বেশিরভাগ সময় ধরে উদ্বেগের সমস্যা ছিল - যা 2013 সাল থেকে ওষুধ খাওয়ার আগ পর্যন্ত বাড়তে থাকে। সম্পর্কের সাথে আমার ইতিহাস খুব একটা ভালো নয়। আমার 20 বছর বয"&amp;"়স থেকে আমার দীর্ঘমেয়াদী সম্পর্ক ছিল না এবং প্রতিটি সম্পর্কের সাথেই এটি ভেঙে যায় এবং জ্বলতে থাকে, যা পরবর্তীতে সম্পর্কের ক্ষেত্রে আরও সমস্যা তৈরি করে। আমি গত বছর [29M] নভেম্বরে কারো সাথে ডেটিং শুরু করেছিলাম এবং তাদের স্পষ্টভাবে সতর্ক করে দিয়েছিলাম যে ক"&amp;"্রিসমাস এবং নববর্ষ আমার জন্য সত্যিই কঠিন সময়। SAD একটি বড় খেলোয়াড়, চারপাশে অতিরিক্ত সংবেদনশীল উদ্দীপনা। এছাড়াও, অন্যান্য কারণগুলির আগেও ক্রিসমাসের আগে আমার কখনও সম্পর্ক টিকে থাকেনি। তারা পরবর্তী দিকটি সম্পর্কে জানে কিন্তু অন্তর্নিহিত মস্তিষ্কের রসায়"&amp;"ন সমস্যা সম্পর্কে নয়। বিভিন্ন শহরে বসবাস এবং তার ব্যস্ততার কারণে আমরা ক্রিসমাসের আগে থেকে একে অপরকে দেখিনি এবং কেবল টেক্সট মেসেজের মাধ্যমেই যোগাযোগ করি, তবে এটি প্রতিদিন। এটা আগে কখনও সমস্যা ছিল না, কিন্তু গত কয়েক সপ্তাহ ধরে, আমার উদ্বেগ আকাশছোঁয়া হওয়ায়"&amp;", আমি আরও বেশি আত্মরক্ষামূলক, নিষ্ক্রিয় এবং টেক্সটের ভাষায় ব্যঙ্গাত্মক হয়ে পড়েছি। আমি জানি এর সহজ অর্থ হল এটি যোগাযোগের সেরা মাধ্যম নয়, ফোন কল করা আরও উপযুক্ত হবে, এবং আমি এটি পরিচয় করিয়ে দেওয়ার চেষ্টা করছি, কিন্তু ইতিমধ্যেই অনেক দেরি হয়ে গেছে - আজ "&amp;"সকালে সে আমাকে এই বিষয়ে কটাক্ষ করেছে (সত্যি বলতে, তার ফ্লু আছে)। আমি যতটা সম্ভব মাসটি কাটানোর চেষ্টা করছি। তাছাড়া, আমি কাজের সাহায্য পেয়েছি, এবং তাই আমি তাড়াতাড়ি কাজে ফিরে গিয়েছিলাম। তাছাড়া, আমি ক্রিসমাসে ছুটি নিয়েছিলাম কিন্তু নিজের এবং নিজের মনের "&amp;"জন্য সেই সময়টা আসলেই কাজ করেনি। জিমে যাওয়াও আশ্চর্যজনক ছিল, কিন্তু তা স্বল্পমেয়াদী - এবং জানুয়ারীর প্রথম দিকের আগমনের কারণে এই সপ্তাহে কম ব্যবহারিক। আমি একটি SAD আলোতে বিনিয়োগ করেছি, এবং আমি এর সাথে কঠোর হচ্ছি। আমি নিজের প্রতি সদয় হওয়ার চেষ্টা করছি"&amp;"। এবং অবশেষে আমি দুই সপ্তাহের মধ্যে অস্ট্রেলিয়া যাচ্ছি কিছু অতি প্রয়োজনীয় রোদ পেতে। আমার প্রশ্ন আসলেই হল, আমি কীভাবে এটি পরিচালনা করতে পারি সে সম্পর্কে কারও কি কোন পরামর্শ আছে? আমি কারো সাথে সম্পর্কে থাকতে ভালোবাসি এবং মানুষের সাথে দেখা করতে আমার খুব এ"&amp;"কটা কষ্ট হয় না - বৃদ্ধ বয়সে, কারণ আমি মূলত কারো ব্যক্তিত্ব জানতে পছন্দ করি - শুধু চেহারা দেখেই পুরুষদের আকর্ষণীয় মনে করি না। কিন্তু আসলে প্রথম কয়েক মাস পার করার সময়ই আমার মনে হয়। কখন আমি এই সত্যটি উপস্থাপন করি যে সমস্যা আছে? এমন কোন কৌশল আছে কি যা ম"&amp;"োকাবেলা করার জন্য মানুষ সহায়ক বলে মনে করেছে? আমি CBT করেছি, তাই আমি ধারণা করি যে আমার চিন্তাভাবনা যুক্তিসঙ্গত নয়, কিন্তু যখন আমি আরও খারাপ অবস্থায় থাকি তখন এটি স্বল্পমেয়াদে সাহায্য করে না।")</f>
        <v>সম্পর্কের উদ্বেগ - কীভাবে এগিয়ে যাবেন প্রথমবারের মতো পোস্টারটি এখানে। আমার বয়স 30F এবং আমার জীবনের বেশিরভাগ সময় ধরে উদ্বেগের সমস্যা ছিল - যা 2013 সাল থেকে ওষুধ খাওয়ার আগ পর্যন্ত বাড়তে থাকে। সম্পর্কের সাথে আমার ইতিহাস খুব একটা ভালো নয়। আমার 20 বছর বয়স থেকে আমার দীর্ঘমেয়াদী সম্পর্ক ছিল না এবং প্রতিটি সম্পর্কের সাথেই এটি ভেঙে যায় এবং জ্বলতে থাকে, যা পরবর্তীতে সম্পর্কের ক্ষেত্রে আরও সমস্যা তৈরি করে। আমি গত বছর [29M] নভেম্বরে কারো সাথে ডেটিং শুরু করেছিলাম এবং তাদের স্পষ্টভাবে সতর্ক করে দিয়েছিলাম যে ক্রিসমাস এবং নববর্ষ আমার জন্য সত্যিই কঠিন সময়। SAD একটি বড় খেলোয়াড়, চারপাশে অতিরিক্ত সংবেদনশীল উদ্দীপনা। এছাড়াও, অন্যান্য কারণগুলির আগেও ক্রিসমাসের আগে আমার কখনও সম্পর্ক টিকে থাকেনি। তারা পরবর্তী দিকটি সম্পর্কে জানে কিন্তু অন্তর্নিহিত মস্তিষ্কের রসায়ন সমস্যা সম্পর্কে নয়। বিভিন্ন শহরে বসবাস এবং তার ব্যস্ততার কারণে আমরা ক্রিসমাসের আগে থেকে একে অপরকে দেখিনি এবং কেবল টেক্সট মেসেজের মাধ্যমেই যোগাযোগ করি, তবে এটি প্রতিদিন। এটা আগে কখনও সমস্যা ছিল না, কিন্তু গত কয়েক সপ্তাহ ধরে, আমার উদ্বেগ আকাশছোঁয়া হওয়ায়, আমি আরও বেশি আত্মরক্ষামূলক, নিষ্ক্রিয় এবং টেক্সটের ভাষায় ব্যঙ্গাত্মক হয়ে পড়েছি। আমি জানি এর সহজ অর্থ হল এটি যোগাযোগের সেরা মাধ্যম নয়, ফোন কল করা আরও উপযুক্ত হবে, এবং আমি এটি পরিচয় করিয়ে দেওয়ার চেষ্টা করছি, কিন্তু ইতিমধ্যেই অনেক দেরি হয়ে গেছে - আজ সকালে সে আমাকে এই বিষয়ে কটাক্ষ করেছে (সত্যি বলতে, তার ফ্লু আছে)। আমি যতটা সম্ভব মাসটি কাটানোর চেষ্টা করছি। তাছাড়া, আমি কাজের সাহায্য পেয়েছি, এবং তাই আমি তাড়াতাড়ি কাজে ফিরে গিয়েছিলাম। তাছাড়া, আমি ক্রিসমাসে ছুটি নিয়েছিলাম কিন্তু নিজের এবং নিজের মনের জন্য সেই সময়টা আসলেই কাজ করেনি। জিমে যাওয়াও আশ্চর্যজনক ছিল, কিন্তু তা স্বল্পমেয়াদী - এবং জানুয়ারীর প্রথম দিকের আগমনের কারণে এই সপ্তাহে কম ব্যবহারিক। আমি একটি SAD আলোতে বিনিয়োগ করেছি, এবং আমি এর সাথে কঠোর হচ্ছি। আমি নিজের প্রতি সদয় হওয়ার চেষ্টা করছি। এবং অবশেষে আমি দুই সপ্তাহের মধ্যে অস্ট্রেলিয়া যাচ্ছি কিছু অতি প্রয়োজনীয় রোদ পেতে। আমার প্রশ্ন আসলেই হল, আমি কীভাবে এটি পরিচালনা করতে পারি সে সম্পর্কে কারও কি কোন পরামর্শ আছে? আমি কারো সাথে সম্পর্কে থাকতে ভালোবাসি এবং মানুষের সাথে দেখা করতে আমার খুব একটা কষ্ট হয় না - বৃদ্ধ বয়সে, কারণ আমি মূলত কারো ব্যক্তিত্ব জানতে পছন্দ করি - শুধু চেহারা দেখেই পুরুষদের আকর্ষণীয় মনে করি না। কিন্তু আসলে প্রথম কয়েক মাস পার করার সময়ই আমার মনে হয়। কখন আমি এই সত্যটি উপস্থাপন করি যে সমস্যা আছে? এমন কোন কৌশল আছে কি যা মোকাবেলা করার জন্য মানুষ সহায়ক বলে মনে করেছে? আমি CBT করেছি, তাই আমি ধারণা করি যে আমার চিন্তাভাবনা যুক্তিসঙ্গত নয়, কিন্তু যখন আমি আরও খারাপ অবস্থায় থাকি তখন এটি স্বল্পমেয়াদে সাহায্য করে না।</v>
      </c>
    </row>
    <row r="2829" spans="1:3" ht="15" x14ac:dyDescent="0.25">
      <c r="A2829" s="3" t="s">
        <v>2822</v>
      </c>
      <c r="B2829" s="3" t="s">
        <v>1992</v>
      </c>
      <c r="C2829" s="4" t="str">
        <f ca="1">IFERROR(__xludf.DUMMYFUNCTION("GOOGLETRANSLATE(A2829, ""auto"", ""bn"")"),"তোমার মনোরোগ বিশেষজ্ঞের অভিজ্ঞতা কেমন ছিল? হ্যালো, আমি রোগ নির্ণয়ের জন্য একজন ARP-এর কাছে গিয়েছিলাম, এবং আমি তাকে আমার লক্ষণগুলি বলেছিলাম, এবং আমরা সিদ্ধান্ত নিলাম যে আমার সম্ভবত OCD আছে। আমরা আসলে খুব বেশি কথা বলিনি, তারপর সে আমাকে কেবল একটি SSRI এবং উ"&amp;"দ্বেগ/ঘুমের ওষুধ দিয়েছিল যা কাজ করে না। যদি আমার GAD থাকে? আমি আমার OCD সাহায্য করার জন্য Luton চেষ্টা করেছি, কিন্তু এটি খুব বেশি কাজ করছে না। আমি ঘুম/উদ্বেগের জন্য ট্রাজোডোন এবং হাইড্রোক্সিজিন চেষ্টা করেছি, কিন্তু তাতেও কোনও লাভ হয়নি। আমি কীভাবে তাকে ব"&amp;"লব যে আমার GAD এবং OCD থাকতে পারে? আমার সমস্ত GAD লক্ষণ রয়েছে। অথবা হয়তো তারা একই রকম? কোন ইনপুট সাহায্য করবে। যদি তাই হয় তবে GAD-এর জন্য কোন ওষুধ আছে?")</f>
        <v>তোমার মনোরোগ বিশেষজ্ঞের অভিজ্ঞতা কেমন ছিল? হ্যালো, আমি রোগ নির্ণয়ের জন্য একজন ARP-এর কাছে গিয়েছিলাম, এবং আমি তাকে আমার লক্ষণগুলি বলেছিলাম, এবং আমরা সিদ্ধান্ত নিলাম যে আমার সম্ভবত OCD আছে। আমরা আসলে খুব বেশি কথা বলিনি, তারপর সে আমাকে কেবল একটি SSRI এবং উদ্বেগ/ঘুমের ওষুধ দিয়েছিল যা কাজ করে না। যদি আমার GAD থাকে? আমি আমার OCD সাহায্য করার জন্য Luton চেষ্টা করেছি, কিন্তু এটি খুব বেশি কাজ করছে না। আমি ঘুম/উদ্বেগের জন্য ট্রাজোডোন এবং হাইড্রোক্সিজিন চেষ্টা করেছি, কিন্তু তাতেও কোনও লাভ হয়নি। আমি কীভাবে তাকে বলব যে আমার GAD এবং OCD থাকতে পারে? আমার সমস্ত GAD লক্ষণ রয়েছে। অথবা হয়তো তারা একই রকম? কোন ইনপুট সাহায্য করবে। যদি তাই হয় তবে GAD-এর জন্য কোন ওষুধ আছে?</v>
      </c>
    </row>
    <row r="2830" spans="1:3" ht="15" x14ac:dyDescent="0.25">
      <c r="A2830" s="3" t="s">
        <v>2823</v>
      </c>
      <c r="B2830" s="3" t="s">
        <v>1992</v>
      </c>
      <c r="C2830" s="4" t="str">
        <f ca="1">IFERROR(__xludf.DUMMYFUNCTION("GOOGLETRANSLATE(A2830, ""auto"", ""bn"")"),"কিভাবে শেষবিচারের চিন্তাভাবনা বন্ধ করা যায়? আমি যা অনুভব করছি তার জন্য যদি এটি সরকারী বা সুপরিচিত শব্দ হয়, তবে আমি দেখতে পাই যে আমার উদ্বেগ অনেকটা এই অনুভূতির আকারে প্রকাশ পায় যে সবকিছু নষ্ট হয়ে গেছে এবং চিরকাল নষ্ট থাকবে, এবং আমি এটি সম্পর্কে বেশ নাটক"&amp;"ীয় হয়ে উঠব এবং এক ধরণের চক্র শুরু করব যেখানে আমি কোনও কিছু নিয়ে উদ্বিগ্ন থাকব, শেষবিচারের চিন্তা শুরু করব এবং ফলস্বরূপ আরও উদ্বিগ্ন হয়ে পড়ব, ইত্যাদি। উদাহরণস্বরূপ, আজ আমার প্রেমিক এবং আমি এই গ্রীষ্মে স্কুলে যেতে হবে এবং আমাদের অনেক দূরে থাকতে হবে তা "&amp;"নিয়ে আলোচনা/তর্ক করেছি। আমি খুব চিন্তিত হতে শুরু করেছিলাম এবং ভালভাবে ভাবতে শুরু করেছিলাম, গ্রীষ্মের আগে কি সময়টি কেবল এই বিষয়ে তর্ক করে কাটানো হবে?? Â যদিও আমাদের কেবল এটি সম্পর্কে দুটি আলোচনা হয়েছে, এবং আমি যদি গ্রীষ্মের জন্য দূরে যাই তবে আমাদের সম"&amp;"্পর্ক ভেঙে যাবে, এবং সে আমাকে এবং এই জাতীয় জিনিসগুলি ভুলে যাবে। আমার বয়ফ্রেন্ড আমাকে থামিয়ে বললো আমি অযৌক্তিক আচরণ করছি, আর সে ঠিকই বলেছে, আমি নিশ্চিত যে আমরা অনেক মজা করবো এবং একসাথে সময় কাটাবো, আমার চলে যাওয়ার আগে আনন্দের সাথে সময় কাটাবো এবং দূরত্ব আমা"&amp;"দের সম্পর্কের সাথে আপোষ করবে না, কিন্তু আমি দেখতে পাই যে যখনই নেতিবাচক কিছু আসে তখনই আমি প্রায়ই এই খরগোশের গর্তে পড়ে যাই। আমি নিজেকে ধ্বংসের অনুভূতি থেকে বিরত রাখতে পারি না এবং এইরকম একটা বিষয় নিয়ে আমি চিন্তিত যে সবকিছুই নষ্ট করে দেবে। আর কেউ কি এই অভিজ্ঞ"&amp;"তা ভোগ করে? আর যদি তাই হয় তাহলে কী তোমাকে এটা চিনতে এবং শুরু থেকেই তা ঠেকাতে সাহায্য করে অথবা কী তোমাকে শান্ত করে?")</f>
        <v>কিভাবে শেষবিচারের চিন্তাভাবনা বন্ধ করা যায়? আমি যা অনুভব করছি তার জন্য যদি এটি সরকারী বা সুপরিচিত শব্দ হয়, তবে আমি দেখতে পাই যে আমার উদ্বেগ অনেকটা এই অনুভূতির আকারে প্রকাশ পায় যে সবকিছু নষ্ট হয়ে গেছে এবং চিরকাল নষ্ট থাকবে, এবং আমি এটি সম্পর্কে বেশ নাটকীয় হয়ে উঠব এবং এক ধরণের চক্র শুরু করব যেখানে আমি কোনও কিছু নিয়ে উদ্বিগ্ন থাকব, শেষবিচারের চিন্তা শুরু করব এবং ফলস্বরূপ আরও উদ্বিগ্ন হয়ে পড়ব, ইত্যাদি। উদাহরণস্বরূপ, আজ আমার প্রেমিক এবং আমি এই গ্রীষ্মে স্কুলে যেতে হবে এবং আমাদের অনেক দূরে থাকতে হবে তা নিয়ে আলোচনা/তর্ক করেছি। আমি খুব চিন্তিত হতে শুরু করেছিলাম এবং ভালভাবে ভাবতে শুরু করেছিলাম, গ্রীষ্মের আগে কি সময়টি কেবল এই বিষয়ে তর্ক করে কাটানো হবে?? Â যদিও আমাদের কেবল এটি সম্পর্কে দুটি আলোচনা হয়েছে, এবং আমি যদি গ্রীষ্মের জন্য দূরে যাই তবে আমাদের সম্পর্ক ভেঙে যাবে, এবং সে আমাকে এবং এই জাতীয় জিনিসগুলি ভুলে যাবে। আমার বয়ফ্রেন্ড আমাকে থামিয়ে বললো আমি অযৌক্তিক আচরণ করছি, আর সে ঠিকই বলেছে, আমি নিশ্চিত যে আমরা অনেক মজা করবো এবং একসাথে সময় কাটাবো, আমার চলে যাওয়ার আগে আনন্দের সাথে সময় কাটাবো এবং দূরত্ব আমাদের সম্পর্কের সাথে আপোষ করবে না, কিন্তু আমি দেখতে পাই যে যখনই নেতিবাচক কিছু আসে তখনই আমি প্রায়ই এই খরগোশের গর্তে পড়ে যাই। আমি নিজেকে ধ্বংসের অনুভূতি থেকে বিরত রাখতে পারি না এবং এইরকম একটা বিষয় নিয়ে আমি চিন্তিত যে সবকিছুই নষ্ট করে দেবে। আর কেউ কি এই অভিজ্ঞতা ভোগ করে? আর যদি তাই হয় তাহলে কী তোমাকে এটা চিনতে এবং শুরু থেকেই তা ঠেকাতে সাহায্য করে অথবা কী তোমাকে শান্ত করে?</v>
      </c>
    </row>
    <row r="2831" spans="1:3" ht="15" x14ac:dyDescent="0.25">
      <c r="A2831" s="3" t="s">
        <v>2824</v>
      </c>
      <c r="B2831" s="3" t="s">
        <v>1992</v>
      </c>
      <c r="C2831" s="4" t="str">
        <f ca="1">IFERROR(__xludf.DUMMYFUNCTION("GOOGLETRANSLATE(A2831, ""auto"", ""bn"")"),"নাপিতের দোকানে উদ্বেগ যখন থেকে আমার সামাজিক উদ্বেগ ছিল, তখন থেকেই নাপিতের দোকানে যাওয়া একটি বাস্তব সমস্যা হয়ে দাঁড়িয়েছে। আমি নাপিতের দোকান ঘৃণা করি, মানুষ দেখে আর কথা বলে, আর এই দুটি জিনিসই আমি সবচেয়ে বেশি ঘৃণা করি। নাপিতের দোকানে ঘন ঘন যাওয়া এড়াতে"&amp;" আমি আমার চুল খুব ছোট করে কাটি, কিন্তু এটি এখনও একটি সমস্যা। নাপিতের দোকানে যাওয়া কেউ যখন লজ্জা বা অস্বস্তিকর আচরণ করে তখন লোকেরা প্রায়শই বিচার করে। কিন্তু নাপিতের দোকানে আমি আমার উদ্বেগ কীভাবে মোকাবেলা করব?")</f>
        <v>নাপিতের দোকানে উদ্বেগ যখন থেকে আমার সামাজিক উদ্বেগ ছিল, তখন থেকেই নাপিতের দোকানে যাওয়া একটি বাস্তব সমস্যা হয়ে দাঁড়িয়েছে। আমি নাপিতের দোকান ঘৃণা করি, মানুষ দেখে আর কথা বলে, আর এই দুটি জিনিসই আমি সবচেয়ে বেশি ঘৃণা করি। নাপিতের দোকানে ঘন ঘন যাওয়া এড়াতে আমি আমার চুল খুব ছোট করে কাটি, কিন্তু এটি এখনও একটি সমস্যা। নাপিতের দোকানে যাওয়া কেউ যখন লজ্জা বা অস্বস্তিকর আচরণ করে তখন লোকেরা প্রায়শই বিচার করে। কিন্তু নাপিতের দোকানে আমি আমার উদ্বেগ কীভাবে মোকাবেলা করব?</v>
      </c>
    </row>
    <row r="2832" spans="1:3" ht="15" x14ac:dyDescent="0.25">
      <c r="A2832" s="3" t="s">
        <v>2825</v>
      </c>
      <c r="B2832" s="3" t="s">
        <v>1992</v>
      </c>
      <c r="C2832" s="4" t="str">
        <f ca="1">IFERROR(__xludf.DUMMYFUNCTION("GOOGLETRANSLATE(A2832, ""auto"", ""bn"")"),"আমার জন্য একটা বিরাট মাইলফলক। তাই, মাত্র কয়েক মুহূর্ত আগে আমি আমার এক পুরনো প্রেমিককে কফি খেতে বলেছিলাম। নিজের উপর আত্মবিশ্বাস নিয়েই আমি এটা করেছিলাম। এক ধরণের অযৌক্তিকতা যা আমি কখনও নিজের মধ্যে দেখিনি। আমি স্পষ্টভাবে জিজ্ঞাসা করেছিলাম যে সে দেখা করতে চ"&amp;"ায় কিনা, এবং সে হ্যাঁ বলেছিল। আমি আমার থেরাপিস্টকে সবচেয়ে দীর্ঘ ধন্যবাদ ইমেল পাঠাতে যাচ্ছি, কয়েক মাস আগেও এটি কল্পনা করা যেত না। তাছাড়া, আমি সেন্ড চাপার আগেই আমার পূর্ণ আতঙ্কিত আক্রমণ হত। যাইহোক, আমি আমার আত্মবিশ্বাস ধরে রাখতে পেরেছি। আমার বন্ধুরা আমাক"&amp;"ে নিয়ে গর্বিত, এবং আমিও একবারের জন্য নিজেকে নিয়ে গর্বিত। মিটিং ভালো হোক বা না হোক, আমার কিছু যায় আসে না, আমি এই লোকটির সাথে কথা বলতে মিস করি এবং হাই স্কুলের পর আমাদের যোগাযোগ একরকম বিচ্ছিন্ন হয়ে যায়। যদি কোথাও কিছু যায়, দারুন, যদি না হয় তাহলেও ঠিক আ"&amp;"ছে।")</f>
        <v>আমার জন্য একটা বিরাট মাইলফলক। তাই, মাত্র কয়েক মুহূর্ত আগে আমি আমার এক পুরনো প্রেমিককে কফি খেতে বলেছিলাম। নিজের উপর আত্মবিশ্বাস নিয়েই আমি এটা করেছিলাম। এক ধরণের অযৌক্তিকতা যা আমি কখনও নিজের মধ্যে দেখিনি। আমি স্পষ্টভাবে জিজ্ঞাসা করেছিলাম যে সে দেখা করতে চায় কিনা, এবং সে হ্যাঁ বলেছিল। আমি আমার থেরাপিস্টকে সবচেয়ে দীর্ঘ ধন্যবাদ ইমেল পাঠাতে যাচ্ছি, কয়েক মাস আগেও এটি কল্পনা করা যেত না। তাছাড়া, আমি সেন্ড চাপার আগেই আমার পূর্ণ আতঙ্কিত আক্রমণ হত। যাইহোক, আমি আমার আত্মবিশ্বাস ধরে রাখতে পেরেছি। আমার বন্ধুরা আমাকে নিয়ে গর্বিত, এবং আমিও একবারের জন্য নিজেকে নিয়ে গর্বিত। মিটিং ভালো হোক বা না হোক, আমার কিছু যায় আসে না, আমি এই লোকটির সাথে কথা বলতে মিস করি এবং হাই স্কুলের পর আমাদের যোগাযোগ একরকম বিচ্ছিন্ন হয়ে যায়। যদি কোথাও কিছু যায়, দারুন, যদি না হয় তাহলেও ঠিক আছে।</v>
      </c>
    </row>
    <row r="2833" spans="1:3" ht="15" x14ac:dyDescent="0.25">
      <c r="A2833" s="3" t="s">
        <v>2826</v>
      </c>
      <c r="B2833" s="3" t="s">
        <v>1992</v>
      </c>
      <c r="C2833" s="4" t="str">
        <f ca="1">IFERROR(__xludf.DUMMYFUNCTION("GOOGLETRANSLATE(A2833, ""auto"", ""bn"")"),"আমি জানি না আমার কাছে কী আছে। আমি এইমাত্র একটি নতুন অ্যাকাউন্ট তৈরি করেছি এবং আমি সত্যিই এমন মতামত বা অভিজ্ঞতা শুনতে চাই যা যেকোনোভাবে সাহায্য করতে পারে। তাই, আমি একজন যুবক যে অন্তর্মুখীতা এবং বহির্মুখীতার মধ্যে থাকে - কখনও কখনও আমি নীরব থাকি, কখনও কখনও আ"&amp;"মি সেই ব্যক্তি যে ঘরটিকে শক্তিতে ভরিয়ে দেয়, এটি আমার মেজাজের উপর নির্ভর করে। আমি কিছুদিন ধরে আমার সামাজিক দক্ষতা উন্নত করছি এবং আমি কী বলব তা না জানা থেকে শুরু করে কারও সাথে খুব গভীরভাবে যোগাযোগ করতে শুরু করেছি, এমনকি যদি কখনও কখনও আমি এর জন্য সঠিক মুহূ"&amp;"র্তগুলি বেছে না নিই (আমার মনে হয় সামাজিক বুদ্ধিমত্তার অভাব)। আমার এমন কিছু আছে যা কেউ জানে না - দুই বন্ধু ছাড়া, এবং এই কম্পন এবং বাধা যা আমার শরীরে আছে। আমি এই বিষয়ে অনেক দিন ধরে অনুসন্ধান করছি, কিন্তু আমি একটি নির্দিষ্ট উত্তর খুঁজে পাচ্ছি না যখন আমি এ"&amp;"মন জায়গায় থাকি যেখানে মানুষ থাকে, তখন আমার ঘাড় কাঁপতে শুরু করে এবং আমার শরীর অবরুদ্ধ বোধ হয়। এটা সবসময় ঘটে যখন আমি কোন মেয়ের কাছাকাছি থাকি, কিন্তু যখন আমি এমন কোন মেয়ের কাছে থাকি যাকে আমি চিনি (যেমন: স্কুলের মেয়েরা)। এমনকি যদি আমি আমার সামাজিক দক্ষতা "&amp;"উন্নত করি, তবুও এই অনিয়ন্ত্রিত এবং অযৌক্তিক কম্পন সবসময়ই থাকে। মাঝে মাঝে আমার গলা বা বুক আটকে যায়, মাঝে মাঝে শুধু আমার ঘাড়ই কাঁপে না, বরং আমার শরীরের বাকি অংশও কাঁপে। আমি একটি নির্যাতনকারী পরিবার থেকে এসেছি এবং এটি আমাকে আমার যৌনতা দমন করতে বাধ্য করেছিল ("&amp;"কিন্তু সেই নির্যাতনের আগেও আমি এটি অনুভব করেছি)। মাঝে মাঝে আমি রাস্তায় মেয়েদের সাথে কথা বলতে চাইতাম, এবং এটি ছিল এক ক্লান্তিকর অভিজ্ঞতা, আমি কেবল তা করতে পারতাম না। সাধারণত ছেলেদের আশেপাশে এটি ঘটে না তবে পরিস্থিতির উপর নির্ভর করে। এটা কি কারো সাথে ঘটে বা "&amp;"এই সম্পর্কে শুনেছি? এমন কিছু শুনতে চাই যা সহায়ক হতে পারে")</f>
        <v>আমি জানি না আমার কাছে কী আছে। আমি এইমাত্র একটি নতুন অ্যাকাউন্ট তৈরি করেছি এবং আমি সত্যিই এমন মতামত বা অভিজ্ঞতা শুনতে চাই যা যেকোনোভাবে সাহায্য করতে পারে। তাই, আমি একজন যুবক যে অন্তর্মুখীতা এবং বহির্মুখীতার মধ্যে থাকে - কখনও কখনও আমি নীরব থাকি, কখনও কখনও আমি সেই ব্যক্তি যে ঘরটিকে শক্তিতে ভরিয়ে দেয়, এটি আমার মেজাজের উপর নির্ভর করে। আমি কিছুদিন ধরে আমার সামাজিক দক্ষতা উন্নত করছি এবং আমি কী বলব তা না জানা থেকে শুরু করে কারও সাথে খুব গভীরভাবে যোগাযোগ করতে শুরু করেছি, এমনকি যদি কখনও কখনও আমি এর জন্য সঠিক মুহূর্তগুলি বেছে না নিই (আমার মনে হয় সামাজিক বুদ্ধিমত্তার অভাব)। আমার এমন কিছু আছে যা কেউ জানে না - দুই বন্ধু ছাড়া, এবং এই কম্পন এবং বাধা যা আমার শরীরে আছে। আমি এই বিষয়ে অনেক দিন ধরে অনুসন্ধান করছি, কিন্তু আমি একটি নির্দিষ্ট উত্তর খুঁজে পাচ্ছি না যখন আমি এমন জায়গায় থাকি যেখানে মানুষ থাকে, তখন আমার ঘাড় কাঁপতে শুরু করে এবং আমার শরীর অবরুদ্ধ বোধ হয়। এটা সবসময় ঘটে যখন আমি কোন মেয়ের কাছাকাছি থাকি, কিন্তু যখন আমি এমন কোন মেয়ের কাছে থাকি যাকে আমি চিনি (যেমন: স্কুলের মেয়েরা)। এমনকি যদি আমি আমার সামাজিক দক্ষতা উন্নত করি, তবুও এই অনিয়ন্ত্রিত এবং অযৌক্তিক কম্পন সবসময়ই থাকে। মাঝে মাঝে আমার গলা বা বুক আটকে যায়, মাঝে মাঝে শুধু আমার ঘাড়ই কাঁপে না, বরং আমার শরীরের বাকি অংশও কাঁপে। আমি একটি নির্যাতনকারী পরিবার থেকে এসেছি এবং এটি আমাকে আমার যৌনতা দমন করতে বাধ্য করেছিল (কিন্তু সেই নির্যাতনের আগেও আমি এটি অনুভব করেছি)। মাঝে মাঝে আমি রাস্তায় মেয়েদের সাথে কথা বলতে চাইতাম, এবং এটি ছিল এক ক্লান্তিকর অভিজ্ঞতা, আমি কেবল তা করতে পারতাম না। সাধারণত ছেলেদের আশেপাশে এটি ঘটে না তবে পরিস্থিতির উপর নির্ভর করে। এটা কি কারো সাথে ঘটে বা এই সম্পর্কে শুনেছি? এমন কিছু শুনতে চাই যা সহায়ক হতে পারে</v>
      </c>
    </row>
    <row r="2834" spans="1:3" ht="15" x14ac:dyDescent="0.25">
      <c r="A2834" s="3" t="s">
        <v>2827</v>
      </c>
      <c r="B2834" s="3" t="s">
        <v>1992</v>
      </c>
      <c r="C2834" s="4" t="str">
        <f ca="1">IFERROR(__xludf.DUMMYFUNCTION("GOOGLETRANSLATE(A2834, ""auto"", ""bn"")"),"আমি শুনেছি ব্যায়াম উদ্বেগকে সাহায্য করে। যদি তুমি খুব বেশি ব্যায়াম করতে ভয় পাও কারণ তোমার হৃদস্পন্দন খুব বেশি বেড়ে যাবে বলে ভয় পাও? আমি একজন EMT-এর কাছ থেকে শুনেছি যে যারা প্যানিক অ্যাটাকের শিকার হচ্ছেন তাদের হৃদস্পন্দন ২০০-এর উপরে উঠে গেছে, এবং তারা "&amp;"ঠিক আছে। তাই আমি জানি এটা কোনও যুক্তিসঙ্গত ভয় নয়। আমি জিমে গিয়েছিলাম এবং ২.৫ মাইল সাইকেল চালিয়েছি কিন্তু আমার হৃদস্পন্দন ১০০-এর উপরে যায়নি। তাই আমি জানি এটা আমার মাথায় আছে। তোমরা কীভাবে এটা কাটিয়ে উঠবে? যেমন এখন আমি কাজে বসে আছি, ভয় পাওয়ার চেষ্টা ক"&amp;"রছি কারণ আজ সকালে আমার বাগদত্তার সাথে যৌন মিলনের পর আমার হৃদস্পন্দন ৯৬-এ ছিল, এবং এখন এটি ১০২-এর থেকে কমেনি কারণ আমি এটি নিয়ে উদ্বিগ্ন।")</f>
        <v>আমি শুনেছি ব্যায়াম উদ্বেগকে সাহায্য করে। যদি তুমি খুব বেশি ব্যায়াম করতে ভয় পাও কারণ তোমার হৃদস্পন্দন খুব বেশি বেড়ে যাবে বলে ভয় পাও? আমি একজন EMT-এর কাছ থেকে শুনেছি যে যারা প্যানিক অ্যাটাকের শিকার হচ্ছেন তাদের হৃদস্পন্দন ২০০-এর উপরে উঠে গেছে, এবং তারা ঠিক আছে। তাই আমি জানি এটা কোনও যুক্তিসঙ্গত ভয় নয়। আমি জিমে গিয়েছিলাম এবং ২.৫ মাইল সাইকেল চালিয়েছি কিন্তু আমার হৃদস্পন্দন ১০০-এর উপরে যায়নি। তাই আমি জানি এটা আমার মাথায় আছে। তোমরা কীভাবে এটা কাটিয়ে উঠবে? যেমন এখন আমি কাজে বসে আছি, ভয় পাওয়ার চেষ্টা করছি কারণ আজ সকালে আমার বাগদত্তার সাথে যৌন মিলনের পর আমার হৃদস্পন্দন ৯৬-এ ছিল, এবং এখন এটি ১০২-এর থেকে কমেনি কারণ আমি এটি নিয়ে উদ্বিগ্ন।</v>
      </c>
    </row>
    <row r="2835" spans="1:3" ht="15" x14ac:dyDescent="0.25">
      <c r="A2835" s="3" t="s">
        <v>2828</v>
      </c>
      <c r="B2835" s="3" t="s">
        <v>1992</v>
      </c>
      <c r="C2835" s="4" t="str">
        <f ca="1">IFERROR(__xludf.DUMMYFUNCTION("GOOGLETRANSLATE(A2835, ""auto"", ""bn"")"),"গর্ভধারণের ভয়, কনডম ব্যবহার এবং প্রত্যাহারের সঠিক পদ্ধতি অনুসরণ করলেও, আমার গর্ভধারণের ভয় অনেক বেশি। আমি চিন্তিত যে কনডমে মাইক্রো টিয়ার থাকবে, অথবা কোনওভাবে বীর্য বেরিয়ে যাবে, অথবা কোনওভাবে আমি কোনও মেয়েকে গর্ভবতী করে তুলব। আমার সম্পর্কের ক্ষেত্রে যৌ"&amp;"ন সক্রিয় হতে এটিই আমাকে বাধা দিচ্ছে। কেউ কি এই অভিজ্ঞতা পেয়েছেন? যদি তাই হয়, তাহলে আপনি কীভাবে এটি মোকাবেলা করবেন বা এটি মোকাবেলা করবেন? আগাম ধন্যবাদ।")</f>
        <v>গর্ভধারণের ভয়, কনডম ব্যবহার এবং প্রত্যাহারের সঠিক পদ্ধতি অনুসরণ করলেও, আমার গর্ভধারণের ভয় অনেক বেশি। আমি চিন্তিত যে কনডমে মাইক্রো টিয়ার থাকবে, অথবা কোনওভাবে বীর্য বেরিয়ে যাবে, অথবা কোনওভাবে আমি কোনও মেয়েকে গর্ভবতী করে তুলব। আমার সম্পর্কের ক্ষেত্রে যৌন সক্রিয় হতে এটিই আমাকে বাধা দিচ্ছে। কেউ কি এই অভিজ্ঞতা পেয়েছেন? যদি তাই হয়, তাহলে আপনি কীভাবে এটি মোকাবেলা করবেন বা এটি মোকাবেলা করবেন? আগাম ধন্যবাদ।</v>
      </c>
    </row>
    <row r="2836" spans="1:3" ht="15" x14ac:dyDescent="0.25">
      <c r="A2836" s="3" t="s">
        <v>2829</v>
      </c>
      <c r="B2836" s="3" t="s">
        <v>1992</v>
      </c>
      <c r="C2836" s="4" t="str">
        <f ca="1">IFERROR(__xludf.DUMMYFUNCTION("GOOGLETRANSLATE(A2836, ""auto"", ""bn"")"),"দাঁত নিয়ে ভয় হ্যালো, হাইপোকন্ড্রিয়াক। আমি নিজেকে বলতে পারি যে আমার প্রায় যেকোনো কিছু আছে। যদিও এটি বিশেষভাবে দাঁতের সাথে সম্পর্কিত। TLDR শেষ। সপ্তাহে দুবার আমার দাঁত পড়ে যাওয়া, ভেঙে যাওয়া, ক্ষয় হওয়া, কেউ সবাইকে হাসতে সাহায্য না করা, কথা বলতে বা খ"&amp;"েতে না পারা, কল্পনাপ্রসূত সবকিছু সম্পর্কে আমি যে সাধারণ স্বপ্ন দেখি তার পাশাপাশি, আমি আরও উদ্বিগ্ন হয়ে উঠছি যে এই ভয়গুলি কারণ আমার মাড়িগুলি সরে যাচ্ছে এবং আমার দাঁতগুলি IRL থেকে পড়ে যাচ্ছে। আমার কাছে একটি সক্রিয় চারকোল টুথ পাউডার আছে যা আমি হলুদ হওয়"&amp;"া প্রতিরোধ করতে ব্যবহার করছি (প্রচুর কফি পান করি), এবং আমার দাঁত পরিষ্কার বোধ করে, কিন্তু আমার মাড়ি ফ্যাকাশে দেখাচ্ছে। হয়তো আমি অন্য কিছুতে অসুস্থ, কিন্তু এই পাউডারটি আমার মাড়িকে ব্লিচ করছে যা ঠিক আছে, তবে আমার মনে হচ্ছে আমি আমার দাঁতের চেয়ে বেশি দেখত"&amp;"ে পাচ্ছি। আমি সম্প্রতি আমার সামনের দাঁতগুলির একটিও কেটে ফেলেছি এবং এটি ক্রমশ উদ্বেগের কারণ হয়ে দাঁড়িয়েছে। আমি আরও উদ্বিগ্ন যে কাটা দাঁতের উপরের অংশটি আমার দাঁতগুলিকে একসাথে ফিট করার ধরণ পরিবর্তন করছে, আমার আন্ডারবাইট ফিরিয়ে আনছে এবং আমার ব্রেসের সমস্ত"&amp;" কাজ নষ্ট করে দিচ্ছে। তাছাড়া, আমি যখন থেকে আমার আক্কেল দাঁত বের করেছিলাম তখন থেকেই আমি দাঁতের ডাক্তারকে ভয় পাই, সেলাইয়ের অবস্থা ভয়াবহ ছিল। হাই স্কুলে আমি এমন একটি পর্যায়ে গিয়েছিলাম যেখানে আমি অন্যান্য উদ্বেগ/সমস্যা নিয়ন্ত্রণের জন্য দিনে চার এবং পাঁচ"&amp;"বার দাঁত ব্রাশ করতাম। আমাকে আরও বলা হয়েছে যে আমি একজন পারফেকশনিস্ট, এবং আমি খুব নিরর্থক তাই আমার দাঁত গুরুত্বপূর্ণ কারণ লোকেরা তাদের দিকে তাকিয়ে আমাকে বিচার করবে। সাহায্য? TLDR - দাঁতের নিরাপত্তাহীনতার দীর্ঘ ইতিহাস, যার মধ্যে দাঁতের ক্ষতি ইত্যাদি নিয়ে "&amp;"উদ্বেগের স্বপ্ন দেখা, কিন্তু এখন আমি আসলে উদ্বিগ্ন যে আমার সমস্ত দাঁত পড়ে যাবে, ডেন্টিস্টকে খুব ভয় পাচ্ছি... নির্দেশনা প্রয়োজন।")</f>
        <v>দাঁত নিয়ে ভয় হ্যালো, হাইপোকন্ড্রিয়াক। আমি নিজেকে বলতে পারি যে আমার প্রায় যেকোনো কিছু আছে। যদিও এটি বিশেষভাবে দাঁতের সাথে সম্পর্কিত। TLDR শেষ। সপ্তাহে দুবার আমার দাঁত পড়ে যাওয়া, ভেঙে যাওয়া, ক্ষয় হওয়া, কেউ সবাইকে হাসতে সাহায্য না করা, কথা বলতে বা খেতে না পারা, কল্পনাপ্রসূত সবকিছু সম্পর্কে আমি যে সাধারণ স্বপ্ন দেখি তার পাশাপাশি, আমি আরও উদ্বিগ্ন হয়ে উঠছি যে এই ভয়গুলি কারণ আমার মাড়িগুলি সরে যাচ্ছে এবং আমার দাঁতগুলি IRL থেকে পড়ে যাচ্ছে। আমার কাছে একটি সক্রিয় চারকোল টুথ পাউডার আছে যা আমি হলুদ হওয়া প্রতিরোধ করতে ব্যবহার করছি (প্রচুর কফি পান করি), এবং আমার দাঁত পরিষ্কার বোধ করে, কিন্তু আমার মাড়ি ফ্যাকাশে দেখাচ্ছে। হয়তো আমি অন্য কিছুতে অসুস্থ, কিন্তু এই পাউডারটি আমার মাড়িকে ব্লিচ করছে যা ঠিক আছে, তবে আমার মনে হচ্ছে আমি আমার দাঁতের চেয়ে বেশি দেখতে পাচ্ছি। আমি সম্প্রতি আমার সামনের দাঁতগুলির একটিও কেটে ফেলেছি এবং এটি ক্রমশ উদ্বেগের কারণ হয়ে দাঁড়িয়েছে। আমি আরও উদ্বিগ্ন যে কাটা দাঁতের উপরের অংশটি আমার দাঁতগুলিকে একসাথে ফিট করার ধরণ পরিবর্তন করছে, আমার আন্ডারবাইট ফিরিয়ে আনছে এবং আমার ব্রেসের সমস্ত কাজ নষ্ট করে দিচ্ছে। তাছাড়া, আমি যখন থেকে আমার আক্কেল দাঁত বের করেছিলাম তখন থেকেই আমি দাঁতের ডাক্তারকে ভয় পাই, সেলাইয়ের অবস্থা ভয়াবহ ছিল। হাই স্কুলে আমি এমন একটি পর্যায়ে গিয়েছিলাম যেখানে আমি অন্যান্য উদ্বেগ/সমস্যা নিয়ন্ত্রণের জন্য দিনে চার এবং পাঁচবার দাঁত ব্রাশ করতাম। আমাকে আরও বলা হয়েছে যে আমি একজন পারফেকশনিস্ট, এবং আমি খুব নিরর্থক তাই আমার দাঁত গুরুত্বপূর্ণ কারণ লোকেরা তাদের দিকে তাকিয়ে আমাকে বিচার করবে। সাহায্য? TLDR - দাঁতের নিরাপত্তাহীনতার দীর্ঘ ইতিহাস, যার মধ্যে দাঁতের ক্ষতি ইত্যাদি নিয়ে উদ্বেগের স্বপ্ন দেখা, কিন্তু এখন আমি আসলে উদ্বিগ্ন যে আমার সমস্ত দাঁত পড়ে যাবে, ডেন্টিস্টকে খুব ভয় পাচ্ছি... নির্দেশনা প্রয়োজন।</v>
      </c>
    </row>
    <row r="2837" spans="1:3" ht="15" x14ac:dyDescent="0.25">
      <c r="A2837" s="3" t="s">
        <v>2830</v>
      </c>
      <c r="B2837" s="3" t="s">
        <v>1992</v>
      </c>
      <c r="C2837" s="4" t="str">
        <f ca="1">IFERROR(__xludf.DUMMYFUNCTION("GOOGLETRANSLATE(A2837, ""auto"", ""bn"")"),"উদ্বেগ এবং ঘনিষ্ঠতা যৌনতা শুরু করার কথা ভাবলে কি আর কেউ উদ্বিগ্ন হয়ে পড়ে? কিছু উদ্বেগ এবং হতাশার কারণে SO এবং আমার জন্য কয়েক মাস খুব শুষ্ক কেটেছে, এবং আমি আমাদের সম্পর্কের সেই ঘনিষ্ঠ অংশে ফিরে যেতে খুব খারাপভাবে চাই। এই কথা ভাবলেই আমার শরীর এত উত্তেজিত"&amp;" হয়ে ওঠে কিন্তু তারপর উদ্বেগের একটা ঢেউ এসে আছড়ে পড়ে কারণ তাদের বর্তমান দৃষ্টিভঙ্গির প্রতি অবজ্ঞাপূর্ণ বলে মনে করা হবে। তোমাদের মধ্যে কেউ কি এই পরিস্থিতির মধ্য দিয়ে গেছে?")</f>
        <v>উদ্বেগ এবং ঘনিষ্ঠতা যৌনতা শুরু করার কথা ভাবলে কি আর কেউ উদ্বিগ্ন হয়ে পড়ে? কিছু উদ্বেগ এবং হতাশার কারণে SO এবং আমার জন্য কয়েক মাস খুব শুষ্ক কেটেছে, এবং আমি আমাদের সম্পর্কের সেই ঘনিষ্ঠ অংশে ফিরে যেতে খুব খারাপভাবে চাই। এই কথা ভাবলেই আমার শরীর এত উত্তেজিত হয়ে ওঠে কিন্তু তারপর উদ্বেগের একটা ঢেউ এসে আছড়ে পড়ে কারণ তাদের বর্তমান দৃষ্টিভঙ্গির প্রতি অবজ্ঞাপূর্ণ বলে মনে করা হবে। তোমাদের মধ্যে কেউ কি এই পরিস্থিতির মধ্য দিয়ে গেছে?</v>
      </c>
    </row>
    <row r="2838" spans="1:3" ht="15" x14ac:dyDescent="0.25">
      <c r="A2838" s="3" t="s">
        <v>2831</v>
      </c>
      <c r="B2838" s="3" t="s">
        <v>1992</v>
      </c>
      <c r="C2838" s="4" t="str">
        <f ca="1">IFERROR(__xludf.DUMMYFUNCTION("GOOGLETRANSLATE(A2838, ""auto"", ""bn"")"),"আমার ক্রমাগত আশ্বাসের প্রয়োজন যে আমি এখনও ""পছন্দ করি"", এবং আমি V জিনিসগুলিকে ব্যক্তিগতভাবে নিই এবং অতিরিক্ত চিন্তা করি। এই বিষয়ে কোন অভিজ্ঞতা আছে?")</f>
        <v>আমার ক্রমাগত আশ্বাসের প্রয়োজন যে আমি এখনও "পছন্দ করি", এবং আমি V জিনিসগুলিকে ব্যক্তিগতভাবে নিই এবং অতিরিক্ত চিন্তা করি। এই বিষয়ে কোন অভিজ্ঞতা আছে?</v>
      </c>
    </row>
    <row r="2839" spans="1:3" ht="15" x14ac:dyDescent="0.25">
      <c r="A2839" s="3" t="s">
        <v>2832</v>
      </c>
      <c r="B2839" s="3" t="s">
        <v>1992</v>
      </c>
      <c r="C2839" s="4" t="str">
        <f ca="1">IFERROR(__xludf.DUMMYFUNCTION("GOOGLETRANSLATE(A2839, ""auto"", ""bn"")"),"প্যানিক অ্যাটাক আমার প্রায় প্রতিদিনই প্যানিক অ্যাটাক হতো, কিন্তু এখন তা কমে গেছে, তবে যখন আমার তীব্র আতঙ্কের আক্রমণ হয় তখন তা মোকাবেলা করা কঠিন হয়, মানুষ কীভাবে তাদের আতঙ্কের সাথে মোকাবিলা করে? আপনি যা কিছু করেন তাতে সাহায্য করতে পারেন, দয়া করে?")</f>
        <v>প্যানিক অ্যাটাক আমার প্রায় প্রতিদিনই প্যানিক অ্যাটাক হতো, কিন্তু এখন তা কমে গেছে, তবে যখন আমার তীব্র আতঙ্কের আক্রমণ হয় তখন তা মোকাবেলা করা কঠিন হয়, মানুষ কীভাবে তাদের আতঙ্কের সাথে মোকাবিলা করে? আপনি যা কিছু করেন তাতে সাহায্য করতে পারেন, দয়া করে?</v>
      </c>
    </row>
    <row r="2840" spans="1:3" ht="15" x14ac:dyDescent="0.25">
      <c r="A2840" s="3" t="s">
        <v>2833</v>
      </c>
      <c r="B2840" s="3" t="s">
        <v>1992</v>
      </c>
      <c r="C2840" s="4" t="str">
        <f ca="1">IFERROR(__xludf.DUMMYFUNCTION("GOOGLETRANSLATE(A2840, ""auto"", ""bn"")"),"ওষুধ: যদি আপনি উদ্বেগের জন্য আপনার ডাক্তারের কাছে যান, তাহলে কি তারা কোন সাধারণ ওষুধ দিয়ে শুরু করেন? যেমন আমি জানি যে সব ওষুধ কিছু লোকের জন্য কাজ করে না এবং কাজ করে এমন একটি খুঁজে পাওয়ার আগে তাদের দু-একবার চেষ্টা করতে হয়, কিন্তু কি এমন একটি প্রাথমিক উদ"&amp;"্বেগের ওষুধ আছে যা তারা সাধারণত প্রথমে লিখে দেয়, নাকি এটি আপনার পরিস্থিতি এবং ব্যক্তিগত বৈশিষ্ট্যের সাথে আরও বেশি খাপ খাইয়ে নেওয়া হয়, নাকি অন্য কিছু?")</f>
        <v>ওষুধ: যদি আপনি উদ্বেগের জন্য আপনার ডাক্তারের কাছে যান, তাহলে কি তারা কোন সাধারণ ওষুধ দিয়ে শুরু করেন? যেমন আমি জানি যে সব ওষুধ কিছু লোকের জন্য কাজ করে না এবং কাজ করে এমন একটি খুঁজে পাওয়ার আগে তাদের দু-একবার চেষ্টা করতে হয়, কিন্তু কি এমন একটি প্রাথমিক উদ্বেগের ওষুধ আছে যা তারা সাধারণত প্রথমে লিখে দেয়, নাকি এটি আপনার পরিস্থিতি এবং ব্যক্তিগত বৈশিষ্ট্যের সাথে আরও বেশি খাপ খাইয়ে নেওয়া হয়, নাকি অন্য কিছু?</v>
      </c>
    </row>
    <row r="2841" spans="1:3" ht="15" x14ac:dyDescent="0.25">
      <c r="A2841" s="3" t="s">
        <v>2834</v>
      </c>
      <c r="B2841" s="3" t="s">
        <v>1992</v>
      </c>
      <c r="C2841" s="4" t="str">
        <f ca="1">IFERROR(__xludf.DUMMYFUNCTION("GOOGLETRANSLATE(A2841, ""auto"", ""bn"")"),"ঝাপসা দৃষ্টি শিবির; ঠোঁট ঝাপসা হওয়া উদ্বেগের আক্রমণের সময় কি আর কেউ ঝাপসা দৃষ্টি এবং ঠোঁট ঝাপসা হওয়ার সমস্যায় ভোগেন? প্রায় এক বছর ধরে আমার সাথে এটি ঘটছে, এবং আমি জানতে চাইছি যে এটি আমার ধারণার চেয়ে বেশি সাধারণ কিনা। এটি ঠোঁট ঝাপসা হওয়ার সাথে শুরু হ"&amp;"য়েছিল এবং যদি আমার উদ্বেগ সত্যিই বেশি থাকে তবে ধীরে ধীরে ঝাপসা দৃষ্টিতেও পরিণত হয়েছে।")</f>
        <v>ঝাপসা দৃষ্টি শিবির; ঠোঁট ঝাপসা হওয়া উদ্বেগের আক্রমণের সময় কি আর কেউ ঝাপসা দৃষ্টি এবং ঠোঁট ঝাপসা হওয়ার সমস্যায় ভোগেন? প্রায় এক বছর ধরে আমার সাথে এটি ঘটছে, এবং আমি জানতে চাইছি যে এটি আমার ধারণার চেয়ে বেশি সাধারণ কিনা। এটি ঠোঁট ঝাপসা হওয়ার সাথে শুরু হয়েছিল এবং যদি আমার উদ্বেগ সত্যিই বেশি থাকে তবে ধীরে ধীরে ঝাপসা দৃষ্টিতেও পরিণত হয়েছে।</v>
      </c>
    </row>
    <row r="2842" spans="1:3" ht="15" x14ac:dyDescent="0.25">
      <c r="A2842" s="3" t="s">
        <v>2835</v>
      </c>
      <c r="B2842" s="3" t="s">
        <v>1992</v>
      </c>
      <c r="C2842" s="4" t="str">
        <f ca="1">IFERROR(__xludf.DUMMYFUNCTION("GOOGLETRANSLATE(A2842, ""auto"", ""bn"")"),"হৃদরোগের ভয়ে ভীত স্বামী আমার মৃত্যু হতে পারে। গত ৮ বছর ধরে হাসপাতাল, ডাক্তার এবং ওষুধে ভরা। এর মধ্যে অনেক মানসিক যন্ত্রণা এবং উদ্বেগ। আমার স্বামীর কখনও কোনও বড় স্বাস্থ্য সমস্যা ছিল না। আসলে, তিনি এমন একজন ব্যক্তি ছিলেন যিনি খুব অসুস্থ থাকাকালীন নিজেকে জ"&amp;"োর করে চাপ দিতেন। তারপর তার হার্ট অ্যাটাক হয়েছিল, সত্যিই খারাপ। এটি ছিল একটি প্লেকের টুকরো যা ভেঙে তার হৃদয়ে চলে গিয়েছিল। এটি প্রচুর ব্যথার কারণ হয়েছিল এবং তার জীবন্ত বিষ্ঠাকে ভয় পেয়েছিল, যা বোধগম্য। যখন তাকে হাসপাতাল থেকে ছেড়ে দেওয়া হয়েছিল, তখন "&amp;"তাকে খুব কমই কোনও ওষুধ এবং খাদ্যাভ্যাস বা ব্যায়ামে কোনও পরিবর্তন ছাড়াই বাড়িতে পাঠানো হয়েছিল। পরবর্তী মাসগুলিতে, তিনি তার হৃদয়ের প্রতি আরও বেশি মনোযোগ দিতে শুরু করেছিলেন। আমি যতটা ভেবেছিলাম তার চেয়ে বেশি মনোযোগ দেওয়া সম্ভব ছিল। এখন পর্যন্ত তিনি আমাক"&amp;"ে বলেন যে তিনি ভালভের মধ্য দিয়ে রক্ত ​​প্রবাহ অনুভব করতে পারেন এবং যখন তার হৃদস্পন্দনের ছন্দ পরিবর্তন হয় তখন অনুভব করেন। এটি আমার কাছে পাগলামি কারণ আমি জানি না যে আমার রক্তচাপ বৃদ্ধি না হলে মাইনগুলিও স্পন্দিত হয়। তারপর তার বুকে ব্যথা শুরু হয়েছিল। এই স"&amp;"বকিছুর সাথে নতুন, আমি একটি অ্যাম্বুলেন্স ডাকি। আমরা হাসপাতালে যাই এবং সেখানেই পরিস্থিতি অদ্ভুত হয়ে ওঠে। জিজ্ঞাসা করা হলে, সে দাবি করে যে তার ব্যথা LVL ১০। আমি তাকে ১০ এ দেখেছি, এটি সর্বোচ্চ ৩। তার EKG ""ঠিক"" বলে মনে হচ্ছে না কিন্তু অন্যান্য পরীক্ষার ফলা"&amp;"ফল অসাধারণ। তারা সবসময় তাকে কার্ডিয়াক কেয়ার হাসপাতালে পাঠায়, কেবল যদি হয়। ২-৩ দিন পরীক্ষা-নিরীক্ষার পরেও কোনও ভুল না পাওয়া যায়, তাকে বাড়ি পাঠানো হয়। আমার জীবনের পরবর্তী ৬ বছর হৃদরোগের সমস্যায় ভোগে যা কেবল সে অনুভব করতে পারত এবং কোনও পরীক্ষায় তা"&amp;" সনাক্ত করা যায়নি। বারবার একই OL ব্যথা দেখা দেয়, এবং আমরা আবার হাসপাতালে। আমি আমার পেট ভর্তি করেছি এবং তার কার্ডিওলজিস্টকে জানিয়েছি, স্বামী সেখানে বসে আছেন। ডাক্তার বলেন, ""ঠিক আছে, পরের বার যখন তুমি এই লক্ষণগুলি নিয়ে আসবে, এবং আমরা কোনও কারণ খুঁজে পা"&amp;"ব না, আমরা তোমাকে খুলব।"" এবং, ঠিক এইভাবে, ব্যথা বন্ধ হয়ে গেল। দ্রুত এগিয়ে যান ২ বছর, তার আবার ব্যথা শুরু হয়। কিন্তু, এবার আমি বুঝতে পারছি সে সত্যিই সমস্যায় আছে এবং অ্যাম্বুলেন্স ডাকতে হবে। ইএমটি এবং হাসপাতালের কর্মীরা তার জিনিসপত্র দেখে এখন ক্লান্ত। "&amp;"তারা তাকে বড় হাসপাতালে পাঠায় যেখানে তারা দুটি ব্লকেজ দেখতে পায় এবং স্টেন্ট লাগায়। এখন, সে যেকোনো কারণে তার হৃদস্পন্দন বৃদ্ধি পেতে ভয় পায়। সে নিজেকে এতটাই বিশ্রামে রাখার চেষ্টা করে যে সে আগের মতো সোফা থেকে উঠে না। তার জীবন সম্পূর্ণরূপে থেমে গেছে। বুক"&amp;"ের ব্যথা এখন আবার ফিরে এসেছে যার ফলে আমরা আবার হাসপাতালে যেতে বাধ্য হয়েছি। এবার তারা নিউমোনিয়া খুঁজে পেয়েছে কিন্তু কার্ডিয়াক সম্পর্কিত কিছুই নেই। কিন্তু তবুও তাকে পুরো পালমোনারি ফ্লোর পাগলামি করে গাড়ি চালানো থেকে বিরত রাখতে পারেনি। মরফিন সাহায্য করার"&amp;" সুযোগ পাওয়ার আগেই বুকের ব্যথা শেষ হয়ে যাওয়ার কারণে কার্ডিয়াক রেসপন্স টিমকে দিনে অন্তত দুবার ডাকা হয়েছে। আমি কোনও ডাক্তার নই, তবে আমি নিশ্চিত যে নিউমোনিয়াও বুকে কিছুটা অস্বস্তি সৃষ্টি করতে পারে। আমি জানি সে এটিকে সাহায্য করতে পারবে না এবং আমাকে পাগল"&amp;" করে তুলতে চায় না। তার মনে, সে সত্যিই বিপদে আছে, কিন্তু আমি আবার এই সব মোকাবেলা করতে পারছি না। আমি কী করতে পারি এবং কী এড়িয়ে চলা উচিত? এই লোকটির উপর আমার ২০ বছরের গবেষণার অভিজ্ঞতা কোথায় কাজে লাগে? তার যত্ন নেওয়ার ক্ষেত্রে আমার কী অধিকার আছে? আমি কীভা"&amp;"বে আমার নিজের মানসিক স্বাস্থ্যের যত্ন নেব?")</f>
        <v>হৃদরোগের ভয়ে ভীত স্বামী আমার মৃত্যু হতে পারে। গত ৮ বছর ধরে হাসপাতাল, ডাক্তার এবং ওষুধে ভরা। এর মধ্যে অনেক মানসিক যন্ত্রণা এবং উদ্বেগ। আমার স্বামীর কখনও কোনও বড় স্বাস্থ্য সমস্যা ছিল না। আসলে, তিনি এমন একজন ব্যক্তি ছিলেন যিনি খুব অসুস্থ থাকাকালীন নিজেকে জোর করে চাপ দিতেন। তারপর তার হার্ট অ্যাটাক হয়েছিল, সত্যিই খারাপ। এটি ছিল একটি প্লেকের টুকরো যা ভেঙে তার হৃদয়ে চলে গিয়েছিল। এটি প্রচুর ব্যথার কারণ হয়েছিল এবং তার জীবন্ত বিষ্ঠাকে ভয় পেয়েছিল, যা বোধগম্য। যখন তাকে হাসপাতাল থেকে ছেড়ে দেওয়া হয়েছিল, তখন তাকে খুব কমই কোনও ওষুধ এবং খাদ্যাভ্যাস বা ব্যায়ামে কোনও পরিবর্তন ছাড়াই বাড়িতে পাঠানো হয়েছিল। পরবর্তী মাসগুলিতে, তিনি তার হৃদয়ের প্রতি আরও বেশি মনোযোগ দিতে শুরু করেছিলেন। আমি যতটা ভেবেছিলাম তার চেয়ে বেশি মনোযোগ দেওয়া সম্ভব ছিল। এখন পর্যন্ত তিনি আমাকে বলেন যে তিনি ভালভের মধ্য দিয়ে রক্ত ​​প্রবাহ অনুভব করতে পারেন এবং যখন তার হৃদস্পন্দনের ছন্দ পরিবর্তন হয় তখন অনুভব করেন। এটি আমার কাছে পাগলামি কারণ আমি জানি না যে আমার রক্তচাপ বৃদ্ধি না হলে মাইনগুলিও স্পন্দিত হয়। তারপর তার বুকে ব্যথা শুরু হয়েছিল। এই সবকিছুর সাথে নতুন, আমি একটি অ্যাম্বুলেন্স ডাকি। আমরা হাসপাতালে যাই এবং সেখানেই পরিস্থিতি অদ্ভুত হয়ে ওঠে। জিজ্ঞাসা করা হলে, সে দাবি করে যে তার ব্যথা LVL ১০। আমি তাকে ১০ এ দেখেছি, এটি সর্বোচ্চ ৩। তার EKG "ঠিক" বলে মনে হচ্ছে না কিন্তু অন্যান্য পরীক্ষার ফলাফল অসাধারণ। তারা সবসময় তাকে কার্ডিয়াক কেয়ার হাসপাতালে পাঠায়, কেবল যদি হয়। ২-৩ দিন পরীক্ষা-নিরীক্ষার পরেও কোনও ভুল না পাওয়া যায়, তাকে বাড়ি পাঠানো হয়। আমার জীবনের পরবর্তী ৬ বছর হৃদরোগের সমস্যায় ভোগে যা কেবল সে অনুভব করতে পারত এবং কোনও পরীক্ষায় তা সনাক্ত করা যায়নি। বারবার একই OL ব্যথা দেখা দেয়, এবং আমরা আবার হাসপাতালে। আমি আমার পেট ভর্তি করেছি এবং তার কার্ডিওলজিস্টকে জানিয়েছি, স্বামী সেখানে বসে আছেন। ডাক্তার বলেন, "ঠিক আছে, পরের বার যখন তুমি এই লক্ষণগুলি নিয়ে আসবে, এবং আমরা কোনও কারণ খুঁজে পাব না, আমরা তোমাকে খুলব।" এবং, ঠিক এইভাবে, ব্যথা বন্ধ হয়ে গেল। দ্রুত এগিয়ে যান ২ বছর, তার আবার ব্যথা শুরু হয়। কিন্তু, এবার আমি বুঝতে পারছি সে সত্যিই সমস্যায় আছে এবং অ্যাম্বুলেন্স ডাকতে হবে। ইএমটি এবং হাসপাতালের কর্মীরা তার জিনিসপত্র দেখে এখন ক্লান্ত। তারা তাকে বড় হাসপাতালে পাঠায় যেখানে তারা দুটি ব্লকেজ দেখতে পায় এবং স্টেন্ট লাগায়। এখন, সে যেকোনো কারণে তার হৃদস্পন্দন বৃদ্ধি পেতে ভয় পায়। সে নিজেকে এতটাই বিশ্রামে রাখার চেষ্টা করে যে সে আগের মতো সোফা থেকে উঠে না। তার জীবন সম্পূর্ণরূপে থেমে গেছে। বুকের ব্যথা এখন আবার ফিরে এসেছে যার ফলে আমরা আবার হাসপাতালে যেতে বাধ্য হয়েছি। এবার তারা নিউমোনিয়া খুঁজে পেয়েছে কিন্তু কার্ডিয়াক সম্পর্কিত কিছুই নেই। কিন্তু তবুও তাকে পুরো পালমোনারি ফ্লোর পাগলামি করে গাড়ি চালানো থেকে বিরত রাখতে পারেনি। মরফিন সাহায্য করার সুযোগ পাওয়ার আগেই বুকের ব্যথা শেষ হয়ে যাওয়ার কারণে কার্ডিয়াক রেসপন্স টিমকে দিনে অন্তত দুবার ডাকা হয়েছে। আমি কোনও ডাক্তার নই, তবে আমি নিশ্চিত যে নিউমোনিয়াও বুকে কিছুটা অস্বস্তি সৃষ্টি করতে পারে। আমি জানি সে এটিকে সাহায্য করতে পারবে না এবং আমাকে পাগল করে তুলতে চায় না। তার মনে, সে সত্যিই বিপদে আছে, কিন্তু আমি আবার এই সব মোকাবেলা করতে পারছি না। আমি কী করতে পারি এবং কী এড়িয়ে চলা উচিত? এই লোকটির উপর আমার ২০ বছরের গবেষণার অভিজ্ঞতা কোথায় কাজে লাগে? তার যত্ন নেওয়ার ক্ষেত্রে আমার কী অধিকার আছে? আমি কীভাবে আমার নিজের মানসিক স্বাস্থ্যের যত্ন নেব?</v>
      </c>
    </row>
    <row r="2843" spans="1:3" ht="15" x14ac:dyDescent="0.25">
      <c r="A2843" s="3" t="s">
        <v>2836</v>
      </c>
      <c r="B2843" s="3" t="s">
        <v>1992</v>
      </c>
      <c r="C2843" s="4" t="str">
        <f ca="1">IFERROR(__xludf.DUMMYFUNCTION("GOOGLETRANSLATE(A2843, ""auto"", ""bn"")"),"DPDR-এর পরের পিরিয়ড? কেউ কি আমাকে DPDR-এর পরের পিরিয়ডের বর্ণনা দিতে পারবেন কারণ আমি জানি না যে আমি বাইরে আছি, নাকি আমি এখনও ব্যক্তিগতভাবে বিকৃত?")</f>
        <v>DPDR-এর পরের পিরিয়ড? কেউ কি আমাকে DPDR-এর পরের পিরিয়ডের বর্ণনা দিতে পারবেন কারণ আমি জানি না যে আমি বাইরে আছি, নাকি আমি এখনও ব্যক্তিগতভাবে বিকৃত?</v>
      </c>
    </row>
    <row r="2844" spans="1:3" ht="15" x14ac:dyDescent="0.25">
      <c r="A2844" s="3" t="s">
        <v>2837</v>
      </c>
      <c r="B2844" s="3" t="s">
        <v>1992</v>
      </c>
      <c r="C2844" s="4" t="str">
        <f ca="1">IFERROR(__xludf.DUMMYFUNCTION("GOOGLETRANSLATE(A2844, ""auto"", ""bn"")"),"DAE চিন্তিত যে মদ্যপান করার সময় তারা সবার কাছে বিরক্তিকর? আমি খুব হালকা এবং ছোট মেয়ে, তাই সাধারণত দুইবার পান করার পর আমি খুব মাতাল হয়ে যাই। আমি বন্ধুত্বপূর্ণ হতে শুরু করি এবং আমার নিরাপত্তাহীনতা এবং উদ্বেগ সম্পর্কে চিন্তা করি না। মাঝে মাঝে আমি চিন্তিত "&amp;"হই যে আমার বন্ধুরা আমাকে খুব বিরক্তিকর মনে করে। অন্য কেউ কি এমনটা মনে করে?")</f>
        <v>DAE চিন্তিত যে মদ্যপান করার সময় তারা সবার কাছে বিরক্তিকর? আমি খুব হালকা এবং ছোট মেয়ে, তাই সাধারণত দুইবার পান করার পর আমি খুব মাতাল হয়ে যাই। আমি বন্ধুত্বপূর্ণ হতে শুরু করি এবং আমার নিরাপত্তাহীনতা এবং উদ্বেগ সম্পর্কে চিন্তা করি না। মাঝে মাঝে আমি চিন্তিত হই যে আমার বন্ধুরা আমাকে খুব বিরক্তিকর মনে করে। অন্য কেউ কি এমনটা মনে করে?</v>
      </c>
    </row>
    <row r="2845" spans="1:3" ht="15" x14ac:dyDescent="0.25">
      <c r="A2845" s="3" t="s">
        <v>2838</v>
      </c>
      <c r="B2845" s="3" t="s">
        <v>1992</v>
      </c>
      <c r="C2845" s="4" t="str">
        <f ca="1">IFERROR(__xludf.DUMMYFUNCTION("GOOGLETRANSLATE(A2845, ""auto"", ""bn"")"),"আমার মনে হয় আমি একটা গভীর গর্তে আছি এবং মাঝে মাঝে দুশ্চিন্তার কারণে একটা ঝামেলায় পড়ে যাই। দুঃখিত, এটা এত লম্বা এবং র‍্যান্ডি পোস্ট, কিন্তু আমার মনে হচ্ছে এখানে লেখা উচিত। আমি ২২ বছর বয়সী একজন ছেলে (একটি বেনামী অ্যাকাউন্টে)। একজন কলেজ ছাত্র যার মনে হয়"&amp;" আমার দুশ্চিন্তার কারণে আমি জীবনে কোথাও যাচ্ছি না। আমার প্রায় ১ বছর বাকি আছে (যদি আমি দ্বিতীয় গ্রীষ্মে আমার মেজর ডিগ্রি পরিবর্তন না করতাম তাহলে গত গ্রীষ্মে স্নাতক হওয়া উচিত ছিল) এবং আমার মতে আমি স্নাতক হতে প্রস্তুত নই, এবং এটা অপচয়। ছোটবেলা থেকেই আমার"&amp;" যোগাযোগ করতে, কথোপকথন শুরু করতে, অথবা আমার পরিবারের বাইরের অন্যদের সাথে ভালোভাবে সম্পর্ক স্থাপন করতে আমার সবসময়ই সমস্যা হয়েছে। তাছাড়া, আমার আসলে কোন বন্ধু নেই, কখনও কোন বান্ধবী ছিল না, এমনকি কোন ধরণের সত্যিকারের চাকরিও ছিল না কারণ সারাদিন মানুষের সাথে"&amp;" যোগাযোগ করতে হবে, সেই সাথে একজন ভালো যোগাযোগকারী না হওয়ার কারণে সহজেই চাকরিচ্যুত হওয়ার এবং ঝামেলা করার ভয়, অথবা ইন্টারভিউতে নিজেকে নষ্ট করার ভয়, যদিও আমি জানি আমি একজন কঠোর পরিশ্রমী। তাছাড়া, গত দুই বছর ধরে আমি মূলত আমার আর্থিক সাহায্যের টাকা দিয়ে স্থ"&amp;"ানীয়ভাবে ইলেকট্রনিক্স জিনিসপত্র বিক্রি করে নিজের খরচ মেটাতে কিছুটা অর্থ উপার্জন করছি, কিন্তু এটি সম্ভবত আমার ইতিমধ্যেই অনুপস্থিত জীবনবৃত্তান্তের উপর নির্ভর করবে না কারণ এটি কোনও প্রকৃত চাকরির অধীনে ছিল না। তাছাড়া, আমার কিছু জিনিস আছে যেমন এক বছর ধরে স্কু"&amp;"লে স্বেচ্ছাসেবক হিসেবে কাজ করা এবং একটি ক্লাব যেখানে আমি অংশ নিয়েছিলাম কিন্তু গত কয়েক মাস ধরে দূরে সরে যাওয়ার কারণে যোগ দিতে পারিনি। তাছাড়া, আমি স্ব-কর্মসংস্থানের জন্য দুই বছর ধরে জিনিসপত্র বিক্রি করার কথা বলেছিলাম কিন্তু মনে হচ্ছে এখনই এটি সরিয়ে নেওয"&amp;"়া উচিত। সম্প্রতি পুনঃবিক্রয়ের ক্ষেত্রে পরিস্থিতি তেমন ভালো যাচ্ছে না এবং ""পূর্ণ-সময়ের"" ছাত্র হিসেবে শ্রেণীবদ্ধ না হওয়ার কারণে, আমার আর্থিক সাহায্য উল্লেখযোগ্যভাবে কমে গেছে যে আমি ক্লাসের জন্য অর্থ ছাড়া আর কোনও অতিরিক্ত অর্থ পাই না এবং ফলস্বরূপ, আমার "&amp;"শেষ অ্যাপার্টমেন্ট লিজ শেষ হওয়ার পর এই স্কুল বছরে আমাকে আমার বাবা-মায়ের সাথে থাকতে হয়েছিল কারণ আমি কোনও রুমমেট ছাড়াই একা থাকতে পারছি না এবং আমার আয়ের কোনও প্রমাণ নেই। আমি পরিবারের একজন সদস্যের সাথে একটি অ্যাপার্টমেন্ট ভাগ করে নিচ্ছিলাম, কিন্তু তারা এ"&amp;"ই বছর এক বন্ধুর সাথে কোথাও চলে যাওয়ার সিদ্ধান্ত নিয়েছে। আমি প্রতি মাসে ক্যাম্পের জন্য আমার বাবা-মাকে কিছু ভাড়া দেওয়ার প্রস্তাব দিই; আমি মোটামুটি স্বাধীন (আমি রান্না করতে জানি, আমি আমার কাজকর্মের অংশ বিশেষ করে কারো জিজ্ঞাসা ছাড়াই করি, আমার নিজের কাপড়"&amp;" ধোলাই ইত্যাদি) তাই এটা এমন নয় যে আমি এখানে জায়গা নষ্ট করার জন্য বাস করি। তাছাড়া, আমার মা আমাকে একটা আসল চাকরি খুঁজে বের করার জন্য একটু চাপ দেন, কিন্তু মাঝে মাঝে আমার মনে হয় না যে তিনি আমার মাথায় কী চলছে তা বোঝেন। তাছাড়া, আমি তার কাছে মনে করি, এটা এ"&amp;"মন কিছু যা জাদুকরীভাবে রাতারাতি ঘটতে পারে। তাছাড়া, আমি আসলে কয়েকটি ভিন্ন জায়গায় আবেদন করেছি কিন্তু বেশিরভাগেরই কোনও উত্তর পাইনি এবং এমনকি একটি প্রত্যাখ্যান ইমেলেরও (সম্ভবত আমার জীবনবৃত্তান্তের অভাবের কারণে)। তাছাড়া, আমি কোথায় কাজ করতে পারি তা সীমাবদ"&amp;"্ধ বোধ করি কারণ আমি একটি ছোটখাটো অক্ষমতার কারণে গাড়ি চালাতে পারি না এবং যেখানে পরিবহন নির্ভরযোগ্য নয় সেখানে থাকি। তাছাড়া, আমি জানি না কলেজের পরে কোথা থেকে শুরু করব এবং কী করব, যদিও আমি শুনেছি আমার সহকর্মীরা ইন্টার্নশিপ পাচ্ছে এবং ইতিমধ্যেই কয়েকটি চাকর"&amp;"িতে আছে। আমার স্কুলে ক্যারিয়ার পরিষেবা এবং এমনকি উদ্বেগের মতো বিষয়গুলির জন্য অনেক কাউন্সেলিং এবং অন্যান্য সহায়তা পরিষেবা রয়েছে, তবে আমি এখনও নার্ভাস এবং বা সাহায্য পেতে বিব্রত বোধ করি। আমি শুধু স্কুল ক্যাম্পে যাই; পরে বাড়ি যাই, কাউকে একটা কথাও বলি না"&amp;", কেউ আমাকে একটা কথাও বলে না। কিছুক্ষণ পর হতাশাজনক এবং একঘেয়ে লাগে। দুঃখিত, অনেকক্ষণ হয়ে গেল, শুধু এটা প্রকাশ করা দরকার ছিল।")</f>
        <v>আমার মনে হয় আমি একটা গভীর গর্তে আছি এবং মাঝে মাঝে দুশ্চিন্তার কারণে একটা ঝামেলায় পড়ে যাই। দুঃখিত, এটা এত লম্বা এবং র‍্যান্ডি পোস্ট, কিন্তু আমার মনে হচ্ছে এখানে লেখা উচিত। আমি ২২ বছর বয়সী একজন ছেলে (একটি বেনামী অ্যাকাউন্টে)। একজন কলেজ ছাত্র যার মনে হয় আমার দুশ্চিন্তার কারণে আমি জীবনে কোথাও যাচ্ছি না। আমার প্রায় ১ বছর বাকি আছে (যদি আমি দ্বিতীয় গ্রীষ্মে আমার মেজর ডিগ্রি পরিবর্তন না করতাম তাহলে গত গ্রীষ্মে স্নাতক হওয়া উচিত ছিল) এবং আমার মতে আমি স্নাতক হতে প্রস্তুত নই, এবং এটা অপচয়। ছোটবেলা থেকেই আমার যোগাযোগ করতে, কথোপকথন শুরু করতে, অথবা আমার পরিবারের বাইরের অন্যদের সাথে ভালোভাবে সম্পর্ক স্থাপন করতে আমার সবসময়ই সমস্যা হয়েছে। তাছাড়া, আমার আসলে কোন বন্ধু নেই, কখনও কোন বান্ধবী ছিল না, এমনকি কোন ধরণের সত্যিকারের চাকরিও ছিল না কারণ সারাদিন মানুষের সাথে যোগাযোগ করতে হবে, সেই সাথে একজন ভালো যোগাযোগকারী না হওয়ার কারণে সহজেই চাকরিচ্যুত হওয়ার এবং ঝামেলা করার ভয়, অথবা ইন্টারভিউতে নিজেকে নষ্ট করার ভয়, যদিও আমি জানি আমি একজন কঠোর পরিশ্রমী। তাছাড়া, গত দুই বছর ধরে আমি মূলত আমার আর্থিক সাহায্যের টাকা দিয়ে স্থানীয়ভাবে ইলেকট্রনিক্স জিনিসপত্র বিক্রি করে নিজের খরচ মেটাতে কিছুটা অর্থ উপার্জন করছি, কিন্তু এটি সম্ভবত আমার ইতিমধ্যেই অনুপস্থিত জীবনবৃত্তান্তের উপর নির্ভর করবে না কারণ এটি কোনও প্রকৃত চাকরির অধীনে ছিল না। তাছাড়া, আমার কিছু জিনিস আছে যেমন এক বছর ধরে স্কুলে স্বেচ্ছাসেবক হিসেবে কাজ করা এবং একটি ক্লাব যেখানে আমি অংশ নিয়েছিলাম কিন্তু গত কয়েক মাস ধরে দূরে সরে যাওয়ার কারণে যোগ দিতে পারিনি। তাছাড়া, আমি স্ব-কর্মসংস্থানের জন্য দুই বছর ধরে জিনিসপত্র বিক্রি করার কথা বলেছিলাম কিন্তু মনে হচ্ছে এখনই এটি সরিয়ে নেওয়া উচিত। সম্প্রতি পুনঃবিক্রয়ের ক্ষেত্রে পরিস্থিতি তেমন ভালো যাচ্ছে না এবং "পূর্ণ-সময়ের" ছাত্র হিসেবে শ্রেণীবদ্ধ না হওয়ার কারণে, আমার আর্থিক সাহায্য উল্লেখযোগ্যভাবে কমে গেছে যে আমি ক্লাসের জন্য অর্থ ছাড়া আর কোনও অতিরিক্ত অর্থ পাই না এবং ফলস্বরূপ, আমার শেষ অ্যাপার্টমেন্ট লিজ শেষ হওয়ার পর এই স্কুল বছরে আমাকে আমার বাবা-মায়ের সাথে থাকতে হয়েছিল কারণ আমি কোনও রুমমেট ছাড়াই একা থাকতে পারছি না এবং আমার আয়ের কোনও প্রমাণ নেই। আমি পরিবারের একজন সদস্যের সাথে একটি অ্যাপার্টমেন্ট ভাগ করে নিচ্ছিলাম, কিন্তু তারা এই বছর এক বন্ধুর সাথে কোথাও চলে যাওয়ার সিদ্ধান্ত নিয়েছে। আমি প্রতি মাসে ক্যাম্পের জন্য আমার বাবা-মাকে কিছু ভাড়া দেওয়ার প্রস্তাব দিই; আমি মোটামুটি স্বাধীন (আমি রান্না করতে জানি, আমি আমার কাজকর্মের অংশ বিশেষ করে কারো জিজ্ঞাসা ছাড়াই করি, আমার নিজের কাপড় ধোলাই ইত্যাদি) তাই এটা এমন নয় যে আমি এখানে জায়গা নষ্ট করার জন্য বাস করি। তাছাড়া, আমার মা আমাকে একটা আসল চাকরি খুঁজে বের করার জন্য একটু চাপ দেন, কিন্তু মাঝে মাঝে আমার মনে হয় না যে তিনি আমার মাথায় কী চলছে তা বোঝেন। তাছাড়া, আমি তার কাছে মনে করি, এটা এমন কিছু যা জাদুকরীভাবে রাতারাতি ঘটতে পারে। তাছাড়া, আমি আসলে কয়েকটি ভিন্ন জায়গায় আবেদন করেছি কিন্তু বেশিরভাগেরই কোনও উত্তর পাইনি এবং এমনকি একটি প্রত্যাখ্যান ইমেলেরও (সম্ভবত আমার জীবনবৃত্তান্তের অভাবের কারণে)। তাছাড়া, আমি কোথায় কাজ করতে পারি তা সীমাবদ্ধ বোধ করি কারণ আমি একটি ছোটখাটো অক্ষমতার কারণে গাড়ি চালাতে পারি না এবং যেখানে পরিবহন নির্ভরযোগ্য নয় সেখানে থাকি। তাছাড়া, আমি জানি না কলেজের পরে কোথা থেকে শুরু করব এবং কী করব, যদিও আমি শুনেছি আমার সহকর্মীরা ইন্টার্নশিপ পাচ্ছে এবং ইতিমধ্যেই কয়েকটি চাকরিতে আছে। আমার স্কুলে ক্যারিয়ার পরিষেবা এবং এমনকি উদ্বেগের মতো বিষয়গুলির জন্য অনেক কাউন্সেলিং এবং অন্যান্য সহায়তা পরিষেবা রয়েছে, তবে আমি এখনও নার্ভাস এবং বা সাহায্য পেতে বিব্রত বোধ করি। আমি শুধু স্কুল ক্যাম্পে যাই; পরে বাড়ি যাই, কাউকে একটা কথাও বলি না, কেউ আমাকে একটা কথাও বলে না। কিছুক্ষণ পর হতাশাজনক এবং একঘেয়ে লাগে। দুঃখিত, অনেকক্ষণ হয়ে গেল, শুধু এটা প্রকাশ করা দরকার ছিল।</v>
      </c>
    </row>
    <row r="2846" spans="1:3" ht="15" x14ac:dyDescent="0.25">
      <c r="A2846" s="3" t="s">
        <v>2839</v>
      </c>
      <c r="B2846" s="3" t="s">
        <v>1992</v>
      </c>
      <c r="C2846" s="4" t="str">
        <f ca="1">IFERROR(__xludf.DUMMYFUNCTION("GOOGLETRANSLATE(A2846, ""auto"", ""bn"")"),"কারো কি মন খারাপ হচ্ছে? সম্প্রতি, আমার ইন্টার্নশিপে আমার উপর চাপ সৃষ্টি হয়েছে। যেহেতু আমি খুব ভালো করছি না, তাই আমার সুপারভাইজার আমাকে সি গ্রেড দিতে চলেছেন। যা আমার জিপিএ-তে মারাত্মক প্রভাব ফেলবে এবং আমার পরবর্তী শিক্ষাজীবনে প্রভাব ফেলবে। এটা নিয়ে চিন্ত"&amp;"া করার পর, আমি উদ্বিগ্ন হয়ে পড়ি, এবং এতে আমার মন খারাপ হয় এবং পেট খারাপ হয়। কোন পরামর্শ?")</f>
        <v>কারো কি মন খারাপ হচ্ছে? সম্প্রতি, আমার ইন্টার্নশিপে আমার উপর চাপ সৃষ্টি হয়েছে। যেহেতু আমি খুব ভালো করছি না, তাই আমার সুপারভাইজার আমাকে সি গ্রেড দিতে চলেছেন। যা আমার জিপিএ-তে মারাত্মক প্রভাব ফেলবে এবং আমার পরবর্তী শিক্ষাজীবনে প্রভাব ফেলবে। এটা নিয়ে চিন্তা করার পর, আমি উদ্বিগ্ন হয়ে পড়ি, এবং এতে আমার মন খারাপ হয় এবং পেট খারাপ হয়। কোন পরামর্শ?</v>
      </c>
    </row>
    <row r="2847" spans="1:3" ht="15" x14ac:dyDescent="0.25">
      <c r="A2847" s="3" t="s">
        <v>2840</v>
      </c>
      <c r="B2847" s="3" t="s">
        <v>1992</v>
      </c>
      <c r="C2847" s="4" t="str">
        <f ca="1">IFERROR(__xludf.DUMMYFUNCTION("GOOGLETRANSLATE(A2847, ""auto"", ""bn"")"),"আমি একটা থ্রেডে লোকেদের সাহায্য করার চেষ্টা করেছি। আমাকে হয়রানি, যৌন প্রলোভন এবং হুমকির সম্মুখীন হতে হয়েছে। আমার উদ্বেগ ক্রমশ তীব্র হচ্ছে। আমি একটা সাব-এ একটা থ্রেড তৈরি করেছি। লোকেরা বন্ধু খুঁজছিল, বছর আগে আমি হাল ছেড়ে দিয়েছিলাম। আমি জিজ্ঞাসা করেছিলা"&amp;"ম কেউ কি আমার কথা শুনতে চায়। আমার উদ্বেগের কারণে মানুষের সাথে কথা বলা আমার পক্ষে কঠিন। আমি স্পষ্ট করে বলেছিলাম যে আমি যৌন প্রলোভন চাই না এবং আমি কোনও প্রশিক্ষিত পেশাদার নই। আমার উদ্বেগ আমাকে নিজের সম্পর্কে খুব বেশি কিছু প্রকাশ করতে বাধা দেয়। আমার আত্মবি"&amp;"শ্বাসের সমস্যা আছে। আমার যৌন প্রলোভনের মুখোমুখি হতে হয়েছিল। আমি না বললে কিছু হুমকিতে পরিণত হয়েছিল। আমার উপর লোকেরা মন্তব্য করেছিল, আমাকে বিকৃত লোকের সাথে তুলনা করেছিল। কেউ কেউ আমাকে গালিগালাজ করেছিল। আমি যদি সাহসী হতাম এবং এটি উপেক্ষা করতাম। পরিবর্তে, আ"&amp;"মি আতঙ্কিত হই এবং নিজেকে ঘৃণা করি। তুমি জানো মানুষ কখন সুপারপাওয়ার চায়? আমি মোটা ত্বক চাই।")</f>
        <v>আমি একটা থ্রেডে লোকেদের সাহায্য করার চেষ্টা করেছি। আমাকে হয়রানি, যৌন প্রলোভন এবং হুমকির সম্মুখীন হতে হয়েছে। আমার উদ্বেগ ক্রমশ তীব্র হচ্ছে। আমি একটা সাব-এ একটা থ্রেড তৈরি করেছি। লোকেরা বন্ধু খুঁজছিল, বছর আগে আমি হাল ছেড়ে দিয়েছিলাম। আমি জিজ্ঞাসা করেছিলাম কেউ কি আমার কথা শুনতে চায়। আমার উদ্বেগের কারণে মানুষের সাথে কথা বলা আমার পক্ষে কঠিন। আমি স্পষ্ট করে বলেছিলাম যে আমি যৌন প্রলোভন চাই না এবং আমি কোনও প্রশিক্ষিত পেশাদার নই। আমার উদ্বেগ আমাকে নিজের সম্পর্কে খুব বেশি কিছু প্রকাশ করতে বাধা দেয়। আমার আত্মবিশ্বাসের সমস্যা আছে। আমার যৌন প্রলোভনের মুখোমুখি হতে হয়েছিল। আমি না বললে কিছু হুমকিতে পরিণত হয়েছিল। আমার উপর লোকেরা মন্তব্য করেছিল, আমাকে বিকৃত লোকের সাথে তুলনা করেছিল। কেউ কেউ আমাকে গালিগালাজ করেছিল। আমি যদি সাহসী হতাম এবং এটি উপেক্ষা করতাম। পরিবর্তে, আমি আতঙ্কিত হই এবং নিজেকে ঘৃণা করি। তুমি জানো মানুষ কখন সুপারপাওয়ার চায়? আমি মোটা ত্বক চাই।</v>
      </c>
    </row>
    <row r="2848" spans="1:3" ht="15" x14ac:dyDescent="0.25">
      <c r="A2848" s="3" t="s">
        <v>2841</v>
      </c>
      <c r="B2848" s="3" t="s">
        <v>1992</v>
      </c>
      <c r="C2848" s="4" t="str">
        <f ca="1">IFERROR(__xludf.DUMMYFUNCTION("GOOGLETRANSLATE(A2848, ""auto"", ""bn"")"),"গাড়ি চালানোর সময় যে দুশ্চিন্তা হয়। স্পষ্টতই ভয়ের মুখোমুখি হওয়া ছাড়া আপনি কীভাবে এটি মোকাবেলা করেন? এখানে আর কেউ কি এর সাথে সম্পর্কিত হতে পারেন?")</f>
        <v>গাড়ি চালানোর সময় যে দুশ্চিন্তা হয়। স্পষ্টতই ভয়ের মুখোমুখি হওয়া ছাড়া আপনি কীভাবে এটি মোকাবেলা করেন? এখানে আর কেউ কি এর সাথে সম্পর্কিত হতে পারেন?</v>
      </c>
    </row>
    <row r="2849" spans="1:3" ht="15" x14ac:dyDescent="0.25">
      <c r="A2849" s="3" t="s">
        <v>2842</v>
      </c>
      <c r="B2849" s="3" t="s">
        <v>1992</v>
      </c>
      <c r="C2849" s="4" t="str">
        <f ca="1">IFERROR(__xludf.DUMMYFUNCTION("GOOGLETRANSLATE(A2849, ""auto"", ""bn"")"),"আমাকে বিরক্ত করো না, দয়া করে আমার পরামর্শের প্রয়োজন... এটা একটু লজ্জাজনক... IVD-তে কিছুদিন ধরে ইস্ট ইনফেকশন ছিল... আমি খুব ভয় পাচ্ছি যে এটা কিডনি ইনফেকশনে পরিণত হচ্ছে... কিন্তু আমার বিদেশীদের প্রতি ভয়ের কারণে আমি অ্যান্টিবায়োটিক খেতে ভয় পাচ্ছি - এই ওষুধগু"&amp;"লো আমার পেটে ব্যথা করে। শুধু তাই নয়, আমি আর একটা বোকা বড়ি গিলে ফেলতে পারি না কারণ আমি এগুলো খেয়ে দম বন্ধ করে দেই... আমি এটা কিভাবে সামলাবো? আমি খুব মজা পাচ্ছি* লজ্জা পাচ্ছি কারণ আমি শীঘ্রই মেডিকেল স্কুল শুরু করছি। আমি যদি নিজের ওষুধও খেতে না পারি তাহলে "&amp;"আমি কীভাবে একজন ভালো ডাক্তার হব... আমি বোকা বোধ করছি... আমার মনোরোগ বিশেষজ্ঞকে বলতে আমার খুব লজ্জা লাগছে।")</f>
        <v>আমাকে বিরক্ত করো না, দয়া করে আমার পরামর্শের প্রয়োজন... এটা একটু লজ্জাজনক... IVD-তে কিছুদিন ধরে ইস্ট ইনফেকশন ছিল... আমি খুব ভয় পাচ্ছি যে এটা কিডনি ইনফেকশনে পরিণত হচ্ছে... কিন্তু আমার বিদেশীদের প্রতি ভয়ের কারণে আমি অ্যান্টিবায়োটিক খেতে ভয় পাচ্ছি - এই ওষুধগুলো আমার পেটে ব্যথা করে। শুধু তাই নয়, আমি আর একটা বোকা বড়ি গিলে ফেলতে পারি না কারণ আমি এগুলো খেয়ে দম বন্ধ করে দেই... আমি এটা কিভাবে সামলাবো? আমি খুব মজা পাচ্ছি* লজ্জা পাচ্ছি কারণ আমি শীঘ্রই মেডিকেল স্কুল শুরু করছি। আমি যদি নিজের ওষুধও খেতে না পারি তাহলে আমি কীভাবে একজন ভালো ডাক্তার হব... আমি বোকা বোধ করছি... আমার মনোরোগ বিশেষজ্ঞকে বলতে আমার খুব লজ্জা লাগছে।</v>
      </c>
    </row>
    <row r="2850" spans="1:3" ht="15" x14ac:dyDescent="0.25">
      <c r="A2850" s="3" t="s">
        <v>2843</v>
      </c>
      <c r="B2850" s="3" t="s">
        <v>1992</v>
      </c>
      <c r="C2850" s="4" t="str">
        <f ca="1">IFERROR(__xludf.DUMMYFUNCTION("GOOGLETRANSLATE(A2850, ""auto"", ""bn"")"),"এই দুষ্ট চক্রে আটকে আছি। যখন আমি সবার ফোন এড়িয়ে যাওয়ার জন্য সম্পূর্ণ অপরাধবোধ অনুভব করছিলাম এবং একাকী ছিলাম এই আশায় যে মেঝেটি খুলে যাবে এবং আশা করি আমাকে গ্রাস করবে এবং আবার বন্ধ করবে।")</f>
        <v>এই দুষ্ট চক্রে আটকে আছি। যখন আমি সবার ফোন এড়িয়ে যাওয়ার জন্য সম্পূর্ণ অপরাধবোধ অনুভব করছিলাম এবং একাকী ছিলাম এই আশায় যে মেঝেটি খুলে যাবে এবং আশা করি আমাকে গ্রাস করবে এবং আবার বন্ধ করবে।</v>
      </c>
    </row>
    <row r="2851" spans="1:3" ht="15" x14ac:dyDescent="0.25">
      <c r="A2851" s="3" t="s">
        <v>2844</v>
      </c>
      <c r="B2851" s="3" t="s">
        <v>1992</v>
      </c>
      <c r="C2851" s="4" t="str">
        <f ca="1">IFERROR(__xludf.DUMMYFUNCTION("GOOGLETRANSLATE(A2851, ""auto"", ""bn"")"),"মাথা ঘোরা। উদ্বেগের সময় মাথা ঘোরা কি সাধারণ? শুধু ভারসাম্য ঠিকমতো না থাকা? পড়ে যাওয়া নয় বরং মাথা ঘোরার অনুভূতি বেশি।")</f>
        <v>মাথা ঘোরা। উদ্বেগের সময় মাথা ঘোরা কি সাধারণ? শুধু ভারসাম্য ঠিকমতো না থাকা? পড়ে যাওয়া নয় বরং মাথা ঘোরার অনুভূতি বেশি।</v>
      </c>
    </row>
    <row r="2852" spans="1:3" ht="15" x14ac:dyDescent="0.25">
      <c r="A2852" s="3" t="s">
        <v>2845</v>
      </c>
      <c r="B2852" s="3" t="s">
        <v>1992</v>
      </c>
      <c r="C2852" s="4" t="str">
        <f ca="1">IFERROR(__xludf.DUMMYFUNCTION("GOOGLETRANSLATE(A2852, ""auto"", ""bn"")"),"কাজে আটকে থাকা (আবার) নতুন বছর সবসময় আরও বেশি উদ্বেগ নিয়ে আসে। আমার মনে হয় একটা ঘড়ির কাঁটা ক্রমাগত টিকটিক করছে। আমি এটা ঘৃণা করি। এখানে এই ধরণের জিনিস মোকাবেলা করা কঠিন। শুধু একটি আলিঙ্গন চাই। সারাদিন বিছানায় থাকাই ভালো। আশা করি চার ঘন্টা বাকি আছে। আ"&amp;"মার নিজেকে সামলাতে হবে।")</f>
        <v>কাজে আটকে থাকা (আবার) নতুন বছর সবসময় আরও বেশি উদ্বেগ নিয়ে আসে। আমার মনে হয় একটা ঘড়ির কাঁটা ক্রমাগত টিকটিক করছে। আমি এটা ঘৃণা করি। এখানে এই ধরণের জিনিস মোকাবেলা করা কঠিন। শুধু একটি আলিঙ্গন চাই। সারাদিন বিছানায় থাকাই ভালো। আশা করি চার ঘন্টা বাকি আছে। আমার নিজেকে সামলাতে হবে।</v>
      </c>
    </row>
    <row r="2853" spans="1:3" ht="15" x14ac:dyDescent="0.25">
      <c r="A2853" s="3" t="s">
        <v>2846</v>
      </c>
      <c r="B2853" s="3" t="s">
        <v>1992</v>
      </c>
      <c r="C2853" s="4" t="str">
        <f ca="1">IFERROR(__xludf.DUMMYFUNCTION("GOOGLETRANSLATE(A2853, ""auto"", ""bn"")"),"প্রথম ডাক্তারের অ্যাপয়েন্টমেন্টে কী আশা করা যায়? তাহলে আমি ৩ বছরেরও বেশি সময় ধরে উদ্বেগ এবং বিষণ্ণতার লক্ষণে ভুগছি, এবং আমি নিজেকে নিশ্চিত করেছি যে এটি কাজের সাথে সম্পর্কিত বিষয়গুলির কারণে। আমি এক বা দুই বছর আগেও আমার ডাক্তারের কাছে অভিযোগ করেছিলাম যে "&amp;"আমি ক্রমাগত ক্লান্ত এবং মেজাজ খারাপ রাখছি, যা বিষণ্ণতার লক্ষণগুলির মধ্যে একটি। তিনি কিছু রক্ত ​​পরীক্ষা করেছেন এবং সিদ্ধান্তে পৌঁছেছেন যে আমি মানসিক চাপে আছি এবং আমার চাকরি পরিবর্তন করা উচিত। খুব একটা সাহায্যকারী নয়। এখন আমি আর কাজ করি না, আমি পূর্ণকালীন"&amp;" বিশ্ববিদ্যালয়ে ফিরে এসেছি, কিন্তু এখনও আমার খারাপ লাগছে। আমি আগে খুব বেশি উদ্বিগ্ন ছিলাম না, কেবল হালকা হতাশাগ্রস্ত ছিলাম, কিন্তু এই শীতে আমার উদ্বেগ আকাশছোঁয়া হয়ে গিয়েছিল, ডিসেম্বরের বেশিরভাগ সময় আমি পেটে ব্যথা অনুভব করতাম এবং আমার জীবন এবং একা সম্"&amp;"পর্কে খুব একটা আশাবাদী ছিলাম না, যদিও আমার পরিবার এবং কিছু বন্ধু আছে, এবং আমি নতুন বন্ধুত্ব এবং সংযোগ তৈরি করার পরিবর্তে আমার নতুন সহপাঠীদের থেকে নিজেকে বিচ্ছিন্ন করে রেখেছি। তাই যেহেতু আমার মানসিক স্বাস্থ্যের উন্নতি হচ্ছে না বরং আরও খারাপ হচ্ছে, আমি সিদ্"&amp;"ধান্ত নিয়েছি যে যথেষ্ট হয়েছে, আমার পেশাদার সাহায্য নেওয়া উচিত। আমার প্রথম পদক্ষেপ হল আমার পারিবারিক ডাক্তারের সাথে দেখা করা, কিন্তু আমি চাই না যে তিনি আবার আমাকে বলুক যে আমি কেবল চাপের মধ্যে আছি বা অন্য কিছু, তাহলে আমার অ্যাপয়েন্টমেন্টে কীভাবে এগিয়ে "&amp;"যাওয়া উচিত? এমন কোনও অভিজ্ঞতার মধ্য দিয়ে গেছেন এমন কারো কাছ থেকে কোন পরামর্শ? ধন্যবাদ!")</f>
        <v>প্রথম ডাক্তারের অ্যাপয়েন্টমেন্টে কী আশা করা যায়? তাহলে আমি ৩ বছরেরও বেশি সময় ধরে উদ্বেগ এবং বিষণ্ণতার লক্ষণে ভুগছি, এবং আমি নিজেকে নিশ্চিত করেছি যে এটি কাজের সাথে সম্পর্কিত বিষয়গুলির কারণে। আমি এক বা দুই বছর আগেও আমার ডাক্তারের কাছে অভিযোগ করেছিলাম যে আমি ক্রমাগত ক্লান্ত এবং মেজাজ খারাপ রাখছি, যা বিষণ্ণতার লক্ষণগুলির মধ্যে একটি। তিনি কিছু রক্ত ​​পরীক্ষা করেছেন এবং সিদ্ধান্তে পৌঁছেছেন যে আমি মানসিক চাপে আছি এবং আমার চাকরি পরিবর্তন করা উচিত। খুব একটা সাহায্যকারী নয়। এখন আমি আর কাজ করি না, আমি পূর্ণকালীন বিশ্ববিদ্যালয়ে ফিরে এসেছি, কিন্তু এখনও আমার খারাপ লাগছে। আমি আগে খুব বেশি উদ্বিগ্ন ছিলাম না, কেবল হালকা হতাশাগ্রস্ত ছিলাম, কিন্তু এই শীতে আমার উদ্বেগ আকাশছোঁয়া হয়ে গিয়েছিল, ডিসেম্বরের বেশিরভাগ সময় আমি পেটে ব্যথা অনুভব করতাম এবং আমার জীবন এবং একা সম্পর্কে খুব একটা আশাবাদী ছিলাম না, যদিও আমার পরিবার এবং কিছু বন্ধু আছে, এবং আমি নতুন বন্ধুত্ব এবং সংযোগ তৈরি করার পরিবর্তে আমার নতুন সহপাঠীদের থেকে নিজেকে বিচ্ছিন্ন করে রেখেছি। তাই যেহেতু আমার মানসিক স্বাস্থ্যের উন্নতি হচ্ছে না বরং আরও খারাপ হচ্ছে, আমি সিদ্ধান্ত নিয়েছি যে যথেষ্ট হয়েছে, আমার পেশাদার সাহায্য নেওয়া উচিত। আমার প্রথম পদক্ষেপ হল আমার পারিবারিক ডাক্তারের সাথে দেখা করা, কিন্তু আমি চাই না যে তিনি আবার আমাকে বলুক যে আমি কেবল চাপের মধ্যে আছি বা অন্য কিছু, তাহলে আমার অ্যাপয়েন্টমেন্টে কীভাবে এগিয়ে যাওয়া উচিত? এমন কোনও অভিজ্ঞতার মধ্য দিয়ে গেছেন এমন কারো কাছ থেকে কোন পরামর্শ? ধন্যবাদ!</v>
      </c>
    </row>
    <row r="2854" spans="1:3" ht="15" x14ac:dyDescent="0.25">
      <c r="A2854" s="3" t="s">
        <v>2847</v>
      </c>
      <c r="B2854" s="3" t="s">
        <v>1992</v>
      </c>
      <c r="C2854" s="4" t="str">
        <f ca="1">IFERROR(__xludf.DUMMYFUNCTION("GOOGLETRANSLATE(A2854, ""auto"", ""bn"")"),"একদিন ধরে আমি বুঝতে পারছি না আমার কী হচ্ছে। গত ২৪ ঘন্টা ধরে আমি কোনও কিছু নিয়েই চিন্তিত নই। আমার শ্বাস-প্রশ্বাস অনিয়মিত এবং জোর করে চলছে। আমার মন বৃত্তাকারে ঘুরছে। প্রতিটি অনুভূতিই বড় হয়ে উঠছে। আমার হাত কাঁপছে। আমি নিজেকে বিভ্রান্ত করার চেষ্টা করছি। আ"&amp;"মি কোনও না কোনও ধরণের উদ্বেগের সাথে মোকাবিলা করেছি কিন্তু এটি আরও বেশি তীব্র বলে মনে হচ্ছে। আমি কীভাবে প্রতিক্রিয়া জানাব বা প্রতিক্রিয়া জানাব তা জানি না। প্রথমে আমি ভেবেছিলাম এটি একটি আক্রমণ কিন্তু এটি এখনও শেষ হয়নি। অনেক দিন হয়ে গেছে। আমি জানি না কীভ"&amp;"াবে এটি ঠিক করব।")</f>
        <v>একদিন ধরে আমি বুঝতে পারছি না আমার কী হচ্ছে। গত ২৪ ঘন্টা ধরে আমি কোনও কিছু নিয়েই চিন্তিত নই। আমার শ্বাস-প্রশ্বাস অনিয়মিত এবং জোর করে চলছে। আমার মন বৃত্তাকারে ঘুরছে। প্রতিটি অনুভূতিই বড় হয়ে উঠছে। আমার হাত কাঁপছে। আমি নিজেকে বিভ্রান্ত করার চেষ্টা করছি। আমি কোনও না কোনও ধরণের উদ্বেগের সাথে মোকাবিলা করেছি কিন্তু এটি আরও বেশি তীব্র বলে মনে হচ্ছে। আমি কীভাবে প্রতিক্রিয়া জানাব বা প্রতিক্রিয়া জানাব তা জানি না। প্রথমে আমি ভেবেছিলাম এটি একটি আক্রমণ কিন্তু এটি এখনও শেষ হয়নি। অনেক দিন হয়ে গেছে। আমি জানি না কীভাবে এটি ঠিক করব।</v>
      </c>
    </row>
    <row r="2855" spans="1:3" ht="15" x14ac:dyDescent="0.25">
      <c r="A2855" s="3" t="s">
        <v>2848</v>
      </c>
      <c r="B2855" s="3" t="s">
        <v>1992</v>
      </c>
      <c r="C2855" s="4" t="str">
        <f ca="1">IFERROR(__xludf.DUMMYFUNCTION("GOOGLETRANSLATE(A2855, ""auto"", ""bn"")"),"আতঙ্কের আক্রমণ। ঘুম থেকে উঠেই আমার কাজের ব্যাপারে আতঙ্কের আক্রমণ শুরু হয়ে গেল, যদিও আমি ৩০ মিনিট পরেই সেখানে থাকব। আমি আর এটা সহ্য করতে পারছি না। মনে হচ্ছে আমার পিঠ এবং ঘাড় সব জট পাকিয়ে শক্ত হয়ে গেছে এবং আমি বেঁচে থাকতে চাই না।")</f>
        <v>আতঙ্কের আক্রমণ। ঘুম থেকে উঠেই আমার কাজের ব্যাপারে আতঙ্কের আক্রমণ শুরু হয়ে গেল, যদিও আমি ৩০ মিনিট পরেই সেখানে থাকব। আমি আর এটা সহ্য করতে পারছি না। মনে হচ্ছে আমার পিঠ এবং ঘাড় সব জট পাকিয়ে শক্ত হয়ে গেছে এবং আমি বেঁচে থাকতে চাই না।</v>
      </c>
    </row>
    <row r="2856" spans="1:3" ht="15" x14ac:dyDescent="0.25">
      <c r="A2856" s="3" t="s">
        <v>2849</v>
      </c>
      <c r="B2856" s="3" t="s">
        <v>1992</v>
      </c>
      <c r="C2856" s="4" t="str">
        <f ca="1">IFERROR(__xludf.DUMMYFUNCTION("GOOGLETRANSLATE(A2856, ""auto"", ""bn"")"),"অনিদ্রার সাথে সাথে ভয়ানক উদ্বেগ? আমার ঘুমাতে খুব কষ্ট হয়, আর অনিদ্রার এই তীব্রতম ঢেউয়ের সময় আমি সবচেয়ে বেশি উদ্বিগ্ন হয়ে পড়ি। আমার মনে হয় লাইব্রেরির বই হারিয়ে যাওয়ার সম্ভাবনা নিয়ে আক্ষরিক অর্থেই আতঙ্কিত হয়ে পড়ি। তাছাড়া, আমি জানতাম ঘুমাতে যাও"&amp;"য়ার আগে পিয়ানোতে লাইব্রেরির বইটি দেখেছি, কিন্তু যদি তখন এবং এখন এর মধ্যে হারিয়ে যাই?!?!? অথবা, যদি আমার দাদী গত বছর তার ফেসবুক টাইমলাইনে জন্মদিনের শুভেচ্ছা পোস্ট না করার কারণে গোপনে আমাকে ঘৃণা করেন!?!? এরকম বোকামি, কিন্তু আমি সেগুলো নিয়ে একেবারেই ভীত "&amp;"হয়ে পড়ি। আমি জানি রাতে উদ্বেগ আরও বেড়ে যায়, কিন্তু অনিদ্রার এই ঢেউয়ের সময় আমি এতটাই ভীত এবং অযৌক্তিক হয়ে পড়ি, এটা পাগলামি।")</f>
        <v>অনিদ্রার সাথে সাথে ভয়ানক উদ্বেগ? আমার ঘুমাতে খুব কষ্ট হয়, আর অনিদ্রার এই তীব্রতম ঢেউয়ের সময় আমি সবচেয়ে বেশি উদ্বিগ্ন হয়ে পড়ি। আমার মনে হয় লাইব্রেরির বই হারিয়ে যাওয়ার সম্ভাবনা নিয়ে আক্ষরিক অর্থেই আতঙ্কিত হয়ে পড়ি। তাছাড়া, আমি জানতাম ঘুমাতে যাওয়ার আগে পিয়ানোতে লাইব্রেরির বইটি দেখেছি, কিন্তু যদি তখন এবং এখন এর মধ্যে হারিয়ে যাই?!?!? অথবা, যদি আমার দাদী গত বছর তার ফেসবুক টাইমলাইনে জন্মদিনের শুভেচ্ছা পোস্ট না করার কারণে গোপনে আমাকে ঘৃণা করেন!?!? এরকম বোকামি, কিন্তু আমি সেগুলো নিয়ে একেবারেই ভীত হয়ে পড়ি। আমি জানি রাতে উদ্বেগ আরও বেড়ে যায়, কিন্তু অনিদ্রার এই ঢেউয়ের সময় আমি এতটাই ভীত এবং অযৌক্তিক হয়ে পড়ি, এটা পাগলামি।</v>
      </c>
    </row>
    <row r="2857" spans="1:3" ht="15" x14ac:dyDescent="0.25">
      <c r="A2857" s="3" t="s">
        <v>2850</v>
      </c>
      <c r="B2857" s="3" t="s">
        <v>1992</v>
      </c>
      <c r="C2857" s="4" t="str">
        <f ca="1">IFERROR(__xludf.DUMMYFUNCTION("GOOGLETRANSLATE(A2857, ""auto"", ""bn"")"),"মিরটাজাপাইন এবং ওজন বৃদ্ধি তাই গত মাসে আমার উদ্বেগ এতটাই বেড়ে গেছে যে আমার আর ঘুম আসছে না। কিছুক্ষণের জন্য উদ্বেগ এবং বিষণ্ণতার উপর কাজ করা একমাত্র ওষুধ ছিল মিরটাজাপাইন (ক্যামেরন) কিন্তু এটি আমার ওজন এত বাড়িয়ে দিয়েছে ... এটি গ্রহণ করার সময় আমার অ্যান"&amp;"োরেক্সিয়া নেগ্রোস হয়ে পড়েছিল। পরে আমি অ্যাবোরিজিনের সাথে পরিচিত হই এবং ময়লার সাথে এটি গ্রহণ শুরু করি। তদুপরি, আমার শক্তি একটু বেশি ছিল এবং আমার মনে হয় আমার ক্ষুধা কম ছিল, তবে আমার কয়েকটি বুলিমিক পর্ব ছিল। তদুপরি, আমি জানি না আমার ওজন নিয়ন্ত্রণের কা"&amp;"রণে নাকি অ্যাবোরিজিনের কারণে ঠিকঠাক হচ্ছিল। তা ছাড়া এই মিশ্রণটি আমার জন্য ভাল কাজ করছিল, আমার ঘুম দুর্দান্ত ছিল এবং আমার উদ্বেগ নিয়ন্ত্রণযোগ্য ছিল। তবে ওজনের বিষয়গুলি নিয়ে আমার আতঙ্কের আক্রমণ হয়েছিল (আপনি সহজেই খাওয়ার ব্যাধি থেকে মুক্তি পাবেন না ..."&amp;") এবং এটি ঠান্ডা টার্কি বন্ধ করে দিয়েছিল। আমি কম ঘুমিয়েছি কিন্তু কম ক্লান্ত বোধ করছিলাম (TBH আমি সারাদিন বাড়িতে ছিলাম)। আজকাল, আমি কেবল অ্যাবোরিজিনে আছি এবং এত উদ্বিগ্ন বোধ করছি যে এটি আমাকে আত্মহত্যা করতে বাধ্য করে। আমি এক সপ্তাহ ধরে ইনপেশেন্ট থাকার প"&amp;"র হাসপাতাল থেকে বের হয়েছি, আর এখন আর কোন বিকল্প নেই। ওজন বৃদ্ধির ব্যাপারে আমার খুব ভয় লাগে, কিন্তু উদ্বেগ দূর করার ঘুমটা আমার খুব মিস হয়... এটাই একমাত্র ওষুধ যা আমার ঘুমের উপর কার্যকর ছিল, আমাকে Mercian লিখে দেওয়া হয়েছিল, কিন্তু বিভ্রান্তিটা ভয়াবহ, আমি সত"&amp;"্যিই দ্বিধাগ্রস্ত হয়ে আবার মিরটাজাপিন চেষ্টা করে দেখতে চাইছি। কেউ কি ডার্ট/অ্যাবরিজিন কম্বিনেশনটি চেষ্টা করে দেখেছেন?")</f>
        <v>মিরটাজাপাইন এবং ওজন বৃদ্ধি তাই গত মাসে আমার উদ্বেগ এতটাই বেড়ে গেছে যে আমার আর ঘুম আসছে না। কিছুক্ষণের জন্য উদ্বেগ এবং বিষণ্ণতার উপর কাজ করা একমাত্র ওষুধ ছিল মিরটাজাপাইন (ক্যামেরন) কিন্তু এটি আমার ওজন এত বাড়িয়ে দিয়েছে ... এটি গ্রহণ করার সময় আমার অ্যানোরেক্সিয়া নেগ্রোস হয়ে পড়েছিল। পরে আমি অ্যাবোরিজিনের সাথে পরিচিত হই এবং ময়লার সাথে এটি গ্রহণ শুরু করি। তদুপরি, আমার শক্তি একটু বেশি ছিল এবং আমার মনে হয় আমার ক্ষুধা কম ছিল, তবে আমার কয়েকটি বুলিমিক পর্ব ছিল। তদুপরি, আমি জানি না আমার ওজন নিয়ন্ত্রণের কারণে নাকি অ্যাবোরিজিনের কারণে ঠিকঠাক হচ্ছিল। তা ছাড়া এই মিশ্রণটি আমার জন্য ভাল কাজ করছিল, আমার ঘুম দুর্দান্ত ছিল এবং আমার উদ্বেগ নিয়ন্ত্রণযোগ্য ছিল। তবে ওজনের বিষয়গুলি নিয়ে আমার আতঙ্কের আক্রমণ হয়েছিল (আপনি সহজেই খাওয়ার ব্যাধি থেকে মুক্তি পাবেন না ...) এবং এটি ঠান্ডা টার্কি বন্ধ করে দিয়েছিল। আমি কম ঘুমিয়েছি কিন্তু কম ক্লান্ত বোধ করছিলাম (TBH আমি সারাদিন বাড়িতে ছিলাম)। আজকাল, আমি কেবল অ্যাবোরিজিনে আছি এবং এত উদ্বিগ্ন বোধ করছি যে এটি আমাকে আত্মহত্যা করতে বাধ্য করে। আমি এক সপ্তাহ ধরে ইনপেশেন্ট থাকার পর হাসপাতাল থেকে বের হয়েছি, আর এখন আর কোন বিকল্প নেই। ওজন বৃদ্ধির ব্যাপারে আমার খুব ভয় লাগে, কিন্তু উদ্বেগ দূর করার ঘুমটা আমার খুব মিস হয়... এটাই একমাত্র ওষুধ যা আমার ঘুমের উপর কার্যকর ছিল, আমাকে Mercian লিখে দেওয়া হয়েছিল, কিন্তু বিভ্রান্তিটা ভয়াবহ, আমি সত্যিই দ্বিধাগ্রস্ত হয়ে আবার মিরটাজাপিন চেষ্টা করে দেখতে চাইছি। কেউ কি ডার্ট/অ্যাবরিজিন কম্বিনেশনটি চেষ্টা করে দেখেছেন?</v>
      </c>
    </row>
    <row r="2858" spans="1:3" ht="15" x14ac:dyDescent="0.25">
      <c r="A2858" s="3" t="s">
        <v>2851</v>
      </c>
      <c r="B2858" s="3" t="s">
        <v>1992</v>
      </c>
      <c r="C2858" s="4" t="str">
        <f ca="1">IFERROR(__xludf.DUMMYFUNCTION("GOOGLETRANSLATE(A2858, ""auto"", ""bn"")"),"উদ্বেগের এই পর্বটি কাটিয়ে উঠতে আমার খুব কষ্ট হচ্ছে। তাই প্রায় ১ সপ্তাহ ধরে আমার মনে একটা ভয় কাজ করছে যে আমি হাত-পা ব্যবহার করতে ভুলে যাব। এটা যতই বোকামি হোক না কেন, এটা কাটিয়ে ওঠা আমার জন্য অবিশ্বাস্যরকম কঠিন হয়ে পড়ছে। আমারও একই রকম উদ্বেগ ছিল, যেমন"&amp;" শ্বাস নিতে ভুলে যাব বা কথা বলতে ভুলে যাব, যা আমি কাটিয়ে উঠতে পেরেছি কিন্তু আমি এখন আর কাটিয়ে উঠতে পারছি না। আমি বর্তমানে একজন মনোবিজ্ঞানীর সাথে দেখা করছি এবং আগামী সপ্তাহে আমার দ্বিতীয় সেশন আছে কিনা। তবে, এই সেশনের মাঝামাঝি সময়ে আমি জানি না কিভাবে মো"&amp;"কাবেলা করতে হবে এবং আমি সত্যিই কিছু মতামত এবং এই বিষয়ে আপনার মতামত জানতে পারি।")</f>
        <v>উদ্বেগের এই পর্বটি কাটিয়ে উঠতে আমার খুব কষ্ট হচ্ছে। তাই প্রায় ১ সপ্তাহ ধরে আমার মনে একটা ভয় কাজ করছে যে আমি হাত-পা ব্যবহার করতে ভুলে যাব। এটা যতই বোকামি হোক না কেন, এটা কাটিয়ে ওঠা আমার জন্য অবিশ্বাস্যরকম কঠিন হয়ে পড়ছে। আমারও একই রকম উদ্বেগ ছিল, যেমন শ্বাস নিতে ভুলে যাব বা কথা বলতে ভুলে যাব, যা আমি কাটিয়ে উঠতে পেরেছি কিন্তু আমি এখন আর কাটিয়ে উঠতে পারছি না। আমি বর্তমানে একজন মনোবিজ্ঞানীর সাথে দেখা করছি এবং আগামী সপ্তাহে আমার দ্বিতীয় সেশন আছে কিনা। তবে, এই সেশনের মাঝামাঝি সময়ে আমি জানি না কিভাবে মোকাবেলা করতে হবে এবং আমি সত্যিই কিছু মতামত এবং এই বিষয়ে আপনার মতামত জানতে পারি।</v>
      </c>
    </row>
    <row r="2859" spans="1:3" ht="15" x14ac:dyDescent="0.25">
      <c r="A2859" s="3" t="s">
        <v>2852</v>
      </c>
      <c r="B2859" s="3" t="s">
        <v>1992</v>
      </c>
      <c r="C2859" s="4" t="str">
        <f ca="1">IFERROR(__xludf.DUMMYFUNCTION("GOOGLETRANSLATE(A2859, ""auto"", ""bn"")"),"আমার ফিটবিট কি আমার অনিদ্রাকে আরও খারাপ করে তোলে? আমার সবসময় ঘুমের সমস্যা হয়েছে। এটি সাধারণত সাইকেল চালানোর সময় হয়, এবং এর বেশিরভাগ কারণ হল আমার ঘুমাতে সমস্যা হয় এবং তারপর বাকি রাত ধরে এটির জন্য চাপ থাকে। তবে, আমার মনে হয় আমার ফিটনেস ট্র্যাকার পরিস্"&amp;"থিতি আরও খারাপ করে তুলছে। আমি মোটেও উদ্বিগ্ন বোধ করি না, এবং আমি বেশ কয়েক সপ্তাহ ধরে ওষুধ ছাড়া ঘুমাতে পারিনি। আজ, আমি এটি না নেওয়ার সিদ্ধান্ত নিয়েছি, এবং আমি 8 ঘন্টা ধরে ঘুমাতে পারিনি। আমার সাথে কখনও এতটা ঘটেনি। অন্য কেউ কি একই রকম অভিজ্ঞতা লাভ করেছে?")</f>
        <v>আমার ফিটবিট কি আমার অনিদ্রাকে আরও খারাপ করে তোলে? আমার সবসময় ঘুমের সমস্যা হয়েছে। এটি সাধারণত সাইকেল চালানোর সময় হয়, এবং এর বেশিরভাগ কারণ হল আমার ঘুমাতে সমস্যা হয় এবং তারপর বাকি রাত ধরে এটির জন্য চাপ থাকে। তবে, আমার মনে হয় আমার ফিটনেস ট্র্যাকার পরিস্থিতি আরও খারাপ করে তুলছে। আমি মোটেও উদ্বিগ্ন বোধ করি না, এবং আমি বেশ কয়েক সপ্তাহ ধরে ওষুধ ছাড়া ঘুমাতে পারিনি। আজ, আমি এটি না নেওয়ার সিদ্ধান্ত নিয়েছি, এবং আমি 8 ঘন্টা ধরে ঘুমাতে পারিনি। আমার সাথে কখনও এতটা ঘটেনি। অন্য কেউ কি একই রকম অভিজ্ঞতা লাভ করেছে?</v>
      </c>
    </row>
    <row r="2860" spans="1:3" ht="15" x14ac:dyDescent="0.25">
      <c r="A2860" s="3" t="s">
        <v>2853</v>
      </c>
      <c r="B2860" s="3" t="s">
        <v>1992</v>
      </c>
      <c r="C2860" s="4" t="str">
        <f ca="1">IFERROR(__xludf.DUMMYFUNCTION("GOOGLETRANSLATE(A2860, ""auto"", ""bn"")"),"অন্য কারো উদ্বেগ কি কেবল উদ্বেগের চেয়েও তীব্র? আমি সেই দিনগুলিকে মিস করি যখন কোনও বক্তৃতা দেওয়ার আগে বা আমার পছন্দের কোনও লোকের সাথে কথা বলার আগে উদ্বেগের অর্থ আমার পেটে প্রজাপতি ছিল। গত ৩ বছর ধরে, আমি যেকোনো কিছু নিয়েই আতঙ্কিত হয়ে পড়ি। আমি ধীরে ধীরে"&amp;" এটিকে আঁকড়ে ধরার চেষ্টা করছি কিন্তু এটি কোনও কিছু করা এত কঠিন করে তোলে। সমস্ত সামাজিক অনুষ্ঠানে, আমি কাঁপতে শুরু করি এবং আমার অঙ্গ-প্রত্যঙ্গ দুর্বল বোধ করি। যখন লোকেরা আমাকে কিছু দেয় তখন আমি ঘৃণা করি কারণ আমার বাহুগুলি সমস্ত কাঁপতে থাকে, এমনকি আমার কণ্"&amp;"ঠস্বরও। এই আতঙ্কের সময় আমার কণ্ঠস্বর ক্ষীণ হয়ে যায়। লোকেরা যখন আমার দিকে তাকায় তখন তারা এত উদ্বিগ্ন দেখায়, কিন্তু তারা এত সুন্দর যে তারা কিছুই বলতে পারে না। প্রায় এক বছর কাজ না করার পর আমি সম্প্রতি একটি চাকরি পেয়েছি। আমার শেষ কাজ ছিল আমার এত তীব্র "&amp;"প্যানিক অ্যাটাক হয়েছিল যে মনে হয়েছিল আমার হার্ট অ্যাটাক হচ্ছে আমি কথা বলতে বা নড়াচড়া করতে পারছি না। একবার ব্যস্ত সময়ে আমি রান্নাঘরের পিছনে দৌড়ে গিয়েছিলাম যখন একটি দীর্ঘ লাইন ছিল। আমার সহকর্মীদের জন্য আমার খুব খারাপ লাগছিল। তারা এই ধরণের উদ্বেগ বুঝত"&amp;"ে পারেনি এবং আমি সম্ভবত তাদের দোষ দিচ্ছি না। আমার বর্তমান চাকরির বেশিরভাগ সময় আমি নিজেকে ধরে রাখি, কিন্তু লক্ষণগুলি বুঝতে পারি। আমার সবসময় একটা ভয়ের অনুভূতি আমার উপর চেপে থাকে। এই উদ্বেগ আমাকে অস্থির করে তোলে, কাঁপুনি, হাতে শ্বাস নেওয়া, এবং স্ট্রোকের মতো "&amp;"কথা বলা। যখন আমি নার্ভাস থাকি তখন আমি নিজেকে শ্বাস ধরে রাখতে পারি এবং কেন আমি এটা করি তা বুঝতে পারি না, কিন্তু এটা অনেকবারই ঘটে। যখন আমি নিজেকে এটা করতে দেখি, তখন আমার মাথা কাঁপতে থাকে; হৃদস্পন্দন দ্রুত বেড়ায়, এবং আমি আমার কেন্দ্র থেকে অনেক দূরে থাকি। আমি"&amp;" খুচরা দোকানে কাজ করি এবং যখন উদ্বেগ এতটা তীব্র হয়ে ওঠে তখন মনে হয় আমার হাত কাজ করছে না। আমি লোকেদের ফোন করার চেষ্টা করব, কিন্তু আমার হাতে তাদের পণ্য তোলা/ধরে নেওয়ার মতো শক্তি নেই? এবং তারা মোটেও ভারী নয়। আমার ডাক্তার আমাকে হৃদস্পন্দনের জন্য প্রোপ্রানো"&amp;"ল লিখে দিয়েছিলেন, কিন্তু আমি এর উপর নির্ভর না করার চেষ্টা করি। স্ট্রোকের মতো বক্তৃতা এবং কম্পনের জন্য আমার এমআরআই করা হয়েছে, কিন্তু সবকিছু ঠিকঠাক ছিল। 2 সেমিস্টার আগে আমি একটি ক্লাস অ্যাসাইনমেন্টের জন্য একটি বক্তৃতা প্রস্তুত করেছিলাম। আমি আক্ষরিক অর্থেই"&amp;" হিমায়িত হয়ে গিয়েছিলাম এবং সবার সামনে কাঁপতে শুরু করেছিলাম। এটা ভেবে আমি কাঁদতে চাই। তাছাড়া, আমি নিজের ক্ষতি করা ছেড়ে দিই, কিন্তু মাঝে মাঝে উদ্বেগ এতটাই তীব্র হয় যে আমি শুধু ভাবি। যখন আমি জনসমক্ষে থাকি তখন আমি আমার সানগ্লাস এবং হেডফোন পরেই নিরাপদ বোধ "&amp;"করি যাতে আমি স্বাচ্ছন্দ্যে আমার গন্তব্যে পৌঁছাতে পারি। মাঝে মাঝে জনসমক্ষে আমি কীভাবে হাঁটতে হয় তা ভুলে যাই কারণ আমি খুব আত্মসচেতন। কেউ কি এই তীব্র আতঙ্কের মধ্য দিয়ে যাচ্ছে? মনে হচ্ছে আমি চিন্তিত যে আমি খারাপ করছি। আমি নিজের সম্পর্কে এতটাই সচেতন যে এটি অ"&amp;"স্বাস্থ্যকর। এটি আমার জীবনকে নষ্ট করে দিচ্ছে এবং নিজেকে বিচ্ছিন্ন করতে চাইছে। এটি পড়ার জন্য সময় দেওয়ার জন্য আপনাকে ধন্যবাদ।")</f>
        <v>অন্য কারো উদ্বেগ কি কেবল উদ্বেগের চেয়েও তীব্র? আমি সেই দিনগুলিকে মিস করি যখন কোনও বক্তৃতা দেওয়ার আগে বা আমার পছন্দের কোনও লোকের সাথে কথা বলার আগে উদ্বেগের অর্থ আমার পেটে প্রজাপতি ছিল। গত ৩ বছর ধরে, আমি যেকোনো কিছু নিয়েই আতঙ্কিত হয়ে পড়ি। আমি ধীরে ধীরে এটিকে আঁকড়ে ধরার চেষ্টা করছি কিন্তু এটি কোনও কিছু করা এত কঠিন করে তোলে। সমস্ত সামাজিক অনুষ্ঠানে, আমি কাঁপতে শুরু করি এবং আমার অঙ্গ-প্রত্যঙ্গ দুর্বল বোধ করি। যখন লোকেরা আমাকে কিছু দেয় তখন আমি ঘৃণা করি কারণ আমার বাহুগুলি সমস্ত কাঁপতে থাকে, এমনকি আমার কণ্ঠস্বরও। এই আতঙ্কের সময় আমার কণ্ঠস্বর ক্ষীণ হয়ে যায়। লোকেরা যখন আমার দিকে তাকায় তখন তারা এত উদ্বিগ্ন দেখায়, কিন্তু তারা এত সুন্দর যে তারা কিছুই বলতে পারে না। প্রায় এক বছর কাজ না করার পর আমি সম্প্রতি একটি চাকরি পেয়েছি। আমার শেষ কাজ ছিল আমার এত তীব্র প্যানিক অ্যাটাক হয়েছিল যে মনে হয়েছিল আমার হার্ট অ্যাটাক হচ্ছে আমি কথা বলতে বা নড়াচড়া করতে পারছি না। একবার ব্যস্ত সময়ে আমি রান্নাঘরের পিছনে দৌড়ে গিয়েছিলাম যখন একটি দীর্ঘ লাইন ছিল। আমার সহকর্মীদের জন্য আমার খুব খারাপ লাগছিল। তারা এই ধরণের উদ্বেগ বুঝতে পারেনি এবং আমি সম্ভবত তাদের দোষ দিচ্ছি না। আমার বর্তমান চাকরির বেশিরভাগ সময় আমি নিজেকে ধরে রাখি, কিন্তু লক্ষণগুলি বুঝতে পারি। আমার সবসময় একটা ভয়ের অনুভূতি আমার উপর চেপে থাকে। এই উদ্বেগ আমাকে অস্থির করে তোলে, কাঁপুনি, হাতে শ্বাস নেওয়া, এবং স্ট্রোকের মতো কথা বলা। যখন আমি নার্ভাস থাকি তখন আমি নিজেকে শ্বাস ধরে রাখতে পারি এবং কেন আমি এটা করি তা বুঝতে পারি না, কিন্তু এটা অনেকবারই ঘটে। যখন আমি নিজেকে এটা করতে দেখি, তখন আমার মাথা কাঁপতে থাকে; হৃদস্পন্দন দ্রুত বেড়ায়, এবং আমি আমার কেন্দ্র থেকে অনেক দূরে থাকি। আমি খুচরা দোকানে কাজ করি এবং যখন উদ্বেগ এতটা তীব্র হয়ে ওঠে তখন মনে হয় আমার হাত কাজ করছে না। আমি লোকেদের ফোন করার চেষ্টা করব, কিন্তু আমার হাতে তাদের পণ্য তোলা/ধরে নেওয়ার মতো শক্তি নেই? এবং তারা মোটেও ভারী নয়। আমার ডাক্তার আমাকে হৃদস্পন্দনের জন্য প্রোপ্রানোল লিখে দিয়েছিলেন, কিন্তু আমি এর উপর নির্ভর না করার চেষ্টা করি। স্ট্রোকের মতো বক্তৃতা এবং কম্পনের জন্য আমার এমআরআই করা হয়েছে, কিন্তু সবকিছু ঠিকঠাক ছিল। 2 সেমিস্টার আগে আমি একটি ক্লাস অ্যাসাইনমেন্টের জন্য একটি বক্তৃতা প্রস্তুত করেছিলাম। আমি আক্ষরিক অর্থেই হিমায়িত হয়ে গিয়েছিলাম এবং সবার সামনে কাঁপতে শুরু করেছিলাম। এটা ভেবে আমি কাঁদতে চাই। তাছাড়া, আমি নিজের ক্ষতি করা ছেড়ে দিই, কিন্তু মাঝে মাঝে উদ্বেগ এতটাই তীব্র হয় যে আমি শুধু ভাবি। যখন আমি জনসমক্ষে থাকি তখন আমি আমার সানগ্লাস এবং হেডফোন পরেই নিরাপদ বোধ করি যাতে আমি স্বাচ্ছন্দ্যে আমার গন্তব্যে পৌঁছাতে পারি। মাঝে মাঝে জনসমক্ষে আমি কীভাবে হাঁটতে হয় তা ভুলে যাই কারণ আমি খুব আত্মসচেতন। কেউ কি এই তীব্র আতঙ্কের মধ্য দিয়ে যাচ্ছে? মনে হচ্ছে আমি চিন্তিত যে আমি খারাপ করছি। আমি নিজের সম্পর্কে এতটাই সচেতন যে এটি অস্বাস্থ্যকর। এটি আমার জীবনকে নষ্ট করে দিচ্ছে এবং নিজেকে বিচ্ছিন্ন করতে চাইছে। এটি পড়ার জন্য সময় দেওয়ার জন্য আপনাকে ধন্যবাদ।</v>
      </c>
    </row>
    <row r="2861" spans="1:3" ht="15" x14ac:dyDescent="0.25">
      <c r="A2861" s="3" t="s">
        <v>2854</v>
      </c>
      <c r="B2861" s="3" t="s">
        <v>1992</v>
      </c>
      <c r="C2861" s="4" t="str">
        <f ca="1">IFERROR(__xludf.DUMMYFUNCTION("GOOGLETRANSLATE(A2861, ""auto"", ""bn"")"),"মৃত্যু নিয়ে আমার একটা বড় ধরনের দুশ্চিন্তা হচ্ছে। আমি বছরের পর বছর ধরে দুশ্চিন্তায় ভুগছি, কিন্তু সম্প্রতি, এটা আরও খারাপ হয়ে গেছে। তাছাড়া, আমার বয়স ২১, আমার মৃত্যু নিয়ে চিন্তিত হওয়া উচিত নয়। কিন্তু এটা আমার মনকে দখল করে নিচ্ছে। আমি শুধু আমার ঘরের "&amp;"চারপাশে ঘুরে বেড়ানো এবং কাঁদতে কাঁদতে পারি। আজ আমার বেশ কয়েকবার প্যানিক অ্যাটাক হয়েছে। আমি একজন থেরাপিস্টের সাথে অ্যাপয়েন্টমেন্ট করেছি, কিন্তু এর মধ্যে কীভাবে মোকাবেলা করব সে সম্পর্কে আমি টিপস খুঁজছি। আপনি যদি এই অনুভূতির সাথে কীভাবে মোকাবিলা করেন, যদ"&amp;"ি করেন? কোন সাধারণ পরামর্শ? আমি সম্প্রতি আমার জীবনে কিছু মানুষকে হারিয়েছি, এবং আমি মনে করি এর সাথে এর কিছু সম্পর্ক থাকতে পারে। আমার দাদী সম্প্রতি মারা গেছেন, এবং আমার কিছু বন্ধু আমার থেকে আলাদা হয়ে গেছে। আমি খুব একা এবং হারিয়ে যাওয়া বোধ করছি, এবং আমি "&amp;"আগে কখনও মৃত্যুর কথা ভাবিনি। আমি কেবল এই ভয় থেকে শান্তি চাই।")</f>
        <v>মৃত্যু নিয়ে আমার একটা বড় ধরনের দুশ্চিন্তা হচ্ছে। আমি বছরের পর বছর ধরে দুশ্চিন্তায় ভুগছি, কিন্তু সম্প্রতি, এটা আরও খারাপ হয়ে গেছে। তাছাড়া, আমার বয়স ২১, আমার মৃত্যু নিয়ে চিন্তিত হওয়া উচিত নয়। কিন্তু এটা আমার মনকে দখল করে নিচ্ছে। আমি শুধু আমার ঘরের চারপাশে ঘুরে বেড়ানো এবং কাঁদতে কাঁদতে পারি। আজ আমার বেশ কয়েকবার প্যানিক অ্যাটাক হয়েছে। আমি একজন থেরাপিস্টের সাথে অ্যাপয়েন্টমেন্ট করেছি, কিন্তু এর মধ্যে কীভাবে মোকাবেলা করব সে সম্পর্কে আমি টিপস খুঁজছি। আপনি যদি এই অনুভূতির সাথে কীভাবে মোকাবিলা করেন, যদি করেন? কোন সাধারণ পরামর্শ? আমি সম্প্রতি আমার জীবনে কিছু মানুষকে হারিয়েছি, এবং আমি মনে করি এর সাথে এর কিছু সম্পর্ক থাকতে পারে। আমার দাদী সম্প্রতি মারা গেছেন, এবং আমার কিছু বন্ধু আমার থেকে আলাদা হয়ে গেছে। আমি খুব একা এবং হারিয়ে যাওয়া বোধ করছি, এবং আমি আগে কখনও মৃত্যুর কথা ভাবিনি। আমি কেবল এই ভয় থেকে শান্তি চাই।</v>
      </c>
    </row>
    <row r="2862" spans="1:3" ht="15" x14ac:dyDescent="0.25">
      <c r="A2862" s="3" t="s">
        <v>2855</v>
      </c>
      <c r="B2862" s="3" t="s">
        <v>1992</v>
      </c>
      <c r="C2862" s="4" t="str">
        <f ca="1">IFERROR(__xludf.DUMMYFUNCTION("GOOGLETRANSLATE(A2862, ""auto"", ""bn"")"),"কেউ কি কখনও টান অনুভব করেছেন? যখন থেকে আমার উদ্বেগজনিত ব্যাধিটি আনুষ্ঠানিকভাবে নির্ণয় করা হয়েছে, তখন থেকে আমি এমন অনেক লক্ষণ সম্পর্কে জানতে পেরেছি যা আমি কখনও জানতাম না। একটি যা বেশ কিছুদিন ধরে ঘটছে, তা হল মূলত আমার মুখ চেপে ধরা পড়ার মতো অনুভূতি। এটি ব"&amp;"্যথাজনক নয়, কেবল অস্বস্তিকর, সাধারণত এক ঘন্টা বা তারও বেশি সময় ধরে থাকে। অন্য কেউ কি এটি অনুভব করেছেন?")</f>
        <v>কেউ কি কখনও টান অনুভব করেছেন? যখন থেকে আমার উদ্বেগজনিত ব্যাধিটি আনুষ্ঠানিকভাবে নির্ণয় করা হয়েছে, তখন থেকে আমি এমন অনেক লক্ষণ সম্পর্কে জানতে পেরেছি যা আমি কখনও জানতাম না। একটি যা বেশ কিছুদিন ধরে ঘটছে, তা হল মূলত আমার মুখ চেপে ধরা পড়ার মতো অনুভূতি। এটি ব্যথাজনক নয়, কেবল অস্বস্তিকর, সাধারণত এক ঘন্টা বা তারও বেশি সময় ধরে থাকে। অন্য কেউ কি এটি অনুভব করেছেন?</v>
      </c>
    </row>
    <row r="2863" spans="1:3" ht="15" x14ac:dyDescent="0.25">
      <c r="A2863" s="3" t="s">
        <v>2856</v>
      </c>
      <c r="B2863" s="3" t="s">
        <v>1992</v>
      </c>
      <c r="C2863" s="4" t="str">
        <f ca="1">IFERROR(__xludf.DUMMYFUNCTION("GOOGLETRANSLATE(A2863, ""auto"", ""bn"")"),"আমার সৎ বোনের নতুন প্রেমিক এসেছে, আর আমি উদ্বেগ নিয়ে ঘুমাতে গেলাম এবং উদ্বেগ নিয়ে ঘুম থেকে উঠলাম। আমার বয়স ২০ বছর এবং আমার কখনও কোনও সম্পর্ক ছিল না। এক বছরের মধ্যে এটি তার দ্বিতীয় প্রেমিক। আমার পেট উদ্বেগে ভরা। সে একজন ব্যক্তি হিসেবে খুবই বহির্মুখী এব"&amp;"ং তার বন্ধুদের নেটওয়ার্ক রয়েছে ইত্যাদি। আমার কোনও বন্ধু নেই এবং আমি এক বছর ধরে আইসোলেশনে আছি। আমি টিন্ডার ব্যবহার করি, এটাই। তাছাড়া, আমি ভাবতে পারছি না যে আমি কখনও অন্য কারো সাথে সুখী হতে পারব। তাদের দেখে তারা আমার পরিবারের সাথে কীভাবে মিশে যায়। আমি ত"&amp;"াদের সাথে মিশেও যাই না। আমার খারাপ লাগে। তাছাড়া, আমি কল্পনাও করতে পারি না যে সম্পর্কে থাকা কেমন, কারো ভালোবাসা পেলে কেমন লাগে।")</f>
        <v>আমার সৎ বোনের নতুন প্রেমিক এসেছে, আর আমি উদ্বেগ নিয়ে ঘুমাতে গেলাম এবং উদ্বেগ নিয়ে ঘুম থেকে উঠলাম। আমার বয়স ২০ বছর এবং আমার কখনও কোনও সম্পর্ক ছিল না। এক বছরের মধ্যে এটি তার দ্বিতীয় প্রেমিক। আমার পেট উদ্বেগে ভরা। সে একজন ব্যক্তি হিসেবে খুবই বহির্মুখী এবং তার বন্ধুদের নেটওয়ার্ক রয়েছে ইত্যাদি। আমার কোনও বন্ধু নেই এবং আমি এক বছর ধরে আইসোলেশনে আছি। আমি টিন্ডার ব্যবহার করি, এটাই। তাছাড়া, আমি ভাবতে পারছি না যে আমি কখনও অন্য কারো সাথে সুখী হতে পারব। তাদের দেখে তারা আমার পরিবারের সাথে কীভাবে মিশে যায়। আমি তাদের সাথে মিশেও যাই না। আমার খারাপ লাগে। তাছাড়া, আমি কল্পনাও করতে পারি না যে সম্পর্কে থাকা কেমন, কারো ভালোবাসা পেলে কেমন লাগে।</v>
      </c>
    </row>
    <row r="2864" spans="1:3" ht="15" x14ac:dyDescent="0.25">
      <c r="A2864" s="3" t="s">
        <v>2857</v>
      </c>
      <c r="B2864" s="3" t="s">
        <v>1992</v>
      </c>
      <c r="C2864" s="4" t="str">
        <f ca="1">IFERROR(__xludf.DUMMYFUNCTION("GOOGLETRANSLATE(A2864, ""auto"", ""bn"")"),"ভয় পাচ্ছি আমার হয়তো সিজোফ্রেনিয়া হয়েছে ঘুমানোর চেষ্টা করছি কিন্তু চোখ বন্ধ করলেই আমার চিন্তাভাবনা ছুটে বেড়াচ্ছে। সারাদিনে ঘটে যাওয়া এলোমেলো ঘটনা যা আমি শুনেছি বা দেখেছি তা হঠাৎ করেই ভেসে ওঠে এবং এটা খুবই খারাপ। আমার ভয় হচ্ছে আমার সিজোফ্রেনিয়া হয়ে"&amp;"ছে নাকি অন্য কিছু সাহায্য করবে।")</f>
        <v>ভয় পাচ্ছি আমার হয়তো সিজোফ্রেনিয়া হয়েছে ঘুমানোর চেষ্টা করছি কিন্তু চোখ বন্ধ করলেই আমার চিন্তাভাবনা ছুটে বেড়াচ্ছে। সারাদিনে ঘটে যাওয়া এলোমেলো ঘটনা যা আমি শুনেছি বা দেখেছি তা হঠাৎ করেই ভেসে ওঠে এবং এটা খুবই খারাপ। আমার ভয় হচ্ছে আমার সিজোফ্রেনিয়া হয়েছে নাকি অন্য কিছু সাহায্য করবে।</v>
      </c>
    </row>
    <row r="2865" spans="1:3" ht="15" x14ac:dyDescent="0.25">
      <c r="A2865" s="3" t="s">
        <v>2858</v>
      </c>
      <c r="B2865" s="3" t="s">
        <v>1992</v>
      </c>
      <c r="C2865" s="4" t="str">
        <f ca="1">IFERROR(__xludf.DUMMYFUNCTION("GOOGLETRANSLATE(A2865, ""auto"", ""bn"")"),"মানুষ যখন শুধু টেক্সট করতে পারে তখন কেন ফোন করে? আমি সব ফোন কলকে জরুরি অবস্থা এবং জরুরি পরিস্থিতির সাথে যুক্ত করি। এছাড়াও, যারা অতীতে আমাকে ফোন করার জন্য জোর দিয়েছিলেন তারা আসলে লিখিত বার্তা পাঠানোর পরিবর্তে ফোন করেছেন কারণ তারা জানেন যে আমার সাথে কথা ব"&amp;"ললে আমাকে কারসাজি করা সহজ। যদি তারা লিখিত বার্তা পাঠান, তাহলে আমার কাছে সুচিন্তিত উত্তর লেখার সময় থাকে এবং তারা অযথা ধরা পড়ে না। কিছু লোক আমাকে ফোন করেছেন কারণ লেখা আমার শক্তি, কিন্তু এটি তাদের নয়। তারা আমাকে কারসাজি করার সময় আমাকে ফোন করে বাগদানের শর"&amp;"্তাবলী বেছে নেন। অবশ্যই, যদি আমি জানি যে এটিই তাদের কল করার আসল উদ্দেশ্য! এটা আমাকে বিরক্ত করে যে বন্ধুরা জানে যে আমি আমার উদ্বেগ এবং ঘন ঘন, কারসাজিপূর্ণ কলকারীদের সাথে পূর্বের অভিজ্ঞতার কারণে কলের উত্তর দিতে ঘৃণা করি। আমার বছরের পর বছর ধরে একই নম্বর ছিল "&amp;"এবং তারাও প্রচুর স্ক্যাম কল পায়। কেন আমার বন্ধুরা এখনও অ-জরুরি কারণে আমাকে ফোন করে? যেমন জিজ্ঞাসা করা হয় যে আমি কখন কোথাও পৌঁছাব? এটি সহজেই টেক্সট বা ফেসবুক মেসেঞ্জারের মাধ্যমে করা যায়। কারো দেরি হয়ে গেলে ফোন করার কোনও যুক্তি নেই, কারণ যখন আপনার প্রয়োজ"&amp;"ন নেই তখন তাদের সাথে কথা বলে সময় নষ্ট করা তাদের আরও দেরি করে। টেক্সট/মেসেজিং সময় বাঁচায় এবং উদ্বেগ কম করে। কর্মক্ষেত্র এবং পরিবার থেকে ফোন আসা যা আমি মোকাবেলা করতে পারি। কিন্তু অকারণে বন্ধুদের কাছ থেকে ঘন ঘন ফোন আসা সত্যিই আমাকে বিরক্ত করে। আমি যখনই আমার"&amp;" ফোন বাজতে দেখি/অনুভূতি পাই তখনই আমি উদ্বিগ্ন হয়ে পড়ি (অবশ্যই আমি এটি ভাইব্রেট করে রাখি)। অন্য কারো কি এইরকম অনুভূতি হয় বা একই রকম অভিজ্ঞতা আছে?")</f>
        <v>মানুষ যখন শুধু টেক্সট করতে পারে তখন কেন ফোন করে? আমি সব ফোন কলকে জরুরি অবস্থা এবং জরুরি পরিস্থিতির সাথে যুক্ত করি। এছাড়াও, যারা অতীতে আমাকে ফোন করার জন্য জোর দিয়েছিলেন তারা আসলে লিখিত বার্তা পাঠানোর পরিবর্তে ফোন করেছেন কারণ তারা জানেন যে আমার সাথে কথা বললে আমাকে কারসাজি করা সহজ। যদি তারা লিখিত বার্তা পাঠান, তাহলে আমার কাছে সুচিন্তিত উত্তর লেখার সময় থাকে এবং তারা অযথা ধরা পড়ে না। কিছু লোক আমাকে ফোন করেছেন কারণ লেখা আমার শক্তি, কিন্তু এটি তাদের নয়। তারা আমাকে কারসাজি করার সময় আমাকে ফোন করে বাগদানের শর্তাবলী বেছে নেন। অবশ্যই, যদি আমি জানি যে এটিই তাদের কল করার আসল উদ্দেশ্য! এটা আমাকে বিরক্ত করে যে বন্ধুরা জানে যে আমি আমার উদ্বেগ এবং ঘন ঘন, কারসাজিপূর্ণ কলকারীদের সাথে পূর্বের অভিজ্ঞতার কারণে কলের উত্তর দিতে ঘৃণা করি। আমার বছরের পর বছর ধরে একই নম্বর ছিল এবং তারাও প্রচুর স্ক্যাম কল পায়। কেন আমার বন্ধুরা এখনও অ-জরুরি কারণে আমাকে ফোন করে? যেমন জিজ্ঞাসা করা হয় যে আমি কখন কোথাও পৌঁছাব? এটি সহজেই টেক্সট বা ফেসবুক মেসেঞ্জারের মাধ্যমে করা যায়। কারো দেরি হয়ে গেলে ফোন করার কোনও যুক্তি নেই, কারণ যখন আপনার প্রয়োজন নেই তখন তাদের সাথে কথা বলে সময় নষ্ট করা তাদের আরও দেরি করে। টেক্সট/মেসেজিং সময় বাঁচায় এবং উদ্বেগ কম করে। কর্মক্ষেত্র এবং পরিবার থেকে ফোন আসা যা আমি মোকাবেলা করতে পারি। কিন্তু অকারণে বন্ধুদের কাছ থেকে ঘন ঘন ফোন আসা সত্যিই আমাকে বিরক্ত করে। আমি যখনই আমার ফোন বাজতে দেখি/অনুভূতি পাই তখনই আমি উদ্বিগ্ন হয়ে পড়ি (অবশ্যই আমি এটি ভাইব্রেট করে রাখি)। অন্য কারো কি এইরকম অনুভূতি হয় বা একই রকম অভিজ্ঞতা আছে?</v>
      </c>
    </row>
    <row r="2866" spans="1:3" ht="15" x14ac:dyDescent="0.25">
      <c r="A2866" s="3" t="s">
        <v>2859</v>
      </c>
      <c r="B2866" s="3" t="s">
        <v>1992</v>
      </c>
      <c r="C2866" s="4" t="str">
        <f ca="1">IFERROR(__xludf.DUMMYFUNCTION("GOOGLETRANSLATE(A2866, ""auto"", ""bn"")"),"তোমাদের কিসে খুশি হয় বা কেন্দ্রীভূত হয়? আমি পর্যালোচনা করেছি কিসে আমাকে খুশি করে এবং একমাত্র জিনিস যা আমার সবসময় পাওয়া যায় তা হল মদ। আমার আগ্রহ আছে, কিন্তু আমি কেবল বিক্ষেপের সাথে খুশি নই। তোমরা কী করো যা তোমাকে খুশি রাখে বা তোমাকে শান্তি দেয়?")</f>
        <v>তোমাদের কিসে খুশি হয় বা কেন্দ্রীভূত হয়? আমি পর্যালোচনা করেছি কিসে আমাকে খুশি করে এবং একমাত্র জিনিস যা আমার সবসময় পাওয়া যায় তা হল মদ। আমার আগ্রহ আছে, কিন্তু আমি কেবল বিক্ষেপের সাথে খুশি নই। তোমরা কী করো যা তোমাকে খুশি রাখে বা তোমাকে শান্তি দেয়?</v>
      </c>
    </row>
    <row r="2867" spans="1:3" ht="15" x14ac:dyDescent="0.25">
      <c r="A2867" s="3" t="s">
        <v>2860</v>
      </c>
      <c r="B2867" s="3" t="s">
        <v>1992</v>
      </c>
      <c r="C2867" s="4" t="str">
        <f ca="1">IFERROR(__xludf.DUMMYFUNCTION("GOOGLETRANSLATE(A2867, ""auto"", ""bn"")"),"আমি আবার আতঙ্কিত বোধ করছি। প্রায় দুই বছর ধরে আমি একটানা আতঙ্কিত ছিলাম। আমার মনে হয়েছে এটা বেঞ্জের ওষুধের প্রত্যাহার, যা আমি শান্ত রাখার জন্য ব্যবহার করছিলাম। অনেকক্ষণ ব্যবহার না করার পর হঠাৎ খারাপ অনুভূতিগুলো বেরিয়ে আসে। আমি যখন কাজে ছিলাম তখন সেই অনুভূত"&amp;"িগুলো আবার ফিরে এসেছিল। আমি জরুরি বিভাগে ছিলাম, কী একটা ঝামেলা। আমার মনে হচ্ছিল আমি মারা যাচ্ছি। এটা ছিল শুধু আতঙ্ক। আমি সারা রাত কাঁদছি। আমি জানি না কী করব। তাছাড়া, আমি এর জন্য অনেক বৃদ্ধ। তাছাড়া, আমার বয়স ৩০ এর কোঠায়। তাছাড়া, আমি এইরকম অনুভব করতে চ"&amp;"াই না। তোমাকে কী সাহায্য করেছে?")</f>
        <v>আমি আবার আতঙ্কিত বোধ করছি। প্রায় দুই বছর ধরে আমি একটানা আতঙ্কিত ছিলাম। আমার মনে হয়েছে এটা বেঞ্জের ওষুধের প্রত্যাহার, যা আমি শান্ত রাখার জন্য ব্যবহার করছিলাম। অনেকক্ষণ ব্যবহার না করার পর হঠাৎ খারাপ অনুভূতিগুলো বেরিয়ে আসে। আমি যখন কাজে ছিলাম তখন সেই অনুভূতিগুলো আবার ফিরে এসেছিল। আমি জরুরি বিভাগে ছিলাম, কী একটা ঝামেলা। আমার মনে হচ্ছিল আমি মারা যাচ্ছি। এটা ছিল শুধু আতঙ্ক। আমি সারা রাত কাঁদছি। আমি জানি না কী করব। তাছাড়া, আমি এর জন্য অনেক বৃদ্ধ। তাছাড়া, আমার বয়স ৩০ এর কোঠায়। তাছাড়া, আমি এইরকম অনুভব করতে চাই না। তোমাকে কী সাহায্য করেছে?</v>
      </c>
    </row>
    <row r="2868" spans="1:3" ht="15" x14ac:dyDescent="0.25">
      <c r="A2868" s="3" t="s">
        <v>2861</v>
      </c>
      <c r="B2868" s="3" t="s">
        <v>1992</v>
      </c>
      <c r="C2868" s="4" t="str">
        <f ca="1">IFERROR(__xludf.DUMMYFUNCTION("GOOGLETRANSLATE(A2868, ""auto"", ""bn"")"),"আমি যে সমস্যার মুখোমুখি হচ্ছি তার কি কোনও নাম আছে? কিছু পরামর্শের প্রয়োজন। সবাইকে হ্যালো। এখানে আমার প্রথম পোস্ট। আমি নিশ্চিত নই যে আমার প্রশ্নটি Subreddit-এর সাথে খাপ খায় কিনা, তবে জিজ্ঞাসা করতে কোনও ক্ষতি নেই। কোনওভাবেই আমি কোনও ধরণের রোগ নির্ণয়ের জন"&amp;"্য জিজ্ঞাসা করছি না। আমি কেবল এমন কিছু সম্পর্কে আপনার মতামত শুনতে চাই যা আমি দীর্ঘদিন ধরে মোকাবেলা করছি। আসলে, অনেক বছর ধরে। আমি যখন হাই স্কুলে ছিলাম (প্রায় 6 বছর আগে) তখন আমি এলোমেলো উদ্বেগের আক্রমণের সাথে মোকাবিলা করতে শুরু করেছিলাম যার ফলে আমি কয়েকদি"&amp;"ন ধরে একটি চাপপূর্ণ চিন্তাভাবনা নিয়েই বসে থাকতাম এমনকি এমনকি আমার প্যানিক অ্যাটাকও হয়েছিল। এর ফলে হাই স্কুলের শেষ বছরে আমি একজন থেরাপিস্টের কাছে গিয়েছিলাম। থেরাপিস্ট নিশ্চিত করেছিলেন যে আমার কোনও ধরণের উদ্বেগ ছিল, সম্ভবত একটি উদ্বেগজনিত ব্যাধি, কিন্তু "&amp;"তিনি কখনই এটি সম্পর্কে খুব স্পষ্ট ছিলেন না। আমি কয়েকবার গিয়েছিলাম এবং তারপর থামিয়েছিলাম কারণ আমি তাকে মাঝারি বলে মনে করেছি। গত 3 বছর বা তারও বেশি সময় ধরে, আমি প্যানিক অ্যাটাক মোকাবেলা করি না, তবে আমি যে সমস্যাটি বর্ণনা করেছি তার একটি ভিন্ন রূপ রয়েছে।"&amp;" আমি মূলত প্রায় সারা দিন জিনিসগুলিকে অতিরিক্ত বিশ্লেষণ করি। বেশিরভাগ ক্ষেত্রেই, এগুলো এমন জিনিস যা ভাবতে আমার অস্বস্তি হতে পারে। এটা নিষিদ্ধ বা আপত্তিকর নয়। একটু অনুপযুক্ত। আর ব্যাপারটা হল, যদি আমি অতিরিক্ত বিশ্লেষণ এড়িয়ে চলি, তাহলে আমার চাপ অনুভব হতে"&amp;" শুরু করে। যেন আমি গুরুত্বপূর্ণ কিছু সম্পন্ন করিনি। যেন আমাকে এটা করতেই হবে, নাহলে আমার দিনটা ভালো যাবে না। এটা অবশ্যই প্রচণ্ড চাপ নয়, তবে এটা বিরক্তিকর। এর কারণ কী হতে পারে তার কোন ধারণা আছে কি? এর কোন নাম আছে কি? এটা কি নির্দিষ্ট কিছু? এর মধ্যে আমি একজ"&amp;"ন থেরাপিস্টের কাছে যেতে পারছি না, তাই আমার মনে হয় আমার কী হতে পারে তার একটি স্পষ্ট ধারণা থাকলেই আমার অনুভূতি কিছুটা ভালো হবে। আগাম ধন্যবাদ।")</f>
        <v>আমি যে সমস্যার মুখোমুখি হচ্ছি তার কি কোনও নাম আছে? কিছু পরামর্শের প্রয়োজন। সবাইকে হ্যালো। এখানে আমার প্রথম পোস্ট। আমি নিশ্চিত নই যে আমার প্রশ্নটি Subreddit-এর সাথে খাপ খায় কিনা, তবে জিজ্ঞাসা করতে কোনও ক্ষতি নেই। কোনওভাবেই আমি কোনও ধরণের রোগ নির্ণয়ের জন্য জিজ্ঞাসা করছি না। আমি কেবল এমন কিছু সম্পর্কে আপনার মতামত শুনতে চাই যা আমি দীর্ঘদিন ধরে মোকাবেলা করছি। আসলে, অনেক বছর ধরে। আমি যখন হাই স্কুলে ছিলাম (প্রায় 6 বছর আগে) তখন আমি এলোমেলো উদ্বেগের আক্রমণের সাথে মোকাবিলা করতে শুরু করেছিলাম যার ফলে আমি কয়েকদিন ধরে একটি চাপপূর্ণ চিন্তাভাবনা নিয়েই বসে থাকতাম এমনকি এমনকি আমার প্যানিক অ্যাটাকও হয়েছিল। এর ফলে হাই স্কুলের শেষ বছরে আমি একজন থেরাপিস্টের কাছে গিয়েছিলাম। থেরাপিস্ট নিশ্চিত করেছিলেন যে আমার কোনও ধরণের উদ্বেগ ছিল, সম্ভবত একটি উদ্বেগজনিত ব্যাধি, কিন্তু তিনি কখনই এটি সম্পর্কে খুব স্পষ্ট ছিলেন না। আমি কয়েকবার গিয়েছিলাম এবং তারপর থামিয়েছিলাম কারণ আমি তাকে মাঝারি বলে মনে করেছি। গত 3 বছর বা তারও বেশি সময় ধরে, আমি প্যানিক অ্যাটাক মোকাবেলা করি না, তবে আমি যে সমস্যাটি বর্ণনা করেছি তার একটি ভিন্ন রূপ রয়েছে। আমি মূলত প্রায় সারা দিন জিনিসগুলিকে অতিরিক্ত বিশ্লেষণ করি। বেশিরভাগ ক্ষেত্রেই, এগুলো এমন জিনিস যা ভাবতে আমার অস্বস্তি হতে পারে। এটা নিষিদ্ধ বা আপত্তিকর নয়। একটু অনুপযুক্ত। আর ব্যাপারটা হল, যদি আমি অতিরিক্ত বিশ্লেষণ এড়িয়ে চলি, তাহলে আমার চাপ অনুভব হতে শুরু করে। যেন আমি গুরুত্বপূর্ণ কিছু সম্পন্ন করিনি। যেন আমাকে এটা করতেই হবে, নাহলে আমার দিনটা ভালো যাবে না। এটা অবশ্যই প্রচণ্ড চাপ নয়, তবে এটা বিরক্তিকর। এর কারণ কী হতে পারে তার কোন ধারণা আছে কি? এর কোন নাম আছে কি? এটা কি নির্দিষ্ট কিছু? এর মধ্যে আমি একজন থেরাপিস্টের কাছে যেতে পারছি না, তাই আমার মনে হয় আমার কী হতে পারে তার একটি স্পষ্ট ধারণা থাকলেই আমার অনুভূতি কিছুটা ভালো হবে। আগাম ধন্যবাদ।</v>
      </c>
    </row>
    <row r="2869" spans="1:3" ht="15" x14ac:dyDescent="0.25">
      <c r="A2869" s="3" t="s">
        <v>2862</v>
      </c>
      <c r="B2869" s="3" t="s">
        <v>1992</v>
      </c>
      <c r="C2869" s="4" t="str">
        <f ca="1">IFERROR(__xludf.DUMMYFUNCTION("GOOGLETRANSLATE(A2869, ""auto"", ""bn"")"),"। আমার শুধু মুখ খুলে বলতে হবে। উদ্বেগ আমার জীবন ধ্বংস করে দিয়েছে। ৭ বছর পর আমি এটাকে জয় করেছি। আর এখন ৫ বছর পর আবার প্রতিশোধের আগুন জ্বলছে। আজ রাতে আমি প্রায় আত্মহত্যা করতে বসেছিলাম। কিন্তু বুঝতে পারছি যে আমি উদ্বেগের উপর এতটাই রেগে আছি যে আমি হাল ছেড়ে"&amp;" দেওয়ার চেয়ে এটাকে ধ্বংস করতে চাই। ভেতরে ভেতরে আমি খুব দুঃখিত। ব্যথাটা গভীর। কিন্তু আমি এই ক্ষুদে দানবের কাছে হার মানতে রাজি নই, আমি উদ্বেগকে খুব ঘৃণা করি। আমি যদি এটাকে দূর করতে পারতাম। আমি অনেকবার বিপদের দ্বারপ্রান্তে পৌঁছেছি, কীভাবে এ থেকে বাঁচব?")</f>
        <v>। আমার শুধু মুখ খুলে বলতে হবে। উদ্বেগ আমার জীবন ধ্বংস করে দিয়েছে। ৭ বছর পর আমি এটাকে জয় করেছি। আর এখন ৫ বছর পর আবার প্রতিশোধের আগুন জ্বলছে। আজ রাতে আমি প্রায় আত্মহত্যা করতে বসেছিলাম। কিন্তু বুঝতে পারছি যে আমি উদ্বেগের উপর এতটাই রেগে আছি যে আমি হাল ছেড়ে দেওয়ার চেয়ে এটাকে ধ্বংস করতে চাই। ভেতরে ভেতরে আমি খুব দুঃখিত। ব্যথাটা গভীর। কিন্তু আমি এই ক্ষুদে দানবের কাছে হার মানতে রাজি নই, আমি উদ্বেগকে খুব ঘৃণা করি। আমি যদি এটাকে দূর করতে পারতাম। আমি অনেকবার বিপদের দ্বারপ্রান্তে পৌঁছেছি, কীভাবে এ থেকে বাঁচব?</v>
      </c>
    </row>
    <row r="2870" spans="1:3" ht="15" x14ac:dyDescent="0.25">
      <c r="A2870" s="3" t="s">
        <v>2863</v>
      </c>
      <c r="B2870" s="3" t="s">
        <v>1992</v>
      </c>
      <c r="C2870" s="4" t="str">
        <f ca="1">IFERROR(__xludf.DUMMYFUNCTION("GOOGLETRANSLATE(A2870, ""auto"", ""bn"")"),"নির্দিষ্ট শব্দ ফ্রিকোয়েন্সি দ্বারা উদ্বেগের কারণ? আমি একজন নতুন মনোবিজ্ঞানীর কাছে গিয়েছিলাম আমার ADHD লক্ষণগুলি কীভাবে কাজ করতে পারি সে সম্পর্কে কথা বলতে, এবং তিনি উল্লেখ করেছেন যে সামাজিক উদ্বেগ বা সাধারণভাবে উদ্বেগ কিছু লোকের মধ্যে লড়াই বা পালিয়ে যা"&amp;"ওয়ার প্রতিক্রিয়া সৃষ্টি করতে পারে। তিনি খুব বেশি কথা বলেননি কারণ আমাদের কাছে পর্যাপ্ত সময় ছিল না। তবুও, এটি আমার দৃষ্টি আকর্ষণ করেছিল। আগে কখনও এই বিষয়ে শুনিনি, তাই আমি বেশ কৌতূহলী। এই বিষয় সম্পর্কে আপনার কোন ধারণা আছে?")</f>
        <v>নির্দিষ্ট শব্দ ফ্রিকোয়েন্সি দ্বারা উদ্বেগের কারণ? আমি একজন নতুন মনোবিজ্ঞানীর কাছে গিয়েছিলাম আমার ADHD লক্ষণগুলি কীভাবে কাজ করতে পারি সে সম্পর্কে কথা বলতে, এবং তিনি উল্লেখ করেছেন যে সামাজিক উদ্বেগ বা সাধারণভাবে উদ্বেগ কিছু লোকের মধ্যে লড়াই বা পালিয়ে যাওয়ার প্রতিক্রিয়া সৃষ্টি করতে পারে। তিনি খুব বেশি কথা বলেননি কারণ আমাদের কাছে পর্যাপ্ত সময় ছিল না। তবুও, এটি আমার দৃষ্টি আকর্ষণ করেছিল। আগে কখনও এই বিষয়ে শুনিনি, তাই আমি বেশ কৌতূহলী। এই বিষয় সম্পর্কে আপনার কোন ধারণা আছে?</v>
      </c>
    </row>
    <row r="2871" spans="1:3" ht="15" x14ac:dyDescent="0.25">
      <c r="A2871" s="3" t="s">
        <v>2864</v>
      </c>
      <c r="B2871" s="3" t="s">
        <v>1992</v>
      </c>
      <c r="C2871" s="4" t="str">
        <f ca="1">IFERROR(__xludf.DUMMYFUNCTION("GOOGLETRANSLATE(A2871, ""auto"", ""bn"")"),"আবার খেলাধুলায় কীভাবে নামবো? হে বন্ধুরা, আশা করি কারো কাছে কিছু সহায়ক টিপস বা সহায়তা থাকবে। গত বছর আমি বেশ সক্রিয় ছিলাম, সপ্তাহে প্রায় ২-৩ বার ব্যায়াম করতাম। কাজের চাপের কারণে গত তিন মাস ধরে আমি স্বাস্থ্যগত উদ্বেগ এবং আতঙ্কের আক্রমণে ভুগছিলাম এবং তা"&amp;"রপর থেকে আমি ব্যায়াম করতে ভয় পাচ্ছি। আমি আমার রক্ত ​​এবং হৃদযন্ত্রের কার্যকারিতা পরীক্ষা করার জন্য বিভিন্ন ডাক্তারের কাছে গিয়েছিলাম এবং সবকিছু ঠিকঠাক বলে প্রমাণিত হয়েছে। যদিও আমি এখনও আবার ব্যায়াম করতে ভয় পাই। দৌড়ানো এবং আমার হৃদস্পন্দনের চিন্তা আম"&amp;"াকে ভয় পায়, আমি আবার আতঙ্কের আক্রমণে ভীত। শুধু খেলাধুলা করা ছাড়া আমার কি আর কিছু করার আছে? গত মাসগুলি থেকে আমি খুব দুর্বল বোধ করছি এবং আমি আবার সুস্থ হতে চাই।")</f>
        <v>আবার খেলাধুলায় কীভাবে নামবো? হে বন্ধুরা, আশা করি কারো কাছে কিছু সহায়ক টিপস বা সহায়তা থাকবে। গত বছর আমি বেশ সক্রিয় ছিলাম, সপ্তাহে প্রায় ২-৩ বার ব্যায়াম করতাম। কাজের চাপের কারণে গত তিন মাস ধরে আমি স্বাস্থ্যগত উদ্বেগ এবং আতঙ্কের আক্রমণে ভুগছিলাম এবং তারপর থেকে আমি ব্যায়াম করতে ভয় পাচ্ছি। আমি আমার রক্ত ​​এবং হৃদযন্ত্রের কার্যকারিতা পরীক্ষা করার জন্য বিভিন্ন ডাক্তারের কাছে গিয়েছিলাম এবং সবকিছু ঠিকঠাক বলে প্রমাণিত হয়েছে। যদিও আমি এখনও আবার ব্যায়াম করতে ভয় পাই। দৌড়ানো এবং আমার হৃদস্পন্দনের চিন্তা আমাকে ভয় পায়, আমি আবার আতঙ্কের আক্রমণে ভীত। শুধু খেলাধুলা করা ছাড়া আমার কি আর কিছু করার আছে? গত মাসগুলি থেকে আমি খুব দুর্বল বোধ করছি এবং আমি আবার সুস্থ হতে চাই।</v>
      </c>
    </row>
    <row r="2872" spans="1:3" ht="15" x14ac:dyDescent="0.25">
      <c r="A2872" s="3" t="s">
        <v>2865</v>
      </c>
      <c r="B2872" s="3" t="s">
        <v>1992</v>
      </c>
      <c r="C2872" s="4" t="str">
        <f ca="1">IFERROR(__xludf.DUMMYFUNCTION("GOOGLETRANSLATE(A2872, ""auto"", ""bn"")"),"ব্রাউজিং হিস্ট্রি নিয়ে দুশ্চিন্তা কিভাবে বন্ধ করবো? অশ্লীল হওয়ার চেষ্টা করছি না, কিন্তু আমি পর্ন বা অন্য কিছু দেখি না! ব্রাউজিং হিস্ট্রি থাকাটা আমাকে কেন দুশ্চিন্তাগ্রস্ত করে তোলে, মানে অতীতে যা ঘটেছে কিন্তু এখন?!")</f>
        <v>ব্রাউজিং হিস্ট্রি নিয়ে দুশ্চিন্তা কিভাবে বন্ধ করবো? অশ্লীল হওয়ার চেষ্টা করছি না, কিন্তু আমি পর্ন বা অন্য কিছু দেখি না! ব্রাউজিং হিস্ট্রি থাকাটা আমাকে কেন দুশ্চিন্তাগ্রস্ত করে তোলে, মানে অতীতে যা ঘটেছে কিন্তু এখন?!</v>
      </c>
    </row>
    <row r="2873" spans="1:3" ht="15" x14ac:dyDescent="0.25">
      <c r="A2873" s="3" t="s">
        <v>2866</v>
      </c>
      <c r="B2873" s="3" t="s">
        <v>1992</v>
      </c>
      <c r="C2873" s="4" t="str">
        <f ca="1">IFERROR(__xludf.DUMMYFUNCTION("GOOGLETRANSLATE(A2873, ""auto"", ""bn"")"),"আমি ঘুম থেকে উঠে দেখি আমার হৃদস্পন্দন দ্রুত হচ্ছে এবং শ্বাস-প্রশ্বাস তীব্র হচ্ছে। আগে কখনও এমনটা অনুভব করিনি। এখন আমার পুরোপুরি ভয় লাগছে। তাছাড়া, আমি স্বাভাবিক অবস্থায় ফিরে এসেছি, তবে এখনও কাঁপছি এবং আগে মনে হচ্ছিল আমার হৃদস্পন্দন হঠাৎ বন্ধ হয়ে যাবে। "&amp;"তাছাড়া, এর আগে কখনও আমার এমনটা হয়নি।")</f>
        <v>আমি ঘুম থেকে উঠে দেখি আমার হৃদস্পন্দন দ্রুত হচ্ছে এবং শ্বাস-প্রশ্বাস তীব্র হচ্ছে। আগে কখনও এমনটা অনুভব করিনি। এখন আমার পুরোপুরি ভয় লাগছে। তাছাড়া, আমি স্বাভাবিক অবস্থায় ফিরে এসেছি, তবে এখনও কাঁপছি এবং আগে মনে হচ্ছিল আমার হৃদস্পন্দন হঠাৎ বন্ধ হয়ে যাবে। তাছাড়া, এর আগে কখনও আমার এমনটা হয়নি।</v>
      </c>
    </row>
    <row r="2874" spans="1:3" ht="15" x14ac:dyDescent="0.25">
      <c r="A2874" s="3" t="s">
        <v>2867</v>
      </c>
      <c r="B2874" s="3" t="s">
        <v>1992</v>
      </c>
      <c r="C2874" s="4" t="str">
        <f ca="1">IFERROR(__xludf.DUMMYFUNCTION("GOOGLETRANSLATE(A2874, ""auto"", ""bn"")"),"এই সারারাতের ব্যস্ততা তোমার মনে দুশ্চিন্তা জাগিয়ে তোলে। ২৫ বছর ধরে চোখের জল আর আতঙ্কের সৃষ্টি করে। আমার সাথে আর কেউ আছে? বৃত্তাকার চিন্তা নিয়ে জেগে থাকো?")</f>
        <v>এই সারারাতের ব্যস্ততা তোমার মনে দুশ্চিন্তা জাগিয়ে তোলে। ২৫ বছর ধরে চোখের জল আর আতঙ্কের সৃষ্টি করে। আমার সাথে আর কেউ আছে? বৃত্তাকার চিন্তা নিয়ে জেগে থাকো?</v>
      </c>
    </row>
    <row r="2875" spans="1:3" ht="15" x14ac:dyDescent="0.25">
      <c r="A2875" s="3" t="s">
        <v>2868</v>
      </c>
      <c r="B2875" s="3" t="s">
        <v>1992</v>
      </c>
      <c r="C2875" s="4" t="str">
        <f ca="1">IFERROR(__xludf.DUMMYFUNCTION("GOOGLETRANSLATE(A2875, ""auto"", ""bn"")"),"আমি কি প্রতারক? আমার GAD এবং বিষণ্ণতা ধরা পড়েছে এবং আমাকে ওষুধ লিখে দেওয়া হয়েছে। যখন আমি বিষণ্ণ থাকি (সবসময় উদ্বিগ্ন থাকি কিন্তু মাঝে মাঝে বিষণ্ণ থাকি) তখন আমি বিছানায়/কম্বলের নিচে/টয়লেটে লুকিয়ে থাকতে চাই। কিন্তু আমার দুটি ছোট বাচ্চা আছে তাই প্রায়ই উঠ"&amp;"ে কিছু কাজ করতে হয়। আমি সবসময় বিষণ্ণতায় আক্রান্ত ব্যক্তিদের সম্পর্কে পড়ি যারা বিছানা থেকে উঠতে না পারার কারণে কাজে যেতে পারে না। এটা কি আসলে আমার অসুস্থতার সাথে সম্পর্কিত নয়, এবং আমি কেবল অলস হচ্ছি, কারণ আমি নিজেকে উঠতে বাধ্য করতে পারি, নাকি আমার কেবল হাল"&amp;"কা লক্ষণই আছে?")</f>
        <v>আমি কি প্রতারক? আমার GAD এবং বিষণ্ণতা ধরা পড়েছে এবং আমাকে ওষুধ লিখে দেওয়া হয়েছে। যখন আমি বিষণ্ণ থাকি (সবসময় উদ্বিগ্ন থাকি কিন্তু মাঝে মাঝে বিষণ্ণ থাকি) তখন আমি বিছানায়/কম্বলের নিচে/টয়লেটে লুকিয়ে থাকতে চাই। কিন্তু আমার দুটি ছোট বাচ্চা আছে তাই প্রায়ই উঠে কিছু কাজ করতে হয়। আমি সবসময় বিষণ্ণতায় আক্রান্ত ব্যক্তিদের সম্পর্কে পড়ি যারা বিছানা থেকে উঠতে না পারার কারণে কাজে যেতে পারে না। এটা কি আসলে আমার অসুস্থতার সাথে সম্পর্কিত নয়, এবং আমি কেবল অলস হচ্ছি, কারণ আমি নিজেকে উঠতে বাধ্য করতে পারি, নাকি আমার কেবল হালকা লক্ষণই আছে?</v>
      </c>
    </row>
    <row r="2876" spans="1:3" ht="15" x14ac:dyDescent="0.25">
      <c r="A2876" s="3" t="s">
        <v>2869</v>
      </c>
      <c r="B2876" s="3" t="s">
        <v>1992</v>
      </c>
      <c r="C2876" s="4" t="str">
        <f ca="1">IFERROR(__xludf.DUMMYFUNCTION("GOOGLETRANSLATE(A2876, ""auto"", ""bn"")"),"ঔষধের উদ্বেগ অন্য কারো কি ঔষধের উদ্বেগ হয়? গতকাল আমাকে সাইনাস সংক্রমণের জন্য ঔষধ দেওয়া হয়েছিল এবং আমি তা নিতে খুব নার্ভাস/ভয় পেয়েছিলাম। আমার ভিটামিনগুলিও আমি সম্প্রতি যেগুলি গ্রহণ করছিলাম সেগুলির ক্ষেত্রেও একই রকম, আমি সেগুলিও গ্রহণ করতে পারছি না। কে"&amp;"উ কি এই পরিস্থিতি থেকে মুক্তি পাওয়ার কোনও উপায় খুঁজে পেয়েছে? আমি জরুরি বিভাগে গিয়ে বসে ওষুধ খাওয়ার কথা ভাবছিলাম কিন্তু এটি কেবল অযৌক্তিক বলে মনে হচ্ছে, এবং আমার মনে হচ্ছে যে কেবলমাত্র জরুরি বিভাগে ওষুধ খাওয়ার জন্য গাড়ি চালিয়ে যাওয়ার জন্য আমাকে জি"&amp;"জ্ঞাসা করার জন্য সবাই আমাকে বিচার করবে।")</f>
        <v>ঔষধের উদ্বেগ অন্য কারো কি ঔষধের উদ্বেগ হয়? গতকাল আমাকে সাইনাস সংক্রমণের জন্য ঔষধ দেওয়া হয়েছিল এবং আমি তা নিতে খুব নার্ভাস/ভয় পেয়েছিলাম। আমার ভিটামিনগুলিও আমি সম্প্রতি যেগুলি গ্রহণ করছিলাম সেগুলির ক্ষেত্রেও একই রকম, আমি সেগুলিও গ্রহণ করতে পারছি না। কেউ কি এই পরিস্থিতি থেকে মুক্তি পাওয়ার কোনও উপায় খুঁজে পেয়েছে? আমি জরুরি বিভাগে গিয়ে বসে ওষুধ খাওয়ার কথা ভাবছিলাম কিন্তু এটি কেবল অযৌক্তিক বলে মনে হচ্ছে, এবং আমার মনে হচ্ছে যে কেবলমাত্র জরুরি বিভাগে ওষুধ খাওয়ার জন্য গাড়ি চালিয়ে যাওয়ার জন্য আমাকে জিজ্ঞাসা করার জন্য সবাই আমাকে বিচার করবে।</v>
      </c>
    </row>
    <row r="2877" spans="1:3" ht="15" x14ac:dyDescent="0.25">
      <c r="A2877" s="3" t="s">
        <v>2870</v>
      </c>
      <c r="B2877" s="3" t="s">
        <v>1992</v>
      </c>
      <c r="C2877" s="4" t="str">
        <f ca="1">IFERROR(__xludf.DUMMYFUNCTION("GOOGLETRANSLATE(A2877, ""auto"", ""bn"")"),"আমার মনে হয় আমার প্যানিক অ্যাটাক হয়েছে, আমি খুব বেশি নিশ্চিত নই ঠিক আছে, তাই যখন শেষ হয়েছিল তখন মনে হয়েছিল ১:৩০ মিনিট, আর মনে হচ্ছে ২০ মিনিট, ঠিক আছে কিনা। স্তব্ধভাবে ভারী শ্বাস, খুব বেশি কান্না নেই, আমার মুখ শুষ্ক এবং এখন আমার মাথা খারাপ। হয়তো আমি কাঁদছ"&amp;"িলাম, আমি আসলে জানি না, আমি এটাকে অতিরিক্ত শ্রেণীবদ্ধ করতে চাই না। অনেক ধন্যবাদ।")</f>
        <v>আমার মনে হয় আমার প্যানিক অ্যাটাক হয়েছে, আমি খুব বেশি নিশ্চিত নই ঠিক আছে, তাই যখন শেষ হয়েছিল তখন মনে হয়েছিল ১:৩০ মিনিট, আর মনে হচ্ছে ২০ মিনিট, ঠিক আছে কিনা। স্তব্ধভাবে ভারী শ্বাস, খুব বেশি কান্না নেই, আমার মুখ শুষ্ক এবং এখন আমার মাথা খারাপ। হয়তো আমি কাঁদছিলাম, আমি আসলে জানি না, আমি এটাকে অতিরিক্ত শ্রেণীবদ্ধ করতে চাই না। অনেক ধন্যবাদ।</v>
      </c>
    </row>
    <row r="2878" spans="1:3" ht="15" x14ac:dyDescent="0.25">
      <c r="A2878" s="3" t="s">
        <v>2871</v>
      </c>
      <c r="B2878" s="3" t="s">
        <v>1992</v>
      </c>
      <c r="C2878" s="4" t="str">
        <f ca="1">IFERROR(__xludf.DUMMYFUNCTION("GOOGLETRANSLATE(A2878, ""auto"", ""bn"")"),"আমি নিশ্চিত নই যে আমি চাকরি পাবো কিনা, তাই সপ্তাহান্তে অনেক লম্বা সময় কাটবে। বছরের দ্বিতীয় দিন একটা ফোন ইন্টারভিউ ছিল, যেটা কোনভাবে ভালোই কেটে গেল। আমি শুধু আমার জীবনবৃত্তান্ত জমা দেওয়ার চিন্তা করছিলাম, কিন্তু কোনও উত্তর আশা করছিলাম না। তারা আজ আমাকে স"&amp;"শরীরে চাকরির ইন্টারভিউতে আমন্ত্রণ জানালো। ইন্টারভিউ শেষে, একজন আমাকে একপাশে টেনে নিয়ে জিজ্ঞাসা করলো, আমি কখন শুরু করতে পারবো, বেতনের আশা, এবং এইচআরকে অফারটি দিতে হবে। কিন্তু সে ঠিক কথাগুলো বলেনি, তাই আমার মনে হচ্ছে আমি উদযাপন করতে পারছি না। আমার কিছু ছবি"&amp;" একটি ছোট অনলাইন ম্যাগাজিনেও প্রকাশিত হয়েছে, কিন্তু মনে হচ্ছে এটা এমন কিছু নয় যা নিয়ে আমার উত্তেজিত হওয়া উচিত, এবং আমি নিশ্চিত নই কেন। আর আমার থেরাপিস্ট ছাড়া এই সব, এর মানে কি আমার তার প্রয়োজন নেই তা নিশ্চিত নই। যেহেতু আমি তাকে যে বছর দেখেছি তার মধ্"&amp;"যে এটিই সবচেয়ে বেশি উৎপাদনশীল।")</f>
        <v>আমি নিশ্চিত নই যে আমি চাকরি পাবো কিনা, তাই সপ্তাহান্তে অনেক লম্বা সময় কাটবে। বছরের দ্বিতীয় দিন একটা ফোন ইন্টারভিউ ছিল, যেটা কোনভাবে ভালোই কেটে গেল। আমি শুধু আমার জীবনবৃত্তান্ত জমা দেওয়ার চিন্তা করছিলাম, কিন্তু কোনও উত্তর আশা করছিলাম না। তারা আজ আমাকে সশরীরে চাকরির ইন্টারভিউতে আমন্ত্রণ জানালো। ইন্টারভিউ শেষে, একজন আমাকে একপাশে টেনে নিয়ে জিজ্ঞাসা করলো, আমি কখন শুরু করতে পারবো, বেতনের আশা, এবং এইচআরকে অফারটি দিতে হবে। কিন্তু সে ঠিক কথাগুলো বলেনি, তাই আমার মনে হচ্ছে আমি উদযাপন করতে পারছি না। আমার কিছু ছবি একটি ছোট অনলাইন ম্যাগাজিনেও প্রকাশিত হয়েছে, কিন্তু মনে হচ্ছে এটা এমন কিছু নয় যা নিয়ে আমার উত্তেজিত হওয়া উচিত, এবং আমি নিশ্চিত নই কেন। আর আমার থেরাপিস্ট ছাড়া এই সব, এর মানে কি আমার তার প্রয়োজন নেই তা নিশ্চিত নই। যেহেতু আমি তাকে যে বছর দেখেছি তার মধ্যে এটিই সবচেয়ে বেশি উৎপাদনশীল।</v>
      </c>
    </row>
    <row r="2879" spans="1:3" ht="15" x14ac:dyDescent="0.25">
      <c r="A2879" s="3" t="s">
        <v>2872</v>
      </c>
      <c r="B2879" s="3" t="s">
        <v>1992</v>
      </c>
      <c r="C2879" s="4" t="str">
        <f ca="1">IFERROR(__xludf.DUMMYFUNCTION("GOOGLETRANSLATE(A2879, ""auto"", ""bn"")"),"আমি ঠিক বুঝতে পারছি না আমি কী ভুল করছি। আমার মনে হচ্ছে আমি আমার বন্ধুদের বিরক্ত করি এবং তাদের সবসময় রাগিয়ে তুলি। সবকিছু ঠিকঠাক চলছে, কথা বলছি, খেলা করছি, তারপর হঠাৎ করেই কোনও কারণে আমার এক বন্ধু আমার সাথে ঠান্ডা আচরণ করছে এবং চলে যাচ্ছে। এই মুহুর্তে আমি"&amp;" বুঝতে পারছি না আমি কী ভুল করছি। যদি সে আমার সাথে কথা বলতে না চায়, আমি চাই সে আমাকে বলুক বা এমন কিছু করুক, যাতে আমাকে এই ভয়ে ঘুমাতে না হয় যে আমি এমন কিছু করেছি যার জন্য সে আবার বিরক্ত হচ্ছে এবং ঘুমাতে পারছি না এবং এখনকার মতো আতঙ্কিত হচ্ছি, এবং আমি আর ক"&amp;"ী করব জানি না।")</f>
        <v>আমি ঠিক বুঝতে পারছি না আমি কী ভুল করছি। আমার মনে হচ্ছে আমি আমার বন্ধুদের বিরক্ত করি এবং তাদের সবসময় রাগিয়ে তুলি। সবকিছু ঠিকঠাক চলছে, কথা বলছি, খেলা করছি, তারপর হঠাৎ করেই কোনও কারণে আমার এক বন্ধু আমার সাথে ঠান্ডা আচরণ করছে এবং চলে যাচ্ছে। এই মুহুর্তে আমি বুঝতে পারছি না আমি কী ভুল করছি। যদি সে আমার সাথে কথা বলতে না চায়, আমি চাই সে আমাকে বলুক বা এমন কিছু করুক, যাতে আমাকে এই ভয়ে ঘুমাতে না হয় যে আমি এমন কিছু করেছি যার জন্য সে আবার বিরক্ত হচ্ছে এবং ঘুমাতে পারছি না এবং এখনকার মতো আতঙ্কিত হচ্ছি, এবং আমি আর কী করব জানি না।</v>
      </c>
    </row>
    <row r="2880" spans="1:3" ht="15" x14ac:dyDescent="0.25">
      <c r="A2880" s="3" t="s">
        <v>2873</v>
      </c>
      <c r="B2880" s="3" t="s">
        <v>1992</v>
      </c>
      <c r="C2880" s="4" t="str">
        <f ca="1">IFERROR(__xludf.DUMMYFUNCTION("GOOGLETRANSLATE(A2880, ""auto"", ""bn"")"),"তোমার কাঁধের উপর বসে যখন লোকেরা তোমার কম্পিউটারে কাজ করতে দেখছে, তখন কি আর কেউ আতঙ্কিত হয়? আমি আমার আইটি কাজে ব্যস্ত থাকতে পারি এবং সবকিছু ভালোভাবে এবং শান্তিতে করতে পারি, কিন্তু যখনই কেউ আমার কাছে এসে আমাকে কম্পিউটারে কিছু করতে/কীভাবে করতে হয় তা দেখাতে"&amp;" বলে, তখনই আমি থমকে যাই। আমি হঠাৎ করেই ভুলে যেতে শুরু করি যে আমি কী করছি এবং অস্থির হয়ে পড়ি। তাছাড়া, আমার মনে হয় এর কারণ হল আমার এই অন্তর্নিহিত ভয় যে লোকেরা আমাকে বোকা মনে করে অথবা ক্রমাগত আমার বুদ্ধিমত্তার বিচার করে। ফোনে বা মিটিংয়ে যখন লোকেরা আমাক"&amp;"ে প্রশ্ন করে তখনও একই ঘটনা ঘটে। আমার মনে হয় সবকিছুই একটা পরীক্ষা এবং সবাই আমার চেয়ে বেশি বুদ্ধিমান? আমার ব্যর্থতার জন্য অপেক্ষা করছে।")</f>
        <v>তোমার কাঁধের উপর বসে যখন লোকেরা তোমার কম্পিউটারে কাজ করতে দেখছে, তখন কি আর কেউ আতঙ্কিত হয়? আমি আমার আইটি কাজে ব্যস্ত থাকতে পারি এবং সবকিছু ভালোভাবে এবং শান্তিতে করতে পারি, কিন্তু যখনই কেউ আমার কাছে এসে আমাকে কম্পিউটারে কিছু করতে/কীভাবে করতে হয় তা দেখাতে বলে, তখনই আমি থমকে যাই। আমি হঠাৎ করেই ভুলে যেতে শুরু করি যে আমি কী করছি এবং অস্থির হয়ে পড়ি। তাছাড়া, আমার মনে হয় এর কারণ হল আমার এই অন্তর্নিহিত ভয় যে লোকেরা আমাকে বোকা মনে করে অথবা ক্রমাগত আমার বুদ্ধিমত্তার বিচার করে। ফোনে বা মিটিংয়ে যখন লোকেরা আমাকে প্রশ্ন করে তখনও একই ঘটনা ঘটে। আমার মনে হয় সবকিছুই একটা পরীক্ষা এবং সবাই আমার চেয়ে বেশি বুদ্ধিমান? আমার ব্যর্থতার জন্য অপেক্ষা করছে।</v>
      </c>
    </row>
    <row r="2881" spans="1:3" ht="15" x14ac:dyDescent="0.25">
      <c r="A2881" s="3" t="s">
        <v>2874</v>
      </c>
      <c r="B2881" s="3" t="s">
        <v>1992</v>
      </c>
      <c r="C2881" s="4" t="str">
        <f ca="1">IFERROR(__xludf.DUMMYFUNCTION("GOOGLETRANSLATE(A2881, ""auto"", ""bn"")"),"এটা কি আমার উদ্বেগের অংশ এবং সত্যি নয়? যখনই আমি বন্ধুবান্ধব বা পরিবারের সাথে বাইরে যাই, তখন পরে আমি অপরাধবোধ করি এবং প্রতিটি পরিস্থিতি নিয়ে চিন্তিত হই যে আমি যখন কিছু বলি তখন লোকেরা কী ভাবত বা আমি খুব বেশি কথা বলেছিলাম কিনা। আমি কি তাদের যথেষ্ট প্রশ্ন জ"&amp;"িজ্ঞাসা করেছি? আমি কি এই কথা বলার সময় গর্ব করছিলাম নাকি বিরক্ত করছিলাম বলে মনে হয়েছিল? আমি প্রতিটি পরিস্থিতি পুনরাবৃত্তি করি এবং খারাপ বোধ করি যে এটি আমার সম্পর্কে মানুষের মতামত বদলে দিয়েছে। এটি আমাকে যন্ত্রণা দেয়।")</f>
        <v>এটা কি আমার উদ্বেগের অংশ এবং সত্যি নয়? যখনই আমি বন্ধুবান্ধব বা পরিবারের সাথে বাইরে যাই, তখন পরে আমি অপরাধবোধ করি এবং প্রতিটি পরিস্থিতি নিয়ে চিন্তিত হই যে আমি যখন কিছু বলি তখন লোকেরা কী ভাবত বা আমি খুব বেশি কথা বলেছিলাম কিনা। আমি কি তাদের যথেষ্ট প্রশ্ন জিজ্ঞাসা করেছি? আমি কি এই কথা বলার সময় গর্ব করছিলাম নাকি বিরক্ত করছিলাম বলে মনে হয়েছিল? আমি প্রতিটি পরিস্থিতি পুনরাবৃত্তি করি এবং খারাপ বোধ করি যে এটি আমার সম্পর্কে মানুষের মতামত বদলে দিয়েছে। এটি আমাকে যন্ত্রণা দেয়।</v>
      </c>
    </row>
    <row r="2882" spans="1:3" ht="15" x14ac:dyDescent="0.25">
      <c r="A2882" s="3" t="s">
        <v>2875</v>
      </c>
      <c r="B2882" s="3" t="s">
        <v>1992</v>
      </c>
      <c r="C2882" s="4" t="str">
        <f ca="1">IFERROR(__xludf.DUMMYFUNCTION("GOOGLETRANSLATE(A2882, ""auto"", ""bn"")"),"আমাকে সবকিছু গিলে ফেলতে হবে এবং আগামীকাল আমার তৈরি করা এক বড় সমস্যার মুখোমুখি হতে হবে। আমার ৭ মাসের স্বামী আমাকে তার ব্যাংক অ্যাকাউন্টে যুক্ত করতে চান। আমি ভীত কারণ আমার ব্যাংকিং/ক্রেডিট ইতিহাস অসাধারণ। সে জানে না। আমি তার সামনে প্রত্যাখ্যাত হওয়ার ভয়ে ভ"&amp;"ীত। আমি যেভাবে পারি এড়িয়ে চলার চেষ্টা করি, (আমি যতটা সম্ভব এটিকে পিছনে ঠেলে দিয়েছি), এবং সে বলে যে সময় এসেছে। আমরা আগামীকাল এটি করব। Â আমি ইতিমধ্যেই কিছুটা পাগলাটে অবস্থায় চলে গেছি, এবং আমি আশা করছি আজ রাতে আমার শরীর ঘুমাতে যাবে। দীর্ঘশ্বাস ফেলো।")</f>
        <v>আমাকে সবকিছু গিলে ফেলতে হবে এবং আগামীকাল আমার তৈরি করা এক বড় সমস্যার মুখোমুখি হতে হবে। আমার ৭ মাসের স্বামী আমাকে তার ব্যাংক অ্যাকাউন্টে যুক্ত করতে চান। আমি ভীত কারণ আমার ব্যাংকিং/ক্রেডিট ইতিহাস অসাধারণ। সে জানে না। আমি তার সামনে প্রত্যাখ্যাত হওয়ার ভয়ে ভীত। আমি যেভাবে পারি এড়িয়ে চলার চেষ্টা করি, (আমি যতটা সম্ভব এটিকে পিছনে ঠেলে দিয়েছি), এবং সে বলে যে সময় এসেছে। আমরা আগামীকাল এটি করব। Â আমি ইতিমধ্যেই কিছুটা পাগলাটে অবস্থায় চলে গেছি, এবং আমি আশা করছি আজ রাতে আমার শরীর ঘুমাতে যাবে। দীর্ঘশ্বাস ফেলো।</v>
      </c>
    </row>
    <row r="2883" spans="1:3" ht="15" x14ac:dyDescent="0.25">
      <c r="A2883" s="3" t="s">
        <v>2876</v>
      </c>
      <c r="B2883" s="3" t="s">
        <v>1992</v>
      </c>
      <c r="C2883" s="4" t="str">
        <f ca="1">IFERROR(__xludf.DUMMYFUNCTION("GOOGLETRANSLATE(A2883, ""auto"", ""bn"")"),"সমর্থনের প্রয়োজন: নিরাপত্তাহীনতা জীবনকে এত কঠিন করে তুলছে যে আমি বুঝতে পারছিলাম না কোথায় পোস্ট করবো, উদ্বেগ একটা ভালো জায়গা বলে মনে হচ্ছে। যতদূর মনে পড়ে, আমি এর সাথে লড়াই করেছি। অন্যরা হয়তো একবারও ভাববে না এমন বিষয় নিয়ে অনিরাপদ বোধ করছি। আমার বয়স চল্লি"&amp;"শের কোঠার শুরুতে, এবং মনে হচ্ছে এখন আমার নিজের সাথে আরও স্বাচ্ছন্দ্য বোধ করা উচিত। তুচ্ছ চেহারা সম্পর্কিত বিষয় নিয়ে চিন্তা করছি না :(আমি দুঃখিত যে আমি এই বিষয়ের সাথে লড়াই করছি। আমি এখানে অনেক কিছু লিখতে পারতাম, আমি সবকিছু সহজ রেখেছি, এবং হয়তো কিছু সহায়ক "&amp;"উত্তর আমার কাছে আসবে। ধন্যবাদ A??")</f>
        <v>সমর্থনের প্রয়োজন: নিরাপত্তাহীনতা জীবনকে এত কঠিন করে তুলছে যে আমি বুঝতে পারছিলাম না কোথায় পোস্ট করবো, উদ্বেগ একটা ভালো জায়গা বলে মনে হচ্ছে। যতদূর মনে পড়ে, আমি এর সাথে লড়াই করেছি। অন্যরা হয়তো একবারও ভাববে না এমন বিষয় নিয়ে অনিরাপদ বোধ করছি। আমার বয়স চল্লিশের কোঠার শুরুতে, এবং মনে হচ্ছে এখন আমার নিজের সাথে আরও স্বাচ্ছন্দ্য বোধ করা উচিত। তুচ্ছ চেহারা সম্পর্কিত বিষয় নিয়ে চিন্তা করছি না :(আমি দুঃখিত যে আমি এই বিষয়ের সাথে লড়াই করছি। আমি এখানে অনেক কিছু লিখতে পারতাম, আমি সবকিছু সহজ রেখেছি, এবং হয়তো কিছু সহায়ক উত্তর আমার কাছে আসবে। ধন্যবাদ A??</v>
      </c>
    </row>
    <row r="2884" spans="1:3" ht="15" x14ac:dyDescent="0.25">
      <c r="A2884" s="3" t="s">
        <v>2877</v>
      </c>
      <c r="B2884" s="3" t="s">
        <v>1992</v>
      </c>
      <c r="C2884" s="4" t="str">
        <f ca="1">IFERROR(__xludf.DUMMYFUNCTION("GOOGLETRANSLATE(A2884, ""auto"", ""bn"")"),"চুপিচুপি বাইরে বেরিয়ে যাওয়ার ব্যাপারে আমার উদ্বেগ কীভাবে প্রশমিত করব? আমার বয়স ২২ এবং আমার বাবা-মা ঘুমাতে গেলে আজ রাতে আমার বয়ফ্রেন্ডদের কাছে যাওয়ার পরিকল্পনা করছি। হ্যাঁ, আমি একজন প্রাপ্তবয়স্ক, কিন্তু আমার বাবা-মা কঠোর এবং এখনও আমাকে আমার নিজের মতো করে "&amp;"জীবনযাপন করতে দেন না। আমার একটি ২৪ ঘন্টা জিমের সদস্যপদ আছে, তাই যদি তারা ফোন করে বা অন্য কিছু করে, তাহলে আমি কেবল বলব যে আমি সেখানে আছি। যাই হোক, আমার উদ্বেগ এখনও সীমা ছাড়িয়ে গেছে। আমি কী করব???")</f>
        <v>চুপিচুপি বাইরে বেরিয়ে যাওয়ার ব্যাপারে আমার উদ্বেগ কীভাবে প্রশমিত করব? আমার বয়স ২২ এবং আমার বাবা-মা ঘুমাতে গেলে আজ রাতে আমার বয়ফ্রেন্ডদের কাছে যাওয়ার পরিকল্পনা করছি। হ্যাঁ, আমি একজন প্রাপ্তবয়স্ক, কিন্তু আমার বাবা-মা কঠোর এবং এখনও আমাকে আমার নিজের মতো করে জীবনযাপন করতে দেন না। আমার একটি ২৪ ঘন্টা জিমের সদস্যপদ আছে, তাই যদি তারা ফোন করে বা অন্য কিছু করে, তাহলে আমি কেবল বলব যে আমি সেখানে আছি। যাই হোক, আমার উদ্বেগ এখনও সীমা ছাড়িয়ে গেছে। আমি কী করব???</v>
      </c>
    </row>
    <row r="2885" spans="1:3" ht="15" x14ac:dyDescent="0.25">
      <c r="A2885" s="3" t="s">
        <v>2878</v>
      </c>
      <c r="B2885" s="3" t="s">
        <v>1992</v>
      </c>
      <c r="C2885" s="4" t="str">
        <f ca="1">IFERROR(__xludf.DUMMYFUNCTION("GOOGLETRANSLATE(A2885, ""auto"", ""bn"")"),"উদ্বিগ্ন/বিষণ্ণদের জন্য গ্রুপ আমরা ডেভিড ডি. বার্নসের লেখা ""ফিলিং গুড: দ্য নিউ মুড থেরাপি"" বইটি পড়ছি। তিনি স্ট্যানফোর্ড ইউনিভার্সিটি স্কুল অফ মেডিসিনের সাইকিয়াট্রি অ্যান্ড বিহেভিওরাল সায়েন্সেস বিভাগের একজন অ্যাডজাঙ্কট অধ্যাপক। জ্ঞানীয় আচরণগত থেরাপির"&amp;" ক্ষেত্রকে জনপ্রিয় করে তোলা সর্বাধিক বিক্রিত বইটির পর্যালোচনা দেখতে আপনি বইয়ের নামটি গুগল করতে পারেন। গ্রুপ কলে, আমাদের মধ্যে একজন শ্রোতাদের কাছে জোরে জোরে বইটি পড়ে শোনান। কখনও কখনও আমরা ব্রেনস্টর্মিং করি কারণ এটি বইটিতে প্রদত্ত পরামর্শ প্রয়োগ করতে সা"&amp;"হায্য করে। আপনি যদি যোগদান করতে আগ্রহী হন, তাহলে আপনার হতাশা/উদ্বেগের মাত্রা, দেশ (টাইমজোনের উদ্দেশ্যে), আপনার সম্পর্কে (শুধুমাত্র আপনি একজন মনোরোগ বিশেষজ্ঞ বা অদ্ভুত ব্যক্তি কিনা তা পরীক্ষা করার জন্য) এবং আপনার স্ন্যাপচ্যাট বা মতবিরোধ আছে কিনা তা আমাকে প"&amp;"িএম করুন। আপনার কেন যোগদান করা উচিত? যদি আপনি খুব বেশি হতাশাগ্রস্ত হন এবং কিছু করতে অক্ষম হন, যদি আপনি দেরি করেন, যদি আপনি হারিয়ে যান, যদি আপনার খারাপ লাগে, তাহলে কেউ আপনাকে এই বইটি পড়ে সাহায্য করতে পারে। আমি কেন এটা করছি? আমি একা হতাশা সম্পর্কে একটি বই"&amp;" পড়তে খুব বেশি হতাশাগ্রস্ত। উদ্বেগের কারণে আমার মনোযোগের সময়কালও ছোট হয়ে গেছে। অন্যদের সাথে এটা করার ফলে আমি একরকম জবাবদিহি করতে বাধ্য হই, এবং আমার মনে হয় আমি নিজের জন্য ভালো কিছু করছি।")</f>
        <v>উদ্বিগ্ন/বিষণ্ণদের জন্য গ্রুপ আমরা ডেভিড ডি. বার্নসের লেখা "ফিলিং গুড: দ্য নিউ মুড থেরাপি" বইটি পড়ছি। তিনি স্ট্যানফোর্ড ইউনিভার্সিটি স্কুল অফ মেডিসিনের সাইকিয়াট্রি অ্যান্ড বিহেভিওরাল সায়েন্সেস বিভাগের একজন অ্যাডজাঙ্কট অধ্যাপক। জ্ঞানীয় আচরণগত থেরাপির ক্ষেত্রকে জনপ্রিয় করে তোলা সর্বাধিক বিক্রিত বইটির পর্যালোচনা দেখতে আপনি বইয়ের নামটি গুগল করতে পারেন। গ্রুপ কলে, আমাদের মধ্যে একজন শ্রোতাদের কাছে জোরে জোরে বইটি পড়ে শোনান। কখনও কখনও আমরা ব্রেনস্টর্মিং করি কারণ এটি বইটিতে প্রদত্ত পরামর্শ প্রয়োগ করতে সাহায্য করে। আপনি যদি যোগদান করতে আগ্রহী হন, তাহলে আপনার হতাশা/উদ্বেগের মাত্রা, দেশ (টাইমজোনের উদ্দেশ্যে), আপনার সম্পর্কে (শুধুমাত্র আপনি একজন মনোরোগ বিশেষজ্ঞ বা অদ্ভুত ব্যক্তি কিনা তা পরীক্ষা করার জন্য) এবং আপনার স্ন্যাপচ্যাট বা মতবিরোধ আছে কিনা তা আমাকে পিএম করুন। আপনার কেন যোগদান করা উচিত? যদি আপনি খুব বেশি হতাশাগ্রস্ত হন এবং কিছু করতে অক্ষম হন, যদি আপনি দেরি করেন, যদি আপনি হারিয়ে যান, যদি আপনার খারাপ লাগে, তাহলে কেউ আপনাকে এই বইটি পড়ে সাহায্য করতে পারে। আমি কেন এটা করছি? আমি একা হতাশা সম্পর্কে একটি বই পড়তে খুব বেশি হতাশাগ্রস্ত। উদ্বেগের কারণে আমার মনোযোগের সময়কালও ছোট হয়ে গেছে। অন্যদের সাথে এটা করার ফলে আমি একরকম জবাবদিহি করতে বাধ্য হই, এবং আমার মনে হয় আমি নিজের জন্য ভালো কিছু করছি।</v>
      </c>
    </row>
    <row r="2886" spans="1:3" ht="15" x14ac:dyDescent="0.25">
      <c r="A2886" s="3" t="s">
        <v>2879</v>
      </c>
      <c r="B2886" s="3" t="s">
        <v>1992</v>
      </c>
      <c r="C2886" s="4" t="str">
        <f ca="1">IFERROR(__xludf.DUMMYFUNCTION("GOOGLETRANSLATE(A2886, ""auto"", ""bn"")"),"আমি চাই না আমার সবচেয়ে বড় শত্রুটা যেন উদ্বেগজনিত ব্যাধির মতো হয়, কারণ আমি বিছানায় মোবাইলে কথা বলছি, তাই ফরম্যাটিংয়ের কোনও ত্রুটি থাকলে ক্ষমা করবেন। গত কয়েক মাস ধরে আমার উদ্বেগজনিত ব্যাধি ক্রমাগত খারাপ হচ্ছে। আমি আগামী সপ্তাহের জন্য ডাক্তারের অ্যাপয়েন্টমেন"&amp;"্ট নিয়েছি, তাই আমি এখন কোথায় যাব তা ঠিক করতে পারব, আশা করি কিছু থেরাপির প্রয়োজন হবে। পেটে ব্যথা ছাড়া আমি কিছুই খেতে পারি না। আমার পেটে যেন স্থায়ীভাবে জট পাকিয়ে গেছে। আমার আইবিএস ধরা পড়েছে, এবং এর ফলে খাওয়া প্রায় অসম্ভব হয়ে পড়ে। কিন্তু, যখন আমি না খাই ত"&amp;"খন মাথা ঘোরা এবং পেটে অ্যাসিড তৈরি হয়। এটি একটি দুষ্টচক্র। রাতে আমার অনেক উদ্বেগ থাকে যার কারণ আমি ঠিক করতে পারি না। আমি অন্যান্য ২৩ বছর বয়সী ছেলেমেয়েদের বন্ধুদের সাথে বাইরে বেরিয়ে আনন্দ করতে দেখি এবং আমি এই কাজগুলো করতে পারি না। তাছাড়া, আমি সপ্তাহান্তে "&amp;"আমার বাসা থেকে এক ঘন্টারও কম দূরে ছুটি কাটাতে যাচ্ছি, এবং আমি অবিশ্বাস্যভাবে চিন্তিত। তাছাড়া, আমি মাত্র এক রাতে চলে গেছি, কিন্তু আমি এখনও খুব চিন্তিত। তাছাড়া, আমি ঠিক থাকতে চাই। তাছাড়া, আমি খুব ভালো থাকতে চাই :(")</f>
        <v>আমি চাই না আমার সবচেয়ে বড় শত্রুটা যেন উদ্বেগজনিত ব্যাধির মতো হয়, কারণ আমি বিছানায় মোবাইলে কথা বলছি, তাই ফরম্যাটিংয়ের কোনও ত্রুটি থাকলে ক্ষমা করবেন। গত কয়েক মাস ধরে আমার উদ্বেগজনিত ব্যাধি ক্রমাগত খারাপ হচ্ছে। আমি আগামী সপ্তাহের জন্য ডাক্তারের অ্যাপয়েন্টমেন্ট নিয়েছি, তাই আমি এখন কোথায় যাব তা ঠিক করতে পারব, আশা করি কিছু থেরাপির প্রয়োজন হবে। পেটে ব্যথা ছাড়া আমি কিছুই খেতে পারি না। আমার পেটে যেন স্থায়ীভাবে জট পাকিয়ে গেছে। আমার আইবিএস ধরা পড়েছে, এবং এর ফলে খাওয়া প্রায় অসম্ভব হয়ে পড়ে। কিন্তু, যখন আমি না খাই তখন মাথা ঘোরা এবং পেটে অ্যাসিড তৈরি হয়। এটি একটি দুষ্টচক্র। রাতে আমার অনেক উদ্বেগ থাকে যার কারণ আমি ঠিক করতে পারি না। আমি অন্যান্য ২৩ বছর বয়সী ছেলেমেয়েদের বন্ধুদের সাথে বাইরে বেরিয়ে আনন্দ করতে দেখি এবং আমি এই কাজগুলো করতে পারি না। তাছাড়া, আমি সপ্তাহান্তে আমার বাসা থেকে এক ঘন্টারও কম দূরে ছুটি কাটাতে যাচ্ছি, এবং আমি অবিশ্বাস্যভাবে চিন্তিত। তাছাড়া, আমি মাত্র এক রাতে চলে গেছি, কিন্তু আমি এখনও খুব চিন্তিত। তাছাড়া, আমি ঠিক থাকতে চাই। তাছাড়া, আমি খুব ভালো থাকতে চাই :(</v>
      </c>
    </row>
    <row r="2887" spans="1:3" ht="15" x14ac:dyDescent="0.25">
      <c r="A2887" s="3" t="s">
        <v>2880</v>
      </c>
      <c r="B2887" s="3" t="s">
        <v>1992</v>
      </c>
      <c r="C2887" s="4" t="str">
        <f ca="1">IFERROR(__xludf.DUMMYFUNCTION("GOOGLETRANSLATE(A2887, ""auto"", ""bn"")"),"আজ রাতে আমি ৩ মিনিটের স্ট্যান্ড-আপ কমেডি করছি। সারাদিন কাজে ব্যস্ত থাকার কারণে আমার হৃদস্পন্দন বেড়েই চলেছে। আমি মনোযোগ দিতে পারছি না। তাছাড়া, গত রাতে আমার ঘুম খুব একটা হয়নি। তাছাড়া, আমি সব সময় উদ্বেগ অনুভব করি, কিন্তু এবার আমি ভয় কাটিয়ে ওঠার চেষ্টা"&amp;" করব। পড়ার জন্য ধন্যবাদ।")</f>
        <v>আজ রাতে আমি ৩ মিনিটের স্ট্যান্ড-আপ কমেডি করছি। সারাদিন কাজে ব্যস্ত থাকার কারণে আমার হৃদস্পন্দন বেড়েই চলেছে। আমি মনোযোগ দিতে পারছি না। তাছাড়া, গত রাতে আমার ঘুম খুব একটা হয়নি। তাছাড়া, আমি সব সময় উদ্বেগ অনুভব করি, কিন্তু এবার আমি ভয় কাটিয়ে ওঠার চেষ্টা করব। পড়ার জন্য ধন্যবাদ।</v>
      </c>
    </row>
    <row r="2888" spans="1:3" ht="15" x14ac:dyDescent="0.25">
      <c r="A2888" s="3" t="s">
        <v>2881</v>
      </c>
      <c r="B2888" s="3" t="s">
        <v>1992</v>
      </c>
      <c r="C2888" s="4" t="str">
        <f ca="1">IFERROR(__xludf.DUMMYFUNCTION("GOOGLETRANSLATE(A2888, ""auto"", ""bn"")"),"অ্যাগোরাফোবিয়া নিয়ে ভ্রমণ করছি। তাই কয়েক বছর ধরে অ্যাগোরাফোবিয়াসহ সাধারণ উদ্বেগের সাথে আমি মোকাবিলা করছি। এটি শুরু হয়েছিল ট্র্যাফিকের মধ্যে উদ্বিগ্ন হয়ে ওঠার মাধ্যমে যা বমি বমি ভাব এবং পালানোর প্রয়োজনের মতো মানসিক লক্ষণগুলিকে জাগিয়ে তোলে। এটি এমন "&amp;"জায়গায় গাড়ি চালানোর ভয়ে পরিণত হয়েছিল যেখানে আমি পিছু হটতে পারি না বা সাহায্য পেতে পারি না (আমার পরিবারের লোকেদের অ্যাগোরাফোবিয়া আছে)। এটি জেনোফোবিয়াতেও পরিণত হয়েছিল, বমি আমাকে ভয় দেখায়। সুতরাং, আমি যেখানে যাই, সময় ব্যয় করি এবং গাড়ি চালাই তার"&amp;" মধ্যে সীমাবদ্ধ ছিলাম। তবুও, আমি যে ব্যান্ডটি উপভোগ করি তা শহরে একটি অনুষ্ঠান করছে, যেখানে এই সমস্ত কিছু গড়ে ওঠার আগে আমি 4 বছর ধরে যাইনি। আমি একটি টিকিট কিনেছি এবং ভাবছি যে অ্যাগোরাফোবিয়া দূর করার জন্য আমি অনুপ্রেরণা ব্যবহার করব। আমি নিশ্চিত নই যে আমি "&amp;"কিছু বন্ধুদের সাথে গাড়ি চালাব, গণ পরিবহন, উবার নেব, নাকি অন্য কাউকে গাড়ি চালানোর অনুমতি দেব। উপরের সমস্ত বিষয়গুলি আমার জন্য কঠিন হতে চলেছে। আমি ভেবেছিলাম পদ্ধতিগতভাবে সংবেদনশীলতা হ্রাস করার পদ্ধতি ব্যবহার করব এবং শোতে যাওয়ার আগে প্রতিদিন একটু এগিয়ে য"&amp;"াব (অথবা ট্রেনে করে আরও একবার বের হব), কিন্তু আমি ভাবছিলাম যে এর জন্য কীভাবে প্রস্তুতি নেব সে সম্পর্কে কারও কাছে অন্য কোনও ধারণা আছে কিনা!")</f>
        <v>অ্যাগোরাফোবিয়া নিয়ে ভ্রমণ করছি। তাই কয়েক বছর ধরে অ্যাগোরাফোবিয়াসহ সাধারণ উদ্বেগের সাথে আমি মোকাবিলা করছি। এটি শুরু হয়েছিল ট্র্যাফিকের মধ্যে উদ্বিগ্ন হয়ে ওঠার মাধ্যমে যা বমি বমি ভাব এবং পালানোর প্রয়োজনের মতো মানসিক লক্ষণগুলিকে জাগিয়ে তোলে। এটি এমন জায়গায় গাড়ি চালানোর ভয়ে পরিণত হয়েছিল যেখানে আমি পিছু হটতে পারি না বা সাহায্য পেতে পারি না (আমার পরিবারের লোকেদের অ্যাগোরাফোবিয়া আছে)। এটি জেনোফোবিয়াতেও পরিণত হয়েছিল, বমি আমাকে ভয় দেখায়। সুতরাং, আমি যেখানে যাই, সময় ব্যয় করি এবং গাড়ি চালাই তার মধ্যে সীমাবদ্ধ ছিলাম। তবুও, আমি যে ব্যান্ডটি উপভোগ করি তা শহরে একটি অনুষ্ঠান করছে, যেখানে এই সমস্ত কিছু গড়ে ওঠার আগে আমি 4 বছর ধরে যাইনি। আমি একটি টিকিট কিনেছি এবং ভাবছি যে অ্যাগোরাফোবিয়া দূর করার জন্য আমি অনুপ্রেরণা ব্যবহার করব। আমি নিশ্চিত নই যে আমি কিছু বন্ধুদের সাথে গাড়ি চালাব, গণ পরিবহন, উবার নেব, নাকি অন্য কাউকে গাড়ি চালানোর অনুমতি দেব। উপরের সমস্ত বিষয়গুলি আমার জন্য কঠিন হতে চলেছে। আমি ভেবেছিলাম পদ্ধতিগতভাবে সংবেদনশীলতা হ্রাস করার পদ্ধতি ব্যবহার করব এবং শোতে যাওয়ার আগে প্রতিদিন একটু এগিয়ে যাব (অথবা ট্রেনে করে আরও একবার বের হব), কিন্তু আমি ভাবছিলাম যে এর জন্য কীভাবে প্রস্তুতি নেব সে সম্পর্কে কারও কাছে অন্য কোনও ধারণা আছে কিনা!</v>
      </c>
    </row>
    <row r="2889" spans="1:3" ht="15" x14ac:dyDescent="0.25">
      <c r="A2889" s="3" t="s">
        <v>2882</v>
      </c>
      <c r="B2889" s="3" t="s">
        <v>1992</v>
      </c>
      <c r="C2889" s="4" t="str">
        <f ca="1">IFERROR(__xludf.DUMMYFUNCTION("GOOGLETRANSLATE(A2889, ""auto"", ""bn"")"),"আমার সন্তানকে নিয়ে দুশ্চিন্তা আমার ছেলের জন্মের পর থেকেই আমার প্রচণ্ড উদ্বেগ ছিল যে সে কখনই বড় হবে এবং আমি কখনই তার জন্য যথেষ্ট ভালো বাবা হতে পারব না। সে এখন ৪ বছর বয়সী এবং প্রি-স্কুলে পড়ে। আমি তার সাথে মাত্র ২ সপ্তাহের ছুটি কাটিয়েছি, আর সে আগামীকাল "&amp;"আবার স্কুলে যাবে, আর আমার খুব কষ্ট হচ্ছে। পরের বছর সে কিন্ডারগার্টেন শুরু করবে এই ভাবনাটা আমাকেও ভীত করে তুলছে। আমার বাবা বড় হতে খুব খারাপ লাগছিল, আর আমিও একই জিনিস করতে চাই না, তাই আমি সবসময় এটা নিয়ে ব্যস্ত থাকি। আমার মনে হয় আমি অনেক কথা বলেছি, কিন্ত"&amp;"ু এখন এইসব আমার চিন্তাভাবনা।")</f>
        <v>আমার সন্তানকে নিয়ে দুশ্চিন্তা আমার ছেলের জন্মের পর থেকেই আমার প্রচণ্ড উদ্বেগ ছিল যে সে কখনই বড় হবে এবং আমি কখনই তার জন্য যথেষ্ট ভালো বাবা হতে পারব না। সে এখন ৪ বছর বয়সী এবং প্রি-স্কুলে পড়ে। আমি তার সাথে মাত্র ২ সপ্তাহের ছুটি কাটিয়েছি, আর সে আগামীকাল আবার স্কুলে যাবে, আর আমার খুব কষ্ট হচ্ছে। পরের বছর সে কিন্ডারগার্টেন শুরু করবে এই ভাবনাটা আমাকেও ভীত করে তুলছে। আমার বাবা বড় হতে খুব খারাপ লাগছিল, আর আমিও একই জিনিস করতে চাই না, তাই আমি সবসময় এটা নিয়ে ব্যস্ত থাকি। আমার মনে হয় আমি অনেক কথা বলেছি, কিন্তু এখন এইসব আমার চিন্তাভাবনা।</v>
      </c>
    </row>
    <row r="2890" spans="1:3" ht="15" x14ac:dyDescent="0.25">
      <c r="A2890" s="3" t="s">
        <v>2883</v>
      </c>
      <c r="B2890" s="3" t="s">
        <v>1992</v>
      </c>
      <c r="C2890" s="4" t="str">
        <f ca="1">IFERROR(__xludf.DUMMYFUNCTION("GOOGLETRANSLATE(A2890, ""auto"", ""bn"")"),"একটা অনুষ্ঠানে আমন্ত্রণ পেয়েছি। এইমাত্র জানতে পারলাম আমাকে জিজ্ঞাসা করা হয়েছিল কারণ আসল আমন্ত্রিতরা জামিনে চলে গেছেন। খারাপ লাগছে ভাই। ব্যাপারটা আরও খারাপ হয়েছে যে আমি ভেবেছিলাম আমি তাদের প্রথম পছন্দ। আমার প্রতিশোধপরায়ণ অংশটি এর জন্য বাতিল করতে চাইছে, "&amp;"কিন্তু যদি আমি তা করি তবে শেষ পর্যন্ত আমি অপরাধী বোধ করব। আমি জানি এটি দেখার সবচেয়ে স্বাস্থ্যকর উপায় নয়, কিন্তু... ওহ, আচ্ছা।")</f>
        <v>একটা অনুষ্ঠানে আমন্ত্রণ পেয়েছি। এইমাত্র জানতে পারলাম আমাকে জিজ্ঞাসা করা হয়েছিল কারণ আসল আমন্ত্রিতরা জামিনে চলে গেছেন। খারাপ লাগছে ভাই। ব্যাপারটা আরও খারাপ হয়েছে যে আমি ভেবেছিলাম আমি তাদের প্রথম পছন্দ। আমার প্রতিশোধপরায়ণ অংশটি এর জন্য বাতিল করতে চাইছে, কিন্তু যদি আমি তা করি তবে শেষ পর্যন্ত আমি অপরাধী বোধ করব। আমি জানি এটি দেখার সবচেয়ে স্বাস্থ্যকর উপায় নয়, কিন্তু... ওহ, আচ্ছা।</v>
      </c>
    </row>
    <row r="2891" spans="1:3" ht="15" x14ac:dyDescent="0.25">
      <c r="A2891" s="3" t="s">
        <v>2884</v>
      </c>
      <c r="B2891" s="3" t="s">
        <v>1992</v>
      </c>
      <c r="C2891" s="4" t="str">
        <f ca="1">IFERROR(__xludf.DUMMYFUNCTION("GOOGLETRANSLATE(A2891, ""auto"", ""bn"")"),"ভালোবাসা নিয়ে উদ্বেগ সবাইকে হ্যালো, প্রথমেই আমি ইংরেজিতে খুব একটা ভালো নই, তাই আমি যথাসাধ্য চেষ্টা করব ব্যাখ্যা করার। আমার প্রাক্তন প্রেমিকা ৩ বছর আগে আমার সাথে সম্পর্ক ছিন্ন করে। তারপর থেকে আমি অন্য মেয়েদের সাথে দেখা করিনি, এবং ডেটিং এবং অন্য মেয়েদের "&amp;"সাথে দেখা করার কথা ভেবে আমার অনেক উদ্বেগ হয়। আমি একা ভালো নেই, এবং আমি আমার মেজাজ উন্নত করার জন্য ওষুধ খাচ্ছি। তাছাড়া, আমি কোথা থেকে শুরু করব জানি না, এবং আমি জানি না আমি কারও সাথে ডেট করতে পারব কিনা। তাছাড়া, আমি একজন সমাজকর্মীর সাথে দেখা করছি যিনি আমা"&amp;"র মেজাজ এবং সবকিছু ঠিকঠাক করতে সাহায্য করবেন, কিন্তু আমার মনে হয় না তিনি আমাকে এতে সাহায্য করবেন। আমার পরিস্থিতির উন্নতি এবং কোথাও শুরু করার জন্য আমি কি কিছু করতে পারি? ধন্যবাদ।")</f>
        <v>ভালোবাসা নিয়ে উদ্বেগ সবাইকে হ্যালো, প্রথমেই আমি ইংরেজিতে খুব একটা ভালো নই, তাই আমি যথাসাধ্য চেষ্টা করব ব্যাখ্যা করার। আমার প্রাক্তন প্রেমিকা ৩ বছর আগে আমার সাথে সম্পর্ক ছিন্ন করে। তারপর থেকে আমি অন্য মেয়েদের সাথে দেখা করিনি, এবং ডেটিং এবং অন্য মেয়েদের সাথে দেখা করার কথা ভেবে আমার অনেক উদ্বেগ হয়। আমি একা ভালো নেই, এবং আমি আমার মেজাজ উন্নত করার জন্য ওষুধ খাচ্ছি। তাছাড়া, আমি কোথা থেকে শুরু করব জানি না, এবং আমি জানি না আমি কারও সাথে ডেট করতে পারব কিনা। তাছাড়া, আমি একজন সমাজকর্মীর সাথে দেখা করছি যিনি আমার মেজাজ এবং সবকিছু ঠিকঠাক করতে সাহায্য করবেন, কিন্তু আমার মনে হয় না তিনি আমাকে এতে সাহায্য করবেন। আমার পরিস্থিতির উন্নতি এবং কোথাও শুরু করার জন্য আমি কি কিছু করতে পারি? ধন্যবাদ।</v>
      </c>
    </row>
    <row r="2892" spans="1:3" ht="15" x14ac:dyDescent="0.25">
      <c r="A2892" s="3" t="s">
        <v>2885</v>
      </c>
      <c r="B2892" s="3" t="s">
        <v>1992</v>
      </c>
      <c r="C2892" s="4" t="str">
        <f ca="1">IFERROR(__xludf.DUMMYFUNCTION("GOOGLETRANSLATE(A2892, ""auto"", ""bn"")"),"চিনি এবং উদ্বেগ - এর মধ্যে কি কোনও সম্পর্ক আছে? এই মুহূর্তে আমার উদ্বিগ্ন হওয়ার মতো কিছু নেই এবং আমি খুশি বোধ করছি। কিছুদিন ধরে আমার কোনও উদ্বেগের আক্রমণ হয়নি। গতকাল, আমি অপ্রয়োজনীয় পরিমাণে চিনি খেয়েছি (হা হা হা) এবং আমি উদ্বিগ্ন বোধ না করলেও, আমার ১"&amp;"০+ ঘন্টা পরে আমার ত্বক থেকে লাফিয়ে লাফিয়ে বেরিয়ে আসার অনুভূতি হচ্ছে। এটা অতিরিক্ত স্নায়বিক শক্তির মতো। আমার মনে আছে যে এই শারীরিক অনুভূতি সাধারণত আমার উদ্বেগের আক্রমণের সাথে যায়... আমি জানি ক্যাফিন আমার উদ্বেগের উপর ভয়াবহ প্রভাব ফেলে, এবং এখন আমি ভা"&amp;"বছি যে চিনিও এটি করে। তাছাড়া, আমি আর এমন কিছু ভাবতে পারছি না যা এই অতিরিক্ত স্নায়বিক শক্তিকে ট্রিগার করেছে। অন্য কেউ কি এটি নিয়ে গবেষণা করেছেন বা অভিজ্ঞতা করেছেন?")</f>
        <v>চিনি এবং উদ্বেগ - এর মধ্যে কি কোনও সম্পর্ক আছে? এই মুহূর্তে আমার উদ্বিগ্ন হওয়ার মতো কিছু নেই এবং আমি খুশি বোধ করছি। কিছুদিন ধরে আমার কোনও উদ্বেগের আক্রমণ হয়নি। গতকাল, আমি অপ্রয়োজনীয় পরিমাণে চিনি খেয়েছি (হা হা হা) এবং আমি উদ্বিগ্ন বোধ না করলেও, আমার ১০+ ঘন্টা পরে আমার ত্বক থেকে লাফিয়ে লাফিয়ে বেরিয়ে আসার অনুভূতি হচ্ছে। এটা অতিরিক্ত স্নায়বিক শক্তির মতো। আমার মনে আছে যে এই শারীরিক অনুভূতি সাধারণত আমার উদ্বেগের আক্রমণের সাথে যায়... আমি জানি ক্যাফিন আমার উদ্বেগের উপর ভয়াবহ প্রভাব ফেলে, এবং এখন আমি ভাবছি যে চিনিও এটি করে। তাছাড়া, আমি আর এমন কিছু ভাবতে পারছি না যা এই অতিরিক্ত স্নায়বিক শক্তিকে ট্রিগার করেছে। অন্য কেউ কি এটি নিয়ে গবেষণা করেছেন বা অভিজ্ঞতা করেছেন?</v>
      </c>
    </row>
    <row r="2893" spans="1:3" ht="15" x14ac:dyDescent="0.25">
      <c r="A2893" s="3" t="s">
        <v>2886</v>
      </c>
      <c r="B2893" s="3" t="s">
        <v>1992</v>
      </c>
      <c r="C2893" s="4" t="str">
        <f ca="1">IFERROR(__xludf.DUMMYFUNCTION("GOOGLETRANSLATE(A2893, ""auto"", ""bn"")"),"আমি কলেজ থেকে স্নাতক শেষ করেছি এবং... আমি জানি না এরপর কী করব। প্রতিটি বিকল্প আমাকে বমি বমি ভাবিয়ে তোলে। আমি আটলান্টায় স্কুলে গিয়েছিলাম এবং আমি এটিকে ঘৃণা করতাম, কিন্তু আমাকে আমার শহর ছেড়ে যেতে হবে। আমি প্রতিটি সেতু পুড়িয়ে ফেলেছি এবং এখানে আমার জন্য"&amp;" কিছুই অবশিষ্ট নেই। এছাড়াও আমার বাবা-মা চান যে আমি আবার গির্জায় যেতে শুরু করি যেমন আমি কখনও গির্জা ছেড়ে যাইনি (আর কখনও তা করতে পারি না)। কিন্তু আমার সব বন্ধুরা এখানে আছে, এবং আমি বন্ধুত্ব করতে ভয়ঙ্কর, তাই নতুন শহরে অন্ধভাবে ঝাঁপিয়ে পড়ার চিন্তা ভয়ঙ্"&amp;"কর, কিন্তু আমি যত বেশি সময় আমার বাবা-মায়ের সাথে থাকি, তত বেশি আমি বুঝতে পারি যে আমার বেশিরভাগ বন্ধুত্ব ইতিমধ্যেই মারা গেছে। আমি যদি এখানে থাকি এবং এত খারাপ রক্তপাত হয় তবে আমি কখনই ডেটিং শুরু করব না। আমাকে বেরিয়ে যেতে হবে, কিন্তু আমার কোথাও যাওয়ার জায"&amp;"়গা নেই, এবং আমি কেবল ভয় পাচ্ছি।")</f>
        <v>আমি কলেজ থেকে স্নাতক শেষ করেছি এবং... আমি জানি না এরপর কী করব। প্রতিটি বিকল্প আমাকে বমি বমি ভাবিয়ে তোলে। আমি আটলান্টায় স্কুলে গিয়েছিলাম এবং আমি এটিকে ঘৃণা করতাম, কিন্তু আমাকে আমার শহর ছেড়ে যেতে হবে। আমি প্রতিটি সেতু পুড়িয়ে ফেলেছি এবং এখানে আমার জন্য কিছুই অবশিষ্ট নেই। এছাড়াও আমার বাবা-মা চান যে আমি আবার গির্জায় যেতে শুরু করি যেমন আমি কখনও গির্জা ছেড়ে যাইনি (আর কখনও তা করতে পারি না)। কিন্তু আমার সব বন্ধুরা এখানে আছে, এবং আমি বন্ধুত্ব করতে ভয়ঙ্কর, তাই নতুন শহরে অন্ধভাবে ঝাঁপিয়ে পড়ার চিন্তা ভয়ঙ্কর, কিন্তু আমি যত বেশি সময় আমার বাবা-মায়ের সাথে থাকি, তত বেশি আমি বুঝতে পারি যে আমার বেশিরভাগ বন্ধুত্ব ইতিমধ্যেই মারা গেছে। আমি যদি এখানে থাকি এবং এত খারাপ রক্তপাত হয় তবে আমি কখনই ডেটিং শুরু করব না। আমাকে বেরিয়ে যেতে হবে, কিন্তু আমার কোথাও যাওয়ার জায়গা নেই, এবং আমি কেবল ভয় পাচ্ছি।</v>
      </c>
    </row>
    <row r="2894" spans="1:3" ht="15" x14ac:dyDescent="0.25">
      <c r="A2894" s="3" t="s">
        <v>2887</v>
      </c>
      <c r="B2894" s="3" t="s">
        <v>1992</v>
      </c>
      <c r="C2894" s="4" t="str">
        <f ca="1">IFERROR(__xludf.DUMMYFUNCTION("GOOGLETRANSLATE(A2894, ""auto"", ""bn"")"),"আতঙ্কিত হওয়ার আক্রমণ আমার আতঙ্কিত হয়ে পড়ছে। আমার ছেলে বিএমটি থেকে স্নাতক হয়েছে, আর সেদিন ছিল ঘটনাবহুল, সামাজিক সপ্তাহান্ত। আমার হোটেল রুমে সবাই খুব জোরে কথা বলছে এবং শব্দ হচ্ছে। আমি শান্ত থাকার চেষ্টা করছি, কিন্তু আমি চাই সবাই চুপ থাকুক। আমি ভালো নেই। দয়া"&amp;" করে সাহায্য করো।")</f>
        <v>আতঙ্কিত হওয়ার আক্রমণ আমার আতঙ্কিত হয়ে পড়ছে। আমার ছেলে বিএমটি থেকে স্নাতক হয়েছে, আর সেদিন ছিল ঘটনাবহুল, সামাজিক সপ্তাহান্ত। আমার হোটেল রুমে সবাই খুব জোরে কথা বলছে এবং শব্দ হচ্ছে। আমি শান্ত থাকার চেষ্টা করছি, কিন্তু আমি চাই সবাই চুপ থাকুক। আমি ভালো নেই। দয়া করে সাহায্য করো।</v>
      </c>
    </row>
    <row r="2895" spans="1:3" ht="15" x14ac:dyDescent="0.25">
      <c r="A2895" s="3" t="s">
        <v>2888</v>
      </c>
      <c r="B2895" s="3" t="s">
        <v>1992</v>
      </c>
      <c r="C2895" s="4" t="str">
        <f ca="1">IFERROR(__xludf.DUMMYFUNCTION("GOOGLETRANSLATE(A2895, ""auto"", ""bn"")"),"আমার মনে হয় আমি এতটাই ভেঙে পড়েছি যে ঠিক করতে পারছি না, আমার বয়স ৪২ বছর, একা, আর আমি কাউকে বিশ্বাস করতে পারছি না, এমনকি আমার পরিবারকেও। আমি ঈশ্বরকে বিশ্বাস করার জন্য যথাসাধ্য চেষ্টা করছি, কিন্তু আমি এখন যেখানে আছি সেখানে কখনও পৌঁছাতে পারিনি। তাছাড়া, আম"&amp;"ি জানি না কেন আমি এই পোস্ট করছি। আমার পরিস্থিতি কেউ পরিবর্তন করতে পারবে না। আমি ৪ বছরেরও বেশি সময় ধরে সুখী নই এবং আমার উদ্বেগ এতটাই বেড়ে গেছে যে আমি সময়/স্মৃতি হারিয়ে ফেলছি। আমার মস্তিষ্কের স্ক্যান করা হয়েছে...সব ঠিক আছে, এবং আমার কোনও হ্যালুসিনেশন হ"&amp;"চ্ছে না। কিন্তু এই বিরক্তিকর কণ্ঠস্বর...আমার নিজের বিবেক...আমাকে বিশ্রাম দিতে দিচ্ছে না। আমি সবসময় উদ্বিগ্ন থাকি, বিশ্লেষণ করি এবং সবকিছু ঠিক করার চেষ্টা করি কিন্তু এটি করে আমি পরিস্থিতি আরও খারাপ করি। আমি দুটি ভিন্ন ওষুধ খাচ্ছি, এবং মনে হচ্ছে আমি একটি প"&amp;"্লাসিবো খাচ্ছি। তাছাড়া, আমার স্বস্তির প্রয়োজন। তাছাড়া, আমি আর এটা নিতে পারছি না।")</f>
        <v>আমার মনে হয় আমি এতটাই ভেঙে পড়েছি যে ঠিক করতে পারছি না, আমার বয়স ৪২ বছর, একা, আর আমি কাউকে বিশ্বাস করতে পারছি না, এমনকি আমার পরিবারকেও। আমি ঈশ্বরকে বিশ্বাস করার জন্য যথাসাধ্য চেষ্টা করছি, কিন্তু আমি এখন যেখানে আছি সেখানে কখনও পৌঁছাতে পারিনি। তাছাড়া, আমি জানি না কেন আমি এই পোস্ট করছি। আমার পরিস্থিতি কেউ পরিবর্তন করতে পারবে না। আমি ৪ বছরেরও বেশি সময় ধরে সুখী নই এবং আমার উদ্বেগ এতটাই বেড়ে গেছে যে আমি সময়/স্মৃতি হারিয়ে ফেলছি। আমার মস্তিষ্কের স্ক্যান করা হয়েছে...সব ঠিক আছে, এবং আমার কোনও হ্যালুসিনেশন হচ্ছে না। কিন্তু এই বিরক্তিকর কণ্ঠস্বর...আমার নিজের বিবেক...আমাকে বিশ্রাম দিতে দিচ্ছে না। আমি সবসময় উদ্বিগ্ন থাকি, বিশ্লেষণ করি এবং সবকিছু ঠিক করার চেষ্টা করি কিন্তু এটি করে আমি পরিস্থিতি আরও খারাপ করি। আমি দুটি ভিন্ন ওষুধ খাচ্ছি, এবং মনে হচ্ছে আমি একটি প্লাসিবো খাচ্ছি। তাছাড়া, আমার স্বস্তির প্রয়োজন। তাছাড়া, আমি আর এটা নিতে পারছি না।</v>
      </c>
    </row>
    <row r="2896" spans="1:3" ht="15" x14ac:dyDescent="0.25">
      <c r="A2896" s="3" t="s">
        <v>2889</v>
      </c>
      <c r="B2896" s="3" t="s">
        <v>1992</v>
      </c>
      <c r="C2896" s="4" t="str">
        <f ca="1">IFERROR(__xludf.DUMMYFUNCTION("GOOGLETRANSLATE(A2896, ""auto"", ""bn"")"),"হঠাৎ মেনোপজ হওয়ার পর আমার প্রতিদিনের ওষুধের কার্যকারিতা কমে গেছে - আর কারো এই অভিজ্ঞতা হয়েছে? মেনোপজ শুরু হওয়ার পর কি কেউ তাদের নিয়মিত দৈনিক ওষুধ এবং/অথবা ওটিসি ওষুধের কার্যকারিতা হঠাৎ কমে গেছে? যদি তাই হয়, তাহলে কি আপনার কোন পরামর্শ বা চিকিৎসা জ্ঞান আছে"&amp;"? আমি সম্পূর্ণরূপে হতবাক কারণ আমি অনলাইনে এই ঘটনা সম্পর্কে কিছু খুঁজে পাচ্ছি না। আমি হতবাক। r/Menopause-এ আমি একটি দীর্ঘ প্রশ্ন পোস্ট করেছি এবং কয়েকদিন আগে এখানেও পোস্ট করেছি - কিন্তু কোনও উত্তর পাইনি। এটি একটি দীর্ঘ পোস্ট - দুঃখিত, আমি Reddit এর সাথে পর"&amp;"িচিত নই এবং সম্ভবত অতিরিক্ত শেয়ার করা হয়েছে, তবে এটি জটিল। আমি এই ঘটনার সমাধান বা এমনকি কারণ খুঁজে বের করার জন্য সত্যিই কঠোর চেষ্টা করছি। আবার ধন্যবাদ!")</f>
        <v>হঠাৎ মেনোপজ হওয়ার পর আমার প্রতিদিনের ওষুধের কার্যকারিতা কমে গেছে - আর কারো এই অভিজ্ঞতা হয়েছে? মেনোপজ শুরু হওয়ার পর কি কেউ তাদের নিয়মিত দৈনিক ওষুধ এবং/অথবা ওটিসি ওষুধের কার্যকারিতা হঠাৎ কমে গেছে? যদি তাই হয়, তাহলে কি আপনার কোন পরামর্শ বা চিকিৎসা জ্ঞান আছে? আমি সম্পূর্ণরূপে হতবাক কারণ আমি অনলাইনে এই ঘটনা সম্পর্কে কিছু খুঁজে পাচ্ছি না। আমি হতবাক। r/Menopause-এ আমি একটি দীর্ঘ প্রশ্ন পোস্ট করেছি এবং কয়েকদিন আগে এখানেও পোস্ট করেছি - কিন্তু কোনও উত্তর পাইনি। এটি একটি দীর্ঘ পোস্ট - দুঃখিত, আমি Reddit এর সাথে পরিচিত নই এবং সম্ভবত অতিরিক্ত শেয়ার করা হয়েছে, তবে এটি জটিল। আমি এই ঘটনার সমাধান বা এমনকি কারণ খুঁজে বের করার জন্য সত্যিই কঠোর চেষ্টা করছি। আবার ধন্যবাদ!</v>
      </c>
    </row>
    <row r="2897" spans="1:3" ht="15" x14ac:dyDescent="0.25">
      <c r="A2897" s="3" t="s">
        <v>2890</v>
      </c>
      <c r="B2897" s="3" t="s">
        <v>1992</v>
      </c>
      <c r="C2897" s="4" t="str">
        <f ca="1">IFERROR(__xludf.DUMMYFUNCTION("GOOGLETRANSLATE(A2897, ""auto"", ""bn"")"),"আমার উদ্বেগের আক্রমণ উদ্বেগ। আমি আর বাঁচতে চাই না, কিন্তু আমি মরতেও চাই না। ওষুধ, থেরাপি। সবকিছুই একটা সংগ্রাম। হতাশ, বোকা, অবাঞ্ছিত, ভালোবাসাহীন। মনে হচ্ছে আমার অন্যদের কাছ থেকে অনুমোদনের প্রয়োজন যারা সম্ভবত কোনও ব্যাপারই করে না বা পাত্তা দেয় না। এটা ক"&amp;"ি কখনও শেষ হয়?")</f>
        <v>আমার উদ্বেগের আক্রমণ উদ্বেগ। আমি আর বাঁচতে চাই না, কিন্তু আমি মরতেও চাই না। ওষুধ, থেরাপি। সবকিছুই একটা সংগ্রাম। হতাশ, বোকা, অবাঞ্ছিত, ভালোবাসাহীন। মনে হচ্ছে আমার অন্যদের কাছ থেকে অনুমোদনের প্রয়োজন যারা সম্ভবত কোনও ব্যাপারই করে না বা পাত্তা দেয় না। এটা কি কখনও শেষ হয়?</v>
      </c>
    </row>
    <row r="2898" spans="1:3" ht="15" x14ac:dyDescent="0.25">
      <c r="A2898" s="3" t="s">
        <v>2891</v>
      </c>
      <c r="B2898" s="3" t="s">
        <v>1992</v>
      </c>
      <c r="C2898" s="4" t="str">
        <f ca="1">IFERROR(__xludf.DUMMYFUNCTION("GOOGLETRANSLATE(A2898, ""auto"", ""bn"")"),"দুই সপ্তাহ আগে আমার প্রেমিকের সাথে আমার সম্পর্ক ভেঙে যায় এবং তারপর থেকে আমি অনেক লজ্জার সাথে লড়াই করছি। আমি লজ্জিত কারণ আমি এতদিন ধরে সম্পর্কটি টিকিয়ে রেখেছিলাম এবং যোগাযোগ করার এবং সবকিছু ঠিক করার চেষ্টা করেছিলাম, এবং এখন আমার মনে হচ্ছে আমার কোনও মর্য"&amp;"াদা ছিল না এবং আমার পা নত করে নিজের পক্ষে কথা বলা উচিত ছিল। আমি লজ্জিত যে সম্পর্কটি শেষ হয়ে গেছে তা নিয়ে আমার চিন্তা আছে। সবচেয়ে বেশি আমি নিরুৎসাহিত কারণ আমাদের কিছু পারস্পরিক শখ ছিল, এবং এখন আমি সেখানে উপস্থিত হতে এবং তার সাথে দেখা করতে ভয় পাই। সবকিছ"&amp;"ু খারাপভাবে শেষ হয়েছিল এবং অনেক নেতিবাচক কথা বলা হয়েছিল। আমার মনে হয়েছিল আমার প্রেমিক সবসময় আমাকে হতাশ করছিল এবং আমাকে কারসাজি করছিল, তাই আমার মনে হচ্ছে সে আমাদের কিছু পারস্পরিক বন্ধুদের এমন কিছু বলেছে যা সত্য নয়। আমার কাছে প্রমাণ নেই, কিন্তু আমার হত"&amp;"াশাগ্রস্ত মস্তিষ্ক আমাকে এটাই বলছে। তাই মনে হচ্ছে আমি কোথাও আমার মুখ দেখাতে চাই না বা আমার কোনও পুরানো শখ করতে চাই না। আমি বিচ্ছিন্ন বোধ করি এবং আমি নিজেকে কিছুটা হারিয়ে ফেলেছি এবং এর জন্য আমি নিজেকে ঘৃণা করি। এই সপ্তাহে আমার একজন থেরাপিস্টের সাথে অ্যাপয"&amp;"়েন্টমেন্ট আছে এবং আমি যেতেও চাই না কারণ আমি চিন্তিত যে সে আমাকে বিচার করবে এবং ভাববে যে আমি বোকা যে সে কী ভাবছে বা করছে তা নিয়ে এত মাথা ঘামাই।")</f>
        <v>দুই সপ্তাহ আগে আমার প্রেমিকের সাথে আমার সম্পর্ক ভেঙে যায় এবং তারপর থেকে আমি অনেক লজ্জার সাথে লড়াই করছি। আমি লজ্জিত কারণ আমি এতদিন ধরে সম্পর্কটি টিকিয়ে রেখেছিলাম এবং যোগাযোগ করার এবং সবকিছু ঠিক করার চেষ্টা করেছিলাম, এবং এখন আমার মনে হচ্ছে আমার কোনও মর্যাদা ছিল না এবং আমার পা নত করে নিজের পক্ষে কথা বলা উচিত ছিল। আমি লজ্জিত যে সম্পর্কটি শেষ হয়ে গেছে তা নিয়ে আমার চিন্তা আছে। সবচেয়ে বেশি আমি নিরুৎসাহিত কারণ আমাদের কিছু পারস্পরিক শখ ছিল, এবং এখন আমি সেখানে উপস্থিত হতে এবং তার সাথে দেখা করতে ভয় পাই। সবকিছু খারাপভাবে শেষ হয়েছিল এবং অনেক নেতিবাচক কথা বলা হয়েছিল। আমার মনে হয়েছিল আমার প্রেমিক সবসময় আমাকে হতাশ করছিল এবং আমাকে কারসাজি করছিল, তাই আমার মনে হচ্ছে সে আমাদের কিছু পারস্পরিক বন্ধুদের এমন কিছু বলেছে যা সত্য নয়। আমার কাছে প্রমাণ নেই, কিন্তু আমার হতাশাগ্রস্ত মস্তিষ্ক আমাকে এটাই বলছে। তাই মনে হচ্ছে আমি কোথাও আমার মুখ দেখাতে চাই না বা আমার কোনও পুরানো শখ করতে চাই না। আমি বিচ্ছিন্ন বোধ করি এবং আমি নিজেকে কিছুটা হারিয়ে ফেলেছি এবং এর জন্য আমি নিজেকে ঘৃণা করি। এই সপ্তাহে আমার একজন থেরাপিস্টের সাথে অ্যাপয়েন্টমেন্ট আছে এবং আমি যেতেও চাই না কারণ আমি চিন্তিত যে সে আমাকে বিচার করবে এবং ভাববে যে আমি বোকা যে সে কী ভাবছে বা করছে তা নিয়ে এত মাথা ঘামাই।</v>
      </c>
    </row>
    <row r="2899" spans="1:3" ht="15" x14ac:dyDescent="0.25">
      <c r="A2899" s="3" t="s">
        <v>2892</v>
      </c>
      <c r="B2899" s="3" t="s">
        <v>1992</v>
      </c>
      <c r="C2899" s="4" t="str">
        <f ca="1">IFERROR(__xludf.DUMMYFUNCTION("GOOGLETRANSLATE(A2899, ""auto"", ""bn"")"),"পার্শ্বপ্রতিক্রিয়া কমানোর উপায় কী? বন্ধুরা, এটা আমার প্রথম পোস্ট, আর আমি নিশ্চিত নই যে আর কোথায় যাবো কারণ আমি ইতিমধ্যেই একজন ডাক্তারের সাথে এই বিষয়ে কথা বলেছি। নভেম্বরে আমার GAD-এর জন্য আমাকে Zoloft দেওয়া হয়েছিল, যার শুরু হয়েছিল 25mg থেকে। আমার ভাল"&amp;"ো লাগছে কিন্তু মনে হচ্ছে আমার হয়তো আরও একটু বেশি প্রয়োজন তাই আমার ডাক্তারের সাথে কথা বললাম, এবং তারা ডোজ বাড়িয়ে 50mg করে দিল। আমি 50mg খাওয়া শুরু করার পর থেকে আমার ভয়ানক, ঘন ঘন ডায়রিয়া হয়েছে। অবিরাম। আমি এক মাস ধরে ডোজটি চালিয়ে যাচ্ছিলাম এই আশায"&amp;"় যে এটি কমে যাবে। আমি দিনে 4 বারেরও বেশি বাথরুমে যেতাম। এর আগে আমার খুব কমই দিনে একবারের বেশি মলত্যাগ হত। আমি Medium খাওয়ার চেষ্টা করেছিলাম, এটি সাহায্য করেনি। আমি Pesto চেষ্টা করেছিলাম, এটি কিছুটা সাহায্য করে কিন্তু যথেষ্ট ছিল না। তাছাড়া, আমি খালি পেট"&amp;"ে না খেয়ে Zoloft খাওয়ার চেষ্টা করেছি। কিছুটা সাহায্য করেছে কিন্তু খুব বেশি নয়। অবশেষে আবার ডাক্তারের সাথে কথা বললাম, এবং তাকে Elena 20mg নিতে হয়েছিল। আমি এখনও আমার পেট খারাপ করছি। আমি জানি জোলফটের সিস্টেম থেকে বেরিয়ে আসতে কয়েক দিন সময় লাগে, কিন্তু "&amp;"আমার ত্বক ফেটে গেছে এবং ক্রমাগত মোছার ফলে আমার গাধা থেকে রক্ত ​​বের হয়ে গেছে... তাছাড়া, আমি দুঃখিত এটি অত্যন্ত খারাপ এবং TMI, তবে আমি ওষুধ বন্ধ করার কথা গুরুত্ব সহকারে বিবেচনা করছি যাতে আমি নিজেকে আরও বেশি আঘাত করতে না পারি। আমার কি কেবল জোলফট আমার সিস্"&amp;"টেম থেকে বেরিয়ে আসার জন্য অপেক্ষা করা উচিত এবং আশা করা উচিত যে এলেনা আমাকে একই পার্শ্ব প্রতিক্রিয়া দেবে না? আমি কি এমন খাবার খেতে পারি যা খাওয়ার সাথে সাথেই আমাকে বাথরুমে যেতে বাধ্য করবে না? বাথরুমের জিনিসপত্র নিয়ে আমার ইতিমধ্যেই উদ্বেগ রয়েছে এবং এখন "&amp;"কর্মক্ষেত্রে বা জনসমক্ষে নিজেকে নোংরা করার ভয়ে আছি। যদি এটি অন্য কোথাও পোস্ট করা হয় তবে দয়া করে আমাকে জানান কারণ আমি আমার বুদ্ধির শেষ প্রান্তে আছি।")</f>
        <v>পার্শ্বপ্রতিক্রিয়া কমানোর উপায় কী? বন্ধুরা, এটা আমার প্রথম পোস্ট, আর আমি নিশ্চিত নই যে আর কোথায় যাবো কারণ আমি ইতিমধ্যেই একজন ডাক্তারের সাথে এই বিষয়ে কথা বলেছি। নভেম্বরে আমার GAD-এর জন্য আমাকে Zoloft দেওয়া হয়েছিল, যার শুরু হয়েছিল 25mg থেকে। আমার ভালো লাগছে কিন্তু মনে হচ্ছে আমার হয়তো আরও একটু বেশি প্রয়োজন তাই আমার ডাক্তারের সাথে কথা বললাম, এবং তারা ডোজ বাড়িয়ে 50mg করে দিল। আমি 50mg খাওয়া শুরু করার পর থেকে আমার ভয়ানক, ঘন ঘন ডায়রিয়া হয়েছে। অবিরাম। আমি এক মাস ধরে ডোজটি চালিয়ে যাচ্ছিলাম এই আশায় যে এটি কমে যাবে। আমি দিনে 4 বারেরও বেশি বাথরুমে যেতাম। এর আগে আমার খুব কমই দিনে একবারের বেশি মলত্যাগ হত। আমি Medium খাওয়ার চেষ্টা করেছিলাম, এটি সাহায্য করেনি। আমি Pesto চেষ্টা করেছিলাম, এটি কিছুটা সাহায্য করে কিন্তু যথেষ্ট ছিল না। তাছাড়া, আমি খালি পেটে না খেয়ে Zoloft খাওয়ার চেষ্টা করেছি। কিছুটা সাহায্য করেছে কিন্তু খুব বেশি নয়। অবশেষে আবার ডাক্তারের সাথে কথা বললাম, এবং তাকে Elena 20mg নিতে হয়েছিল। আমি এখনও আমার পেট খারাপ করছি। আমি জানি জোলফটের সিস্টেম থেকে বেরিয়ে আসতে কয়েক দিন সময় লাগে, কিন্তু আমার ত্বক ফেটে গেছে এবং ক্রমাগত মোছার ফলে আমার গাধা থেকে রক্ত ​​বের হয়ে গেছে... তাছাড়া, আমি দুঃখিত এটি অত্যন্ত খারাপ এবং TMI, তবে আমি ওষুধ বন্ধ করার কথা গুরুত্ব সহকারে বিবেচনা করছি যাতে আমি নিজেকে আরও বেশি আঘাত করতে না পারি। আমার কি কেবল জোলফট আমার সিস্টেম থেকে বেরিয়ে আসার জন্য অপেক্ষা করা উচিত এবং আশা করা উচিত যে এলেনা আমাকে একই পার্শ্ব প্রতিক্রিয়া দেবে না? আমি কি এমন খাবার খেতে পারি যা খাওয়ার সাথে সাথেই আমাকে বাথরুমে যেতে বাধ্য করবে না? বাথরুমের জিনিসপত্র নিয়ে আমার ইতিমধ্যেই উদ্বেগ রয়েছে এবং এখন কর্মক্ষেত্রে বা জনসমক্ষে নিজেকে নোংরা করার ভয়ে আছি। যদি এটি অন্য কোথাও পোস্ট করা হয় তবে দয়া করে আমাকে জানান কারণ আমি আমার বুদ্ধির শেষ প্রান্তে আছি।</v>
      </c>
    </row>
    <row r="2900" spans="1:3" ht="15" x14ac:dyDescent="0.25">
      <c r="A2900" s="3" t="s">
        <v>2893</v>
      </c>
      <c r="B2900" s="3" t="s">
        <v>1992</v>
      </c>
      <c r="C2900" s="4" t="str">
        <f ca="1">IFERROR(__xludf.DUMMYFUNCTION("GOOGLETRANSLATE(A2900, ""auto"", ""bn"")"),"কে দীর্ঘদিন ধরে লোরাজেপাম (এশিয়ান) ব্যবহার করছেন? হ্যালো সকলকে, আমাকে প্রায় ২ বছর আগে লোরাজেপাম প্রেসক্রাইব করা হয়েছে। ডোজ প্রতিদিন ১ মিলিগ্রাম, কিন্তু আমি এটি প্রতিদিন খুব কমই গ্রহণ করি। মাঝে মাঝে আমি ০.৫ মিলিগ্রাম বা ১ মিলিগ্রাম সপ্তাহে ৫ বার পর্যন্ত"&amp;" গ্রহণ করি, অথবা কখনও কখনও সপ্তাহে একেবারেই গ্রহণ করি না। বেজোস দীর্ঘমেয়াদী গ্রহণ করা ভালো নয়, এমন অনেক কিছু অনলাইনে পড়েছি, কিন্তু আমার মনে হচ্ছে আমাকে তা করতে হতে পারে। আমি একটি উচ্চ চাপ কমিশনের বিক্রয়ের কাজ শুরু করেছিলাম যা ৩ বছর আগে উদ্বেগের কারণে "&amp;"এই পেশা ছেড়ে দিয়েছিলাম, এবং এখন আমি ফিরে এসেছি কারণ এটি আমাকে যে অর্থ উপার্জন করতে পারে তার কারণে। আমার প্রথম সপ্তাহ আমি প্রতিদিন সকালে ১ মিলিগ্রাম গ্রহণ করেছি এবং আমার মনে হয় এটি আমাকে কর্মক্ষেত্রে অনেক সাহায্য করে, তবে আমি দীর্ঘমেয়াদী প্রভাব সম্পর্ক"&amp;"েও ভীত। এশিয়ান ব্যবহারের দীর্ঘমেয়াদী ব্যবহারের সাথে মানুষের কোন অভিজ্ঞতা আছে তা আমি শুনতে চাই।")</f>
        <v>কে দীর্ঘদিন ধরে লোরাজেপাম (এশিয়ান) ব্যবহার করছেন? হ্যালো সকলকে, আমাকে প্রায় ২ বছর আগে লোরাজেপাম প্রেসক্রাইব করা হয়েছে। ডোজ প্রতিদিন ১ মিলিগ্রাম, কিন্তু আমি এটি প্রতিদিন খুব কমই গ্রহণ করি। মাঝে মাঝে আমি ০.৫ মিলিগ্রাম বা ১ মিলিগ্রাম সপ্তাহে ৫ বার পর্যন্ত গ্রহণ করি, অথবা কখনও কখনও সপ্তাহে একেবারেই গ্রহণ করি না। বেজোস দীর্ঘমেয়াদী গ্রহণ করা ভালো নয়, এমন অনেক কিছু অনলাইনে পড়েছি, কিন্তু আমার মনে হচ্ছে আমাকে তা করতে হতে পারে। আমি একটি উচ্চ চাপ কমিশনের বিক্রয়ের কাজ শুরু করেছিলাম যা ৩ বছর আগে উদ্বেগের কারণে এই পেশা ছেড়ে দিয়েছিলাম, এবং এখন আমি ফিরে এসেছি কারণ এটি আমাকে যে অর্থ উপার্জন করতে পারে তার কারণে। আমার প্রথম সপ্তাহ আমি প্রতিদিন সকালে ১ মিলিগ্রাম গ্রহণ করেছি এবং আমার মনে হয় এটি আমাকে কর্মক্ষেত্রে অনেক সাহায্য করে, তবে আমি দীর্ঘমেয়াদী প্রভাব সম্পর্কেও ভীত। এশিয়ান ব্যবহারের দীর্ঘমেয়াদী ব্যবহারের সাথে মানুষের কোন অভিজ্ঞতা আছে তা আমি শুনতে চাই।</v>
      </c>
    </row>
    <row r="2901" spans="1:3" ht="15" x14ac:dyDescent="0.25">
      <c r="A2901" s="3" t="s">
        <v>2894</v>
      </c>
      <c r="B2901" s="3" t="s">
        <v>1992</v>
      </c>
      <c r="C2901" s="4" t="str">
        <f ca="1">IFERROR(__xludf.DUMMYFUNCTION("GOOGLETRANSLATE(A2901, ""auto"", ""bn"")"),"আগামীকাল থেকে ক্লাস শুরু হওয়ার জন্য আমি প্রস্তুত নই এবং আমি ঘুমাতে পারছি না আমি ক্লাসের জন্য প্রস্তুত নই আমি প্রস্তুত নই আমি প্রস্তুত নই আমি প্রস্তুত নই আমি আতঙ্কিত, আমি নিজেকে বললাম ""সবচেয়ে খারাপ কী ঘটতে পারে?"" যতক্ষণ না আমি বুঝতে পারি যে অনেক কিছু ভ"&amp;"ুল হতে পারে, এবং এখন আমি ঘুমাতে পারছি না আমি গত সেমিস্টারে আমার প্রথম ক্লাসে ফেল করেছি এবং আবারও এমন ঘটনা ঘটতে ভয় পাচ্ছি")</f>
        <v>আগামীকাল থেকে ক্লাস শুরু হওয়ার জন্য আমি প্রস্তুত নই এবং আমি ঘুমাতে পারছি না আমি ক্লাসের জন্য প্রস্তুত নই আমি প্রস্তুত নই আমি প্রস্তুত নই আমি প্রস্তুত নই আমি আতঙ্কিত, আমি নিজেকে বললাম "সবচেয়ে খারাপ কী ঘটতে পারে?" যতক্ষণ না আমি বুঝতে পারি যে অনেক কিছু ভুল হতে পারে, এবং এখন আমি ঘুমাতে পারছি না আমি গত সেমিস্টারে আমার প্রথম ক্লাসে ফেল করেছি এবং আবারও এমন ঘটনা ঘটতে ভয় পাচ্ছি</v>
      </c>
    </row>
    <row r="2902" spans="1:3" ht="15" x14ac:dyDescent="0.25">
      <c r="A2902" s="3" t="s">
        <v>2895</v>
      </c>
      <c r="B2902" s="3" t="s">
        <v>1992</v>
      </c>
      <c r="C2902" s="4" t="str">
        <f ca="1">IFERROR(__xludf.DUMMYFUNCTION("GOOGLETRANSLATE(A2902, ""auto"", ""bn"")"),"অন্য কারো কি মনে হয় যে তাদের উদ্বেগ তাদের তিক্ত এবং দুঃখজনক করে তোলে? যদি এই পোস্টটি অগোছালো/বিভ্রান্তিকর/করুণ হয়ে ওঠে, তাহলে আমি দুঃখিত, কিন্তু আমার কেবল মুখ খুলে বলা উচিত। আমি জানি না আমার সাথে কী হচ্ছে, কিন্তু আমি সম্প্রতি খুব রেগে আছি। আমার জীবনে ভা"&amp;"লো কিছু আছে এবং আমি সম্ভবত আরও সুখী হতে পারি, কিন্তু আমার ভিতরের কিছু আমাকে আটকে রেখেছে। আমি সবকিছু করছি: নিজের যত্ন নেওয়া, ভালো খাওয়া, ব্যায়াম করা, সামাজিকীকরণ করা, কাজ করা, আমার ডিগ্রি শেষ করা, ধ্যান করা, ব্লা ব্লা ব্লা ব্লা। আমি সুস্থ আছি, এবং সৌভাগ্"&amp;"যবশত আমার একটি প্রেমময় পরিবার এবং কয়েকজন ভালো বন্ধু আছে, কিন্তু আমি এখনও মৃত্যুর মতো অনুভব করি। তাছাড়া, আমি সবসময়ই একজন উদ্বিগ্ন ব্যক্তি, এবং এটি সত্যিই মাঝে মাঝে আমাকে অনুপ্রাণিত করতে সাহায্য করেছে, কিন্তু এটি আমাকে আরও বেশি করে একজন বোকা বানাচ্ছে। কী"&amp;" দেয়? আমি সম্ভবত কেবল একটি মুহূর্ত কাটাচ্ছি, কিন্তু মনে হচ্ছে সম্প্রতি আমি অনেক মুহূর্ত কাটাচ্ছি। উফ, আমি জানি না। বকবক শেষ। আমার কেবল এই বাজে কথাটি ছেড়ে দেওয়া দরকার ছিল।")</f>
        <v>অন্য কারো কি মনে হয় যে তাদের উদ্বেগ তাদের তিক্ত এবং দুঃখজনক করে তোলে? যদি এই পোস্টটি অগোছালো/বিভ্রান্তিকর/করুণ হয়ে ওঠে, তাহলে আমি দুঃখিত, কিন্তু আমার কেবল মুখ খুলে বলা উচিত। আমি জানি না আমার সাথে কী হচ্ছে, কিন্তু আমি সম্প্রতি খুব রেগে আছি। আমার জীবনে ভালো কিছু আছে এবং আমি সম্ভবত আরও সুখী হতে পারি, কিন্তু আমার ভিতরের কিছু আমাকে আটকে রেখেছে। আমি সবকিছু করছি: নিজের যত্ন নেওয়া, ভালো খাওয়া, ব্যায়াম করা, সামাজিকীকরণ করা, কাজ করা, আমার ডিগ্রি শেষ করা, ধ্যান করা, ব্লা ব্লা ব্লা ব্লা। আমি সুস্থ আছি, এবং সৌভাগ্যবশত আমার একটি প্রেমময় পরিবার এবং কয়েকজন ভালো বন্ধু আছে, কিন্তু আমি এখনও মৃত্যুর মতো অনুভব করি। তাছাড়া, আমি সবসময়ই একজন উদ্বিগ্ন ব্যক্তি, এবং এটি সত্যিই মাঝে মাঝে আমাকে অনুপ্রাণিত করতে সাহায্য করেছে, কিন্তু এটি আমাকে আরও বেশি করে একজন বোকা বানাচ্ছে। কী দেয়? আমি সম্ভবত কেবল একটি মুহূর্ত কাটাচ্ছি, কিন্তু মনে হচ্ছে সম্প্রতি আমি অনেক মুহূর্ত কাটাচ্ছি। উফ, আমি জানি না। বকবক শেষ। আমার কেবল এই বাজে কথাটি ছেড়ে দেওয়া দরকার ছিল।</v>
      </c>
    </row>
    <row r="2903" spans="1:3" ht="15" x14ac:dyDescent="0.25">
      <c r="A2903" s="3" t="s">
        <v>2896</v>
      </c>
      <c r="B2903" s="3" t="s">
        <v>1992</v>
      </c>
      <c r="C2903" s="4" t="str">
        <f ca="1">IFERROR(__xludf.DUMMYFUNCTION("GOOGLETRANSLATE(A2903, ""auto"", ""bn"")"),"অল্প কিছু টাকা অনেক বেশি চিন্তার কারণ। আমি সম্প্রতি বিশ্ববিদ্যালয়ে ভর্তি হয়েছি এবং আমার বাবা-মা আমার প্রথম বছরের খরচ বহন করতে সাহায্য করছেন, যার জন্য আমি খুবই ভরা, কিন্তু খরচ করা টাকা খরচের দুশ্চিন্তা আমাকে অনেক কষ্ট দিচ্ছে, তাই আমি ঘুমাতে পারছি না, এবং "&amp;"এটা নিয়ে ভাবতে ভাবতেই আমার বমি বমি ভাব শুরু হয়ে যাচ্ছে। সম্প্রতি আমি একটি পাঠ্যবই কিনেছি যা আমার প্রয়োজন নেই, এবং আমি এটি ফেরত দিতে যাচ্ছিলাম, কিন্তু এটি আমার ব্যাগে থাকাকালীন কিছু ছোট ছোট দাগ আছে, তাই আমি জানি না তারা এটি ফেরত নেবে কিনা এবং পাঠ্যবইতে খর"&amp;"চ করা ৬০ ডলার মূলত নষ্ট হয়ে যাবে এই ধারণাটিই এখন আমার মনে আসে, এবং আমি ভাবছিলাম যে আপনারা কি এই ধরণের জিনিস নিয়ে চিন্তিত এবং কী সাহায্য করতে পারে।")</f>
        <v>অল্প কিছু টাকা অনেক বেশি চিন্তার কারণ। আমি সম্প্রতি বিশ্ববিদ্যালয়ে ভর্তি হয়েছি এবং আমার বাবা-মা আমার প্রথম বছরের খরচ বহন করতে সাহায্য করছেন, যার জন্য আমি খুবই ভরা, কিন্তু খরচ করা টাকা খরচের দুশ্চিন্তা আমাকে অনেক কষ্ট দিচ্ছে, তাই আমি ঘুমাতে পারছি না, এবং এটা নিয়ে ভাবতে ভাবতেই আমার বমি বমি ভাব শুরু হয়ে যাচ্ছে। সম্প্রতি আমি একটি পাঠ্যবই কিনেছি যা আমার প্রয়োজন নেই, এবং আমি এটি ফেরত দিতে যাচ্ছিলাম, কিন্তু এটি আমার ব্যাগে থাকাকালীন কিছু ছোট ছোট দাগ আছে, তাই আমি জানি না তারা এটি ফেরত নেবে কিনা এবং পাঠ্যবইতে খরচ করা ৬০ ডলার মূলত নষ্ট হয়ে যাবে এই ধারণাটিই এখন আমার মনে আসে, এবং আমি ভাবছিলাম যে আপনারা কি এই ধরণের জিনিস নিয়ে চিন্তিত এবং কী সাহায্য করতে পারে।</v>
      </c>
    </row>
    <row r="2904" spans="1:3" ht="15" x14ac:dyDescent="0.25">
      <c r="A2904" s="3" t="s">
        <v>2897</v>
      </c>
      <c r="B2904" s="3" t="s">
        <v>1992</v>
      </c>
      <c r="C2904" s="4" t="str">
        <f ca="1">IFERROR(__xludf.DUMMYFUNCTION("GOOGLETRANSLATE(A2904, ""auto"", ""bn"")"),"আপনার অভিজ্ঞতায়, সাধারণ উদ্বেগজনিত ব্যাধির চিকিৎসায় SSRI কি কার্যকর ছিল? আমার GAD ধরা পড়েছে এবং আমি কি ওষুধের কথা ভাবছি? আপনার অভিজ্ঞতা কেমন?")</f>
        <v>আপনার অভিজ্ঞতায়, সাধারণ উদ্বেগজনিত ব্যাধির চিকিৎসায় SSRI কি কার্যকর ছিল? আমার GAD ধরা পড়েছে এবং আমি কি ওষুধের কথা ভাবছি? আপনার অভিজ্ঞতা কেমন?</v>
      </c>
    </row>
    <row r="2905" spans="1:3" ht="15" x14ac:dyDescent="0.25">
      <c r="A2905" s="3" t="s">
        <v>2898</v>
      </c>
      <c r="B2905" s="3" t="s">
        <v>1992</v>
      </c>
      <c r="C2905" s="4" t="str">
        <f ca="1">IFERROR(__xludf.DUMMYFUNCTION("GOOGLETRANSLATE(A2905, ""auto"", ""bn"")"),"আমি যেখানে থাকি সেখানে আমার কোন বন্ধু নেই। আমি প্রায় ৪ মাস আগে বিদেশে চলে এসেছি, এবং যদিও আমি এই সংস্কৃতির সাথে বেশ ভালোভাবে মানিয়ে নিই, আমি বাড়ির লোক ছাড়া অন্য কারো সাথে কথা বলার জন্য কাউকে চিনি না। আমি বেশ একা, এবং এটি আমাকে কিছুটা দুঃখিত করে, আমি চ"&amp;"িন্তিত যে নিয়মিত আড্ডা দেওয়ার জন্য আমার অনেক সময় লাগবে। আমি একজন বহির্মুখী ব্যক্তি যার সামাজিক উদ্বেগ বেশ উল্লেখযোগ্য পরিমাণে। আমি আমার দৈনন্দিন জীবনযাপনের সমস্ত কাজ সম্পন্ন করছি, কিন্তু ছুটির দিন থেকে বাড়ি ফিরে আসার সাথে সাথে, আমার সমস্ত পুরানো বন্ধু"&amp;"দের দেখে বোঝা যাচ্ছে যে এই দেশে আমার অন্য কোনও মানুষের সাথে কোনও সংযোগ নেই। আমি এটা অনেক ভালোবাসি, কিন্তু আমি যেমন *Ea›VA›Ea›RA›y* জিনিস একা করি, এবং এটি আমাকে একটু দুঃখিত করে। যখন আমি এই স্থানান্তরের পরিকল্পনা করেছিলাম তখন আমার সামাজিক লক্ষ্যগুলি কিছুটা "&amp;"অতিরঞ্জিত ছিল, আমাকে বছরের শেষের দিকে কিছু সামাজিক লক্ষ্য পুনর্মূল্যায়ন করতে হয়েছিল এবং স্কেল করতে হয়েছিল।")</f>
        <v>আমি যেখানে থাকি সেখানে আমার কোন বন্ধু নেই। আমি প্রায় ৪ মাস আগে বিদেশে চলে এসেছি, এবং যদিও আমি এই সংস্কৃতির সাথে বেশ ভালোভাবে মানিয়ে নিই, আমি বাড়ির লোক ছাড়া অন্য কারো সাথে কথা বলার জন্য কাউকে চিনি না। আমি বেশ একা, এবং এটি আমাকে কিছুটা দুঃখিত করে, আমি চিন্তিত যে নিয়মিত আড্ডা দেওয়ার জন্য আমার অনেক সময় লাগবে। আমি একজন বহির্মুখী ব্যক্তি যার সামাজিক উদ্বেগ বেশ উল্লেখযোগ্য পরিমাণে। আমি আমার দৈনন্দিন জীবনযাপনের সমস্ত কাজ সম্পন্ন করছি, কিন্তু ছুটির দিন থেকে বাড়ি ফিরে আসার সাথে সাথে, আমার সমস্ত পুরানো বন্ধুদের দেখে বোঝা যাচ্ছে যে এই দেশে আমার অন্য কোনও মানুষের সাথে কোনও সংযোগ নেই। আমি এটা অনেক ভালোবাসি, কিন্তু আমি যেমন *Ea›VA›Ea›RA›y* জিনিস একা করি, এবং এটি আমাকে একটু দুঃখিত করে। যখন আমি এই স্থানান্তরের পরিকল্পনা করেছিলাম তখন আমার সামাজিক লক্ষ্যগুলি কিছুটা অতিরঞ্জিত ছিল, আমাকে বছরের শেষের দিকে কিছু সামাজিক লক্ষ্য পুনর্মূল্যায়ন করতে হয়েছিল এবং স্কেল করতে হয়েছিল।</v>
      </c>
    </row>
    <row r="2906" spans="1:3" ht="15" x14ac:dyDescent="0.25">
      <c r="A2906" s="3" t="s">
        <v>2899</v>
      </c>
      <c r="B2906" s="3" t="s">
        <v>1992</v>
      </c>
      <c r="C2906" s="4" t="str">
        <f ca="1">IFERROR(__xludf.DUMMYFUNCTION("GOOGLETRANSLATE(A2906, ""auto"", ""bn"")"),"আমার নিজের ব্যক্তিগত ত্রাণকর্তা, আমি সম্প্রতি আমার উদ্বেগের ক্ষেত্রে একটি যুগান্তকারী পর্যায়ে এসে পৌঁছেছি। আমরা সকলেই ভবিষ্যৎ নিয়ে এত চিন্তিত এবং অবচেতনভাবে ভবিষ্যতের পরিস্থিতির নেতিবাচক সংস্করণগুলি সম্পূর্ণরূপে উপলব্ধি না করেই ভবিষ্যৎ পরিস্থিতির নেতিবা"&amp;"চক সংস্করণগুলি ভবিষ্যদ্বাণী করি। যাইহোক, আপনার শরীর এতে এমনভাবে প্রতিক্রিয়া দেখায় যেন এই কাল্পনিক হুমকিটি বাস্তব, যা উদ্বেগের শারীরিক অনুভূতি তৈরি করে। প্রায় পাঁচ বছরেরও বেশি সময় ধরে উদ্বেগে ভুগবার পর আমি অবশেষে এমন একটি কৌশল খুঁজে পেয়েছি যা প্রায় য"&amp;"েকোনো সময়, যেকোনো স্থানে আমার জন্য কাজ করে। এবং আমার লক্ষণগুলি 90% পর্যন্ত কমাতে পারে। এই পদ্ধতিটি নিম্নরূপ: আপনি কখন উদ্বিগ্ন হয়ে পড়বেন সে সম্পর্কে সচেতন থাকুন। যখনই আপনি অনুভব করেন যে আপনার শরীর উত্তেজনাপূর্ণ হতে শুরু করেছে, এর অর্থ সাধারণত একটি উদ্ব"&amp;"েগজনক মন্ত্র শুরু হচ্ছে, এমনকি যদি আপনি সেই সময়ে কী নিয়ে উদ্বিগ্ন তা সম্পর্কে সম্পূর্ণরূপে অবগত না হন। সংবেদনটি লক্ষ্য করার পরে, অবিলম্বে নিজেকে নিরপেক্ষ, বিচ্ছিন্ন সুরে বলুন যে আমি ভবিষ্যতের ভবিষ্যদ্বাণী করতে পারি না। আমি জানি না কী ঘটবে, আক্ষরিক অর্থে"&amp;"ই যেকোনো কিছু ঘটতে পারে। Â এর পরে, এমন একটি ভবিষ্যতের দিকে মনোনিবেশ করুন যা সম্পর্কে আপনি সম্ভবত উদ্বিগ্ন বোধ করছেন (কর্মক্ষেত্রে এমন একটি সভায় যা নিয়ে আপনি নার্ভাস বোধ করছেন) এবং নিজেকে সম্পূর্ণ শান্ত, সক্ষম এবং সফলভাবে কাজ করার অনুভূতি অনুভব করুন। নি"&amp;"জেকে বলতে সক্ষম হওয়া যে, কী ঘটবে তা তুমি জানো না, উদ্বিগ্ন আবেগগুলোকে তাদের শক্তি হারাতে দেওয়ার জন্য প্রাথমিকভাবে প্রস্তুতি নেওয়া, তারপর এমন পরিস্থিতির (যেখানে তুমি উদ্বেগমুক্ত এবং সহজেই তোমার লক্ষ্য অর্জন করতে পারো) ইতিবাচক ফলাফলের উপর মনোযোগ কেন্দ্রীভূত"&amp;" করা, উদ্বিগ্ন চিন্তাকে ইতিবাচক চিন্তা দিয়ে কার্যকরভাবে প্রতিস্থাপন করতে সাহায্য করবে। এটি আমার জন্য বিস্ময়করভাবে কাজ করছে। যদিও এটি স্থায়ী সমাধান নয়, এটি গত কয়েকদিন ধরে আমার উদ্বেগের লক্ষণগুলি (এবং ফলস্বরূপ বিষণ্ণতা) নাটকীয়ভাবে হ্রাস করেছে। আমার লক"&amp;"্ষ্য হল এই ধরণের চিন্তাভাবনাকে অভ্যাসে পরিণত করা। আমি সত্যি বলতে, পরিস্থিতির নেতিবাচক সংস্করণগুলি ভবিষ্যদ্বাণী করার চেষ্টা করার চেয়ে কী ঘটবে তা বিশ্বাস করে অনেক বেশি স্বাচ্ছন্দ্য বোধ করি। TLDR: যখন তুমি উদ্বিগ্ন বোধ করো, নিজেকে বলো যে তুমি ভবিষ্যতের ভবিষ"&amp;"্যদ্বাণী করতে পারো না এবং তারপর অবিলম্বে এমন পরিস্থিতির উপর মনোযোগ দাও যেখানে তুমি ব্যায়াম করার জন্য উদ্বিগ্ন, সেইসাথে তুমি শান্ত এবং আত্মবিশ্বাসী বোধ করো।")</f>
        <v>আমার নিজের ব্যক্তিগত ত্রাণকর্তা, আমি সম্প্রতি আমার উদ্বেগের ক্ষেত্রে একটি যুগান্তকারী পর্যায়ে এসে পৌঁছেছি। আমরা সকলেই ভবিষ্যৎ নিয়ে এত চিন্তিত এবং অবচেতনভাবে ভবিষ্যতের পরিস্থিতির নেতিবাচক সংস্করণগুলি সম্পূর্ণরূপে উপলব্ধি না করেই ভবিষ্যৎ পরিস্থিতির নেতিবাচক সংস্করণগুলি ভবিষ্যদ্বাণী করি। যাইহোক, আপনার শরীর এতে এমনভাবে প্রতিক্রিয়া দেখায় যেন এই কাল্পনিক হুমকিটি বাস্তব, যা উদ্বেগের শারীরিক অনুভূতি তৈরি করে। প্রায় পাঁচ বছরেরও বেশি সময় ধরে উদ্বেগে ভুগবার পর আমি অবশেষে এমন একটি কৌশল খুঁজে পেয়েছি যা প্রায় যেকোনো সময়, যেকোনো স্থানে আমার জন্য কাজ করে। এবং আমার লক্ষণগুলি 90% পর্যন্ত কমাতে পারে। এই পদ্ধতিটি নিম্নরূপ: আপনি কখন উদ্বিগ্ন হয়ে পড়বেন সে সম্পর্কে সচেতন থাকুন। যখনই আপনি অনুভব করেন যে আপনার শরীর উত্তেজনাপূর্ণ হতে শুরু করেছে, এর অর্থ সাধারণত একটি উদ্বেগজনক মন্ত্র শুরু হচ্ছে, এমনকি যদি আপনি সেই সময়ে কী নিয়ে উদ্বিগ্ন তা সম্পর্কে সম্পূর্ণরূপে অবগত না হন। সংবেদনটি লক্ষ্য করার পরে, অবিলম্বে নিজেকে নিরপেক্ষ, বিচ্ছিন্ন সুরে বলুন যে আমি ভবিষ্যতের ভবিষ্যদ্বাণী করতে পারি না। আমি জানি না কী ঘটবে, আক্ষরিক অর্থেই যেকোনো কিছু ঘটতে পারে। Â এর পরে, এমন একটি ভবিষ্যতের দিকে মনোনিবেশ করুন যা সম্পর্কে আপনি সম্ভবত উদ্বিগ্ন বোধ করছেন (কর্মক্ষেত্রে এমন একটি সভায় যা নিয়ে আপনি নার্ভাস বোধ করছেন) এবং নিজেকে সম্পূর্ণ শান্ত, সক্ষম এবং সফলভাবে কাজ করার অনুভূতি অনুভব করুন। নিজেকে বলতে সক্ষম হওয়া যে, কী ঘটবে তা তুমি জানো না, উদ্বিগ্ন আবেগগুলোকে তাদের শক্তি হারাতে দেওয়ার জন্য প্রাথমিকভাবে প্রস্তুতি নেওয়া, তারপর এমন পরিস্থিতির (যেখানে তুমি উদ্বেগমুক্ত এবং সহজেই তোমার লক্ষ্য অর্জন করতে পারো) ইতিবাচক ফলাফলের উপর মনোযোগ কেন্দ্রীভূত করা, উদ্বিগ্ন চিন্তাকে ইতিবাচক চিন্তা দিয়ে কার্যকরভাবে প্রতিস্থাপন করতে সাহায্য করবে। এটি আমার জন্য বিস্ময়করভাবে কাজ করছে। যদিও এটি স্থায়ী সমাধান নয়, এটি গত কয়েকদিন ধরে আমার উদ্বেগের লক্ষণগুলি (এবং ফলস্বরূপ বিষণ্ণতা) নাটকীয়ভাবে হ্রাস করেছে। আমার লক্ষ্য হল এই ধরণের চিন্তাভাবনাকে অভ্যাসে পরিণত করা। আমি সত্যি বলতে, পরিস্থিতির নেতিবাচক সংস্করণগুলি ভবিষ্যদ্বাণী করার চেষ্টা করার চেয়ে কী ঘটবে তা বিশ্বাস করে অনেক বেশি স্বাচ্ছন্দ্য বোধ করি। TLDR: যখন তুমি উদ্বিগ্ন বোধ করো, নিজেকে বলো যে তুমি ভবিষ্যতের ভবিষ্যদ্বাণী করতে পারো না এবং তারপর অবিলম্বে এমন পরিস্থিতির উপর মনোযোগ দাও যেখানে তুমি ব্যায়াম করার জন্য উদ্বিগ্ন, সেইসাথে তুমি শান্ত এবং আত্মবিশ্বাসী বোধ করো।</v>
      </c>
    </row>
    <row r="2907" spans="1:3" ht="15" x14ac:dyDescent="0.25">
      <c r="A2907" s="3" t="s">
        <v>2900</v>
      </c>
      <c r="B2907" s="3" t="s">
        <v>1992</v>
      </c>
      <c r="C2907" s="4" t="str">
        <f ca="1">IFERROR(__xludf.DUMMYFUNCTION("GOOGLETRANSLATE(A2907, ""auto"", ""bn"")"),"সম্প্রতি আমি আবিষ্কার করেছি যে লেখার সঙ্গীত আমাকে সাহায্য করে। ছোটবেলা থেকেই আমার উদ্বেগ থাকে, এবং এটি সর্বদা খুব তীব্র ছিল। একবার আমি হাসপাতালে গিয়েছিলাম ভেবেছিলাম যে আমি আক্ষরিক অর্থেই মারা যাচ্ছি, কিন্তু এটি কেবল সিস্টেম ওএস আমার উদ্বেগ ছিল। সম্প্রতি,"&amp;" উদ্বেগ সংকটের একটি পর্বের সময়, আমি এটি সম্পর্কে একটি গান লিখেছিলাম এবং বুঝতে পেরেছিলাম যে লেখা আমার অনুভূতি সাহায্য করতে পারে। এখন সাউন্ডক্লাউডে আমার কিছু সঙ্গীত আছে যা আমি এই মুহুর্তগুলিতে লিখেছি, এবং আমি আমার কষ্টের সাথে ভালো কাজ করার জন্য খুশি। লেখা "&amp;"শান্ত হওয়ার একটি দুর্দান্ত উপায় এবং আমি সবাইকে সুপারিশ করছি... (সম্ভাব্য ইংরেজি ত্রুটির জন্য দুঃখিত, আমি ব্রাজিলিয়ান)")</f>
        <v>সম্প্রতি আমি আবিষ্কার করেছি যে লেখার সঙ্গীত আমাকে সাহায্য করে। ছোটবেলা থেকেই আমার উদ্বেগ থাকে, এবং এটি সর্বদা খুব তীব্র ছিল। একবার আমি হাসপাতালে গিয়েছিলাম ভেবেছিলাম যে আমি আক্ষরিক অর্থেই মারা যাচ্ছি, কিন্তু এটি কেবল সিস্টেম ওএস আমার উদ্বেগ ছিল। সম্প্রতি, উদ্বেগ সংকটের একটি পর্বের সময়, আমি এটি সম্পর্কে একটি গান লিখেছিলাম এবং বুঝতে পেরেছিলাম যে লেখা আমার অনুভূতি সাহায্য করতে পারে। এখন সাউন্ডক্লাউডে আমার কিছু সঙ্গীত আছে যা আমি এই মুহুর্তগুলিতে লিখেছি, এবং আমি আমার কষ্টের সাথে ভালো কাজ করার জন্য খুশি। লেখা শান্ত হওয়ার একটি দুর্দান্ত উপায় এবং আমি সবাইকে সুপারিশ করছি... (সম্ভাব্য ইংরেজি ত্রুটির জন্য দুঃখিত, আমি ব্রাজিলিয়ান)</v>
      </c>
    </row>
    <row r="2908" spans="1:3" ht="15" x14ac:dyDescent="0.25">
      <c r="A2908" s="3" t="s">
        <v>2901</v>
      </c>
      <c r="B2908" s="3" t="s">
        <v>1992</v>
      </c>
      <c r="C2908" s="4" t="str">
        <f ca="1">IFERROR(__xludf.DUMMYFUNCTION("GOOGLETRANSLATE(A2908, ""auto"", ""bn"")"),"তুমি এমন কিছু কীভাবে কাটিয়ে উঠবে যা তুমি একেবারেই করতে চাও না কিন্তু করতে বাধ্য? আমি সেনাবাহিনীতে আছি এবং একজন প্যারাট্রুপার যখন বিমান থেকে শেষ লাফ দিয়ে নামলাম, তখন অন্য একজন আমাকে আকাশে টেনে নিল এবং অন্য একজনকে পক্ষাঘাতগ্রস্ত হতে দেখল/ড্রপ জোনে তার যন্"&amp;"ত্রণার চিৎকার শুনতে পেলাম। আমাকে আগামীকাল আবার লাফ দিতে হবে এবং এটি সম্পর্কে জানার পরে এবং এটি সম্পর্কে অবিরাম দুঃস্বপ্ন দেখার পরে ঘুমাতে না পারার পরে, আমাকে বলা হয় হয় এটি করতে, নয়তো সামরিক বিচার ব্যবস্থা দ্বারা শাস্তি পেতে। আগের এই লাফটি আমাকে কয়েক ম"&amp;"াস ধরে ঘুমাতে দিচ্ছে না। কেউ কি এমন পরিস্থিতি কাটিয়ে উঠেছেন যেখানে তারা সেই কাজটি করেছে যা তারা ঘৃণা করত, যদিও এটি ঘিরে উন্মাদ উদ্বেগ ছিল?")</f>
        <v>তুমি এমন কিছু কীভাবে কাটিয়ে উঠবে যা তুমি একেবারেই করতে চাও না কিন্তু করতে বাধ্য? আমি সেনাবাহিনীতে আছি এবং একজন প্যারাট্রুপার যখন বিমান থেকে শেষ লাফ দিয়ে নামলাম, তখন অন্য একজন আমাকে আকাশে টেনে নিল এবং অন্য একজনকে পক্ষাঘাতগ্রস্ত হতে দেখল/ড্রপ জোনে তার যন্ত্রণার চিৎকার শুনতে পেলাম। আমাকে আগামীকাল আবার লাফ দিতে হবে এবং এটি সম্পর্কে জানার পরে এবং এটি সম্পর্কে অবিরাম দুঃস্বপ্ন দেখার পরে ঘুমাতে না পারার পরে, আমাকে বলা হয় হয় এটি করতে, নয়তো সামরিক বিচার ব্যবস্থা দ্বারা শাস্তি পেতে। আগের এই লাফটি আমাকে কয়েক মাস ধরে ঘুমাতে দিচ্ছে না। কেউ কি এমন পরিস্থিতি কাটিয়ে উঠেছেন যেখানে তারা সেই কাজটি করেছে যা তারা ঘৃণা করত, যদিও এটি ঘিরে উন্মাদ উদ্বেগ ছিল?</v>
      </c>
    </row>
    <row r="2909" spans="1:3" ht="15" x14ac:dyDescent="0.25">
      <c r="A2909" s="3" t="s">
        <v>2902</v>
      </c>
      <c r="B2909" s="3" t="s">
        <v>1992</v>
      </c>
      <c r="C2909" s="4" t="str">
        <f ca="1">IFERROR(__xludf.DUMMYFUNCTION("GOOGLETRANSLATE(A2909, ""auto"", ""bn"")"),"উদ্বেগের সাথে ডেটিং করা গত কয়েক মাস ধরে আমার অনেক ভালো লাগছে, তাই আমি টিন্ডার ডাউনলোড করেছি এবং ডেটিং জগতে নিজেকে ঢুকিয়েছি। সবকিছু সত্যিই ভালো চলছে, আমি নতুন লোকেদের সাথে দেখা করতে গিয়েছিলাম, এবং আমি সত্যিই নিজেকে কতটা সাহসী তা দেখে অবাক করেছিলাম। ছয় "&amp;"মাস আগে আমি কখনও ভাবিনি যে আমি এটা করব। যাই হোক, আমি স্পষ্টতই নিজেকে নিয়ে গর্বিত এবং আরও আত্মবিশ্বাসী বোধ করছি, কিন্তু আমি এমন একজনের সাথে দেখা করেছি যাকে আমি সত্যিই পছন্দ করি, এবং এটি আমার উদ্বেগকে আরও বাড়িয়ে তুলছে। আমি কেবল এই বিষয়ে চিন্তা করি যে এই"&amp;" ব্যক্তিটি আমাকে যতটা পছন্দ করে, তাদের টেক্সটের অর্থ কী, কেন তারা এটি করছে না বা কেন করছে না, এবং আমি এই সমস্ত চিন্তাভাবনা নিয়ে নিজেকে পাগল করে তুলছি। উদাহরণস্বরূপ, আমি সবসময় নিজেকে পাগল করে তুলি যে আমার কোনও কথোপকথন শুরু করা উচিত কিনা তা সিদ্ধান্ত নেওয"&amp;"়ার জন্য। এর উপরে, যদিও আমরা আনুষ্ঠানিকভাবে একসাথে নই, আমি এই ব্যক্তির দ্বারা প্রত্যাখ্যাত হওয়ার সম্ভাবনা এবং এটি আমাকে কতটা ভেঙে ফেলবে তা নিয়ে আমি এত চিন্তিত। বন্ধুরা, উদ্বেগ আপনাকে গ্রাস না করে আপনি কীভাবে ডেট করবেন? আপনি কীভাবে প্রবাহের সাথে যান?")</f>
        <v>উদ্বেগের সাথে ডেটিং করা গত কয়েক মাস ধরে আমার অনেক ভালো লাগছে, তাই আমি টিন্ডার ডাউনলোড করেছি এবং ডেটিং জগতে নিজেকে ঢুকিয়েছি। সবকিছু সত্যিই ভালো চলছে, আমি নতুন লোকেদের সাথে দেখা করতে গিয়েছিলাম, এবং আমি সত্যিই নিজেকে কতটা সাহসী তা দেখে অবাক করেছিলাম। ছয় মাস আগে আমি কখনও ভাবিনি যে আমি এটা করব। যাই হোক, আমি স্পষ্টতই নিজেকে নিয়ে গর্বিত এবং আরও আত্মবিশ্বাসী বোধ করছি, কিন্তু আমি এমন একজনের সাথে দেখা করেছি যাকে আমি সত্যিই পছন্দ করি, এবং এটি আমার উদ্বেগকে আরও বাড়িয়ে তুলছে। আমি কেবল এই বিষয়ে চিন্তা করি যে এই ব্যক্তিটি আমাকে যতটা পছন্দ করে, তাদের টেক্সটের অর্থ কী, কেন তারা এটি করছে না বা কেন করছে না, এবং আমি এই সমস্ত চিন্তাভাবনা নিয়ে নিজেকে পাগল করে তুলছি। উদাহরণস্বরূপ, আমি সবসময় নিজেকে পাগল করে তুলি যে আমার কোনও কথোপকথন শুরু করা উচিত কিনা তা সিদ্ধান্ত নেওয়ার জন্য। এর উপরে, যদিও আমরা আনুষ্ঠানিকভাবে একসাথে নই, আমি এই ব্যক্তির দ্বারা প্রত্যাখ্যাত হওয়ার সম্ভাবনা এবং এটি আমাকে কতটা ভেঙে ফেলবে তা নিয়ে আমি এত চিন্তিত। বন্ধুরা, উদ্বেগ আপনাকে গ্রাস না করে আপনি কীভাবে ডেট করবেন? আপনি কীভাবে প্রবাহের সাথে যান?</v>
      </c>
    </row>
    <row r="2910" spans="1:3" ht="15" x14ac:dyDescent="0.25">
      <c r="A2910" s="3" t="s">
        <v>2903</v>
      </c>
      <c r="B2910" s="3" t="s">
        <v>1992</v>
      </c>
      <c r="C2910" s="4" t="str">
        <f ca="1">IFERROR(__xludf.DUMMYFUNCTION("GOOGLETRANSLATE(A2910, ""auto"", ""bn"")"),"আমি কখনোই স্বাচ্ছন্দ্য বোধ করি না। সম্প্রতি বুঝতে শুরু করেছি যে আমার শরীর আর কখনও স্বাচ্ছন্দ্য বোধ করে না। সবসময় গুঞ্জন থাকে, সবসময় উত্তেজনা থাকে, সবসময় সতর্ক থাকে। মনে হচ্ছে আমি ক্রমাগত প্রভাবের জন্য প্রস্তুত, যদি তা যুক্তিসঙ্গত হয়। আমি স্বাভাবিকের চ"&amp;"েয়েও বেশি কাঁপছি। গত রাতে আমি কিছু বন্ধুর সাথে পানীয়ের জন্য বাইরে ছিলাম এবং আমার হাত এতটাই কাঁপছিল যে আমি আমার বিয়ারও তুলতে পারিনি। তাছাড়া, আমার মনে হচ্ছে আমার মুখ আরও বেশি উত্তেজনাপূর্ণ হয়ে উঠেছে এবং মাঝে মাঝে অদ্ভুত এলোমেলোভাবে মোচড়াচ্ছে, যা আমাকে ভ"&amp;"ালোভাবে কথা বলতে বাধা দিচ্ছে। কারও কি এই সমস্যা আছে? এটি কমাতে আমি কি কিছু করতে পারি, হয়তো পরবর্তীকালের চেয়ে তাড়াতাড়ি? আমি সাধারণত একজন বহির্মুখী ব্যক্তি যে আমার উদ্বেগ বেশ ভালোভাবে লুকিয়ে রাখতে পারে, কিন্তু এখন এটি শারীরিকভাবে প্রকাশ পাচ্ছে বলে মনে "&amp;"হচ্ছে, এবং এটি মোকাবেলা করা কঠিন :(")</f>
        <v>আমি কখনোই স্বাচ্ছন্দ্য বোধ করি না। সম্প্রতি বুঝতে শুরু করেছি যে আমার শরীর আর কখনও স্বাচ্ছন্দ্য বোধ করে না। সবসময় গুঞ্জন থাকে, সবসময় উত্তেজনা থাকে, সবসময় সতর্ক থাকে। মনে হচ্ছে আমি ক্রমাগত প্রভাবের জন্য প্রস্তুত, যদি তা যুক্তিসঙ্গত হয়। আমি স্বাভাবিকের চেয়েও বেশি কাঁপছি। গত রাতে আমি কিছু বন্ধুর সাথে পানীয়ের জন্য বাইরে ছিলাম এবং আমার হাত এতটাই কাঁপছিল যে আমি আমার বিয়ারও তুলতে পারিনি। তাছাড়া, আমার মনে হচ্ছে আমার মুখ আরও বেশি উত্তেজনাপূর্ণ হয়ে উঠেছে এবং মাঝে মাঝে অদ্ভুত এলোমেলোভাবে মোচড়াচ্ছে, যা আমাকে ভালোভাবে কথা বলতে বাধা দিচ্ছে। কারও কি এই সমস্যা আছে? এটি কমাতে আমি কি কিছু করতে পারি, হয়তো পরবর্তীকালের চেয়ে তাড়াতাড়ি? আমি সাধারণত একজন বহির্মুখী ব্যক্তি যে আমার উদ্বেগ বেশ ভালোভাবে লুকিয়ে রাখতে পারে, কিন্তু এখন এটি শারীরিকভাবে প্রকাশ পাচ্ছে বলে মনে হচ্ছে, এবং এটি মোকাবেলা করা কঠিন :(</v>
      </c>
    </row>
    <row r="2911" spans="1:3" ht="15" x14ac:dyDescent="0.25">
      <c r="A2911" s="3" t="s">
        <v>2904</v>
      </c>
      <c r="B2911" s="3" t="s">
        <v>1992</v>
      </c>
      <c r="C2911" s="4" t="str">
        <f ca="1">IFERROR(__xludf.DUMMYFUNCTION("GOOGLETRANSLATE(A2911, ""auto"", ""bn"")"),"কর্মক্ষেত্রের উদ্বেগ সংক্ষেপে আমাদের ব্যবস্থাপনার অবস্থা খারাপ ছিল যা নিয়ন্ত্রণ করা যাচ্ছিল না। আমি সত্যিই আমার সাহস দেখিয়েছি, HR আমাকে চিঠি লিখেছে, কিন্তু আমার গ্রুপের ম্যানেজারকেও বরখাস্ত করা হয়েছে এবং অন্য ম্যানেজারকে বরখাস্ত করা হয়েছে। আমাদের এখন "&amp;"অনেক ভালো ম্যানেজার আছে, কিন্তু এক অর্থে আমার এখনও রেকর্ড আছে। তাদের কর্মকাণ্ডের মাধ্যমে আমি একরকমভাবে আমূল পরিবর্তন আনতে পেরেছি, তবুও আমি একজন সমস্যা সৃষ্টিকারী। আমি নিশ্চিত যে যেকোনো মুহূর্তে আমাকে বরখাস্ত করা হতে পারে (অথবা আমার উদ্বেগ তাই বলে)। কোন পর"&amp;"ামর্শ?")</f>
        <v>কর্মক্ষেত্রের উদ্বেগ সংক্ষেপে আমাদের ব্যবস্থাপনার অবস্থা খারাপ ছিল যা নিয়ন্ত্রণ করা যাচ্ছিল না। আমি সত্যিই আমার সাহস দেখিয়েছি, HR আমাকে চিঠি লিখেছে, কিন্তু আমার গ্রুপের ম্যানেজারকেও বরখাস্ত করা হয়েছে এবং অন্য ম্যানেজারকে বরখাস্ত করা হয়েছে। আমাদের এখন অনেক ভালো ম্যানেজার আছে, কিন্তু এক অর্থে আমার এখনও রেকর্ড আছে। তাদের কর্মকাণ্ডের মাধ্যমে আমি একরকমভাবে আমূল পরিবর্তন আনতে পেরেছি, তবুও আমি একজন সমস্যা সৃষ্টিকারী। আমি নিশ্চিত যে যেকোনো মুহূর্তে আমাকে বরখাস্ত করা হতে পারে (অথবা আমার উদ্বেগ তাই বলে)। কোন পরামর্শ?</v>
      </c>
    </row>
    <row r="2912" spans="1:3" ht="15" x14ac:dyDescent="0.25">
      <c r="A2912" s="3" t="s">
        <v>2905</v>
      </c>
      <c r="B2912" s="3" t="s">
        <v>1992</v>
      </c>
      <c r="C2912" s="4" t="str">
        <f ca="1">IFERROR(__xludf.DUMMYFUNCTION("GOOGLETRANSLATE(A2912, ""auto"", ""bn"")"),"১৯ বছর বয়সী এক ছাত্র কারো সাথে কথা বলছে না। সাহায্য/পরামর্শের প্রয়োজন। প্রথমবার এই সাব-টি ব্যবহার করার সময়, কিন্তু আমি একটু মরিয়া হয়ে পড়ছি। প্রথমে নিজেকে সংশোধন করার জন্য, আমি প্রাথমিক বিদ্যালয় থেকে আমার কয়েকজন বন্ধুর সাথে কথা বলি। যদিও তাদের সাথে আমার ৯"&amp;"৯% সামাজিক যোগাযোগ যখন আমরা গেম খেলি তখনই অসঙ্গতিপূর্ণ হয়। আমি আমার শেষ বর্ষের একজন ব্যবসায়িক ছাত্র, আমার প্রায় ৬ মাস পর শেষ হয়ে যায়। কিন্তু আমি একেবারেই দ্বিধাগ্রস্ত এবং মনে হচ্ছে আমি আর এগিয়ে যেতে পারব না। অনেক দিন ধরে আমার এমনটা মনে হচ্ছিল, কিন্তু এখন "&amp;"সত্যিই তা অনুভব করছি। আমি যখন স্কুলে যাই এবং কারো সাথে যোগাযোগ না করি তখন দিনের প্রথম ৮ ঘন্টা কারো সাথে কথা বলি না। আমি যখন সত্যিই উদ্বিগ্ন বোধ করি তখনই চেয়ার থেকে দাঁড়িয়ে একটু বিশ্রাম নেওয়ার চেষ্টা করি, সাধারণত প্রতি বক্তৃতায় ১-২ বার। শিক্ষক যখনই গ্রুপ "&amp;"ওয়ার্কের কথা শুনবেন, তখনই আমার কাঁপতে থাকবে কারণ সবাই তাৎক্ষণিকভাবে একটি গ্রুপ খুঁজে পাবে। আমি চুপচাপ বসে থাকবো যেন ভূত দেখেছি। আরও খারাপ, কারণ আমি স্নাতক হওয়ার খুব কাছাকাছি, পরীক্ষা, ছাত্রদের পার্টি/সমাবেশ, গ্যালি ইত্যাদির মতো অনেক ইভেন্ট আসছে যা পরিস্"&amp;"থিতি আরও খারাপ করে তোলে, এবং আমি এই বিষয়গুলি নিয়ে ক্রমাগত চিন্তা করা বন্ধ করতে পারছি না। আমি কেবল ক্রাইস্ট ব্রেক থেকে বেরিয়ে আসছি এবং এই স্কুল সেমিস্টারের বাকি অংশ ছেড়ে দেওয়ার এবং কিছু আত্ম-যত্ন নিয়ে কাজ করার পরে পরের বছর আবার চেষ্টা করার ইচ্ছা করছি"&amp;"। কিন্তু এখন আমি নিশ্চিত নই। আমি শেষ করার খুব কাছাকাছি এবং হাল ছাড়তে পারছি না। আমি আমার স্কুলে সমস্ত বিবরণ সহ একটি ইমেল লিখেছিলাম এবং এটি পাঠানোর খুব কাছাকাছি ছিলাম যখন আমি ভয় পেয়েছিলাম এবং সিদ্ধান্ত নিয়েছিলাম যে আমি আগামীকাল স্কুলে যাব এবং যেখানেই সম"&amp;"্ভব সাহায্য চাইব। (বেশিরভাগ রেডডিট এবং অথবা আমার প্রাথমিক বিদ্যালয়ের বন্ধুরা যাদের সাথে আমি কথা বলি তারা সম্ভবত এই পুরো পোস্টটি পড়বে কারণ তারা আমার রেডডিট অ্যাকাউন্টটি অনুসরণ করছে) আমি পোস্টটি খুব দীর্ঘ করতে চাই না তবে একটি দ্রুত উল্লেখ করতে চাই। ২-৩ বছ"&amp;"র ধরে আমারও এমনই মনে হচ্ছিল। আমি ফিটনেসের প্রতি আগ্রহী ছিলাম এবং আমার আদর্শ শরীর পাওয়ার খুব কাছাকাছি ছিলাম, কিন্তু উদ্বেগ এবং মেজাজের পরিবর্তনের কারণে আমার ওজন অনেক বেড়ে গেছে এবং ফিটনেসও কমে গেছে। তাই আমি আমার লক্ষ্য এবং আদর্শ শরীরের ফিগার প্রায় অর্জন "&amp;"থেকে শুরু করে অতিরিক্ত ওজনের দিকে এগিয়ে যাচ্ছিলাম, যা আমার মেজাজ এবং আত্মবিশ্বাসের উপর অনেক প্রভাব ফেলেছে। তা ছাড়া, আমি নরকের গর্তে চাপের মধ্যে পড়ে যাচ্ছি কারণ আমার অনুপস্থিতির কারণে (আমার উপস্থিতির ভয়ের কারণে) বহিষ্কার হওয়ার ঝুঁকিতে আছি। আমি সত্যিই "&amp;"শেষ করতে চাই যাতে আমি ছুটি নিতে পারি এবং নিজের উপর মনোযোগ দিতে পারি, কিন্তু আমি হাল ছেড়ে দেওয়ার খুব কাছাকাছি। একই পরিস্থিতিতে থাকা কেউ বা কেউ যদি আমাকে এই পরিস্থিতি থেকে বেরিয়ে আসার জন্য কিছু টিপস দিতে পারেন তবে আমি সত্যিই কৃতজ্ঞ।")</f>
        <v>১৯ বছর বয়সী এক ছাত্র কারো সাথে কথা বলছে না। সাহায্য/পরামর্শের প্রয়োজন। প্রথমবার এই সাব-টি ব্যবহার করার সময়, কিন্তু আমি একটু মরিয়া হয়ে পড়ছি। প্রথমে নিজেকে সংশোধন করার জন্য, আমি প্রাথমিক বিদ্যালয় থেকে আমার কয়েকজন বন্ধুর সাথে কথা বলি। যদিও তাদের সাথে আমার ৯৯% সামাজিক যোগাযোগ যখন আমরা গেম খেলি তখনই অসঙ্গতিপূর্ণ হয়। আমি আমার শেষ বর্ষের একজন ব্যবসায়িক ছাত্র, আমার প্রায় ৬ মাস পর শেষ হয়ে যায়। কিন্তু আমি একেবারেই দ্বিধাগ্রস্ত এবং মনে হচ্ছে আমি আর এগিয়ে যেতে পারব না। অনেক দিন ধরে আমার এমনটা মনে হচ্ছিল, কিন্তু এখন সত্যিই তা অনুভব করছি। আমি যখন স্কুলে যাই এবং কারো সাথে যোগাযোগ না করি তখন দিনের প্রথম ৮ ঘন্টা কারো সাথে কথা বলি না। আমি যখন সত্যিই উদ্বিগ্ন বোধ করি তখনই চেয়ার থেকে দাঁড়িয়ে একটু বিশ্রাম নেওয়ার চেষ্টা করি, সাধারণত প্রতি বক্তৃতায় ১-২ বার। শিক্ষক যখনই গ্রুপ ওয়ার্কের কথা শুনবেন, তখনই আমার কাঁপতে থাকবে কারণ সবাই তাৎক্ষণিকভাবে একটি গ্রুপ খুঁজে পাবে। আমি চুপচাপ বসে থাকবো যেন ভূত দেখেছি। আরও খারাপ, কারণ আমি স্নাতক হওয়ার খুব কাছাকাছি, পরীক্ষা, ছাত্রদের পার্টি/সমাবেশ, গ্যালি ইত্যাদির মতো অনেক ইভেন্ট আসছে যা পরিস্থিতি আরও খারাপ করে তোলে, এবং আমি এই বিষয়গুলি নিয়ে ক্রমাগত চিন্তা করা বন্ধ করতে পারছি না। আমি কেবল ক্রাইস্ট ব্রেক থেকে বেরিয়ে আসছি এবং এই স্কুল সেমিস্টারের বাকি অংশ ছেড়ে দেওয়ার এবং কিছু আত্ম-যত্ন নিয়ে কাজ করার পরে পরের বছর আবার চেষ্টা করার ইচ্ছা করছি। কিন্তু এখন আমি নিশ্চিত নই। আমি শেষ করার খুব কাছাকাছি এবং হাল ছাড়তে পারছি না। আমি আমার স্কুলে সমস্ত বিবরণ সহ একটি ইমেল লিখেছিলাম এবং এটি পাঠানোর খুব কাছাকাছি ছিলাম যখন আমি ভয় পেয়েছিলাম এবং সিদ্ধান্ত নিয়েছিলাম যে আমি আগামীকাল স্কুলে যাব এবং যেখানেই সম্ভব সাহায্য চাইব। (বেশিরভাগ রেডডিট এবং অথবা আমার প্রাথমিক বিদ্যালয়ের বন্ধুরা যাদের সাথে আমি কথা বলি তারা সম্ভবত এই পুরো পোস্টটি পড়বে কারণ তারা আমার রেডডিট অ্যাকাউন্টটি অনুসরণ করছে) আমি পোস্টটি খুব দীর্ঘ করতে চাই না তবে একটি দ্রুত উল্লেখ করতে চাই। ২-৩ বছর ধরে আমারও এমনই মনে হচ্ছিল। আমি ফিটনেসের প্রতি আগ্রহী ছিলাম এবং আমার আদর্শ শরীর পাওয়ার খুব কাছাকাছি ছিলাম, কিন্তু উদ্বেগ এবং মেজাজের পরিবর্তনের কারণে আমার ওজন অনেক বেড়ে গেছে এবং ফিটনেসও কমে গেছে। তাই আমি আমার লক্ষ্য এবং আদর্শ শরীরের ফিগার প্রায় অর্জন থেকে শুরু করে অতিরিক্ত ওজনের দিকে এগিয়ে যাচ্ছিলাম, যা আমার মেজাজ এবং আত্মবিশ্বাসের উপর অনেক প্রভাব ফেলেছে। তা ছাড়া, আমি নরকের গর্তে চাপের মধ্যে পড়ে যাচ্ছি কারণ আমার অনুপস্থিতির কারণে (আমার উপস্থিতির ভয়ের কারণে) বহিষ্কার হওয়ার ঝুঁকিতে আছি। আমি সত্যিই শেষ করতে চাই যাতে আমি ছুটি নিতে পারি এবং নিজের উপর মনোযোগ দিতে পারি, কিন্তু আমি হাল ছেড়ে দেওয়ার খুব কাছাকাছি। একই পরিস্থিতিতে থাকা কেউ বা কেউ যদি আমাকে এই পরিস্থিতি থেকে বেরিয়ে আসার জন্য কিছু টিপস দিতে পারেন তবে আমি সত্যিই কৃতজ্ঞ।</v>
      </c>
    </row>
    <row r="2913" spans="1:3" ht="15" x14ac:dyDescent="0.25">
      <c r="A2913" s="3" t="s">
        <v>2906</v>
      </c>
      <c r="B2913" s="3" t="s">
        <v>1992</v>
      </c>
      <c r="C2913" s="4" t="str">
        <f ca="1">IFERROR(__xludf.DUMMYFUNCTION("GOOGLETRANSLATE(A2913, ""auto"", ""bn"")"),"২০১৯ সালটা এখন পর্যন্ত ভয়াবহ ছিল। নতুন বছর শুরু করার কল্পনাও করা আমার পক্ষে সবচেয়ে খারাপ ছিল। আমার উদ্বেগ সবকিছুকে গ্রাস করে নিয়েছে। আমার হৃদয় ক্রমাগত ছুটে চলেছে, আমি ঘুম থেকে উঠতে ঘৃণা করি, এবং প্রতিদিন সকালে ঘুম থেকে উঠলে আমি ঘামে ভিজে যাই এবং তাৎক্"&amp;"ষণিকভাবে আমার উদ্বেগের আক্রমণ হয়, আমি সিগারেট ছাড়া এক ঘন্টারও বেশি সময় থাকতে পারি না (মাত্র এক সপ্তাহ আগে আমি হয়তো প্রতি মাসে একটি সিগারেট খেতাম)। আমি আমার চারপাশের সকলের উপর খুব সহজেই চটকা লাগাই কারণ আমি খুব মাথা ঘামাই এবং আমি যা করতে চাই তা হল সর্বদ"&amp;"া একটি সিগারেট। আমি কখনও খাওয়ার ব্যাধিতে ভুগিনি, কিন্তু আমি এখন এক সপ্তাহ ধরে খাবার খাইনি, আমার ক্ষুধা নেই এবং যখন আমি নিজেকে একটু একটু করে কিছু খেতে বাধ্য করি তখন আমার আরও খারাপ লাগে। আমি এতটাই হতাশ এবং একা বোধ করি যে এটি খাওয়া আমার পক্ষে সত্যিই কঠিন হ"&amp;"য়ে উঠছে, আমি জানি না এই মুহুর্তে আর কী করব। তাছাড়া, আমার উদ্বেগের ওষুধ খাওয়া দরকার, কিন্তু আমি জানি না যে আমি কীভাবে তাদের কাজ শুরু করার জন্য অপেক্ষা করব, অথবা তারা আমার জন্য কাজ করবে কিনা। (আমি কখনও উদ্বেগের ওষুধ খাইনি) আমার সাহায্যের প্রয়োজন...")</f>
        <v>২০১৯ সালটা এখন পর্যন্ত ভয়াবহ ছিল। নতুন বছর শুরু করার কল্পনাও করা আমার পক্ষে সবচেয়ে খারাপ ছিল। আমার উদ্বেগ সবকিছুকে গ্রাস করে নিয়েছে। আমার হৃদয় ক্রমাগত ছুটে চলেছে, আমি ঘুম থেকে উঠতে ঘৃণা করি, এবং প্রতিদিন সকালে ঘুম থেকে উঠলে আমি ঘামে ভিজে যাই এবং তাৎক্ষণিকভাবে আমার উদ্বেগের আক্রমণ হয়, আমি সিগারেট ছাড়া এক ঘন্টারও বেশি সময় থাকতে পারি না (মাত্র এক সপ্তাহ আগে আমি হয়তো প্রতি মাসে একটি সিগারেট খেতাম)। আমি আমার চারপাশের সকলের উপর খুব সহজেই চটকা লাগাই কারণ আমি খুব মাথা ঘামাই এবং আমি যা করতে চাই তা হল সর্বদা একটি সিগারেট। আমি কখনও খাওয়ার ব্যাধিতে ভুগিনি, কিন্তু আমি এখন এক সপ্তাহ ধরে খাবার খাইনি, আমার ক্ষুধা নেই এবং যখন আমি নিজেকে একটু একটু করে কিছু খেতে বাধ্য করি তখন আমার আরও খারাপ লাগে। আমি এতটাই হতাশ এবং একা বোধ করি যে এটি খাওয়া আমার পক্ষে সত্যিই কঠিন হয়ে উঠছে, আমি জানি না এই মুহুর্তে আর কী করব। তাছাড়া, আমার উদ্বেগের ওষুধ খাওয়া দরকার, কিন্তু আমি জানি না যে আমি কীভাবে তাদের কাজ শুরু করার জন্য অপেক্ষা করব, অথবা তারা আমার জন্য কাজ করবে কিনা। (আমি কখনও উদ্বেগের ওষুধ খাইনি) আমার সাহায্যের প্রয়োজন...</v>
      </c>
    </row>
    <row r="2914" spans="1:3" ht="15" x14ac:dyDescent="0.25">
      <c r="A2914" s="3" t="s">
        <v>2907</v>
      </c>
      <c r="B2914" s="3" t="s">
        <v>1992</v>
      </c>
      <c r="C2914" s="4" t="str">
        <f ca="1">IFERROR(__xludf.DUMMYFUNCTION("GOOGLETRANSLATE(A2914, ""auto"", ""bn"")"),"রেডিটে কি কেউ কিছু পোস্ট করে, আর দ্বিতীয়জন নেতিবাচক মন্তব্য করলে তাৎক্ষণিকভাবে মুছে ফেলে? আমার মনে হয় সবাইকে খুশি করতে না পারার বিষয়টি মেনে নেওয়ার ক্ষেত্রে আমার আরও ভালো হওয়া উচিত, এবং রেডিট শুরু করার জন্য একটি সহজ জায়গা হওয়া উচিত।")</f>
        <v>রেডিটে কি কেউ কিছু পোস্ট করে, আর দ্বিতীয়জন নেতিবাচক মন্তব্য করলে তাৎক্ষণিকভাবে মুছে ফেলে? আমার মনে হয় সবাইকে খুশি করতে না পারার বিষয়টি মেনে নেওয়ার ক্ষেত্রে আমার আরও ভালো হওয়া উচিত, এবং রেডিট শুরু করার জন্য একটি সহজ জায়গা হওয়া উচিত।</v>
      </c>
    </row>
    <row r="2915" spans="1:3" ht="15" x14ac:dyDescent="0.25">
      <c r="A2915" s="3" t="s">
        <v>2908</v>
      </c>
      <c r="B2915" s="3" t="s">
        <v>1992</v>
      </c>
      <c r="C2915" s="4" t="str">
        <f ca="1">IFERROR(__xludf.DUMMYFUNCTION("GOOGLETRANSLATE(A2915, ""auto"", ""bn"")"),"তুমি কীভাবে কাউকে বলবে যে তারা তোমাকে চরম উদ্বেগের মধ্যে ফেলে? আমার উদ্বেগ/পরিত্যক্ত হওয়ার ভয় তখনই জাগবে যখন আমার সিগন্যাল। অন্যরা বা বন্ধুরা আমার কোনও বার্তা বা স্ন্যাপচ্যাট খুলে সাড়া দেয় না। এতে আমি আতঙ্কিত হয়ে পড়ি এবং মনে করি যেন আমি কিছু ভুল করে"&amp;"ছি বা এমন কিছু বলেছি যার ফলে তারা আমাকে ঘৃণা করে এবং চিরতরে আমার সাথে কথা বলা বন্ধ করে দিতে চায়। আমি তাদের জানাতে চাই যে এটি আমাকে উদ্বিগ্ন করে তোলে যাতে তারা যদি ব্যস্ত থাকে বা কথা বলতে না চায়, তাহলে তারা আমাকে উপেক্ষা করার পরিবর্তে বা ঘন্টার পর ঘন্টা "&amp;"আমাকে আতঙ্কিত করার পরিবর্তে কেবল আমাকে বলতে পারে। আমি পাগলের মতো শোনাতে চাই না, কারণ আমি জানি যে উদ্বেগের এই চিন্তাভাবনা বাস্তবে প্রোথিত নয় এবং আমাকে আবেগপ্রবণ করে তোলে, আমি কেবল উদ্বেগ কমানোর কোনও উপায় খুঁজে পাইনি। অন্যথায় যেকোনো পরামর্শ সহায়ক হবে।")</f>
        <v>তুমি কীভাবে কাউকে বলবে যে তারা তোমাকে চরম উদ্বেগের মধ্যে ফেলে? আমার উদ্বেগ/পরিত্যক্ত হওয়ার ভয় তখনই জাগবে যখন আমার সিগন্যাল। অন্যরা বা বন্ধুরা আমার কোনও বার্তা বা স্ন্যাপচ্যাট খুলে সাড়া দেয় না। এতে আমি আতঙ্কিত হয়ে পড়ি এবং মনে করি যেন আমি কিছু ভুল করেছি বা এমন কিছু বলেছি যার ফলে তারা আমাকে ঘৃণা করে এবং চিরতরে আমার সাথে কথা বলা বন্ধ করে দিতে চায়। আমি তাদের জানাতে চাই যে এটি আমাকে উদ্বিগ্ন করে তোলে যাতে তারা যদি ব্যস্ত থাকে বা কথা বলতে না চায়, তাহলে তারা আমাকে উপেক্ষা করার পরিবর্তে বা ঘন্টার পর ঘন্টা আমাকে আতঙ্কিত করার পরিবর্তে কেবল আমাকে বলতে পারে। আমি পাগলের মতো শোনাতে চাই না, কারণ আমি জানি যে উদ্বেগের এই চিন্তাভাবনা বাস্তবে প্রোথিত নয় এবং আমাকে আবেগপ্রবণ করে তোলে, আমি কেবল উদ্বেগ কমানোর কোনও উপায় খুঁজে পাইনি। অন্যথায় যেকোনো পরামর্শ সহায়ক হবে।</v>
      </c>
    </row>
    <row r="2916" spans="1:3" ht="15" x14ac:dyDescent="0.25">
      <c r="A2916" s="3" t="s">
        <v>2909</v>
      </c>
      <c r="B2916" s="3" t="s">
        <v>1992</v>
      </c>
      <c r="C2916" s="4" t="str">
        <f ca="1">IFERROR(__xludf.DUMMYFUNCTION("GOOGLETRANSLATE(A2916, ""auto"", ""bn"")"),"নতুন চাকরির জন্য দুশ্চিন্তা, কারোরই কি এইরকম মনে হয়? তাহলে কাল আমি আমার চাকরির জন্য নতুন জায়গায় কাজ শুরু করবো, আর যখন থেকে ওরা আমাকে এটা বলেছে, দুই সপ্তাহ আগে, আর আমি খুব চিন্তিত, তখন থেকেই আমি খুব চাপে আছি এবং উদ্বিগ্ন, আর আমি খুব একটা এলোমেলো। কিন্তু হ"&amp;"য়তো এই পরিবর্তনটা একটা নতুন অভিজ্ঞতা হবে এবং আমার জন্য সবকিছু ভালো হবে কারণ আমার পুরনো চাকরিতে সহকর্মীরা আমাকে ধমক দিচ্ছিল এবং আমাকে আক্রমণ করতে থাকল, যদিও আমি রিপোর্ট করেছি, তারা কখনও কিছু করেনি, শুধু এটাকে গোপন করে রেখেছিল, তাই তারা ভেবেছিল আমার জায়গা প"&amp;"রিবর্তন করলে ভালো হবে এবং আমার উপকার হবে। কিন্তু এখন আমি উদ্বিগ্ন কারণ আমার মনে হয় আমি খারাপ পরিবেশ থেকে আরও খারাপ পরিবেশে চলে যাব, যেমন যদি আমি ব্যর্থ হই, এবং তারা আমার কাজ করার ধরণ পছন্দ না করে? নাকি তারা অন্য সবার মতোই? আমার এই বিষয়ে কথা বলার কেউ নেই ক"&amp;"ারণ মানুষ আমাকে বলে ""এটা কাটিয়ে নাও, অথবা ""তুমি জানতো না যে তুমি যখন প্রথম অন্য কাজ শুরু করেছিলে তখন তুমি এতে অভ্যস্ত হয়ে যাবে"" তারা মনে করে এটা আমার জন্য সহজ, পরিবেশের পরিবর্তন এবং নতুন লোকেদের সাথে উষ্ণতা ঘৃণা করি, তাই কাজ করার ব্যাপারে আমার উদ্বেগ ক"&amp;"ীভাবে মোকাবেলা করতে পারি? ধন্যবাদ।")</f>
        <v>নতুন চাকরির জন্য দুশ্চিন্তা, কারোরই কি এইরকম মনে হয়? তাহলে কাল আমি আমার চাকরির জন্য নতুন জায়গায় কাজ শুরু করবো, আর যখন থেকে ওরা আমাকে এটা বলেছে, দুই সপ্তাহ আগে, আর আমি খুব চিন্তিত, তখন থেকেই আমি খুব চাপে আছি এবং উদ্বিগ্ন, আর আমি খুব একটা এলোমেলো। কিন্তু হয়তো এই পরিবর্তনটা একটা নতুন অভিজ্ঞতা হবে এবং আমার জন্য সবকিছু ভালো হবে কারণ আমার পুরনো চাকরিতে সহকর্মীরা আমাকে ধমক দিচ্ছিল এবং আমাকে আক্রমণ করতে থাকল, যদিও আমি রিপোর্ট করেছি, তারা কখনও কিছু করেনি, শুধু এটাকে গোপন করে রেখেছিল, তাই তারা ভেবেছিল আমার জায়গা পরিবর্তন করলে ভালো হবে এবং আমার উপকার হবে। কিন্তু এখন আমি উদ্বিগ্ন কারণ আমার মনে হয় আমি খারাপ পরিবেশ থেকে আরও খারাপ পরিবেশে চলে যাব, যেমন যদি আমি ব্যর্থ হই, এবং তারা আমার কাজ করার ধরণ পছন্দ না করে? নাকি তারা অন্য সবার মতোই? আমার এই বিষয়ে কথা বলার কেউ নেই কারণ মানুষ আমাকে বলে "এটা কাটিয়ে নাও, অথবা "তুমি জানতো না যে তুমি যখন প্রথম অন্য কাজ শুরু করেছিলে তখন তুমি এতে অভ্যস্ত হয়ে যাবে" তারা মনে করে এটা আমার জন্য সহজ, পরিবেশের পরিবর্তন এবং নতুন লোকেদের সাথে উষ্ণতা ঘৃণা করি, তাই কাজ করার ব্যাপারে আমার উদ্বেগ কীভাবে মোকাবেলা করতে পারি? ধন্যবাদ।</v>
      </c>
    </row>
    <row r="2917" spans="1:3" ht="15" x14ac:dyDescent="0.25">
      <c r="A2917" s="3" t="s">
        <v>2910</v>
      </c>
      <c r="B2917" s="3" t="s">
        <v>1992</v>
      </c>
      <c r="C2917" s="4" t="str">
        <f ca="1">IFERROR(__xludf.DUMMYFUNCTION("GOOGLETRANSLATE(A2917, ""auto"", ""bn"")"),"কেউ কি আমাকে সাহায্য করতে পারেন? আমি একজন ষোল বছর বয়সী ছেলে, এবং আমি সবসময় ভাবতাম যে আমি একজন সরল মনের মানুষ এবং মেয়েদের প্রতি আমার অসংখ্য ক্রাশ ছিল। আমি সত্যিই লাজুক এবং কখনও কোনও মেয়ের সাথে ডেট করতে পারিনি কারণ আমি সত্যিই নার্ভাস। যাইহোক, আমার ক্রস-"&amp;"ড্রেসিংয়ের একটি ছোট ইতিহাসও রয়েছে, এবং যখন আমি ছোট বলি তখন আমি ছোট বলতে পারি, সম্ভবত 4 বছরের মধ্যে 10 বার। আমি মেয়েদের মতো পোশাক পরে এবং অনুপ্রবেশের ভান করে আনন্দ পেতে পারি। আমি সবসময় ভেবেছি এটি আমার জন্য এমন একটি উপায় যাতে আমি অনুভব করতে পারি যে ঘরে"&amp;" একটি মেয়ে আছে এবং সে কী করবে তা অভিনয় করতে পারি। মাস্টার ব্যাটিং শেষ করার পরে আমি খারাপের মতো অনুভব করতাম এবং প্রচুর আত্ম-ঘৃণা করতাম, যখন আমি হর্নি ছিলাম তখন আমি সম্পূর্ণ ভিন্ন ব্যক্তি ছিলাম। যদিও আমি মেয়েদের প্রতি আচ্ছন্ন ছিলাম, এবং এটি আমাকে তাদের স"&amp;"াথে থাকতে চাওয়া থেকে বিরত রাখেনি। আজ আমার মনে হচ্ছে আমি একটি ঘূর্ণিঝড়ে আটকে আছি। মেয়েদের প্রতি আমার আকর্ষণ কমে যাচ্ছে এবং অতীতের ক্রস-ড্রেসিং-এর ঘটনাগুলো নিয়ে আমি আরও বেশি উদ্বিগ্ন হয়ে পড়ছি। মাঝে মাঝে আমি লিঙ্গ চোষা বা যৌনাচারের কথা ভেবে উত্তেজিত হত"&amp;"ে পারি, আবার মাঝে মাঝে আমি লজ্জিত বোধ করি, এবং এইভাবে চিন্তা করার জন্য নিজেকে সম্পূর্ণ ব্যথিত মনে করি। আমার মাথায় এই ক্রমাগত লড়াই যা কখনোই দূর হয় না। যদিও অন্য পুরুষের সাথে যৌন সম্পর্কের ধারণা থেকে আমি উত্তেজিত হতে পারি এবং পরে নিজেকে ঘৃণা করি, আমি কখন"&amp;"ও অন্য পুরুষের সাথে ডেটিং করার কথা ভেবে আনন্দ পাইনি। আমি অন্য পুরুষকে চুম্বন করতে বা তার হাত ধরতে চাই না। তাই আমি খুব বিভ্রান্ত যে কেন আমি এত মানসিক হতাশার কারণ হতে পারি? এবং যদি আমাকে কেবল এটি মোকাবেলা করতে হয়, কারণ আপনি আপনার যৌনতা পরিবর্তন করতে পারবেন"&amp;" না। আমার মনে হয় এটি কোনও মহিলার প্রেমে পড়ার আমার ইচ্ছার সাথে সাংঘর্ষিক হবে। কারও কি ধারণা আছে যে আমি কীসের মধ্য দিয়ে যাচ্ছি এবং এটি পরিবর্তন করার কোনও উপায় আছে কিনা।")</f>
        <v>কেউ কি আমাকে সাহায্য করতে পারেন? আমি একজন ষোল বছর বয়সী ছেলে, এবং আমি সবসময় ভাবতাম যে আমি একজন সরল মনের মানুষ এবং মেয়েদের প্রতি আমার অসংখ্য ক্রাশ ছিল। আমি সত্যিই লাজুক এবং কখনও কোনও মেয়ের সাথে ডেট করতে পারিনি কারণ আমি সত্যিই নার্ভাস। যাইহোক, আমার ক্রস-ড্রেসিংয়ের একটি ছোট ইতিহাসও রয়েছে, এবং যখন আমি ছোট বলি তখন আমি ছোট বলতে পারি, সম্ভবত 4 বছরের মধ্যে 10 বার। আমি মেয়েদের মতো পোশাক পরে এবং অনুপ্রবেশের ভান করে আনন্দ পেতে পারি। আমি সবসময় ভেবেছি এটি আমার জন্য এমন একটি উপায় যাতে আমি অনুভব করতে পারি যে ঘরে একটি মেয়ে আছে এবং সে কী করবে তা অভিনয় করতে পারি। মাস্টার ব্যাটিং শেষ করার পরে আমি খারাপের মতো অনুভব করতাম এবং প্রচুর আত্ম-ঘৃণা করতাম, যখন আমি হর্নি ছিলাম তখন আমি সম্পূর্ণ ভিন্ন ব্যক্তি ছিলাম। যদিও আমি মেয়েদের প্রতি আচ্ছন্ন ছিলাম, এবং এটি আমাকে তাদের সাথে থাকতে চাওয়া থেকে বিরত রাখেনি। আজ আমার মনে হচ্ছে আমি একটি ঘূর্ণিঝড়ে আটকে আছি। মেয়েদের প্রতি আমার আকর্ষণ কমে যাচ্ছে এবং অতীতের ক্রস-ড্রেসিং-এর ঘটনাগুলো নিয়ে আমি আরও বেশি উদ্বিগ্ন হয়ে পড়ছি। মাঝে মাঝে আমি লিঙ্গ চোষা বা যৌনাচারের কথা ভেবে উত্তেজিত হতে পারি, আবার মাঝে মাঝে আমি লজ্জিত বোধ করি, এবং এইভাবে চিন্তা করার জন্য নিজেকে সম্পূর্ণ ব্যথিত মনে করি। আমার মাথায় এই ক্রমাগত লড়াই যা কখনোই দূর হয় না। যদিও অন্য পুরুষের সাথে যৌন সম্পর্কের ধারণা থেকে আমি উত্তেজিত হতে পারি এবং পরে নিজেকে ঘৃণা করি, আমি কখনও অন্য পুরুষের সাথে ডেটিং করার কথা ভেবে আনন্দ পাইনি। আমি অন্য পুরুষকে চুম্বন করতে বা তার হাত ধরতে চাই না। তাই আমি খুব বিভ্রান্ত যে কেন আমি এত মানসিক হতাশার কারণ হতে পারি? এবং যদি আমাকে কেবল এটি মোকাবেলা করতে হয়, কারণ আপনি আপনার যৌনতা পরিবর্তন করতে পারবেন না। আমার মনে হয় এটি কোনও মহিলার প্রেমে পড়ার আমার ইচ্ছার সাথে সাংঘর্ষিক হবে। কারও কি ধারণা আছে যে আমি কীসের মধ্য দিয়ে যাচ্ছি এবং এটি পরিবর্তন করার কোনও উপায় আছে কিনা।</v>
      </c>
    </row>
    <row r="2918" spans="1:3" ht="15" x14ac:dyDescent="0.25">
      <c r="A2918" s="3" t="s">
        <v>2911</v>
      </c>
      <c r="B2918" s="3" t="s">
        <v>1992</v>
      </c>
      <c r="C2918" s="4" t="str">
        <f ca="1">IFERROR(__xludf.DUMMYFUNCTION("GOOGLETRANSLATE(A2918, ""auto"", ""bn"")"),"উদ্বেগের কারণে গলায় পিণ্ডের অনুভূতিকে আপনি কীভাবে সবচেয়ে ভালোভাবে বর্ণনা করবেন? গিলতে কি আদৌ ব্যথা হয়? এটি কি আসে-যায় নাকি সারাদিন ধরে থাকে? মনে হয় যেন গলার মাঝখানে শ্লেষ্মা আটকে আছে? আমার সর্দি-কাশি সেরে উঠছে এবং গলায় পিণ্ডের অনুভূতি হচ্ছে, কিন্তু "&amp;"সম্প্রতি আমিও উদ্বেগ অনুভব করছি, তাই দুটির মধ্যে পার্থক্য করা কঠিন।")</f>
        <v>উদ্বেগের কারণে গলায় পিণ্ডের অনুভূতিকে আপনি কীভাবে সবচেয়ে ভালোভাবে বর্ণনা করবেন? গিলতে কি আদৌ ব্যথা হয়? এটি কি আসে-যায় নাকি সারাদিন ধরে থাকে? মনে হয় যেন গলার মাঝখানে শ্লেষ্মা আটকে আছে? আমার সর্দি-কাশি সেরে উঠছে এবং গলায় পিণ্ডের অনুভূতি হচ্ছে, কিন্তু সম্প্রতি আমিও উদ্বেগ অনুভব করছি, তাই দুটির মধ্যে পার্থক্য করা কঠিন।</v>
      </c>
    </row>
    <row r="2919" spans="1:3" ht="15" x14ac:dyDescent="0.25">
      <c r="A2919" s="3" t="s">
        <v>2912</v>
      </c>
      <c r="B2919" s="3" t="s">
        <v>1992</v>
      </c>
      <c r="C2919" s="4" t="str">
        <f ca="1">IFERROR(__xludf.DUMMYFUNCTION("GOOGLETRANSLATE(A2919, ""auto"", ""bn"")"),"নিজেকে ভয় পাইয়ে দেই, মানসিক অসুস্থতার ভয় পাইয়ে দেই। গত সপ্তাহে আমি টেম্পল ওএস সম্পর্কে ইউটিউব সিরিজ ""ডাউন দ্য র‍্যাবিট হোল""-এর সাম্প্রতিক পর্বটি দেখেছিলাম। এটি একজন সিজোফ্রেনিয়া আক্রান্ত কম্পিউটার প্রোগ্রামারের গল্প যে ভেবেছিল যে সে তার কম্পিউটার ও"&amp;"এসের মাধ্যমে ঈশ্বরের সাথে যোগাযোগ করতে পারবে। আমি সবসময়ই সাইকোসিস এবং সিজোফ্রেনিয়া নিয়ে ভীত ছিলাম, যদিও আমি মানসিকভাবে অণুবীক্ষণ যন্ত্রের নিচে থাকি এবং অত্যন্ত কম ঝুঁকিপূর্ণ বলে বিবেচিত হই (কারণ বার্ধক্য, পারিবারিক ইতিহাস নেই, শৈশবের আঘাতের অভাব, মাদকা"&amp;"সক্তির অভাব ইত্যাদি)। এই ভিডিওটি আমাকে এতটাই ভীত করে তুলেছিল যে আমি অন্য কিছু নিয়ে ভাবতে পারি না। আমি ভাবতে থাকি, যদি আমি বিভ্রান্ত হয়ে পড়ি এবং ভাবি যে অ্যালবাম বা রেডিওতে গানগুলি আমার সম্পর্কে (যা আমি জানি অসম্ভব)। আমি কেবল ""কী হলে"" ভাবি যদিও আমি জা"&amp;"নি এটি সম্পূর্ণ বাজে কথা। তাছাড়া, আমি একটি গান শুনি এবং গানের কথাগুলি আমার জীবনে কীভাবে প্রযোজ্য তা নিয়ে ভাবতে থাকি, এবং এটি আমাকে আতঙ্কে পাগল করে তোলে। আর কারো কি এই ধরণের অনুভূতি হয়? সুযোগ পেলে ডাউন দ্য র‍্যাবিট হোল ভিডিওটি দেখুন।")</f>
        <v>নিজেকে ভয় পাইয়ে দেই, মানসিক অসুস্থতার ভয় পাইয়ে দেই। গত সপ্তাহে আমি টেম্পল ওএস সম্পর্কে ইউটিউব সিরিজ "ডাউন দ্য র‍্যাবিট হোল"-এর সাম্প্রতিক পর্বটি দেখেছিলাম। এটি একজন সিজোফ্রেনিয়া আক্রান্ত কম্পিউটার প্রোগ্রামারের গল্প যে ভেবেছিল যে সে তার কম্পিউটার ওএসের মাধ্যমে ঈশ্বরের সাথে যোগাযোগ করতে পারবে। আমি সবসময়ই সাইকোসিস এবং সিজোফ্রেনিয়া নিয়ে ভীত ছিলাম, যদিও আমি মানসিকভাবে অণুবীক্ষণ যন্ত্রের নিচে থাকি এবং অত্যন্ত কম ঝুঁকিপূর্ণ বলে বিবেচিত হই (কারণ বার্ধক্য, পারিবারিক ইতিহাস নেই, শৈশবের আঘাতের অভাব, মাদকাসক্তির অভাব ইত্যাদি)। এই ভিডিওটি আমাকে এতটাই ভীত করে তুলেছিল যে আমি অন্য কিছু নিয়ে ভাবতে পারি না। আমি ভাবতে থাকি, যদি আমি বিভ্রান্ত হয়ে পড়ি এবং ভাবি যে অ্যালবাম বা রেডিওতে গানগুলি আমার সম্পর্কে (যা আমি জানি অসম্ভব)। আমি কেবল "কী হলে" ভাবি যদিও আমি জানি এটি সম্পূর্ণ বাজে কথা। তাছাড়া, আমি একটি গান শুনি এবং গানের কথাগুলি আমার জীবনে কীভাবে প্রযোজ্য তা নিয়ে ভাবতে থাকি, এবং এটি আমাকে আতঙ্কে পাগল করে তোলে। আর কারো কি এই ধরণের অনুভূতি হয়? সুযোগ পেলে ডাউন দ্য র‍্যাবিট হোল ভিডিওটি দেখুন।</v>
      </c>
    </row>
    <row r="2920" spans="1:3" ht="15" x14ac:dyDescent="0.25">
      <c r="A2920" s="3" t="s">
        <v>2913</v>
      </c>
      <c r="B2920" s="3" t="s">
        <v>1992</v>
      </c>
      <c r="C2920" s="4" t="str">
        <f ca="1">IFERROR(__xludf.DUMMYFUNCTION("GOOGLETRANSLATE(A2920, ""auto"", ""bn"")"),"অন্য কেউ কি কখনও কখনও আবেগের জঞ্জাল অনুভব করে যখন তারা বিশেষভাবে কিছু (যেমন একটি ধাক্কা) দেখে চমকে ওঠে? কখনও কখনও যখন কিছু আমাকে বিশেষভাবে ধাক্কা দেয়, তখন আমি দেখতে পাই যে আমার মধ্যে হাসি, দ্রুত শ্বাস নেওয়া এবং কখনও কখনও কান্না/প্রায় কান্নার মতো আবেগের"&amp;" ঝড় ওঠে। আমার মনে হয় আমি ছোট বাচ্চাদের মধ্যে এটি দেখেছি যখন তারা ভয় পায় এবং হাসতে শুরু করে এবং তারপর অনিয়ন্ত্রিতভাবে কাঁদতে শুরু করে। আমি ভাবছি অন্য কেউ কি এর আগে এটি অনুভব করেছে এবং এর জন্য কোন নাম আছে কিনা ধন্যবাদ!")</f>
        <v>অন্য কেউ কি কখনও কখনও আবেগের জঞ্জাল অনুভব করে যখন তারা বিশেষভাবে কিছু (যেমন একটি ধাক্কা) দেখে চমকে ওঠে? কখনও কখনও যখন কিছু আমাকে বিশেষভাবে ধাক্কা দেয়, তখন আমি দেখতে পাই যে আমার মধ্যে হাসি, দ্রুত শ্বাস নেওয়া এবং কখনও কখনও কান্না/প্রায় কান্নার মতো আবেগের ঝড় ওঠে। আমার মনে হয় আমি ছোট বাচ্চাদের মধ্যে এটি দেখেছি যখন তারা ভয় পায় এবং হাসতে শুরু করে এবং তারপর অনিয়ন্ত্রিতভাবে কাঁদতে শুরু করে। আমি ভাবছি অন্য কেউ কি এর আগে এটি অনুভব করেছে এবং এর জন্য কোন নাম আছে কিনা ধন্যবাদ!</v>
      </c>
    </row>
    <row r="2921" spans="1:3" ht="15" x14ac:dyDescent="0.25">
      <c r="A2921" s="3" t="s">
        <v>2914</v>
      </c>
      <c r="B2921" s="3" t="s">
        <v>1992</v>
      </c>
      <c r="C2921" s="4" t="str">
        <f ca="1">IFERROR(__xludf.DUMMYFUNCTION("GOOGLETRANSLATE(A2921, ""auto"", ""bn"")"),"ঋতুগত উদ্বেগ ঋতুগত উদ্বেগের কারণে কি কেউ কি উষ্ণ, রৌদ্রোজ্জ্বল আবহাওয়ায় চলে গেছেন? যদি তাই হয়, তাহলে আপনার জন্য এটি কেমন হয়েছে?")</f>
        <v>ঋতুগত উদ্বেগ ঋতুগত উদ্বেগের কারণে কি কেউ কি উষ্ণ, রৌদ্রোজ্জ্বল আবহাওয়ায় চলে গেছেন? যদি তাই হয়, তাহলে আপনার জন্য এটি কেমন হয়েছে?</v>
      </c>
    </row>
    <row r="2922" spans="1:3" ht="15" x14ac:dyDescent="0.25">
      <c r="A2922" s="3" t="s">
        <v>2915</v>
      </c>
      <c r="B2922" s="3" t="s">
        <v>1992</v>
      </c>
      <c r="C2922" s="4" t="str">
        <f ca="1">IFERROR(__xludf.DUMMYFUNCTION("GOOGLETRANSLATE(A2922, ""auto"", ""bn"")"),"তুমি কেন এগিয়ে যাওয়া চাও? একবার একটা পোস্ট পড়েছিলাম যেখানে লেখা ছিল, বেঁচে থাকার কোনও খারাপ কারণ নেই, এমনকি যদি তোমার মাছের খাবারের প্রয়োজন হয় অথবা তোমার প্রিয় অনুষ্ঠানের নতুন পর্ব আসছে, তাহলেও। এখন আমার মনটা একটু খারাপ লাগছে, তাই ভাবছি আগামীকাল ঘুম থেকে "&amp;"ওঠার কারণ কী?")</f>
        <v>তুমি কেন এগিয়ে যাওয়া চাও? একবার একটা পোস্ট পড়েছিলাম যেখানে লেখা ছিল, বেঁচে থাকার কোনও খারাপ কারণ নেই, এমনকি যদি তোমার মাছের খাবারের প্রয়োজন হয় অথবা তোমার প্রিয় অনুষ্ঠানের নতুন পর্ব আসছে, তাহলেও। এখন আমার মনটা একটু খারাপ লাগছে, তাই ভাবছি আগামীকাল ঘুম থেকে ওঠার কারণ কী?</v>
      </c>
    </row>
    <row r="2923" spans="1:3" ht="15" x14ac:dyDescent="0.25">
      <c r="A2923" s="3" t="s">
        <v>2916</v>
      </c>
      <c r="B2923" s="3" t="s">
        <v>1992</v>
      </c>
      <c r="C2923" s="4" t="str">
        <f ca="1">IFERROR(__xludf.DUMMYFUNCTION("GOOGLETRANSLATE(A2923, ""auto"", ""bn"")"),"আজ থেকে পরিস্থিতি বদলে যাবে বলে ঠিক করেছি, তাই গত বছর ধরে আমি মাঝেমধ্যেই কিন্তু তীব্র উদ্বেগ এবং বিষণ্ণতার সাথে লড়াই করছি, যা গত ৬ মাস ধরে চরমে পৌঁছেছে। গত ৬ মাস ধরে আমি কাউন্সেলিং করছি, এবং আমি বুঝতে পেরেছি যে আমার কাউন্সিলর সত্যিই ভালো নন। তিনি কখনও আম"&amp;"ার চিন্তাভাবনাকে চ্যালেঞ্জ করেন না এবং আমি বুঝতে পেরেছি যে আমি যখন থেকে তাকে দেখতে শুরু করেছি তখন থেকেই পরিস্থিতি আরও খারাপ হয়েছে। যখন থেকে আমি তাকে দেখতে শুরু করেছি, তখন থেকে আমি নিজেকে এবং নিজের উপর আরও বেশি চাপা দিতে শুরু করেছি, এবং আরও নিয়মিতভাবে কা"&amp;"টানোর কথা ভাবছি। তাই গত মাস ধরে সবকিছু অনেক কঠিন হয়ে পড়েছে এবং আমি আমার অপরাধবোধ এবং খারাপ চিন্তাভাবনাগুলিকে চাপা দিয়ে রেখেছিলাম। কিন্তু গতকাল আমি এবং আমার বন্ধু ৭০ গ্রাম অ্যাসিড খেয়েছিলাম। আমি ভেবেছিলাম আমি এটি সহ্য করতে পারব, কিন্তু ভ্রমণটি আমাকে ধর"&amp;"ে ফেলে এবং সত্যিই আমাকে থাপ্পড় মারে। এটি আমাকে বুঝতে পেরেছিল যে আমি আমার বন্ধুবান্ধব এবং পরিবারের সাথে কতটা খারাপ আচরণ করছি, আমি যে মেয়েটিকে দেখছি তার সাথে কতটা খারাপ আচরণ করছি, এবং এটি আমাকেও বুঝতে পেরেছিল যে আমি এই ধারণা থেকে কীভাবে পালিয়ে যাচ্ছি যে "&amp;"আমার থেরাপি কাজ করছে না। আজ সবকিছু বদলে যাবে, আমি আমার জীবনকে গুছিয়ে নেব, আমি আমার মাথা ঠিক করব, আমি আমার সেরা মানুষ হতে পারব, এবং আমি জীবনের প্রতি আমার দৃষ্টিভঙ্গি পরিবর্তন করব।")</f>
        <v>আজ থেকে পরিস্থিতি বদলে যাবে বলে ঠিক করেছি, তাই গত বছর ধরে আমি মাঝেমধ্যেই কিন্তু তীব্র উদ্বেগ এবং বিষণ্ণতার সাথে লড়াই করছি, যা গত ৬ মাস ধরে চরমে পৌঁছেছে। গত ৬ মাস ধরে আমি কাউন্সেলিং করছি, এবং আমি বুঝতে পেরেছি যে আমার কাউন্সিলর সত্যিই ভালো নন। তিনি কখনও আমার চিন্তাভাবনাকে চ্যালেঞ্জ করেন না এবং আমি বুঝতে পেরেছি যে আমি যখন থেকে তাকে দেখতে শুরু করেছি তখন থেকেই পরিস্থিতি আরও খারাপ হয়েছে। যখন থেকে আমি তাকে দেখতে শুরু করেছি, তখন থেকে আমি নিজেকে এবং নিজের উপর আরও বেশি চাপা দিতে শুরু করেছি, এবং আরও নিয়মিতভাবে কাটানোর কথা ভাবছি। তাই গত মাস ধরে সবকিছু অনেক কঠিন হয়ে পড়েছে এবং আমি আমার অপরাধবোধ এবং খারাপ চিন্তাভাবনাগুলিকে চাপা দিয়ে রেখেছিলাম। কিন্তু গতকাল আমি এবং আমার বন্ধু ৭০ গ্রাম অ্যাসিড খেয়েছিলাম। আমি ভেবেছিলাম আমি এটি সহ্য করতে পারব, কিন্তু ভ্রমণটি আমাকে ধরে ফেলে এবং সত্যিই আমাকে থাপ্পড় মারে। এটি আমাকে বুঝতে পেরেছিল যে আমি আমার বন্ধুবান্ধব এবং পরিবারের সাথে কতটা খারাপ আচরণ করছি, আমি যে মেয়েটিকে দেখছি তার সাথে কতটা খারাপ আচরণ করছি, এবং এটি আমাকেও বুঝতে পেরেছিল যে আমি এই ধারণা থেকে কীভাবে পালিয়ে যাচ্ছি যে আমার থেরাপি কাজ করছে না। আজ সবকিছু বদলে যাবে, আমি আমার জীবনকে গুছিয়ে নেব, আমি আমার মাথা ঠিক করব, আমি আমার সেরা মানুষ হতে পারব, এবং আমি জীবনের প্রতি আমার দৃষ্টিভঙ্গি পরিবর্তন করব।</v>
      </c>
    </row>
    <row r="2924" spans="1:3" ht="15" x14ac:dyDescent="0.25">
      <c r="A2924" s="3" t="s">
        <v>2917</v>
      </c>
      <c r="B2924" s="3" t="s">
        <v>1992</v>
      </c>
      <c r="C2924" s="4" t="str">
        <f ca="1">IFERROR(__xludf.DUMMYFUNCTION("GOOGLETRANSLATE(A2924, ""auto"", ""bn"")"),"অন্য কারো কি চোখের কৌশল আছে বা তারা দেখতে পাওয়ার ক্ষমতা আছে? গত কয়েক মাস ধরে আমি আমার চোখের কোণে কালো আকৃতি দেখতে পাচ্ছি কিন্তু যখন আমি সেগুলো দেখার চেষ্টা করি, তখন সেগুলো অদৃশ্য হয়ে যায়। আকাশে তারা দেখার ক্ষেত্রেও একই অবস্থা। কিছুক্ষণ গুগল করার পর আমি বু"&amp;"ঝতে পেরেছি যে এটি উদ্বেগের লক্ষণ হতে পারে। উদ্বেগের ক্ষেত্রে কি এটি একটি সাধারণ ব্যাপার? https://www.anxietycentre.com/anxiety-symptoms/eye-tricks.shtml")</f>
        <v>অন্য কারো কি চোখের কৌশল আছে বা তারা দেখতে পাওয়ার ক্ষমতা আছে? গত কয়েক মাস ধরে আমি আমার চোখের কোণে কালো আকৃতি দেখতে পাচ্ছি কিন্তু যখন আমি সেগুলো দেখার চেষ্টা করি, তখন সেগুলো অদৃশ্য হয়ে যায়। আকাশে তারা দেখার ক্ষেত্রেও একই অবস্থা। কিছুক্ষণ গুগল করার পর আমি বুঝতে পেরেছি যে এটি উদ্বেগের লক্ষণ হতে পারে। উদ্বেগের ক্ষেত্রে কি এটি একটি সাধারণ ব্যাপার? https://www.anxietycentre.com/anxiety-symptoms/eye-tricks.shtml</v>
      </c>
    </row>
    <row r="2925" spans="1:3" ht="15" x14ac:dyDescent="0.25">
      <c r="A2925" s="3" t="s">
        <v>2918</v>
      </c>
      <c r="B2925" s="3" t="s">
        <v>1992</v>
      </c>
      <c r="C2925" s="4" t="str">
        <f ca="1">IFERROR(__xludf.DUMMYFUNCTION("GOOGLETRANSLATE(A2925, ""auto"", ""bn"")"),"তুমি কার অনুমোদন চাও? আমি যখন অন্যত্র চলে এসেছি, তখন আমি প্রথমবারের মতো আমার পরিবারের সাথে দেখা করতে যাচ্ছিলাম। আমার ফ্লাইটের আগের দিন আমার সত্যিই ভয়ানক আতঙ্কের আক্রমণ হয়েছিল। তাছাড়া, আমি শ্বাস নিতে পারছিলাম না, আমি অনিয়ন্ত্রিতভাবে কাঁদতে শুরু করেছিলা"&amp;"ম, এবং আমি সত্যিই যেতে চাইছিলাম না। ভ্রমণের সময়, আমার পরিবার বিচার করতে শুরু করেছিল, এবং আমি যা ছেড়ে যেতে চেয়েছিলাম তা পুনরায় অনুভব করেছিলাম। সবকিছু খারাপ ছিল না, তবে আমি আরও বেশি অস্বস্তিকর ছিলাম। আমি সেখানে থাকাকালীন আমার সেরা বন্ধুকে দেখতে পেরেছিলা"&amp;"ম। সে আমাদের সাথে ক্রিসমাসের আলো দেখতে এসেছিল, এবং সে বলেছিল যে সে রাগ করেছে। আমার পরিবার আমার সাথে যেভাবে কথা বলছে তাতে সে রেগে গিয়েছিল এবং আমি জানতাম না সে কী বলতে চাইছে। আমার জীবনে এই পরিবর্তনের কতটা প্রয়োজন ছিল। আমি এমনকি বুঝতে পারিনি যে আমার পরিবার"&amp;" যে ধরণের ভাষা ব্যবহার করছে যা আমার স্থানান্তরের আগে আমার অনুভূতি তৈরি করেছিল। যখন আমি বাড়ি ফিরে আসি, তখন আমার দুর্দান্ত প্রেমিক এবং আমি সম্ভবত 9 মাসের মধ্যে প্রথমবারের মতো গির্জায় গিয়েছিলাম। এখন আমি কাউকে ধর্মান্তরিত করতে আসিনি, বরং সেই রবিবারের বার্ত"&amp;"া থেকে আমি যে অসাধারণ সান্ত্বনা পেয়েছি তা ভাগ করে নিতে এসেছি। আমার কখনও মনে হয়নি যে আমি আমার পরিবারের জন্য যথেষ্ট, এবং তারা সবসময় আমার প্রতি তাদের ভালোবাসা এত অদ্ভুতভাবে ভাগ করে নিয়েছে যে আমি খুব কমই অন্যদের কাছ থেকে যেভাবে অনুভব করেছি তা অনুভব করেছি।"&amp;" এত দিন ধরে আমি যে বার্তাটি শুনেছি তা অবশেষে বুঝতে পেরেছি। ঈশ্বর আমাকে ভালোবাসেন এবং আমি যথেষ্ট। আমি আপনাকে বলতে পারি যে এই সমস্ত সম্পর্কে আমার কেমন অনুভূতি হয়েছিল, তবে আমি এটাও বুঝতে পেরেছি যে ঈশ্বরের ভালোবাসা আরও বেশি অর্জন করার জন্য আমার আর কিছুই করার"&amp;" নেই। এই পরিবর্তনগুলির মধ্য দিয়ে যাওয়ার পর আমি বুঝতে পেরেছি যে আমি আমার চারপাশের সকলের অনুমোদন পেতে চেষ্টা করছিলাম। আমি বন্ধুবান্ধব, পরিবারের সদস্য, আমার প্রতি সমর্থনকারী ব্যক্তিদের কাছ থেকে অনুমোদন খুঁজছিলাম, এবং আমার কোনও ধারণা ছিল না। আমি নিজেকে পরীক"&amp;"্ষা করেছিলাম এবং অন্যদের অনুমোদনের উপর ভিত্তি করে আমার কাজগুলি অনুমান করেছিলাম এবং আমার মনে হয় এটিই আমার উদ্বেগকে গুরুতরভাবে উদ্দীপিত করেছিল। আপনার যদি একই রকম কোনও অভিজ্ঞতা হয় এবং স্নায়ু শান্ত করার জন্য আপনি কী করেছেন তা আমাকে জানান।")</f>
        <v>তুমি কার অনুমোদন চাও? আমি যখন অন্যত্র চলে এসেছি, তখন আমি প্রথমবারের মতো আমার পরিবারের সাথে দেখা করতে যাচ্ছিলাম। আমার ফ্লাইটের আগের দিন আমার সত্যিই ভয়ানক আতঙ্কের আক্রমণ হয়েছিল। তাছাড়া, আমি শ্বাস নিতে পারছিলাম না, আমি অনিয়ন্ত্রিতভাবে কাঁদতে শুরু করেছিলাম, এবং আমি সত্যিই যেতে চাইছিলাম না। ভ্রমণের সময়, আমার পরিবার বিচার করতে শুরু করেছিল, এবং আমি যা ছেড়ে যেতে চেয়েছিলাম তা পুনরায় অনুভব করেছিলাম। সবকিছু খারাপ ছিল না, তবে আমি আরও বেশি অস্বস্তিকর ছিলাম। আমি সেখানে থাকাকালীন আমার সেরা বন্ধুকে দেখতে পেরেছিলাম। সে আমাদের সাথে ক্রিসমাসের আলো দেখতে এসেছিল, এবং সে বলেছিল যে সে রাগ করেছে। আমার পরিবার আমার সাথে যেভাবে কথা বলছে তাতে সে রেগে গিয়েছিল এবং আমি জানতাম না সে কী বলতে চাইছে। আমার জীবনে এই পরিবর্তনের কতটা প্রয়োজন ছিল। আমি এমনকি বুঝতে পারিনি যে আমার পরিবার যে ধরণের ভাষা ব্যবহার করছে যা আমার স্থানান্তরের আগে আমার অনুভূতি তৈরি করেছিল। যখন আমি বাড়ি ফিরে আসি, তখন আমার দুর্দান্ত প্রেমিক এবং আমি সম্ভবত 9 মাসের মধ্যে প্রথমবারের মতো গির্জায় গিয়েছিলাম। এখন আমি কাউকে ধর্মান্তরিত করতে আসিনি, বরং সেই রবিবারের বার্তা থেকে আমি যে অসাধারণ সান্ত্বনা পেয়েছি তা ভাগ করে নিতে এসেছি। আমার কখনও মনে হয়নি যে আমি আমার পরিবারের জন্য যথেষ্ট, এবং তারা সবসময় আমার প্রতি তাদের ভালোবাসা এত অদ্ভুতভাবে ভাগ করে নিয়েছে যে আমি খুব কমই অন্যদের কাছ থেকে যেভাবে অনুভব করেছি তা অনুভব করেছি। এত দিন ধরে আমি যে বার্তাটি শুনেছি তা অবশেষে বুঝতে পেরেছি। ঈশ্বর আমাকে ভালোবাসেন এবং আমি যথেষ্ট। আমি আপনাকে বলতে পারি যে এই সমস্ত সম্পর্কে আমার কেমন অনুভূতি হয়েছিল, তবে আমি এটাও বুঝতে পেরেছি যে ঈশ্বরের ভালোবাসা আরও বেশি অর্জন করার জন্য আমার আর কিছুই করার নেই। এই পরিবর্তনগুলির মধ্য দিয়ে যাওয়ার পর আমি বুঝতে পেরেছি যে আমি আমার চারপাশের সকলের অনুমোদন পেতে চেষ্টা করছিলাম। আমি বন্ধুবান্ধব, পরিবারের সদস্য, আমার প্রতি সমর্থনকারী ব্যক্তিদের কাছ থেকে অনুমোদন খুঁজছিলাম, এবং আমার কোনও ধারণা ছিল না। আমি নিজেকে পরীক্ষা করেছিলাম এবং অন্যদের অনুমোদনের উপর ভিত্তি করে আমার কাজগুলি অনুমান করেছিলাম এবং আমার মনে হয় এটিই আমার উদ্বেগকে গুরুতরভাবে উদ্দীপিত করেছিল। আপনার যদি একই রকম কোনও অভিজ্ঞতা হয় এবং স্নায়ু শান্ত করার জন্য আপনি কী করেছেন তা আমাকে জানান।</v>
      </c>
    </row>
    <row r="2926" spans="1:3" ht="15" x14ac:dyDescent="0.25">
      <c r="A2926" s="3" t="s">
        <v>2919</v>
      </c>
      <c r="B2926" s="3" t="s">
        <v>1992</v>
      </c>
      <c r="C2926" s="4" t="str">
        <f ca="1">IFERROR(__xludf.DUMMYFUNCTION("GOOGLETRANSLATE(A2926, ""auto"", ""bn"")"),"আমার কেন এমন হওয়ায় আমারও এখানে সবার মতোই দুশ্চিন্তা, কিন্তু আমার বয়স মাত্র ১৫ বছর। আর পরিস্থিতি আরও খারাপ হওয়া নিয়ে আমি খুবই চিন্তিত কারণ মাঝে মাঝে আমার ব্রেকডাউনের সময় আমি বিছানা থেকে উঠতে পারি না। আমি চিন্তিত থাকি যে আমার স্থান সহজে পাওয়া যাবে, তাই আমি "&amp;"এই আশায় আঁকড়ে থাকি যে অন্যরা আমাকে ভুলে যাবে না, এবং এর ফলে তারা আমাকে পছন্দ করবে না এবং এটি একটি দুষ্টচক্র হয়ে ওঠে। এটা তো বাদই দেওয়া যায় যে আমার মনে হয় আমি কারো জন্য যথেষ্ট ভালো নই এবং আমি কেবল মানুষের সময় নষ্ট করছি? আর আমি ভয় পাচ্ছি যে সময়ের সাথে সাথ"&amp;"ে পরিস্থিতি আরও খারাপ হবে। আমার পরিবার সাহায্য করার চেষ্টা করে কিন্তু আমি এটা কারো সাথে শেয়ার করতে পারি না এবং আমি সবসময় কিছু নিতে অনিচ্ছুক, তাই আমি আশা করেছিলাম যে আপনারা আমাকে এই পরিস্থিতি কাটিয়ে উঠতে সাহায্য করবেন।")</f>
        <v>আমার কেন এমন হওয়ায় আমারও এখানে সবার মতোই দুশ্চিন্তা, কিন্তু আমার বয়স মাত্র ১৫ বছর। আর পরিস্থিতি আরও খারাপ হওয়া নিয়ে আমি খুবই চিন্তিত কারণ মাঝে মাঝে আমার ব্রেকডাউনের সময় আমি বিছানা থেকে উঠতে পারি না। আমি চিন্তিত থাকি যে আমার স্থান সহজে পাওয়া যাবে, তাই আমি এই আশায় আঁকড়ে থাকি যে অন্যরা আমাকে ভুলে যাবে না, এবং এর ফলে তারা আমাকে পছন্দ করবে না এবং এটি একটি দুষ্টচক্র হয়ে ওঠে। এটা তো বাদই দেওয়া যায় যে আমার মনে হয় আমি কারো জন্য যথেষ্ট ভালো নই এবং আমি কেবল মানুষের সময় নষ্ট করছি? আর আমি ভয় পাচ্ছি যে সময়ের সাথে সাথে পরিস্থিতি আরও খারাপ হবে। আমার পরিবার সাহায্য করার চেষ্টা করে কিন্তু আমি এটা কারো সাথে শেয়ার করতে পারি না এবং আমি সবসময় কিছু নিতে অনিচ্ছুক, তাই আমি আশা করেছিলাম যে আপনারা আমাকে এই পরিস্থিতি কাটিয়ে উঠতে সাহায্য করবেন।</v>
      </c>
    </row>
    <row r="2927" spans="1:3" ht="15" x14ac:dyDescent="0.25">
      <c r="A2927" s="3" t="s">
        <v>2920</v>
      </c>
      <c r="B2927" s="3" t="s">
        <v>1992</v>
      </c>
      <c r="C2927" s="4" t="str">
        <f ca="1">IFERROR(__xludf.DUMMYFUNCTION("GOOGLETRANSLATE(A2927, ""auto"", ""bn"")"),"আমি জানি না কিভাবে সামলাবো। আমার বয়স ২২(মি) এবং ছোটবেলায় আমার সাথে ঘটে যাওয়া ঘটনাগুলো যখনই আমি মেনে নিতে চেষ্টা করি তখনই আমি সম্পূর্ণ অসাড় এবং অসাড় হয়ে পড়ি। এটা বলা সহজ নয় যে, ছোটবেলায় আমার উপর যৌন নির্যাতন করা হয়েছে। প্রায় দুই বছর ধরে এক কাকার হাতে। প্রা"&amp;"য় এক বছর আগে আমার উদ্বেগ নিয়ন্ত্রণের বাইরে চলে যেতে শুরু করে এবং আমার জীবন দখল করে নেয়। আমি একজন থেরাপিস্টের কাছে গিয়েছিলাম এবং আমার PTSD ধরা পড়ে এবং থেরাপির সাথে সাথে আমার শৈশবের অনেক খারাপ স্মৃতি আবার জেগে ওঠে। আমি ছোটবেলায় সম্পর্ক ছিন্ন করে ফেলি, কারণ "&amp;"আমার সাথে ঘটে যাওয়া ঘটনাগুলো থেকে নিজেকে রক্ষা করার একমাত্র উপায় ছিল। এবং এখন একজন প্রাপ্তবয়স্ক হিসেবে যখনই চিন্তাভাবনা আমার মাথায় ঘুরপাক খায় তখনই আবারও এটি ঘটছে। আমি এটাকে পেছনে ফেলে সঠিকভাবে মোকাবেলা করতে চাই। আমি জানি না কেন আমি রেডিটে এটি পোস্ট করার স"&amp;"িদ্ধান্ত নিলাম, হয়তো কারণ আমি পরামর্শ খুঁজছি অথবা হয়তো আমাকে কেবল তা প্রকাশ করতে হবে। TL;DR যখনই আমি আমার অতীতের সাথে মানিয়ে নেওয়ার চেষ্টা করি এবং সম্পর্ক ছিন্ন করার চেষ্টা করি তখনই আমার মন শূন্য হয়ে যায়। আমাকে একটা বিশ্রী পরিস্থিতিতে ফেলে রেখে, আমার "&amp;"অনুভূতি বা আসলে কী ঘটেছিল তা বোঝার ক্ষমতা আমার নেই।")</f>
        <v>আমি জানি না কিভাবে সামলাবো। আমার বয়স ২২(মি) এবং ছোটবেলায় আমার সাথে ঘটে যাওয়া ঘটনাগুলো যখনই আমি মেনে নিতে চেষ্টা করি তখনই আমি সম্পূর্ণ অসাড় এবং অসাড় হয়ে পড়ি। এটা বলা সহজ নয় যে, ছোটবেলায় আমার উপর যৌন নির্যাতন করা হয়েছে। প্রায় দুই বছর ধরে এক কাকার হাতে। প্রায় এক বছর আগে আমার উদ্বেগ নিয়ন্ত্রণের বাইরে চলে যেতে শুরু করে এবং আমার জীবন দখল করে নেয়। আমি একজন থেরাপিস্টের কাছে গিয়েছিলাম এবং আমার PTSD ধরা পড়ে এবং থেরাপির সাথে সাথে আমার শৈশবের অনেক খারাপ স্মৃতি আবার জেগে ওঠে। আমি ছোটবেলায় সম্পর্ক ছিন্ন করে ফেলি, কারণ আমার সাথে ঘটে যাওয়া ঘটনাগুলো থেকে নিজেকে রক্ষা করার একমাত্র উপায় ছিল। এবং এখন একজন প্রাপ্তবয়স্ক হিসেবে যখনই চিন্তাভাবনা আমার মাথায় ঘুরপাক খায় তখনই আবারও এটি ঘটছে। আমি এটাকে পেছনে ফেলে সঠিকভাবে মোকাবেলা করতে চাই। আমি জানি না কেন আমি রেডিটে এটি পোস্ট করার সিদ্ধান্ত নিলাম, হয়তো কারণ আমি পরামর্শ খুঁজছি অথবা হয়তো আমাকে কেবল তা প্রকাশ করতে হবে। TL;DR যখনই আমি আমার অতীতের সাথে মানিয়ে নেওয়ার চেষ্টা করি এবং সম্পর্ক ছিন্ন করার চেষ্টা করি তখনই আমার মন শূন্য হয়ে যায়। আমাকে একটা বিশ্রী পরিস্থিতিতে ফেলে রেখে, আমার অনুভূতি বা আসলে কী ঘটেছিল তা বোঝার ক্ষমতা আমার নেই।</v>
      </c>
    </row>
    <row r="2928" spans="1:3" ht="15" x14ac:dyDescent="0.25">
      <c r="A2928" s="3" t="s">
        <v>2921</v>
      </c>
      <c r="B2928" s="3" t="s">
        <v>1992</v>
      </c>
      <c r="C2928" s="4" t="str">
        <f ca="1">IFERROR(__xludf.DUMMYFUNCTION("GOOGLETRANSLATE(A2928, ""auto"", ""bn"")"),"আমি আগামীকাল স্কুলে ফিরে যাচ্ছি, আর আমার খুব একটা উদ্বেগ হচ্ছে। আগামীকাল শীতকালীন ছুটি শেষ হওয়ায় আমি আবার স্কুলে যাচ্ছি। আমার দুই সপ্তাহের ছুটি ছিল, আর আমার মনে হয় না আমি আর যেতে প্রস্তুত। মানুষের সাথে মেলামেশা করার সময় যে লজ্জা লাগে, তার সাথে আমি মোক"&amp;"াবিলা করতে চাই না। তাছাড়া, আমি আমার গ্রেড নিয়েও কাজ করতে চাই না। তাছাড়া, আমি আবার একাকী বোধ করতে চাই না। তাছাড়া, আমার বন্ধু আছে, কিন্তু আমি সবসময় মনে করি আমি সবচেয়ে কম গুরুত্বপূর্ণ, এবং আমি কেবল তাদের বিরক্ত করি (যা আমি জানি সত্য নয়, আমি কেবল সেভাব"&amp;"ে ভাবতে পারছি না)। আমার গ্রেডের কথা বলতে গেলে, আমার কাছে তাদের ঠিক করার জন্য প্রায় ৩ সপ্তাহ সময় আছে কারণ সেমিস্টারের শেষ হবে। আমি যতক্ষণ না সব A পাই, ততক্ষণ আমি নিজের সাথে খুশি থাকতে পারি না। যদি আমি নিখুঁত গ্রেড না পাই, তাহলে আমি নিজেকে আগের চেয়েও বেশ"&amp;"ি ঘৃণা করব। যা আমাকে আরও বেশি ভয় দেয় তা হল আমি কেবল একজন নবীন। দশম শ্রেণীর সাথে আমি কীভাবে মোকাবিলা করব? কলেজের সাথে আমার কীভাবে মোকাবিলা করা উচিত? এই সবকিছুর পাশাপাশি স্কুলের পরিবেশ আমাকে অনেক চাপ এবং উদ্বেগের কারণ করে। যদি এটি সত্যিই নেতিবাচক মনে হয় "&amp;"তবে ক্ষমাপ্রার্থী, তবে আমার কেবল কিছুটা মুখ খুলে বলার দরকার ছিল। যারা সময় নিয়ে এটি পড়েছেন তাদের সকলকে ধন্যবাদ :)")</f>
        <v>আমি আগামীকাল স্কুলে ফিরে যাচ্ছি, আর আমার খুব একটা উদ্বেগ হচ্ছে। আগামীকাল শীতকালীন ছুটি শেষ হওয়ায় আমি আবার স্কুলে যাচ্ছি। আমার দুই সপ্তাহের ছুটি ছিল, আর আমার মনে হয় না আমি আর যেতে প্রস্তুত। মানুষের সাথে মেলামেশা করার সময় যে লজ্জা লাগে, তার সাথে আমি মোকাবিলা করতে চাই না। তাছাড়া, আমি আমার গ্রেড নিয়েও কাজ করতে চাই না। তাছাড়া, আমি আবার একাকী বোধ করতে চাই না। তাছাড়া, আমার বন্ধু আছে, কিন্তু আমি সবসময় মনে করি আমি সবচেয়ে কম গুরুত্বপূর্ণ, এবং আমি কেবল তাদের বিরক্ত করি (যা আমি জানি সত্য নয়, আমি কেবল সেভাবে ভাবতে পারছি না)। আমার গ্রেডের কথা বলতে গেলে, আমার কাছে তাদের ঠিক করার জন্য প্রায় ৩ সপ্তাহ সময় আছে কারণ সেমিস্টারের শেষ হবে। আমি যতক্ষণ না সব A পাই, ততক্ষণ আমি নিজের সাথে খুশি থাকতে পারি না। যদি আমি নিখুঁত গ্রেড না পাই, তাহলে আমি নিজেকে আগের চেয়েও বেশি ঘৃণা করব। যা আমাকে আরও বেশি ভয় দেয় তা হল আমি কেবল একজন নবীন। দশম শ্রেণীর সাথে আমি কীভাবে মোকাবিলা করব? কলেজের সাথে আমার কীভাবে মোকাবিলা করা উচিত? এই সবকিছুর পাশাপাশি স্কুলের পরিবেশ আমাকে অনেক চাপ এবং উদ্বেগের কারণ করে। যদি এটি সত্যিই নেতিবাচক মনে হয় তবে ক্ষমাপ্রার্থী, তবে আমার কেবল কিছুটা মুখ খুলে বলার দরকার ছিল। যারা সময় নিয়ে এটি পড়েছেন তাদের সকলকে ধন্যবাদ :)</v>
      </c>
    </row>
    <row r="2929" spans="1:3" ht="15" x14ac:dyDescent="0.25">
      <c r="A2929" s="3" t="s">
        <v>2922</v>
      </c>
      <c r="B2929" s="3" t="s">
        <v>1992</v>
      </c>
      <c r="C2929" s="4" t="str">
        <f ca="1">IFERROR(__xludf.DUMMYFUNCTION("GOOGLETRANSLATE(A2929, ""auto"", ""bn"")"),"উদ্বেগের প্রতিকার উদ্বেগের উৎপত্তি আকাঙ্ক্ষা থেকে। মৃত্যু নিয়ে তোমার কি উদ্বেগ আছে? এটা বেঁচে থাকার আকাঙ্ক্ষা থেকে আসে। এটা প্রায়শই এমন কিছু নিয়ে চিন্তা করার মাধ্যমে আসে যা তুমি চাও না। অর্থাৎ, তুমি যা ভাবছো তার ঠিক বিপরীতটাই তুমি চাও। কিন্তু যেহেতু তু"&amp;"মি যা চাও না তা নিয়ে ভাবছো, তাই এটি উদ্বেগ নামক অভিজ্ঞতার সৃষ্টি করে। উদ্বেগ সেই আকাঙ্ক্ষাকে কাটিয়ে ওঠার মাধ্যমে নিরাময় করা হয় যা এর কারণ। মৃত্যু নিয়ে উদ্বেগ আছে? তুমি যে সমস্ত কারণের জন্য বেঁচে থাকতে চাও তা ছেড়ে দাও। হঠাৎ করে, মৃত্যু কোনও খারাপ অভি"&amp;"জ্ঞতা নয় কারণ যদি এটি ঘটে তবে তোমার আর হারানোর কিছু থাকে না। কিন্তু... এটা বলা সহজ, তাই না? [community.etiyeti.com/register/](https://community.etiyeti.com/register/) এ আমাদের সম্প্রদায়ের জমকালো উদ্বোধনে আমাদের সাথে যোগ দিন কারণ, কেন নয়? কখনও কখনও তোমা"&amp;"র কেবল কথা বলার জন্য কারো প্রয়োজন হয়।")</f>
        <v>উদ্বেগের প্রতিকার উদ্বেগের উৎপত্তি আকাঙ্ক্ষা থেকে। মৃত্যু নিয়ে তোমার কি উদ্বেগ আছে? এটা বেঁচে থাকার আকাঙ্ক্ষা থেকে আসে। এটা প্রায়শই এমন কিছু নিয়ে চিন্তা করার মাধ্যমে আসে যা তুমি চাও না। অর্থাৎ, তুমি যা ভাবছো তার ঠিক বিপরীতটাই তুমি চাও। কিন্তু যেহেতু তুমি যা চাও না তা নিয়ে ভাবছো, তাই এটি উদ্বেগ নামক অভিজ্ঞতার সৃষ্টি করে। উদ্বেগ সেই আকাঙ্ক্ষাকে কাটিয়ে ওঠার মাধ্যমে নিরাময় করা হয় যা এর কারণ। মৃত্যু নিয়ে উদ্বেগ আছে? তুমি যে সমস্ত কারণের জন্য বেঁচে থাকতে চাও তা ছেড়ে দাও। হঠাৎ করে, মৃত্যু কোনও খারাপ অভিজ্ঞতা নয় কারণ যদি এটি ঘটে তবে তোমার আর হারানোর কিছু থাকে না। কিন্তু... এটা বলা সহজ, তাই না? [community.etiyeti.com/register/](https://community.etiyeti.com/register/) এ আমাদের সম্প্রদায়ের জমকালো উদ্বোধনে আমাদের সাথে যোগ দিন কারণ, কেন নয়? কখনও কখনও তোমার কেবল কথা বলার জন্য কারো প্রয়োজন হয়।</v>
      </c>
    </row>
    <row r="2930" spans="1:3" ht="15" x14ac:dyDescent="0.25">
      <c r="A2930" s="3" t="s">
        <v>2923</v>
      </c>
      <c r="B2930" s="3" t="s">
        <v>1992</v>
      </c>
      <c r="C2930" s="4" t="str">
        <f ca="1">IFERROR(__xludf.DUMMYFUNCTION("GOOGLETRANSLATE(A2930, ""auto"", ""bn"")"),"ভবিষ্যৎ এবং অতীতের ভুলের জন্য উদ্বেগ হে বন্ধুরা, প্রায় এক মাস আগে আমি এবং আমার প্রেমিক বিরতিতে ছিলাম কারণ সে নিশ্চিত ছিল না যে সে এমন একজনের (আমি) সাথে সম্পর্ক চালিয়ে যেতে চায় কিনা যিনি সর্বদা উদ্বিগ্ন থাকেন। বিরতির সময়, আমি অবশেষে সাহায্য চেয়েছিলাম,"&amp;" এবং আমি এখন পর্যন্ত আমার বেশিরভাগ দৃষ্টিভঙ্গি পরিবর্তন করতে সক্ষম হয়েছি। আমরা আবার একত্রিত হয়েছিলাম কারণ সে অনুভব করেছিল যে আমরা একটি ইতিবাচক দিকে এগিয়ে যাচ্ছি। আমি কয়েক দিনের মধ্যে 2 সপ্তাহের জন্য তার সাথে দেখা করব, এবং আমি একই ভুল আবার করতে অত্যন্ত"&amp;" ভীত। দীর্ঘমেয়াদে তাকে এবং নিজেকে হতাশ করছি, এবং আমার হস্তক্ষেপমূলক চিন্তাভাবনা এবং এই জাতীয় কিছুর কাছে নতি স্বীকার করছি। মাঝে মাঝে সারা দিন, আমি ভাবি কিভাবে আমি যদি কোনও নির্দিষ্টভাবে আচরণ না করতাম, অথবা আমি আশা করি আমি তাকে আবার দেখার পরে এটি চালিয়ে "&amp;"যাব না। আমি কেবল এই পোস্টটি সবকিছু প্রকাশ করার উপায় হিসাবে ব্যবহার করছি, তবে উৎসাহের যেকোনো শব্দ স্বাগত।")</f>
        <v>ভবিষ্যৎ এবং অতীতের ভুলের জন্য উদ্বেগ হে বন্ধুরা, প্রায় এক মাস আগে আমি এবং আমার প্রেমিক বিরতিতে ছিলাম কারণ সে নিশ্চিত ছিল না যে সে এমন একজনের (আমি) সাথে সম্পর্ক চালিয়ে যেতে চায় কিনা যিনি সর্বদা উদ্বিগ্ন থাকেন। বিরতির সময়, আমি অবশেষে সাহায্য চেয়েছিলাম, এবং আমি এখন পর্যন্ত আমার বেশিরভাগ দৃষ্টিভঙ্গি পরিবর্তন করতে সক্ষম হয়েছি। আমরা আবার একত্রিত হয়েছিলাম কারণ সে অনুভব করেছিল যে আমরা একটি ইতিবাচক দিকে এগিয়ে যাচ্ছি। আমি কয়েক দিনের মধ্যে 2 সপ্তাহের জন্য তার সাথে দেখা করব, এবং আমি একই ভুল আবার করতে অত্যন্ত ভীত। দীর্ঘমেয়াদে তাকে এবং নিজেকে হতাশ করছি, এবং আমার হস্তক্ষেপমূলক চিন্তাভাবনা এবং এই জাতীয় কিছুর কাছে নতি স্বীকার করছি। মাঝে মাঝে সারা দিন, আমি ভাবি কিভাবে আমি যদি কোনও নির্দিষ্টভাবে আচরণ না করতাম, অথবা আমি আশা করি আমি তাকে আবার দেখার পরে এটি চালিয়ে যাব না। আমি কেবল এই পোস্টটি সবকিছু প্রকাশ করার উপায় হিসাবে ব্যবহার করছি, তবে উৎসাহের যেকোনো শব্দ স্বাগত।</v>
      </c>
    </row>
    <row r="2931" spans="1:3" ht="15" x14ac:dyDescent="0.25">
      <c r="A2931" s="3" t="s">
        <v>2924</v>
      </c>
      <c r="B2931" s="3" t="s">
        <v>1992</v>
      </c>
      <c r="C2931" s="4" t="str">
        <f ca="1">IFERROR(__xludf.DUMMYFUNCTION("GOOGLETRANSLATE(A2931, ""auto"", ""bn"")"),"আমার বয়স ১৭ এবং আমি কখনও কোনও মেয়েকে চুমু খাইনি। আমাকে কখনও এমন পরিস্থিতিতে পড়তে হয়নি। আমার কি চিন্তিত হওয়া উচিত?")</f>
        <v>আমার বয়স ১৭ এবং আমি কখনও কোনও মেয়েকে চুমু খাইনি। আমাকে কখনও এমন পরিস্থিতিতে পড়তে হয়নি। আমার কি চিন্তিত হওয়া উচিত?</v>
      </c>
    </row>
    <row r="2932" spans="1:3" ht="15" x14ac:dyDescent="0.25">
      <c r="A2932" s="3" t="s">
        <v>2925</v>
      </c>
      <c r="B2932" s="3" t="s">
        <v>1992</v>
      </c>
      <c r="C2932" s="4" t="str">
        <f ca="1">IFERROR(__xludf.DUMMYFUNCTION("GOOGLETRANSLATE(A2932, ""auto"", ""bn"")"),"আমি কোন কারণ ছাড়াই উদ্বিগ্ন, আমি জানি না কেন আমি এখন উদ্বিগ্ন, এবং আমি এতে খুব ক্লান্ত, আমি চাই এটি বন্ধ হোক।")</f>
        <v>আমি কোন কারণ ছাড়াই উদ্বিগ্ন, আমি জানি না কেন আমি এখন উদ্বিগ্ন, এবং আমি এতে খুব ক্লান্ত, আমি চাই এটি বন্ধ হোক।</v>
      </c>
    </row>
    <row r="2933" spans="1:3" ht="15" x14ac:dyDescent="0.25">
      <c r="A2933" s="3" t="s">
        <v>2926</v>
      </c>
      <c r="B2933" s="3" t="s">
        <v>1992</v>
      </c>
      <c r="C2933" s="4" t="str">
        <f ca="1">IFERROR(__xludf.DUMMYFUNCTION("GOOGLETRANSLATE(A2933, ""auto"", ""bn"")"),"আমার বরফে গাড়ি চালানোর দুশ্চিন্তা নিয়ন্ত্রণের বাইরে চলে গেছে বন্ধুরা। গত তিনটি মেইন শীতকালে বরফে গাড়ি চালানো নিয়ে আমার উদ্বেগ স্বাভাবিক এবং নিয়ন্ত্রণযোগ্য ভয়ের মাত্রা থেকে এই শীতে ১০/১০-এ পৌঁছেছে। এক কথায়, এটা ভয়াবহ। আমাকে সাধারণত অফিসে যাওয়া-আসা "&amp;"করতে হয় (পিছনের রাস্তা দিয়ে ২০ মিনিট দূরে)। আমি নিজেও সপ্তাহে বেশ কয়েকবার স্কুলে যাওয়া-আসা করি, তবে প্রয়োজনে আমি বাসে করেও যেতে পারি। আমি এই সেমিস্টারে আরও বেশি কিছু করার পরিকল্পনা করছি। যাই হোক, এই ন্যূনতম ড্রাইভিংও আমার জন্য প্রায় অতিরিক্ত হয়ে গেছে। আম"&amp;"ার নতুন গাড়িতে এটি আমার প্রথম শীত, যেখানে আমি অন্যান্য শীতকাল আমার পুরনো গাড়িতে কাটিয়েছি। যাইহোক, যদিও আমার বর্তমান গাড়িটি অনেক নতুন এবং যান্ত্রিকভাবে শক্তিশালী, তুষার এবং বরফে এটি আমার পুরনো গাড়ির তুলনায় *ভয়াবহ*। গত শীতের শেষের দিকে আমি গাড়ি এবং পিছনের "&amp;"কাউকে (যদিও খুব মৃদুভাবে) পেয়েছিলাম কারণ ব্রেকগুলি সময়মতো টায়ারের সাথে সংযুক্ত ছিল না যখন এটি কাদামাটি বের হয়েছিল। এটা খুব হালকা এবং শীতকালীন টায়ারের স্টাডগুলো জীর্ণ, কিন্তু নতুন টায়ার কেনার জন্য আমার কাছে টাকা নেই। থ্যাঙ্কসগিভিং-এ আমি আর আমার প্রেমিক"&amp;" তার বাবা-মায়ের বাড়িতে যাচ্ছিলাম (সাধারণত দেড় ঘন্টা দূরে) যখন তুষারপাত শুরু হলো। আমরা আন্তঃরাজ্যের পথে ৩০-এর গতিতে গাড়ি চালাচ্ছিলাম, প্রায় তুষারপাত হচ্ছিল, এবং আমি হাইপারভেন্টিলেটেটিং করছিলাম এবং আর গাড়ি চালাতে পারছিলাম না তাই আমরা পিছনের হাইওয়েতে "&amp;"উঠলাম, কিন্তু পরিস্থিতি আরও খারাপ ছিল। আমি মোড় নিতে গেলাম, আমরা পিছলে গেলাম এবং প্রায় বেরিয়ে এলাম এবং আমি গাড়ি থামিয়ে কাঁদতে শুরু করলাম এবং আরও বেশি আতঙ্কিত হয়ে পড়লাম। আমাদের গাড়িটি একটি পেট্রোল পাম্পে রেখে তার বাবা-মাকে আমাদের নিতে বলতে হয়েছিল। "&amp;"তারপর থেকে আমি তা করতে পারিনি। আমি খুব আগ্রহের সাথে পূর্বাভাস পরীক্ষা করি এবং তুষারপাতের সামান্যতম সম্ভাবনা সম্পর্কে পরিকল্পনা করি। তারপর থেকে যখন আবহাওয়া অপ্রত্যাশিত ছিল তখন সহকর্মী এবং বন্ধুদের আমাকে ৩-৪ বার কাজ থেকে বাড়ি ফেরার জন্য গাড়ি দিতে হয়েছিল"&amp;"। তুষারপাত শুরু হতে দেখলে আমার দুবার কর্মক্ষেত্রে কান্নাকাটি করার মতো সমস্যা হয়েছে। আমার বয়ফ্রেন্ডের একটু বরফের রাস্তা থেকে পিছু হটতে পিছু আমি প্রায় কেঁদে ফেলেছিলাম এবং ভয় পেয়ে গিয়েছিলাম। আমার বেশিরভাগ সহকর্মী সহানুভূতিশীল এবং দয়ালু, কিন্তু সত্যি বলতে এ"&amp;"টা খুবই অযৌক্তিক বলে মনে হচ্ছে। যেমন, আমরা মেইনে থাকি, এটা মোকাবেলা করি। সবাই এতে অভ্যস্ত এবং ন্যূনতম ভয় বা অভিযোগ নিয়ে গাড়ি চালায়, এমনকি আমার মতো গাড়িতেও। কিন্তু আমি পারি না। আমি নিজেকে খুব হতাশ করি এবং এমন একটি অকেজো শিশুর মতো অনুভব করি যে মানুষের উপর"&amp;" বোঝা। আমি জানি না কেন আমি এই পোস্টটি করেছি কারণ এটি কেবল একটি বকবক কিন্তু আমি চাই কেউ আমাকে বলুক যে আমার ভয় বৈধ, এবং এটি ঠিক হয়ে যাবে এবং ভয় পাওয়া বোকামি নয়... কেউ কি এর সাথে সম্পর্কিত?")</f>
        <v>আমার বরফে গাড়ি চালানোর দুশ্চিন্তা নিয়ন্ত্রণের বাইরে চলে গেছে বন্ধুরা। গত তিনটি মেইন শীতকালে বরফে গাড়ি চালানো নিয়ে আমার উদ্বেগ স্বাভাবিক এবং নিয়ন্ত্রণযোগ্য ভয়ের মাত্রা থেকে এই শীতে ১০/১০-এ পৌঁছেছে। এক কথায়, এটা ভয়াবহ। আমাকে সাধারণত অফিসে যাওয়া-আসা করতে হয় (পিছনের রাস্তা দিয়ে ২০ মিনিট দূরে)। আমি নিজেও সপ্তাহে বেশ কয়েকবার স্কুলে যাওয়া-আসা করি, তবে প্রয়োজনে আমি বাসে করেও যেতে পারি। আমি এই সেমিস্টারে আরও বেশি কিছু করার পরিকল্পনা করছি। যাই হোক, এই ন্যূনতম ড্রাইভিংও আমার জন্য প্রায় অতিরিক্ত হয়ে গেছে। আমার নতুন গাড়িতে এটি আমার প্রথম শীত, যেখানে আমি অন্যান্য শীতকাল আমার পুরনো গাড়িতে কাটিয়েছি। যাইহোক, যদিও আমার বর্তমান গাড়িটি অনেক নতুন এবং যান্ত্রিকভাবে শক্তিশালী, তুষার এবং বরফে এটি আমার পুরনো গাড়ির তুলনায় *ভয়াবহ*। গত শীতের শেষের দিকে আমি গাড়ি এবং পিছনের কাউকে (যদিও খুব মৃদুভাবে) পেয়েছিলাম কারণ ব্রেকগুলি সময়মতো টায়ারের সাথে সংযুক্ত ছিল না যখন এটি কাদামাটি বের হয়েছিল। এটা খুব হালকা এবং শীতকালীন টায়ারের স্টাডগুলো জীর্ণ, কিন্তু নতুন টায়ার কেনার জন্য আমার কাছে টাকা নেই। থ্যাঙ্কসগিভিং-এ আমি আর আমার প্রেমিক তার বাবা-মায়ের বাড়িতে যাচ্ছিলাম (সাধারণত দেড় ঘন্টা দূরে) যখন তুষারপাত শুরু হলো। আমরা আন্তঃরাজ্যের পথে ৩০-এর গতিতে গাড়ি চালাচ্ছিলাম, প্রায় তুষারপাত হচ্ছিল, এবং আমি হাইপারভেন্টিলেটেটিং করছিলাম এবং আর গাড়ি চালাতে পারছিলাম না তাই আমরা পিছনের হাইওয়েতে উঠলাম, কিন্তু পরিস্থিতি আরও খারাপ ছিল। আমি মোড় নিতে গেলাম, আমরা পিছলে গেলাম এবং প্রায় বেরিয়ে এলাম এবং আমি গাড়ি থামিয়ে কাঁদতে শুরু করলাম এবং আরও বেশি আতঙ্কিত হয়ে পড়লাম। আমাদের গাড়িটি একটি পেট্রোল পাম্পে রেখে তার বাবা-মাকে আমাদের নিতে বলতে হয়েছিল। তারপর থেকে আমি তা করতে পারিনি। আমি খুব আগ্রহের সাথে পূর্বাভাস পরীক্ষা করি এবং তুষারপাতের সামান্যতম সম্ভাবনা সম্পর্কে পরিকল্পনা করি। তারপর থেকে যখন আবহাওয়া অপ্রত্যাশিত ছিল তখন সহকর্মী এবং বন্ধুদের আমাকে ৩-৪ বার কাজ থেকে বাড়ি ফেরার জন্য গাড়ি দিতে হয়েছিল। তুষারপাত শুরু হতে দেখলে আমার দুবার কর্মক্ষেত্রে কান্নাকাটি করার মতো সমস্যা হয়েছে। আমার বয়ফ্রেন্ডের একটু বরফের রাস্তা থেকে পিছু হটতে পিছু আমি প্রায় কেঁদে ফেলেছিলাম এবং ভয় পেয়ে গিয়েছিলাম। আমার বেশিরভাগ সহকর্মী সহানুভূতিশীল এবং দয়ালু, কিন্তু সত্যি বলতে এটা খুবই অযৌক্তিক বলে মনে হচ্ছে। যেমন, আমরা মেইনে থাকি, এটা মোকাবেলা করি। সবাই এতে অভ্যস্ত এবং ন্যূনতম ভয় বা অভিযোগ নিয়ে গাড়ি চালায়, এমনকি আমার মতো গাড়িতেও। কিন্তু আমি পারি না। আমি নিজেকে খুব হতাশ করি এবং এমন একটি অকেজো শিশুর মতো অনুভব করি যে মানুষের উপর বোঝা। আমি জানি না কেন আমি এই পোস্টটি করেছি কারণ এটি কেবল একটি বকবক কিন্তু আমি চাই কেউ আমাকে বলুক যে আমার ভয় বৈধ, এবং এটি ঠিক হয়ে যাবে এবং ভয় পাওয়া বোকামি নয়... কেউ কি এর সাথে সম্পর্কিত?</v>
      </c>
    </row>
    <row r="2934" spans="1:3" ht="15" x14ac:dyDescent="0.25">
      <c r="A2934" s="3" t="s">
        <v>2927</v>
      </c>
      <c r="B2934" s="3" t="s">
        <v>1992</v>
      </c>
      <c r="C2934" s="4" t="str">
        <f ca="1">IFERROR(__xludf.DUMMYFUNCTION("GOOGLETRANSLATE(A2934, ""auto"", ""bn"")"),"অনিরাপদ সংযুক্তি -- যদিও রোমান্স চাই আজ আমার থেরাপিস্ট সংযুক্তি তত্ত্ব সম্পর্কে কথা বলেছেন, রোমান্টিক সম্পর্কের ক্ষেত্রে আমার একটি অনিরাপদ সংযুক্তি রয়েছে। যা যুক্তিসঙ্গত, আমাকে 3 জন ভিন্ন মা/সৎ মায়ের দ্বারা পরিত্যক্ত করা হয়েছে, এবং আমার বাবার দুটি বিবাহ"&amp;"বিচ্ছেদের মধ্য দিয়ে যেতে হয়েছে। আমার বয়স 28, এবং মাত্র একটি গুরুতর রোমান্টিক সম্পর্ক ছিল (7 মাস স্থায়ী হয়েছিল - তবে আমরা আগে 2 বছর ধরে বন্ধু ছিলাম)। আমি আকর্ষণীয় (কুৎসিত নয়) এবং সহজেই একজন ছেলের সাথে স্থায়ী হতে পারি, তবে আমার মান আছে (অতটা উচ্চ নয"&amp;"়: চাকরি, যানবাহন এবং নিজস্ব জায়গা থাকতে হবে (অ্যাপার্টমেন্ট বা বাড়ি/ বাবা-মায়ের সাথে থাকে না)। তদুপরি, আমার ধারণা, আমি কোনও সম্ভাব্য সম্পর্ক নষ্ট করতে চাই না, এই সংযুক্তি শৈলী সম্পর্কে কেউ আরও জানেন? তদুপরি, আমি কিছুটা পড়েছি, ব্যক্তি (আমি) একটি সম্পর"&amp;"্কে জড়িয়ে পড়ে, দ্রুত জিনিসগুলি গ্রহণ করে, পরিত্যক্ত হওয়ার ভয় পায়। যখন জিনিসগুলি ধীর হয়ে যায়/আরও স্বাচ্ছন্দ্যময় সম্পর্কে পরিণত হয়, তখন সঙ্গী দূরে সরে যায় এবং এটি ভেঙে দেয়।")</f>
        <v>অনিরাপদ সংযুক্তি -- যদিও রোমান্স চাই আজ আমার থেরাপিস্ট সংযুক্তি তত্ত্ব সম্পর্কে কথা বলেছেন, রোমান্টিক সম্পর্কের ক্ষেত্রে আমার একটি অনিরাপদ সংযুক্তি রয়েছে। যা যুক্তিসঙ্গত, আমাকে 3 জন ভিন্ন মা/সৎ মায়ের দ্বারা পরিত্যক্ত করা হয়েছে, এবং আমার বাবার দুটি বিবাহবিচ্ছেদের মধ্য দিয়ে যেতে হয়েছে। আমার বয়স 28, এবং মাত্র একটি গুরুতর রোমান্টিক সম্পর্ক ছিল (7 মাস স্থায়ী হয়েছিল - তবে আমরা আগে 2 বছর ধরে বন্ধু ছিলাম)। আমি আকর্ষণীয় (কুৎসিত নয়) এবং সহজেই একজন ছেলের সাথে স্থায়ী হতে পারি, তবে আমার মান আছে (অতটা উচ্চ নয়: চাকরি, যানবাহন এবং নিজস্ব জায়গা থাকতে হবে (অ্যাপার্টমেন্ট বা বাড়ি/ বাবা-মায়ের সাথে থাকে না)। তদুপরি, আমার ধারণা, আমি কোনও সম্ভাব্য সম্পর্ক নষ্ট করতে চাই না, এই সংযুক্তি শৈলী সম্পর্কে কেউ আরও জানেন? তদুপরি, আমি কিছুটা পড়েছি, ব্যক্তি (আমি) একটি সম্পর্কে জড়িয়ে পড়ে, দ্রুত জিনিসগুলি গ্রহণ করে, পরিত্যক্ত হওয়ার ভয় পায়। যখন জিনিসগুলি ধীর হয়ে যায়/আরও স্বাচ্ছন্দ্যময় সম্পর্কে পরিণত হয়, তখন সঙ্গী দূরে সরে যায় এবং এটি ভেঙে দেয়।</v>
      </c>
    </row>
    <row r="2935" spans="1:3" ht="15" x14ac:dyDescent="0.25">
      <c r="A2935" s="3" t="s">
        <v>2928</v>
      </c>
      <c r="B2935" s="3" t="s">
        <v>1992</v>
      </c>
      <c r="C2935" s="4" t="str">
        <f ca="1">IFERROR(__xludf.DUMMYFUNCTION("GOOGLETRANSLATE(A2935, ""auto"", ""bn"")"),"ঠিকঠাক লাগছে! গত বছরই আমার মনে দুশ্চিন্তা জেগেছিল এবং এটা ভীতিকর। আমি আগামীকাল স্কুলে ফিরে যাব এবং আমার বাড়ি এবং পরিবারের সান্ত্বনা দিতে যাব, যারা আমার মাথা এবং বুকে ছুরিকাঘাতের ব্যথার জন্য দায়ী তাদের পাশে থাকতে হবে, কিন্তু আমি আমার নিজের পাথর (এবং কিছু"&amp;" ভালো বন্ধু)। ঘুমাতে যাওয়ার আগে আমি সকালে পড়ার জন্য কিছু উৎসাহজনক নোট রেখেছি এবং কিছু জল খেয়ে দিন শুরু করেছি। এটি সত্যিই আমার মেজাজ উন্নত করেছে এবং আশা করি সকালে নিজেকে আত্মবিশ্বাসী করে তুলবে, তাই আমি ভাবলাম এটি শেয়ার করি।")</f>
        <v>ঠিকঠাক লাগছে! গত বছরই আমার মনে দুশ্চিন্তা জেগেছিল এবং এটা ভীতিকর। আমি আগামীকাল স্কুলে ফিরে যাব এবং আমার বাড়ি এবং পরিবারের সান্ত্বনা দিতে যাব, যারা আমার মাথা এবং বুকে ছুরিকাঘাতের ব্যথার জন্য দায়ী তাদের পাশে থাকতে হবে, কিন্তু আমি আমার নিজের পাথর (এবং কিছু ভালো বন্ধু)। ঘুমাতে যাওয়ার আগে আমি সকালে পড়ার জন্য কিছু উৎসাহজনক নোট রেখেছি এবং কিছু জল খেয়ে দিন শুরু করেছি। এটি সত্যিই আমার মেজাজ উন্নত করেছে এবং আশা করি সকালে নিজেকে আত্মবিশ্বাসী করে তুলবে, তাই আমি ভাবলাম এটি শেয়ার করি।</v>
      </c>
    </row>
    <row r="2936" spans="1:3" ht="15" x14ac:dyDescent="0.25">
      <c r="A2936" s="3" t="s">
        <v>2929</v>
      </c>
      <c r="B2936" s="3" t="s">
        <v>1992</v>
      </c>
      <c r="C2936" s="4" t="str">
        <f ca="1">IFERROR(__xludf.DUMMYFUNCTION("GOOGLETRANSLATE(A2936, ""auto"", ""bn"")"),"অজ্ঞাত উদ্বেগ... এবং সমাধান তাই, শিরোনাম অনুসারে, আমার এখনও পর্যন্ত সাধারণ উদ্বেগ ব্যাধি (যাকে এখন থেকে GA বলা হয়) নির্ণয় করা হয়নি (কিন্তু প্রায় নিশ্চিত)। আমি 2019 সাল নিয়ে সত্যিই নার্ভাস, কারণ এই বছর আমার জীবনে অনেক কিছু পরিবর্তন হচ্ছে। প্রথমত, আমি "&amp;"আগস্টের শেষের দিকে বাড়ি এবং আমার পরিবার থেকে 450 মাইল দূরে কলেজে যাচ্ছি। আমি এটি নিয়ে সত্যিই নার্ভাস, তবে উত্তেজিতও। মে মাসের শেষে আমি হাই স্কুল (এবং আন্তর্জাতিক স্নাতক) স্নাতক করি। দ্বিতীয়ত, পরীক্ষা। সিনিয়র ইয়ারের দ্বিতীয় সেমিস্টার হল যখন আমার সমস্"&amp;"ত আন্তর্জাতিক স্নাতক পরীক্ষা এবং প্রশ্নপত্র থাকে। আমি কখনই সময়সীমার সীমাবদ্ধতার মধ্যে ভালো করি না, তবে আমার হাই স্কুল কাউন্সেলর দ্বারা GA নির্ণয় ""অস্থায়ী"" হওয়ার কারণে অতিরিক্ত সময়ের জন্য যোগ্যতা অর্জন করি না। তৃতীয়ত, উইন্ডোজ ১০ এর জন্য আমার একটি ভ"&amp;"ালো জার্নাল সফটওয়্যার (পাসওয়ার্ড বৈশিষ্ট্য সহ) দরকার। ২০১৯ সালের জন্য (যত তাড়াতাড়ি সম্ভব শুরু) আমার লক্ষ্য হল প্রতিদিন একটি জার্নাল এন্ট্রি থাকা যেখানে আমার সাথে প্রতিদিন ঘটে যাওয়া ভালো এবং খারাপ ঘটনাগুলি সম্পর্কে আলোচনা করা হবে যাতে আমি ডিসেম্বরের দ"&amp;"িকে ফিরে তাকাতে পারি এবং দেখতে পারি আমার বছর কেমন ছিল। সবকিছুর জন্য ধন্যবাদ, রেড স্কাই।")</f>
        <v>অজ্ঞাত উদ্বেগ... এবং সমাধান তাই, শিরোনাম অনুসারে, আমার এখনও পর্যন্ত সাধারণ উদ্বেগ ব্যাধি (যাকে এখন থেকে GA বলা হয়) নির্ণয় করা হয়নি (কিন্তু প্রায় নিশ্চিত)। আমি 2019 সাল নিয়ে সত্যিই নার্ভাস, কারণ এই বছর আমার জীবনে অনেক কিছু পরিবর্তন হচ্ছে। প্রথমত, আমি আগস্টের শেষের দিকে বাড়ি এবং আমার পরিবার থেকে 450 মাইল দূরে কলেজে যাচ্ছি। আমি এটি নিয়ে সত্যিই নার্ভাস, তবে উত্তেজিতও। মে মাসের শেষে আমি হাই স্কুল (এবং আন্তর্জাতিক স্নাতক) স্নাতক করি। দ্বিতীয়ত, পরীক্ষা। সিনিয়র ইয়ারের দ্বিতীয় সেমিস্টার হল যখন আমার সমস্ত আন্তর্জাতিক স্নাতক পরীক্ষা এবং প্রশ্নপত্র থাকে। আমি কখনই সময়সীমার সীমাবদ্ধতার মধ্যে ভালো করি না, তবে আমার হাই স্কুল কাউন্সেলর দ্বারা GA নির্ণয় "অস্থায়ী" হওয়ার কারণে অতিরিক্ত সময়ের জন্য যোগ্যতা অর্জন করি না। তৃতীয়ত, উইন্ডোজ ১০ এর জন্য আমার একটি ভালো জার্নাল সফটওয়্যার (পাসওয়ার্ড বৈশিষ্ট্য সহ) দরকার। ২০১৯ সালের জন্য (যত তাড়াতাড়ি সম্ভব শুরু) আমার লক্ষ্য হল প্রতিদিন একটি জার্নাল এন্ট্রি থাকা যেখানে আমার সাথে প্রতিদিন ঘটে যাওয়া ভালো এবং খারাপ ঘটনাগুলি সম্পর্কে আলোচনা করা হবে যাতে আমি ডিসেম্বরের দিকে ফিরে তাকাতে পারি এবং দেখতে পারি আমার বছর কেমন ছিল। সবকিছুর জন্য ধন্যবাদ, রেড স্কাই।</v>
      </c>
    </row>
    <row r="2937" spans="1:3" ht="15" x14ac:dyDescent="0.25">
      <c r="A2937" s="3" t="s">
        <v>2930</v>
      </c>
      <c r="B2937" s="3" t="s">
        <v>1992</v>
      </c>
      <c r="C2937" s="4" t="str">
        <f ca="1">IFERROR(__xludf.DUMMYFUNCTION("GOOGLETRANSLATE(A2937, ""auto"", ""bn"")"),"আরেকটি সেমিস্টার নিয়ে অবিশ্বাস্যরকম উদ্বিগ্ন/নার্ভাস। আমি বর্তমানে বিশ্ববিদ্যালয়ে জুনিয়র এবং আগামীকাল থেকে আমার ষষ্ঠ সেমিস্টার শুরু হবে। ছুটির সময় বাড়িতে থাকতে আমার খুব ভালো লেগেছে, এবং ফিরে আসার জন্য আমি অবিশ্বাস্যরকম উদ্বিগ্ন। আমার কলেজ অভিজ্ঞতার এ"&amp;"ই মুহুর্তে আমার ফিরে যেতে উত্তেজিত হওয়া উচিত বলে মনে হচ্ছে। তাছাড়া, কলেজে থাকাকালীন আমি কখনও পুরোপুরি স্বাচ্ছন্দ্য বোধ করিনি, তবে ফিরে যাওয়ার জন্য আমি কখনও এতটা উদ্বিগ্ন ছিলাম না। স্কুলে যত বেশি সময় ছিল, কেউ কি তত বেশি উদ্বিগ্ন হয়ে পড়েছিল?")</f>
        <v>আরেকটি সেমিস্টার নিয়ে অবিশ্বাস্যরকম উদ্বিগ্ন/নার্ভাস। আমি বর্তমানে বিশ্ববিদ্যালয়ে জুনিয়র এবং আগামীকাল থেকে আমার ষষ্ঠ সেমিস্টার শুরু হবে। ছুটির সময় বাড়িতে থাকতে আমার খুব ভালো লেগেছে, এবং ফিরে আসার জন্য আমি অবিশ্বাস্যরকম উদ্বিগ্ন। আমার কলেজ অভিজ্ঞতার এই মুহুর্তে আমার ফিরে যেতে উত্তেজিত হওয়া উচিত বলে মনে হচ্ছে। তাছাড়া, কলেজে থাকাকালীন আমি কখনও পুরোপুরি স্বাচ্ছন্দ্য বোধ করিনি, তবে ফিরে যাওয়ার জন্য আমি কখনও এতটা উদ্বিগ্ন ছিলাম না। স্কুলে যত বেশি সময় ছিল, কেউ কি তত বেশি উদ্বিগ্ন হয়ে পড়েছিল?</v>
      </c>
    </row>
    <row r="2938" spans="1:3" ht="15" x14ac:dyDescent="0.25">
      <c r="A2938" s="3" t="s">
        <v>2931</v>
      </c>
      <c r="B2938" s="3" t="s">
        <v>1992</v>
      </c>
      <c r="C2938" s="4" t="str">
        <f ca="1">IFERROR(__xludf.DUMMYFUNCTION("GOOGLETRANSLATE(A2938, ""auto"", ""bn"")"),"কাউকে খারাপ না বলে উৎসাহিত করার সবচেয়ে ভালো উপায় কী? আরে, আমি জানতে চাই কাউকে খুব বেশি কঠোর না করে কিছু করতে উৎসাহিত করার সবচেয়ে ভালো উপায় কী? আমি সাধারণত মনে করি যে আমার প্রেমিককে কিছু করতে উৎসাহিত করার একমাত্র উপায় হল তার সাথে ""দুষ্ট"" আচরণ করা, য"&amp;"েমন তাকে ডাকা, কিন্তু সে সত্যিই দুঃখ পায় এবং আমিও তাই করি। আমি সবসময় চেষ্টা করি, কারণ আমি মনে করি শেষ পর্যন্ত এটি সর্বোত্তম, কিন্তু আমি এখন ভাবছি: এটি করার কি সমান কার্যকর উপায় আছে?")</f>
        <v>কাউকে খারাপ না বলে উৎসাহিত করার সবচেয়ে ভালো উপায় কী? আরে, আমি জানতে চাই কাউকে খুব বেশি কঠোর না করে কিছু করতে উৎসাহিত করার সবচেয়ে ভালো উপায় কী? আমি সাধারণত মনে করি যে আমার প্রেমিককে কিছু করতে উৎসাহিত করার একমাত্র উপায় হল তার সাথে "দুষ্ট" আচরণ করা, যেমন তাকে ডাকা, কিন্তু সে সত্যিই দুঃখ পায় এবং আমিও তাই করি। আমি সবসময় চেষ্টা করি, কারণ আমি মনে করি শেষ পর্যন্ত এটি সর্বোত্তম, কিন্তু আমি এখন ভাবছি: এটি করার কি সমান কার্যকর উপায় আছে?</v>
      </c>
    </row>
    <row r="2939" spans="1:3" ht="15" x14ac:dyDescent="0.25">
      <c r="A2939" s="3" t="s">
        <v>2932</v>
      </c>
      <c r="B2939" s="3" t="s">
        <v>1992</v>
      </c>
      <c r="C2939" s="4" t="str">
        <f ca="1">IFERROR(__xludf.DUMMYFUNCTION("GOOGLETRANSLATE(A2939, ""auto"", ""bn"")"),"আমাকে বলো আমি প্রস্তুত (২১F) আমি সেপ্টেম্বরে বিশ্ববিদ্যালয় ছেড়েছি এবং দ্বিতীয় থেকে শেষ সেমিস্টারের মধ্যে যা হওয়া উচিত ছিল তা মিস করেছি। আমার আগামীকাল ফিরে যেতে হবে এবং আমার শেষ সেমিস্টারটি করতে হবে যাতে আমি স্নাতক হতে পারি। গত বছরে আমি ৪টি SSRI চেষ্টা "&amp;"করেছি কিন্তু কোনও সাফল্য পাইনি, বাড়ি থেকে ফিরে আসার পর থেকে গত কয়েক মাসে ৩টি। তাছাড়া, আমি ফিরে যেতে অত্যন্ত উদ্বিগ্ন, গতবার আমি তীব্র প্যানিক অ্যাটাক এবং পুরো শরীরের কম্পনের জন্য হাসপাতালে ভর্তি হয়েছিলাম এবং মাত্র কয়েক সপ্তাহের মধ্যে ১৫ পাউন্ড ওজন কমি"&amp;"য়েছি। আমার মাকে মূলত আমাকে বাঁচাতে নেমে আসতে হয়েছিল। সবাই বলে যে আমি উন্নতি করেছি, কিন্তু আমি ফিরে যেতে ভয় পাচ্ছি, যদি একই জিনিস ঘটে? যদি আমি এটি করতে না পারি এবং আমি কখনও আমার ডিগ্রি না পাই? যদি আমি আমার মন হারিয়ে ফেলি বা আত্মহত্যা করি? যদি আমি আমার "&amp;"কুকুরের যত্ন নিতে না পারি এবং তার কিছু ঘটে যায়? আমি আতঙ্কিত। দয়া করে কেউ আমাকে বলুন আমি এটি করতে পারি অথবা বলুন যে আপনি একই রকম কিছুর মধ্য দিয়ে গেছেন এবং গল্পটি বলার জন্য বেঁচে আছেন।")</f>
        <v>আমাকে বলো আমি প্রস্তুত (২১F) আমি সেপ্টেম্বরে বিশ্ববিদ্যালয় ছেড়েছি এবং দ্বিতীয় থেকে শেষ সেমিস্টারের মধ্যে যা হওয়া উচিত ছিল তা মিস করেছি। আমার আগামীকাল ফিরে যেতে হবে এবং আমার শেষ সেমিস্টারটি করতে হবে যাতে আমি স্নাতক হতে পারি। গত বছরে আমি ৪টি SSRI চেষ্টা করেছি কিন্তু কোনও সাফল্য পাইনি, বাড়ি থেকে ফিরে আসার পর থেকে গত কয়েক মাসে ৩টি। তাছাড়া, আমি ফিরে যেতে অত্যন্ত উদ্বিগ্ন, গতবার আমি তীব্র প্যানিক অ্যাটাক এবং পুরো শরীরের কম্পনের জন্য হাসপাতালে ভর্তি হয়েছিলাম এবং মাত্র কয়েক সপ্তাহের মধ্যে ১৫ পাউন্ড ওজন কমিয়েছি। আমার মাকে মূলত আমাকে বাঁচাতে নেমে আসতে হয়েছিল। সবাই বলে যে আমি উন্নতি করেছি, কিন্তু আমি ফিরে যেতে ভয় পাচ্ছি, যদি একই জিনিস ঘটে? যদি আমি এটি করতে না পারি এবং আমি কখনও আমার ডিগ্রি না পাই? যদি আমি আমার মন হারিয়ে ফেলি বা আত্মহত্যা করি? যদি আমি আমার কুকুরের যত্ন নিতে না পারি এবং তার কিছু ঘটে যায়? আমি আতঙ্কিত। দয়া করে কেউ আমাকে বলুন আমি এটি করতে পারি অথবা বলুন যে আপনি একই রকম কিছুর মধ্য দিয়ে গেছেন এবং গল্পটি বলার জন্য বেঁচে আছেন।</v>
      </c>
    </row>
    <row r="2940" spans="1:3" ht="15" x14ac:dyDescent="0.25">
      <c r="A2940" s="3" t="s">
        <v>2933</v>
      </c>
      <c r="B2940" s="3" t="s">
        <v>1992</v>
      </c>
      <c r="C2940" s="4" t="str">
        <f ca="1">IFERROR(__xludf.DUMMYFUNCTION("GOOGLETRANSLATE(A2940, ""auto"", ""bn"")"),"নস্টালজিয়ার দুঃখ? এটা আমার উদ্বেগের সাথে সম্পর্কিত কিনা তা নিশ্চিত নই, তবে আমি জানতে চেয়েছিলাম অন্য কেউ কি এরকম অনুভব করেছে। তাই মূলত যখনই আমি আগের ছবি দেখি বা অতীতের কথা ভাবি তখনই আমি সত্যিই, সত্যিই দুঃখিত হয়ে পড়ি এবং কাঁদতে শুরু করি। এমন নয় যে আমি "&amp;"এখন আমার জীবন নিয়ে খুশি নই কারণ আমি আছি। আমি বুঝতে পারছি না কেন আমি এত দুঃখিত? যেন এটি আমার মধ্যে কিছু একটা উত্তেজিত করে, এবং আমি কেন তা বোঝার চেষ্টা করছি। হয়তো এটা সম্পূর্ণ স্বাভাবিক। কিন্তু আমার মনে হয় এটি আমার মধ্যে যে ব্যথা সৃষ্টি করে তা একটু চরম। "&amp;"যদিও আমার আবেগগুলিও খুব চরম।")</f>
        <v>নস্টালজিয়ার দুঃখ? এটা আমার উদ্বেগের সাথে সম্পর্কিত কিনা তা নিশ্চিত নই, তবে আমি জানতে চেয়েছিলাম অন্য কেউ কি এরকম অনুভব করেছে। তাই মূলত যখনই আমি আগের ছবি দেখি বা অতীতের কথা ভাবি তখনই আমি সত্যিই, সত্যিই দুঃখিত হয়ে পড়ি এবং কাঁদতে শুরু করি। এমন নয় যে আমি এখন আমার জীবন নিয়ে খুশি নই কারণ আমি আছি। আমি বুঝতে পারছি না কেন আমি এত দুঃখিত? যেন এটি আমার মধ্যে কিছু একটা উত্তেজিত করে, এবং আমি কেন তা বোঝার চেষ্টা করছি। হয়তো এটা সম্পূর্ণ স্বাভাবিক। কিন্তু আমার মনে হয় এটি আমার মধ্যে যে ব্যথা সৃষ্টি করে তা একটু চরম। যদিও আমার আবেগগুলিও খুব চরম।</v>
      </c>
    </row>
    <row r="2941" spans="1:3" ht="15" x14ac:dyDescent="0.25">
      <c r="A2941" s="3" t="s">
        <v>2934</v>
      </c>
      <c r="B2941" s="3" t="s">
        <v>1992</v>
      </c>
      <c r="C2941" s="4" t="str">
        <f ca="1">IFERROR(__xludf.DUMMYFUNCTION("GOOGLETRANSLATE(A2941, ""auto"", ""bn"")"),"মুদিখানার কেনাকাটা করার সময় উদ্বিগ্ন বোধ করতে শুরু করছি। এই সাব-এ আমি অনেক পোস্ট দেখতে পাচ্ছি যে মুদিখানার কেনাকাটা করার সময় মানুষের উদ্বেগ হয়। সাধারণত এটি আমার জন্য কোনও সমস্যা নয় (আমি আসলে বেকারির এই দোকানে কাজ করি) কিন্তু আজ রাতের পর আমি পুরোপুরি ব"&amp;"ুঝতে পারি কেন, কারণ আজ রাতে আমি খুব উদ্বিগ্ন হয়ে পড়েছিলাম। আমি জানি না কী হয়েছে, তবে আমি নিজেকে আমার তালিকাটি পড়ার চেষ্টা করার চেষ্টা করে দেখি এবং অপেক্ষা করার সময় আমার কী প্রয়োজন তা খুঁজে বের করার চেষ্টা করি, এটা কী হবে? হয়তো এই রেসিপিটি চেষ্টা কর"&amp;"ে দেখুন। অথবা এইটি, অথবা এইটি বা এইটি!!! Â যতক্ষণ না আমি কেবল বিভ্রান্ত হয়ে পড়েছিলাম যে ঠিক আছে, আমি এখানে কেন এসেছি? Â হয়তো অনেক বিকল্প আছে অথবা আজ রবিবার এবং সবাই এবং তাদের মা কেনাকাটা করতে বেরিয়েছে, কিন্তু আমি সত্যিই নার্ভাস। যেহেতু আমি এই দোকানে"&amp;" একজন পূর্ণ-সময়ের কর্মচারী, আমি আসলে ক্রিসমাসের জন্য $25 উপহার কার্ড পেয়েছি এবং আমি ভেবেছিলাম যে আমি এটি একটি মুদিখানার কেনাকাটার জন্য ব্যবহার করব। আমি জানি না কেন, হয়তো আমার কাছে এই ছবিটি এসেছে যেখানে আমি দোকান থেকে বেরিয়ে যাচ্ছি, আমার প্রয়োজনীয় সবকিছু"&amp;" ভর্তি একটি কার্ট নিয়ে (আর কিছু জিনিস যা আমার নেই)। স্লো মোশনে সানগ্লাস পরে বেরিয়ে আসছি, বিয়ন্ডের ফর্মেশন দিয়ে?? ব্যাকগ্রাউন্ডে বাজছে, কিন্তু আমি বসে বসে এই সপ্তাহে রাতের খাবারের জন্য কী বানাতে চাই তা বের করার চেষ্টা করছি!")</f>
        <v>মুদিখানার কেনাকাটা করার সময় উদ্বিগ্ন বোধ করতে শুরু করছি। এই সাব-এ আমি অনেক পোস্ট দেখতে পাচ্ছি যে মুদিখানার কেনাকাটা করার সময় মানুষের উদ্বেগ হয়। সাধারণত এটি আমার জন্য কোনও সমস্যা নয় (আমি আসলে বেকারির এই দোকানে কাজ করি) কিন্তু আজ রাতের পর আমি পুরোপুরি বুঝতে পারি কেন, কারণ আজ রাতে আমি খুব উদ্বিগ্ন হয়ে পড়েছিলাম। আমি জানি না কী হয়েছে, তবে আমি নিজেকে আমার তালিকাটি পড়ার চেষ্টা করার চেষ্টা করে দেখি এবং অপেক্ষা করার সময় আমার কী প্রয়োজন তা খুঁজে বের করার চেষ্টা করি, এটা কী হবে? হয়তো এই রেসিপিটি চেষ্টা করে দেখুন। অথবা এইটি, অথবা এইটি বা এইটি!!! Â যতক্ষণ না আমি কেবল বিভ্রান্ত হয়ে পড়েছিলাম যে ঠিক আছে, আমি এখানে কেন এসেছি? Â হয়তো অনেক বিকল্প আছে অথবা আজ রবিবার এবং সবাই এবং তাদের মা কেনাকাটা করতে বেরিয়েছে, কিন্তু আমি সত্যিই নার্ভাস। যেহেতু আমি এই দোকানে একজন পূর্ণ-সময়ের কর্মচারী, আমি আসলে ক্রিসমাসের জন্য $25 উপহার কার্ড পেয়েছি এবং আমি ভেবেছিলাম যে আমি এটি একটি মুদিখানার কেনাকাটার জন্য ব্যবহার করব। আমি জানি না কেন, হয়তো আমার কাছে এই ছবিটি এসেছে যেখানে আমি দোকান থেকে বেরিয়ে যাচ্ছি, আমার প্রয়োজনীয় সবকিছু ভর্তি একটি কার্ট নিয়ে (আর কিছু জিনিস যা আমার নেই)। স্লো মোশনে সানগ্লাস পরে বেরিয়ে আসছি, বিয়ন্ডের ফর্মেশন দিয়ে?? ব্যাকগ্রাউন্ডে বাজছে, কিন্তু আমি বসে বসে এই সপ্তাহে রাতের খাবারের জন্য কী বানাতে চাই তা বের করার চেষ্টা করছি!</v>
      </c>
    </row>
    <row r="2942" spans="1:3" ht="15" x14ac:dyDescent="0.25">
      <c r="A2942" s="3" t="s">
        <v>2935</v>
      </c>
      <c r="B2942" s="3" t="s">
        <v>1992</v>
      </c>
      <c r="C2942" s="4" t="str">
        <f ca="1">IFERROR(__xludf.DUMMYFUNCTION("GOOGLETRANSLATE(A2942, ""auto"", ""bn"")"),"নিজেকে বোঝাতে পারছি না যে এটা অ্যারিথমিয়া নয়। গত ২ বছরে আমার ৩টি এপিসোড হয়েছে যাকে চিকিৎসা পেশাদাররা প্যানিক অ্যাটাক বলে থাকেন। কিন্তু আমার এটা বোঝা কঠিন হয়ে পড়ছে। এই এপিসোডগুলো সবই আমার দ্রুত হৃদস্পন্দনের কারণে। এটি ১১০ বিপিএম থেকে ১৫০ বিপিএম পর্যন্"&amp;"ত হয়েছে (১৫০ বিপিএম ছিল পেটের ফ্লুর তীব্র আক্রমণের সময়)। আমি তীব্রভাবে বুঝতে পারি যে আমার হৃদস্পন্দন দ্রুত হচ্ছে, এবং আমার তাৎক্ষণিকভাবে মনে হয় ""ওহ না আমি মারা যাচ্ছি"" যা মাথা ঘোরা, ঠান্ডা লাগা, আমার মুখ, হাত ও পা অসাড় হয়ে যাওয়া এবং আরও অনেক কিছুর"&amp;" মতো বিভিন্ন লক্ষণের জন্ম দেয়। অবশেষে প্রধান লক্ষণগুলি কমে যায়, কিন্তু আমার হৃদস্পন্দন কমতে কয়েক ঘন্টা বা দিন সময় লাগে (যা ধীরে ধীরে হয়)। আমি এক মাস ধরে (দুবার) একটি হোল্ডার মনিটর পরেছি যার ফলাফল স্বাভাবিক, কিন্তু আমি এটি পরার সময় এই আক্রমণগুলির মধ্"&amp;"যে একটিও ঘটেনি। আমার ডাক্তার যাই বলুক না কেন, আমি নিশ্চিত নই যে আমার এমন কোনও বিরল ধরণের অ্যারিথমিয়া নেই যা মাঝে মাঝে দেখা দেয় এবং শেষ পর্যন্ত আমার মৃত্যুর দিকে পরিচালিত করে। আমি একজন হাইপোকন্ড্রিয়াক যার প্রতিদিন তীব্র GAD থাকে এবং আমার লক্ষণগুলি এতটাই"&amp;" খারাপ যে আমি কল্পনাও করতে পারি না যে প্যানিক অ্যাটাকের সময় এগুলি আরও বেড়ে যাবে। সাহায্য করুন!")</f>
        <v>নিজেকে বোঝাতে পারছি না যে এটা অ্যারিথমিয়া নয়। গত ২ বছরে আমার ৩টি এপিসোড হয়েছে যাকে চিকিৎসা পেশাদাররা প্যানিক অ্যাটাক বলে থাকেন। কিন্তু আমার এটা বোঝা কঠিন হয়ে পড়ছে। এই এপিসোডগুলো সবই আমার দ্রুত হৃদস্পন্দনের কারণে। এটি ১১০ বিপিএম থেকে ১৫০ বিপিএম পর্যন্ত হয়েছে (১৫০ বিপিএম ছিল পেটের ফ্লুর তীব্র আক্রমণের সময়)। আমি তীব্রভাবে বুঝতে পারি যে আমার হৃদস্পন্দন দ্রুত হচ্ছে, এবং আমার তাৎক্ষণিকভাবে মনে হয় "ওহ না আমি মারা যাচ্ছি" যা মাথা ঘোরা, ঠান্ডা লাগা, আমার মুখ, হাত ও পা অসাড় হয়ে যাওয়া এবং আরও অনেক কিছুর মতো বিভিন্ন লক্ষণের জন্ম দেয়। অবশেষে প্রধান লক্ষণগুলি কমে যায়, কিন্তু আমার হৃদস্পন্দন কমতে কয়েক ঘন্টা বা দিন সময় লাগে (যা ধীরে ধীরে হয়)। আমি এক মাস ধরে (দুবার) একটি হোল্ডার মনিটর পরেছি যার ফলাফল স্বাভাবিক, কিন্তু আমি এটি পরার সময় এই আক্রমণগুলির মধ্যে একটিও ঘটেনি। আমার ডাক্তার যাই বলুক না কেন, আমি নিশ্চিত নই যে আমার এমন কোনও বিরল ধরণের অ্যারিথমিয়া নেই যা মাঝে মাঝে দেখা দেয় এবং শেষ পর্যন্ত আমার মৃত্যুর দিকে পরিচালিত করে। আমি একজন হাইপোকন্ড্রিয়াক যার প্রতিদিন তীব্র GAD থাকে এবং আমার লক্ষণগুলি এতটাই খারাপ যে আমি কল্পনাও করতে পারি না যে প্যানিক অ্যাটাকের সময় এগুলি আরও বেড়ে যাবে। সাহায্য করুন!</v>
      </c>
    </row>
    <row r="2943" spans="1:3" ht="15" x14ac:dyDescent="0.25">
      <c r="A2943" s="3" t="s">
        <v>2936</v>
      </c>
      <c r="B2943" s="3" t="s">
        <v>1992</v>
      </c>
      <c r="C2943" s="4" t="str">
        <f ca="1">IFERROR(__xludf.DUMMYFUNCTION("GOOGLETRANSLATE(A2943, ""auto"", ""bn"")"),"পোকামাকড় এবং ইঁদুরের ভয়ে আমার রাতের বেলায় প্রচণ্ড উদ্বেগ হচ্ছে। কেউ কি আমাকে সাহায্য করতে পারবেন? সংক্ষেপে বলতে গেলে, আমি বিদেশে থাকি, এবং পরিবারের সাথে দেখা করতে বাড়ি যাওয়ার পর জানুয়ারির বিষণ্ণতা আমাকে সত্যিই কষ্ট দিচ্ছে। আমি সবসময় কান্নার দ্বারপ্র"&amp;"ান্তে থাকি এবং এই দেশে একা থাকাকালীন আমি খুব উদ্বিগ্ন এবং অভিভূত বোধ করি। এটা দুর্ভাগ্য যে আমার থাকার ব্যবস্থা নিয়ে এত খারাপ অভিজ্ঞতা হয়েছে। আমার ইঁদুর এবং ইঁদুরের তীব্র ভয় আছে এবং আমি যখন ১৮ বছর বয়সে ইঁদুরের আক্রমণে আক্রান্ত একটি অ্যাপার্টমেন্টে থাকত"&amp;"াম। তাদের ভয় এতটাই তীব্র ছিল যে আমার সবচেয়ে ভালো বন্ধুকে মাসের পর মাস আমার বাড়িতে ঘুমাতে হয়েছিল কারণ আমি কেবল তার সাথে আমার কাছে ঘুমাতে পারতাম। যখন আমি এখানে চলে আসি তখন আমার ফ্ল্যাটে পোকামাকড়ের কারণে আমি আসলে দুই সপ্তাহ গৃহহীন ছিলাম। আমি সেই জায়গা "&amp;"থেকে চলে এসেছি, এবং এখন আমি অন্য লোকেদের সাথে একটি বাড়িতে ভাগাভাগি করছি। আমি এখানে যে দুই মাস বাস করেছি, সেখানে আমি আসলে কোনও ইঁদুর বা ইঁদুর দেখিনি, এবং কয়েকদিন আগে এখানে ফিরে না আসা পর্যন্ত আমি ভালো ঘুমাচ্ছিলাম। এই ঘরটা নোংরা আর আমার ঘরে ইঁদুর আছে বলে "&amp;"আমার সবসময় ভয় লাগে। সামান্য শব্দেই আমি আলো জ্বালিয়ে ঘরের কোণায় বসে ঘুমাতে যাই। অবশেষে যখন আমি নিজেকে ঘুমাতে রাজি করি, তখন আমি উল্টে যাই কারণ আমি কল্পনা করি যে ছারপোকা আমার উপর হামাগুড়ি দিচ্ছে এবং আমাকে কামড়াচ্ছে। আমার ত্বক চুলকানি শুরু করে এবং আমি নিজেকে"&amp;" চুলকাতে থাকি। আমার মনে হয় এটা মানসিক, এবং আমি সত্যিই কষ্ট পাচ্ছি কারণ আমি দীর্ঘ সময় ধরে কাজ করি এবং তাড়াতাড়ি ঘুম থেকে উঠতে হয়। রাতে সবসময় বিরক্ত এবং কাঁদতে থাকাটা কোনও লাভের কথা নয় কারণ আমি একা থাকি এবং সত্যিই আমার বাড়ির কথা মনে পড়ে। আমি আমার মা, "&amp;"আমার বিড়াল, আমার পরিষ্কার ঘর এবং আরামদায়ক বিছানা মিস করি। আমার মনে হয় আমার ভয় এখন আমাকে আটকে রেখেছে। তাছাড়া, আমি এই গ্রীষ্মে কানাডায় একজন ক্যাম্প কাউন্সেলর হতে চেয়েছিলাম, কিন্তু গ্রীষ্মকালীন ক্যাম্পে ছারপোকা সম্পর্কে ইন্টারনেটে একটি নিবন্ধ পড়ার পর আম"&amp;"ি এই ধারণাটি ছেড়ে দিয়েছি। তাছাড়া, আমি বাস্তবিকভাবে বাড়ি যেতে পারছি না কারণ আমার কোনও চাকরি বা বাড়িতে কিছু নেই এবং আমার মনে হয় যে আমি হাল ছেড়ে দিলে আমি দুঃখিত হব। তাছাড়া, আমার কাজের চুক্তির আরও সাড়ে তিন মাস বাকি আছে। আমাকে Reddit করতে সাহায্য করুন"&amp;"। রাতে আমি কীভাবে নিজেকে কম চাপমুক্ত করব? কীভাবে নিজেকে শান্ত করব এবং এতটা আতঙ্কিত হওয়া বন্ধ করব? Tl:dr- ঘুমানোর আগে আমার তীব্র উদ্বেগ হয় এবং আমি ঘুমাতে পারি না কারণ আমি সবসময় ইঁদুর এবং বিছানার পোকামাকড়ের ভয়ে থাকি। বিদেশে থাকার কারণে আমি আমার বাড়ির "&amp;"কথাও মনে করি, এবং রাতে আমি কান্না থামাতে পারি না। দয়া করে আমাকে ভালো ঘুমাতে সাহায্য করুন Reddit।")</f>
        <v>পোকামাকড় এবং ইঁদুরের ভয়ে আমার রাতের বেলায় প্রচণ্ড উদ্বেগ হচ্ছে। কেউ কি আমাকে সাহায্য করতে পারবেন? সংক্ষেপে বলতে গেলে, আমি বিদেশে থাকি, এবং পরিবারের সাথে দেখা করতে বাড়ি যাওয়ার পর জানুয়ারির বিষণ্ণতা আমাকে সত্যিই কষ্ট দিচ্ছে। আমি সবসময় কান্নার দ্বারপ্রান্তে থাকি এবং এই দেশে একা থাকাকালীন আমি খুব উদ্বিগ্ন এবং অভিভূত বোধ করি। এটা দুর্ভাগ্য যে আমার থাকার ব্যবস্থা নিয়ে এত খারাপ অভিজ্ঞতা হয়েছে। আমার ইঁদুর এবং ইঁদুরের তীব্র ভয় আছে এবং আমি যখন ১৮ বছর বয়সে ইঁদুরের আক্রমণে আক্রান্ত একটি অ্যাপার্টমেন্টে থাকতাম। তাদের ভয় এতটাই তীব্র ছিল যে আমার সবচেয়ে ভালো বন্ধুকে মাসের পর মাস আমার বাড়িতে ঘুমাতে হয়েছিল কারণ আমি কেবল তার সাথে আমার কাছে ঘুমাতে পারতাম। যখন আমি এখানে চলে আসি তখন আমার ফ্ল্যাটে পোকামাকড়ের কারণে আমি আসলে দুই সপ্তাহ গৃহহীন ছিলাম। আমি সেই জায়গা থেকে চলে এসেছি, এবং এখন আমি অন্য লোকেদের সাথে একটি বাড়িতে ভাগাভাগি করছি। আমি এখানে যে দুই মাস বাস করেছি, সেখানে আমি আসলে কোনও ইঁদুর বা ইঁদুর দেখিনি, এবং কয়েকদিন আগে এখানে ফিরে না আসা পর্যন্ত আমি ভালো ঘুমাচ্ছিলাম। এই ঘরটা নোংরা আর আমার ঘরে ইঁদুর আছে বলে আমার সবসময় ভয় লাগে। সামান্য শব্দেই আমি আলো জ্বালিয়ে ঘরের কোণায় বসে ঘুমাতে যাই। অবশেষে যখন আমি নিজেকে ঘুমাতে রাজি করি, তখন আমি উল্টে যাই কারণ আমি কল্পনা করি যে ছারপোকা আমার উপর হামাগুড়ি দিচ্ছে এবং আমাকে কামড়াচ্ছে। আমার ত্বক চুলকানি শুরু করে এবং আমি নিজেকে চুলকাতে থাকি। আমার মনে হয় এটা মানসিক, এবং আমি সত্যিই কষ্ট পাচ্ছি কারণ আমি দীর্ঘ সময় ধরে কাজ করি এবং তাড়াতাড়ি ঘুম থেকে উঠতে হয়। রাতে সবসময় বিরক্ত এবং কাঁদতে থাকাটা কোনও লাভের কথা নয় কারণ আমি একা থাকি এবং সত্যিই আমার বাড়ির কথা মনে পড়ে। আমি আমার মা, আমার বিড়াল, আমার পরিষ্কার ঘর এবং আরামদায়ক বিছানা মিস করি। আমার মনে হয় আমার ভয় এখন আমাকে আটকে রেখেছে। তাছাড়া, আমি এই গ্রীষ্মে কানাডায় একজন ক্যাম্প কাউন্সেলর হতে চেয়েছিলাম, কিন্তু গ্রীষ্মকালীন ক্যাম্পে ছারপোকা সম্পর্কে ইন্টারনেটে একটি নিবন্ধ পড়ার পর আমি এই ধারণাটি ছেড়ে দিয়েছি। তাছাড়া, আমি বাস্তবিকভাবে বাড়ি যেতে পারছি না কারণ আমার কোনও চাকরি বা বাড়িতে কিছু নেই এবং আমার মনে হয় যে আমি হাল ছেড়ে দিলে আমি দুঃখিত হব। তাছাড়া, আমার কাজের চুক্তির আরও সাড়ে তিন মাস বাকি আছে। আমাকে Reddit করতে সাহায্য করুন। রাতে আমি কীভাবে নিজেকে কম চাপমুক্ত করব? কীভাবে নিজেকে শান্ত করব এবং এতটা আতঙ্কিত হওয়া বন্ধ করব? Tl:dr- ঘুমানোর আগে আমার তীব্র উদ্বেগ হয় এবং আমি ঘুমাতে পারি না কারণ আমি সবসময় ইঁদুর এবং বিছানার পোকামাকড়ের ভয়ে থাকি। বিদেশে থাকার কারণে আমি আমার বাড়ির কথাও মনে করি, এবং রাতে আমি কান্না থামাতে পারি না। দয়া করে আমাকে ভালো ঘুমাতে সাহায্য করুন Reddit।</v>
      </c>
    </row>
    <row r="2944" spans="1:3" ht="15" x14ac:dyDescent="0.25">
      <c r="A2944" s="3" t="s">
        <v>2937</v>
      </c>
      <c r="B2944" s="3" t="s">
        <v>1992</v>
      </c>
      <c r="C2944" s="4" t="str">
        <f ca="1">IFERROR(__xludf.DUMMYFUNCTION("GOOGLETRANSLATE(A2944, ""auto"", ""bn"")"),"r/Anxiety তে নতুন, পরামর্শ খুঁজছি অথবা শুধু শোনার জন্য একজন মানুষ। হ্যালো, আমি r/Anxiety এবং Reddit তে নতুন, আমি সাধারণভাবে r/ROAD তেও পোস্ট করেছি কারণ আমি OCD এবং ডেটিং এবং সম্পর্কের সাথে সম্পর্কিত বাধ্যবাধকতায় ভুগছি। আমার উদ্বেগ সম্পর্কে এখানে কিছু পোস"&amp;"্ট করার কথা ভাবলাম কারণ সম্প্রতি আমার খুব কষ্ট হচ্ছে, এবং কখনও কখনও এটি জানতে সাহায্য করে যে লোকেরা কীভাবে এটি সম্পর্কে জানতে পারে / যে এটি চিরকাল এমন থাকবে না। মধ্য ইউরোপে পড়াশোনা করার পর আমি আমার দেশে ফিরে এসেছি এবং তখন থেকেই আমি সবচেয়ে কম হতাশাগ্রস্ত"&amp;" মেজাজে আছি। আমি আগেও সাধারণ উদ্বেগ অনুভব করেছি এবং এমনকি প্যানিক অ্যাটাকের অভিজ্ঞতাও পেয়েছি কিন্তু কখনও এতটা উদাসীন, অনুপ্রাণিত এবং উদাসীন বোধ করিনি। তাছাড়া, আমি আমার ডিগ্রি শেষ করার সময় এই বছরের জন্য আমার বাবা-মায়ের বাড়িতে ফিরে এসেছি। তাছাড়া, আমার"&amp;" বাবা-মায়ের সাথে আমার পারিবারিক পরিস্থিতি খুবই জটিল, যাদের বৈবাহিক সমস্যা আছে, কিন্তু অনেক ঝামেলার সম্মুখীন হতে হয় - আমরা আসলে সব নিয়ে কথা বলি না বা আবেগ স্বীকার করি না ইত্যাদি। তাছাড়া, টাকার কারণে আমি আমার ডিগ্রি শেষ না হওয়া পর্যন্ত বাইরে যেতে পারি না। "&amp;"তাছাড়া, আমি হতাশাগ্রস্ত মেজাজের জন্য SSRI নিচ্ছি, এবং আমি CBT থেরাপিতে ফিরে এসেছি। তাছাড়া, আমি সত্যিই সংগ্রাম করছি, বন্ধুদের সাথে কথোপকথনে মনোনিবেশ করতে আমার কষ্ট হচ্ছে, আমি আসলে যে কার্যকলাপগুলি উপভোগ করি তা খুঁজে পেতে আমার সমস্যা হচ্ছে, আমি কতটা আবেগগ"&amp;"তভাবে অবরুদ্ধ বোধ করি তার কারণে আমি কাঁদতেও পারি না, এবং প্রায় প্রতিদিনই আমি বিচ্ছিন্নতা অনুভব করি যেখানে আমার মনে হয় আমি কোনও অনুষ্ঠান দেখছি। তাছাড়া, আমি নিজেকে একেবারেই অনুভব করি না। তবুও, আমি এখনও খেলাধুলা করছি, বিশ্ববিদ্যালয়ে যাচ্ছি এবং সময়সীমা প"&amp;"ূরণ করছি। সামাজিকভাবে অন্য সবকিছুই আমার কাছে খুব কঠিন মনে হচ্ছে। তাহলে, অন্য কেউ কি সম্পর্ক স্থাপন করতে পারে? কারও কি কোন পরামর্শ আছে কি করতে হবে? আমি বুঝতে পারছি যে যতক্ষণ না আমি বাইরে চলে যাচ্ছি, ততক্ষণ পর্যন্ত আমি যে নেতিবাচক পরিবেশে বাস করি তার দ্বারা"&amp;" প্রভাবিত হব, কিন্তু আমি এতটাই অসহায় বোধ করি যে এমনকি SSRIও তেমন কিছু করছে না, এবং সবসময় এত অবাস্তব বোধ করা ভয়ঙ্কর। যেকোনো সাহায্য বা টিপস সত্যিই প্রশংসিত হবে। ধন্যবাদ!")</f>
        <v>r/Anxiety তে নতুন, পরামর্শ খুঁজছি অথবা শুধু শোনার জন্য একজন মানুষ। হ্যালো, আমি r/Anxiety এবং Reddit তে নতুন, আমি সাধারণভাবে r/ROAD তেও পোস্ট করেছি কারণ আমি OCD এবং ডেটিং এবং সম্পর্কের সাথে সম্পর্কিত বাধ্যবাধকতায় ভুগছি। আমার উদ্বেগ সম্পর্কে এখানে কিছু পোস্ট করার কথা ভাবলাম কারণ সম্প্রতি আমার খুব কষ্ট হচ্ছে, এবং কখনও কখনও এটি জানতে সাহায্য করে যে লোকেরা কীভাবে এটি সম্পর্কে জানতে পারে / যে এটি চিরকাল এমন থাকবে না। মধ্য ইউরোপে পড়াশোনা করার পর আমি আমার দেশে ফিরে এসেছি এবং তখন থেকেই আমি সবচেয়ে কম হতাশাগ্রস্ত মেজাজে আছি। আমি আগেও সাধারণ উদ্বেগ অনুভব করেছি এবং এমনকি প্যানিক অ্যাটাকের অভিজ্ঞতাও পেয়েছি কিন্তু কখনও এতটা উদাসীন, অনুপ্রাণিত এবং উদাসীন বোধ করিনি। তাছাড়া, আমি আমার ডিগ্রি শেষ করার সময় এই বছরের জন্য আমার বাবা-মায়ের বাড়িতে ফিরে এসেছি। তাছাড়া, আমার বাবা-মায়ের সাথে আমার পারিবারিক পরিস্থিতি খুবই জটিল, যাদের বৈবাহিক সমস্যা আছে, কিন্তু অনেক ঝামেলার সম্মুখীন হতে হয় - আমরা আসলে সব নিয়ে কথা বলি না বা আবেগ স্বীকার করি না ইত্যাদি। তাছাড়া, টাকার কারণে আমি আমার ডিগ্রি শেষ না হওয়া পর্যন্ত বাইরে যেতে পারি না। তাছাড়া, আমি হতাশাগ্রস্ত মেজাজের জন্য SSRI নিচ্ছি, এবং আমি CBT থেরাপিতে ফিরে এসেছি। তাছাড়া, আমি সত্যিই সংগ্রাম করছি, বন্ধুদের সাথে কথোপকথনে মনোনিবেশ করতে আমার কষ্ট হচ্ছে, আমি আসলে যে কার্যকলাপগুলি উপভোগ করি তা খুঁজে পেতে আমার সমস্যা হচ্ছে, আমি কতটা আবেগগতভাবে অবরুদ্ধ বোধ করি তার কারণে আমি কাঁদতেও পারি না, এবং প্রায় প্রতিদিনই আমি বিচ্ছিন্নতা অনুভব করি যেখানে আমার মনে হয় আমি কোনও অনুষ্ঠান দেখছি। তাছাড়া, আমি নিজেকে একেবারেই অনুভব করি না। তবুও, আমি এখনও খেলাধুলা করছি, বিশ্ববিদ্যালয়ে যাচ্ছি এবং সময়সীমা পূরণ করছি। সামাজিকভাবে অন্য সবকিছুই আমার কাছে খুব কঠিন মনে হচ্ছে। তাহলে, অন্য কেউ কি সম্পর্ক স্থাপন করতে পারে? কারও কি কোন পরামর্শ আছে কি করতে হবে? আমি বুঝতে পারছি যে যতক্ষণ না আমি বাইরে চলে যাচ্ছি, ততক্ষণ পর্যন্ত আমি যে নেতিবাচক পরিবেশে বাস করি তার দ্বারা প্রভাবিত হব, কিন্তু আমি এতটাই অসহায় বোধ করি যে এমনকি SSRIও তেমন কিছু করছে না, এবং সবসময় এত অবাস্তব বোধ করা ভয়ঙ্কর। যেকোনো সাহায্য বা টিপস সত্যিই প্রশংসিত হবে। ধন্যবাদ!</v>
      </c>
    </row>
    <row r="2945" spans="1:3" ht="15" x14ac:dyDescent="0.25">
      <c r="A2945" s="3" t="s">
        <v>2938</v>
      </c>
      <c r="B2945" s="3" t="s">
        <v>1992</v>
      </c>
      <c r="C2945" s="4" t="str">
        <f ca="1">IFERROR(__xludf.DUMMYFUNCTION("GOOGLETRANSLATE(A2945, ""auto"", ""bn"")"),"নতুন থেরাপিস্ট না পাওয়া পর্যন্ত আমার প্রাথমিক চিকিৎসার ডাক্তারের কাছ থেকে উদ্বেগের ওষুধ কীভাবে নেব? আমার উদ্বেগের সাথে লড়াই প্রায় সারা জীবন ধরেই চলে আসছে, এবং বয়স বাড়ার সাথে সাথে আরও খারাপ হতে থাকে। আমি আমার ডাক্তারকে বারবার উদ্বেগ-মুক্ত ওষুধের জন্য বল"&amp;"েছি কারণ তিনি আমাকে যে অ্যান্টিডিপ্রেসেন্টস লিখে থাকেন তা আসলে আমার উদ্বেগের উপর খুব বেশি প্রভাব ফেলে না। এটি সহনীয় করার জন্য অবশ্যই যথেষ্ট নয়। AGT; আমি যতবারই তাকে বলেছি যে আমার উদ্বেগ আমার হতাশার চেয়ে অনেক বেশি এবং আমি কেবল উদ্বেগের জন্য কিছু চাই, সে"&amp;" কেবল আমাকে অ্যান্টিডিপ্রেসেন্টস দিতে থাকে, এবং কিছুক্ষণ পরেই তারা আমাকে খারাপ এবং নকল বোধ করে। AGT; আমি কি কেবল উদ্বেগের ওষুধ পেতে চাই? আমি শুধু এটাই চাই। সারা দিন আমার একাধিক প্যানিক অ্যাটাক হয়, প্রতিটি পরিস্থিতির সবচেয়ে খারাপ সম্ভাব্য ফলাফল সম্পর্কে "&amp;"আমার মন ক্রমাগত অবাঞ্ছিত চিন্তাভাবনা নিয়ে ছুটে বেড়ায় এবং আমি সবসময় মনে করি যে আমি যাই করি না কেন আমি মারা যাব। AGT; আমার বাবার খুব উদ্বেগ আছে এবং তিনি হাইড্রোক্সিজিন খান এবং জ্যানাক্সও খেতেন, কিন্তু আমার পরিবারে (বিশেষ করে আমার বাবা) আসক্তি এবং মাদকাস"&amp;"ক্তির ইতিহাস রয়েছে এবং আমার ডাক্তার এটা জানেন। এতে কি আমার উদ্বেগের ওষুধ খাওয়ার কোনও বিকল্প থাকবে না? আমি আশা করি এটা এমনভাবে দেখা যাবে না যে তারা এখনও আমার বাবাকে এটি দেয় এবং আমি কেবল এটি নির্ধারিতভাবে ব্যবহার করার ইচ্ছা পোষণ করি। AGT; আবার, যখন আমি অ"&amp;"্যান্টিডিপ্রেসেন্ট গ্রহণ করতাম তখন আমি খুব সংকীর্ণ মনের ছিলাম এবং এখন আমি তাদের প্রতি আরও খোলামেলা, হয়তো এর সাথে এর কিছু সম্পর্ক আছে? আমি নিশ্চিত নই। যাই হোক, আমার কেবল পরামর্শের প্রয়োজন। যেকোনো/সব পরামর্শ সাহায্য করে! ধন্যবাদ!")</f>
        <v>নতুন থেরাপিস্ট না পাওয়া পর্যন্ত আমার প্রাথমিক চিকিৎসার ডাক্তারের কাছ থেকে উদ্বেগের ওষুধ কীভাবে নেব? আমার উদ্বেগের সাথে লড়াই প্রায় সারা জীবন ধরেই চলে আসছে, এবং বয়স বাড়ার সাথে সাথে আরও খারাপ হতে থাকে। আমি আমার ডাক্তারকে বারবার উদ্বেগ-মুক্ত ওষুধের জন্য বলেছি কারণ তিনি আমাকে যে অ্যান্টিডিপ্রেসেন্টস লিখে থাকেন তা আসলে আমার উদ্বেগের উপর খুব বেশি প্রভাব ফেলে না। এটি সহনীয় করার জন্য অবশ্যই যথেষ্ট নয়। AGT; আমি যতবারই তাকে বলেছি যে আমার উদ্বেগ আমার হতাশার চেয়ে অনেক বেশি এবং আমি কেবল উদ্বেগের জন্য কিছু চাই, সে কেবল আমাকে অ্যান্টিডিপ্রেসেন্টস দিতে থাকে, এবং কিছুক্ষণ পরেই তারা আমাকে খারাপ এবং নকল বোধ করে। AGT; আমি কি কেবল উদ্বেগের ওষুধ পেতে চাই? আমি শুধু এটাই চাই। সারা দিন আমার একাধিক প্যানিক অ্যাটাক হয়, প্রতিটি পরিস্থিতির সবচেয়ে খারাপ সম্ভাব্য ফলাফল সম্পর্কে আমার মন ক্রমাগত অবাঞ্ছিত চিন্তাভাবনা নিয়ে ছুটে বেড়ায় এবং আমি সবসময় মনে করি যে আমি যাই করি না কেন আমি মারা যাব। AGT; আমার বাবার খুব উদ্বেগ আছে এবং তিনি হাইড্রোক্সিজিন খান এবং জ্যানাক্সও খেতেন, কিন্তু আমার পরিবারে (বিশেষ করে আমার বাবা) আসক্তি এবং মাদকাসক্তির ইতিহাস রয়েছে এবং আমার ডাক্তার এটা জানেন। এতে কি আমার উদ্বেগের ওষুধ খাওয়ার কোনও বিকল্প থাকবে না? আমি আশা করি এটা এমনভাবে দেখা যাবে না যে তারা এখনও আমার বাবাকে এটি দেয় এবং আমি কেবল এটি নির্ধারিতভাবে ব্যবহার করার ইচ্ছা পোষণ করি। AGT; আবার, যখন আমি অ্যান্টিডিপ্রেসেন্ট গ্রহণ করতাম তখন আমি খুব সংকীর্ণ মনের ছিলাম এবং এখন আমি তাদের প্রতি আরও খোলামেলা, হয়তো এর সাথে এর কিছু সম্পর্ক আছে? আমি নিশ্চিত নই। যাই হোক, আমার কেবল পরামর্শের প্রয়োজন। যেকোনো/সব পরামর্শ সাহায্য করে! ধন্যবাদ!</v>
      </c>
    </row>
    <row r="2946" spans="1:3" ht="15" x14ac:dyDescent="0.25">
      <c r="A2946" s="3" t="s">
        <v>2939</v>
      </c>
      <c r="B2946" s="3" t="s">
        <v>1992</v>
      </c>
      <c r="C2946" s="4" t="str">
        <f ca="1">IFERROR(__xludf.DUMMYFUNCTION("GOOGLETRANSLATE(A2946, ""auto"", ""bn"")"),"আমার যত তাড়াতাড়ি সম্ভব কারো সাথে কথা বলা দরকার। আমার মনে হয় আমি পারবো। এখন আমি নিজের ক্ষতি করছি, আসলে আমি তা করি না। আমি কেবল আমার মা কী অনুভব করবেন তা নিয়ে চিন্তিত। আমি এখনই জানতে পেরেছি যে আমার যৌনাঙ্গে হার্পিস হওয়ার সম্ভাবনা বেশি। আমি অনলাইনে যে ক"&amp;"েউ চ্যাট করতে পারি।")</f>
        <v>আমার যত তাড়াতাড়ি সম্ভব কারো সাথে কথা বলা দরকার। আমার মনে হয় আমি পারবো। এখন আমি নিজের ক্ষতি করছি, আসলে আমি তা করি না। আমি কেবল আমার মা কী অনুভব করবেন তা নিয়ে চিন্তিত। আমি এখনই জানতে পেরেছি যে আমার যৌনাঙ্গে হার্পিস হওয়ার সম্ভাবনা বেশি। আমি অনলাইনে যে কেউ চ্যাট করতে পারি।</v>
      </c>
    </row>
    <row r="2947" spans="1:3" ht="15" x14ac:dyDescent="0.25">
      <c r="A2947" s="3" t="s">
        <v>2940</v>
      </c>
      <c r="B2947" s="3" t="s">
        <v>1992</v>
      </c>
      <c r="C2947" s="4" t="str">
        <f ca="1">IFERROR(__xludf.DUMMYFUNCTION("GOOGLETRANSLATE(A2947, ""auto"", ""bn"")"),"DAE কি অবসর সময়ে ক্লান্ত হয়ে পড়ে? যখন আমি আরাম করার চেষ্টা করি তখনই আমার সবচেয়ে বেশি চাপ লাগে। এটা আমার জন্য নতুন সমস্যা, আর আমি আসলে নিশ্চিত নই যে এর শুরুটা কোথা থেকে হয়েছে। সম্প্রতি যখনই আমার মনে হয় আমার বসে আরাম করা উচিত, হয়তো কোনও অনুষ্ঠান বা সিনেম"&amp;"া দেখা উচিত, অথবা রঙ করা উচিত বা কোনও খেলা খেলা উচিত, তখন আমি চাপে পড়ে যাই এবং চিন্তা করি যে আমি ঠিকমতো কাজ করছি না? যেমন আমি যখন কোনও অনুষ্ঠান দেখছি, তখন ভাবতে শুরু করি যে আমি এখনই রঙ করা শুরু করতে পারি, তারপর আমি রঙ করা শুরু করি এবং ভাবি যে আমার খেলাটা"&amp;" একটু খেলা উচিত, আর তখনই মনোযোগের অভাবের এই ঘূর্ণায়মান সর্পিলতা তৈরি হয়। কেউ কি কেবল একটি কাজ করার সিদ্ধান্ত নেওয়ার এবং সেই জিনিসটি উপভোগ করার জন্য কোন টিপস দিতে পারেন??")</f>
        <v>DAE কি অবসর সময়ে ক্লান্ত হয়ে পড়ে? যখন আমি আরাম করার চেষ্টা করি তখনই আমার সবচেয়ে বেশি চাপ লাগে। এটা আমার জন্য নতুন সমস্যা, আর আমি আসলে নিশ্চিত নই যে এর শুরুটা কোথা থেকে হয়েছে। সম্প্রতি যখনই আমার মনে হয় আমার বসে আরাম করা উচিত, হয়তো কোনও অনুষ্ঠান বা সিনেমা দেখা উচিত, অথবা রঙ করা উচিত বা কোনও খেলা খেলা উচিত, তখন আমি চাপে পড়ে যাই এবং চিন্তা করি যে আমি ঠিকমতো কাজ করছি না? যেমন আমি যখন কোনও অনুষ্ঠান দেখছি, তখন ভাবতে শুরু করি যে আমি এখনই রঙ করা শুরু করতে পারি, তারপর আমি রঙ করা শুরু করি এবং ভাবি যে আমার খেলাটা একটু খেলা উচিত, আর তখনই মনোযোগের অভাবের এই ঘূর্ণায়মান সর্পিলতা তৈরি হয়। কেউ কি কেবল একটি কাজ করার সিদ্ধান্ত নেওয়ার এবং সেই জিনিসটি উপভোগ করার জন্য কোন টিপস দিতে পারেন??</v>
      </c>
    </row>
    <row r="2948" spans="1:3" ht="15" x14ac:dyDescent="0.25">
      <c r="A2948" s="3" t="s">
        <v>2941</v>
      </c>
      <c r="B2948" s="3" t="s">
        <v>1992</v>
      </c>
      <c r="C2948" s="4" t="str">
        <f ca="1">IFERROR(__xludf.DUMMYFUNCTION("GOOGLETRANSLATE(A2948, ""auto"", ""bn"")"),"অবশেষে আমার উদ্বেগের জন্য সাহায্য পাওয়ার পর আমি অনেক অনুতপ্ত। কয়েক বছর আগে আমি আর কোনও মেয়ে বা কারও সাথেই কথা বলতে পারিনি। আমি একটা টেনডার পেয়েছিলাম এবং আমার বর্তমান স্ত্রীর সাথে কথা বলতে শুরু করেছিলাম, আমরা একসাথে খুব ভালো সময় কাটিয়েছিলাম, আমি আমার আরামে"&amp;"র জায়গা থেকে বেরিয়ে এসেছিলাম এবং আমাদের একটি সন্তান হয়েছিল। আমি ভেবেছিলাম আমি খুশি। বছরের পর বছর ধরে আমার উদ্বেগ স্বাভাবিক বলে মনে করার পর, মনে হচ্ছিল আমি কখনই আমার মতো নই কারণ আমি ভাবতাম সবাই আমার সম্পর্কে কথা বলে এবং প্রতিটি অপমানকে হৃদয়ে নেয়, আমি সাহ"&amp;"ায্য নেওয়ার সিদ্ধান্ত নিয়েছিলাম। আমি এটা নিয়ে ভাবতে শুরু করি, এবং এটা হয়তো আমার উদ্বেগ এখনও আমার সাথে জড়িত, কিন্তু আমার মনে হয় আমার স্ত্রী আমার নিরাপত্তাহীনতাকে কাজে লাগাচ্ছে। আমি চিন্তিত যে সে আমাকে ব্যবহার করছে কাজ থেকে পাওয়া সুবিধা এবং বেতনের জন্য। ত"&amp;"াছাড়া, আমি তার অনেক ঋণ পরিশোধ করছি, তার জন্য জিনিসপত্র কিনেছি এবং তাকে খুশি করার চেষ্টা করছি, কিন্তু সে সবসময় বলছে যে এটি তার জন্য যথেষ্ট নয়। হয়তো আমার উদ্বেগ এখনও আমাকে ভয় পায় যা ঘটছে তা নিয়ে। আমি শুধু একটা ভুল করতে চাই না এবং এমন কারো সাথে সম্পর্ক চ"&amp;"ালিয়ে যেতে চাই না যে আমাকে সত্যিকার অর্থে ভালোবাসে না এবং তাকে এমন জীবনযাপন করতে বাধ্য করতে চাই না যার সাথে সে খুশি নয়।")</f>
        <v>অবশেষে আমার উদ্বেগের জন্য সাহায্য পাওয়ার পর আমি অনেক অনুতপ্ত। কয়েক বছর আগে আমি আর কোনও মেয়ে বা কারও সাথেই কথা বলতে পারিনি। আমি একটা টেনডার পেয়েছিলাম এবং আমার বর্তমান স্ত্রীর সাথে কথা বলতে শুরু করেছিলাম, আমরা একসাথে খুব ভালো সময় কাটিয়েছিলাম, আমি আমার আরামের জায়গা থেকে বেরিয়ে এসেছিলাম এবং আমাদের একটি সন্তান হয়েছিল। আমি ভেবেছিলাম আমি খুশি। বছরের পর বছর ধরে আমার উদ্বেগ স্বাভাবিক বলে মনে করার পর, মনে হচ্ছিল আমি কখনই আমার মতো নই কারণ আমি ভাবতাম সবাই আমার সম্পর্কে কথা বলে এবং প্রতিটি অপমানকে হৃদয়ে নেয়, আমি সাহায্য নেওয়ার সিদ্ধান্ত নিয়েছিলাম। আমি এটা নিয়ে ভাবতে শুরু করি, এবং এটা হয়তো আমার উদ্বেগ এখনও আমার সাথে জড়িত, কিন্তু আমার মনে হয় আমার স্ত্রী আমার নিরাপত্তাহীনতাকে কাজে লাগাচ্ছে। আমি চিন্তিত যে সে আমাকে ব্যবহার করছে কাজ থেকে পাওয়া সুবিধা এবং বেতনের জন্য। তাছাড়া, আমি তার অনেক ঋণ পরিশোধ করছি, তার জন্য জিনিসপত্র কিনেছি এবং তাকে খুশি করার চেষ্টা করছি, কিন্তু সে সবসময় বলছে যে এটি তার জন্য যথেষ্ট নয়। হয়তো আমার উদ্বেগ এখনও আমাকে ভয় পায় যা ঘটছে তা নিয়ে। আমি শুধু একটা ভুল করতে চাই না এবং এমন কারো সাথে সম্পর্ক চালিয়ে যেতে চাই না যে আমাকে সত্যিকার অর্থে ভালোবাসে না এবং তাকে এমন জীবনযাপন করতে বাধ্য করতে চাই না যার সাথে সে খুশি নয়।</v>
      </c>
    </row>
    <row r="2949" spans="1:3" ht="15" x14ac:dyDescent="0.25">
      <c r="A2949" s="3" t="s">
        <v>2942</v>
      </c>
      <c r="B2949" s="3" t="s">
        <v>1992</v>
      </c>
      <c r="C2949" s="4" t="str">
        <f ca="1">IFERROR(__xludf.DUMMYFUNCTION("GOOGLETRANSLATE(A2949, ""auto"", ""bn"")"),"উদ্বেগ মাধ্যম। হাই, আমি ভাবছিলাম, কারো কি এমন কোন গান/শো/সিনেমা আছে যা তারা বিশেষভাবে উদ্বিগ্ন বোধ করলে বা প্যানিক অ্যাটাকের দ্বারপ্রান্তে পৌঁছালে ব্যবহার করে? এছাড়াও, কারো কি এমন কোন ওয়েবসাইট আছে যা তারা প্যানিক অ্যাটাকের মোকাবেলায় সাহায্য করবে / যখন "&amp;"তারা বিশেষভাবে উদ্বিগ্ন বোধ করবে? ধন্যবাদ।")</f>
        <v>উদ্বেগ মাধ্যম। হাই, আমি ভাবছিলাম, কারো কি এমন কোন গান/শো/সিনেমা আছে যা তারা বিশেষভাবে উদ্বিগ্ন বোধ করলে বা প্যানিক অ্যাটাকের দ্বারপ্রান্তে পৌঁছালে ব্যবহার করে? এছাড়াও, কারো কি এমন কোন ওয়েবসাইট আছে যা তারা প্যানিক অ্যাটাকের মোকাবেলায় সাহায্য করবে / যখন তারা বিশেষভাবে উদ্বিগ্ন বোধ করবে? ধন্যবাদ।</v>
      </c>
    </row>
    <row r="2950" spans="1:3" ht="15" x14ac:dyDescent="0.25">
      <c r="A2950" s="3" t="s">
        <v>2943</v>
      </c>
      <c r="B2950" s="3" t="s">
        <v>1992</v>
      </c>
      <c r="C2950" s="4" t="str">
        <f ca="1">IFERROR(__xludf.DUMMYFUNCTION("GOOGLETRANSLATE(A2950, ""auto"", ""bn"")"),"কাজের আগে উদ্বেগ, কীভাবে তা সমাধান করবেন? গল্পের শেষে, আমি পশ্চিম অস্ট্রেলিয়ার একটি ছোট গ্রামাঞ্চল থেকে মেলবোর্নে চলে এসেছি এবং প্রায় ৪/৫ মাস ধরে বেকার ছিলাম। এখন আমার একটা অসাধারণ চাকরি আছে যেখানে অনেক ঘন্টা কাজ করা হয় এবং সেখানে ভালো মানুষ থাকে। আমি "&amp;"প্রায় এক মাস ধরে কাজ করছি। অবশ্যই, কাজের আগে প্রতিদিনই আমার ভীষণ উদ্বেগ থাকে। নাসা, কখনও কখনও বমি, ডায়রিয়া (সর্বদা) এবং বাড়ি থেকে বের হওয়ার পর থেকে পৌঁছানোর সময় পর্যন্ত আমার পেটে ভয়ের এক বিশাল গর্ত। একবার কাজ করার পরে বা প্রায় ১০ মিনিট সেখানে থাকা"&amp;"র পরে আমি সাধারণত ঠিক থাকি। এটা বিরক্তিকর এবং যন্ত্রণাদায়ক। আমি কীভাবে এটি সমাধান করতে পারি? সত্যিই সাহায্যের জন্য কিছু প্রয়োজন।")</f>
        <v>কাজের আগে উদ্বেগ, কীভাবে তা সমাধান করবেন? গল্পের শেষে, আমি পশ্চিম অস্ট্রেলিয়ার একটি ছোট গ্রামাঞ্চল থেকে মেলবোর্নে চলে এসেছি এবং প্রায় ৪/৫ মাস ধরে বেকার ছিলাম। এখন আমার একটা অসাধারণ চাকরি আছে যেখানে অনেক ঘন্টা কাজ করা হয় এবং সেখানে ভালো মানুষ থাকে। আমি প্রায় এক মাস ধরে কাজ করছি। অবশ্যই, কাজের আগে প্রতিদিনই আমার ভীষণ উদ্বেগ থাকে। নাসা, কখনও কখনও বমি, ডায়রিয়া (সর্বদা) এবং বাড়ি থেকে বের হওয়ার পর থেকে পৌঁছানোর সময় পর্যন্ত আমার পেটে ভয়ের এক বিশাল গর্ত। একবার কাজ করার পরে বা প্রায় ১০ মিনিট সেখানে থাকার পরে আমি সাধারণত ঠিক থাকি। এটা বিরক্তিকর এবং যন্ত্রণাদায়ক। আমি কীভাবে এটি সমাধান করতে পারি? সত্যিই সাহায্যের জন্য কিছু প্রয়োজন।</v>
      </c>
    </row>
    <row r="2951" spans="1:3" ht="15" x14ac:dyDescent="0.25">
      <c r="A2951" s="3" t="s">
        <v>2944</v>
      </c>
      <c r="B2951" s="3" t="s">
        <v>1992</v>
      </c>
      <c r="C2951" s="4" t="str">
        <f ca="1">IFERROR(__xludf.DUMMYFUNCTION("GOOGLETRANSLATE(A2951, ""auto"", ""bn"")"),"আমার পরিচিত সকলকে হারানোর ভয় আমার সবসময়ই থাকে। আমার বাবা-মা মারা যাওয়া এবং আমাকে একা ফেলে যাওয়ার চিন্তায় আমি সবসময়ই চিন্তিত থাকি। আমি ইতিমধ্যেই এত একা বোধ করি যে, এটা আমাকে বিপদের দিকে ঠেলে দেবে। আমি আর বাঁচবো না। তাছাড়া, আমার বয়স ১৯, এবং আমি একজন স্বাভ"&amp;"াবিক মানুষ হিসেবে কীভাবে কাজ করতে হয় তা জানি না। তাছাড়া, আমি একটা জগাখিচুড়ি। তাছাড়া, আমি রান্না করতে পারি, কেনাকাটা করতে পারি, পরিষ্কার করতে পারি, কিন্তু এইটুকুই। তাছাড়া, আমি গাড়িও চালাতে পারি না। তাই যদি তারা চলে যায়, তাহলে আমি অসহায় হয়ে পড়ব। আমি জ"&amp;"ানি না কিভাবে আর্থিক এবং এই ধরণের জিনিসপত্র সামলাতে হয়। আমি একেবারেই অকেজো, এবং আমি আরও স্বাধীন হওয়ার চেষ্টা করছি, কিন্তু এটাও আমার খুব খারাপ লাগে। মাঝে মাঝে আমার খুব ইচ্ছে করে যদি আমি সকালে না উঠতাম।")</f>
        <v>আমার পরিচিত সকলকে হারানোর ভয় আমার সবসময়ই থাকে। আমার বাবা-মা মারা যাওয়া এবং আমাকে একা ফেলে যাওয়ার চিন্তায় আমি সবসময়ই চিন্তিত থাকি। আমি ইতিমধ্যেই এত একা বোধ করি যে, এটা আমাকে বিপদের দিকে ঠেলে দেবে। আমি আর বাঁচবো না। তাছাড়া, আমার বয়স ১৯, এবং আমি একজন স্বাভাবিক মানুষ হিসেবে কীভাবে কাজ করতে হয় তা জানি না। তাছাড়া, আমি একটা জগাখিচুড়ি। তাছাড়া, আমি রান্না করতে পারি, কেনাকাটা করতে পারি, পরিষ্কার করতে পারি, কিন্তু এইটুকুই। তাছাড়া, আমি গাড়িও চালাতে পারি না। তাই যদি তারা চলে যায়, তাহলে আমি অসহায় হয়ে পড়ব। আমি জানি না কিভাবে আর্থিক এবং এই ধরণের জিনিসপত্র সামলাতে হয়। আমি একেবারেই অকেজো, এবং আমি আরও স্বাধীন হওয়ার চেষ্টা করছি, কিন্তু এটাও আমার খুব খারাপ লাগে। মাঝে মাঝে আমার খুব ইচ্ছে করে যদি আমি সকালে না উঠতাম।</v>
      </c>
    </row>
    <row r="2952" spans="1:3" ht="15" x14ac:dyDescent="0.25">
      <c r="A2952" s="3" t="s">
        <v>2945</v>
      </c>
      <c r="B2952" s="3" t="s">
        <v>1992</v>
      </c>
      <c r="C2952" s="4" t="str">
        <f ca="1">IFERROR(__xludf.DUMMYFUNCTION("GOOGLETRANSLATE(A2952, ""auto"", ""bn"")"),"চাকরির উদ্বেগ একটা তীব্র বকবক: কলেজ থেকে নতুন করে অভিজ্ঞতা অর্জনের জন্য মাত্র ৩ মাসের অবৈতনিক ইন্টার্নশিপ শুরু করেছি, আর গত দুই সপ্তাহে আমার আগের বছরের তুলনায় প্রায় একই রকম প্যানিক অ্যাটাক হচ্ছে। আমার ডায়রিয়া হচ্ছে (দুঃখিত, TMI) এবং সকালে যন্ত্রণাদায়কভাব"&amp;"ে বমি বমি ভাব হচ্ছে। আমার মনে হচ্ছে হঠাৎ করেই আমার জীবন কেড়ে নেওয়া হয়েছে। খুব একাকী বোধ করছি, বিশেষ করে যেহেতু আমার বেশিরভাগ বন্ধুই বাইরে থাকে (আন্তর্জাতিক ছাত্র, তারা বাড়ি চলে গেছে) এবং আমার সঙ্গীও কাজ করে এবং আমার থেকে অনেক দূরে থাকে, তাই আমি তাদের খুব"&amp;" কমই দেখতে পাই। ৯-৫.৩০ টায় কাজ করতে করতে আমি ৮.৫ ঘন্টার প্রতিটি মুহূর্ত ভয় পাই, এবং মানুষের সামনে ভালো থাকার ভান করতে খুব ক্লান্ত বোধ করি। আর যখন আমি বাড়ি ফিরি, তখন আমি একেবারে একা থাকি, আর পরের দিন আবার ভয় পাই। সপ্তাহান্তে আবার পরের কাজের দিন ভয় পাই। তাই"&amp;" আমি ক্রমাগত এইরকম অনুভব করি, এবং প্রতিদিন ভয় পাওয়া এবং কাঁদতে খুব ক্লান্ত লাগে। মানুষ আমাকে বন্ধু বানাতে বলছে, কিন্তু সামাজিক উদ্বেগের কারণে এটাও খুব কঠিন। আমি জানি না আমি তাদের বলতে পারব কিনা যে আমি কী পার করছি কারণ কেউ বুঝতে পারে না (আমিই একমাত্র নতুন "&amp;"ব্যক্তি)। আমি প্রতিদিন খুব ভয় পাই এবং খুব দুঃখ পাই, এবং এতে আমি খুব বিরক্ত। আমি বর্তমানে ভ্যালিয়াম খাচ্ছি এবং আমি কি আমার জিপির পরামর্শে ধ্যান করার চেষ্টা করছি কিন্তু ভ্যালিয়াম আমার প্যানিক অ্যাটাক কমিয়েছে, আমার বুক এখনও খুব শক্ত এবং ভয় এখনও এত বাস্ত"&amp;"ব এবং আমি এখনও খুব দুঃখিত। আমি আমার সঙ্গীকেও আঁকড়ে ধরে রাখছি এবং আক্ষরিক অর্থেই আমার পুরো কর্মদিবস জুড়ে আমার ফোনে তাদের সাথে কথা বলেছি (আমরা কথা বলি না, আমি কেবল তাদের ব্যাকগ্রাউন্ডের শব্দ শুনি যাতে আমাকে কিছুটা সান্ত্বনা দেওয়া যায় যে কেউ আছে)। আক্ষরি"&amp;"ক অর্থেই আমি কেবল ছেড়ে দিতে চাই এবং এটি বন্ধ করতে চাই কিন্তু আমি জানি আমার উচিত নয় কিন্তু আমি সত্যিই চাই। মানুষ আরও বলছে যে অন্তত তিন মাস ধরে এটা ধরে রাখতে হবে যাতে আমি পরিবেশের সাথে অভ্যস্ত হতে পারি, কিন্তু এটাই ইন্টার্নশিপের দৈর্ঘ্য এবং প্রতিটি দিন ইত"&amp;"িমধ্যেই এত দীর্ঘ এবং এত কঠিন মনে হচ্ছে। আমি আগামী সপ্তাহের জন্য একজন মনোবিজ্ঞানীর সাথে অ্যাপয়েন্টমেন্ট করেছি এবং আমি সত্যিই আশা করি অন্তত ততক্ষণ পর্যন্ত আমি তাদের পরামর্শ পেতে পারব, কারণ প্রতিটি দিন কতটা কঠিন তা বিবেচনা করে। স্পষ্টতই আমি ছাড়তে বৈধতা এবং"&amp;" ""অনুমতি"" খুঁজছিলাম কিন্তু আমি বুঝতে পারছি (অথবা আমিও) যে এটা আমার উদ্বেগের কারণ কারণ আমি জানি আমার এটা করা উচিত নয় কিন্তু আমি সত্যিই চাই। দীর্ঘ টেক্সট পোস্টের জন্য দুঃখিত। আমি বর্তমানে কাজে যাচ্ছি এবং খুব খারাপ লাগছে এবং এই বিষয়ে কারো সাথে কথা বলার প"&amp;"্রয়োজন অনুভব করছি।")</f>
        <v>চাকরির উদ্বেগ একটা তীব্র বকবক: কলেজ থেকে নতুন করে অভিজ্ঞতা অর্জনের জন্য মাত্র ৩ মাসের অবৈতনিক ইন্টার্নশিপ শুরু করেছি, আর গত দুই সপ্তাহে আমার আগের বছরের তুলনায় প্রায় একই রকম প্যানিক অ্যাটাক হচ্ছে। আমার ডায়রিয়া হচ্ছে (দুঃখিত, TMI) এবং সকালে যন্ত্রণাদায়কভাবে বমি বমি ভাব হচ্ছে। আমার মনে হচ্ছে হঠাৎ করেই আমার জীবন কেড়ে নেওয়া হয়েছে। খুব একাকী বোধ করছি, বিশেষ করে যেহেতু আমার বেশিরভাগ বন্ধুই বাইরে থাকে (আন্তর্জাতিক ছাত্র, তারা বাড়ি চলে গেছে) এবং আমার সঙ্গীও কাজ করে এবং আমার থেকে অনেক দূরে থাকে, তাই আমি তাদের খুব কমই দেখতে পাই। ৯-৫.৩০ টায় কাজ করতে করতে আমি ৮.৫ ঘন্টার প্রতিটি মুহূর্ত ভয় পাই, এবং মানুষের সামনে ভালো থাকার ভান করতে খুব ক্লান্ত বোধ করি। আর যখন আমি বাড়ি ফিরি, তখন আমি একেবারে একা থাকি, আর পরের দিন আবার ভয় পাই। সপ্তাহান্তে আবার পরের কাজের দিন ভয় পাই। তাই আমি ক্রমাগত এইরকম অনুভব করি, এবং প্রতিদিন ভয় পাওয়া এবং কাঁদতে খুব ক্লান্ত লাগে। মানুষ আমাকে বন্ধু বানাতে বলছে, কিন্তু সামাজিক উদ্বেগের কারণে এটাও খুব কঠিন। আমি জানি না আমি তাদের বলতে পারব কিনা যে আমি কী পার করছি কারণ কেউ বুঝতে পারে না (আমিই একমাত্র নতুন ব্যক্তি)। আমি প্রতিদিন খুব ভয় পাই এবং খুব দুঃখ পাই, এবং এতে আমি খুব বিরক্ত। আমি বর্তমানে ভ্যালিয়াম খাচ্ছি এবং আমি কি আমার জিপির পরামর্শে ধ্যান করার চেষ্টা করছি কিন্তু ভ্যালিয়াম আমার প্যানিক অ্যাটাক কমিয়েছে, আমার বুক এখনও খুব শক্ত এবং ভয় এখনও এত বাস্তব এবং আমি এখনও খুব দুঃখিত। আমি আমার সঙ্গীকেও আঁকড়ে ধরে রাখছি এবং আক্ষরিক অর্থেই আমার পুরো কর্মদিবস জুড়ে আমার ফোনে তাদের সাথে কথা বলেছি (আমরা কথা বলি না, আমি কেবল তাদের ব্যাকগ্রাউন্ডের শব্দ শুনি যাতে আমাকে কিছুটা সান্ত্বনা দেওয়া যায় যে কেউ আছে)। আক্ষরিক অর্থেই আমি কেবল ছেড়ে দিতে চাই এবং এটি বন্ধ করতে চাই কিন্তু আমি জানি আমার উচিত নয় কিন্তু আমি সত্যিই চাই। মানুষ আরও বলছে যে অন্তত তিন মাস ধরে এটা ধরে রাখতে হবে যাতে আমি পরিবেশের সাথে অভ্যস্ত হতে পারি, কিন্তু এটাই ইন্টার্নশিপের দৈর্ঘ্য এবং প্রতিটি দিন ইতিমধ্যেই এত দীর্ঘ এবং এত কঠিন মনে হচ্ছে। আমি আগামী সপ্তাহের জন্য একজন মনোবিজ্ঞানীর সাথে অ্যাপয়েন্টমেন্ট করেছি এবং আমি সত্যিই আশা করি অন্তত ততক্ষণ পর্যন্ত আমি তাদের পরামর্শ পেতে পারব, কারণ প্রতিটি দিন কতটা কঠিন তা বিবেচনা করে। স্পষ্টতই আমি ছাড়তে বৈধতা এবং "অনুমতি" খুঁজছিলাম কিন্তু আমি বুঝতে পারছি (অথবা আমিও) যে এটা আমার উদ্বেগের কারণ কারণ আমি জানি আমার এটা করা উচিত নয় কিন্তু আমি সত্যিই চাই। দীর্ঘ টেক্সট পোস্টের জন্য দুঃখিত। আমি বর্তমানে কাজে যাচ্ছি এবং খুব খারাপ লাগছে এবং এই বিষয়ে কারো সাথে কথা বলার প্রয়োজন অনুভব করছি।</v>
      </c>
    </row>
    <row r="2953" spans="1:3" ht="15" x14ac:dyDescent="0.25">
      <c r="A2953" s="3" t="s">
        <v>2946</v>
      </c>
      <c r="B2953" s="3" t="s">
        <v>1992</v>
      </c>
      <c r="C2953" s="4" t="str">
        <f ca="1">IFERROR(__xludf.DUMMYFUNCTION("GOOGLETRANSLATE(A2953, ""auto"", ""bn"")"),"উদ্বেগ... হ্যালো, এটা অনেক দীর্ঘ হতে চলেছে। তাই আমি প্রশ্নগুলো সামনে রাখছি। ১. এই মুহূর্তে আমার চেকআপ করাতে আপত্তি নেই, কিন্তু হাসপাতালে যাওয়ার চিন্তাই আমাকে দ্বিধাগ্রস্ত করে তোলে। ২. এই লক্ষণগুলো কি আসলেই সাধারণ উদ্বেগ বলে মনে হয়? আমার কৈশোরের শেষের দি"&amp;"কে, বিশের দশকের গোড়ার দিকে আমার ভীষণ উদ্বেগ ছিল। আমি সিনেমা হল বা শপিং মলে যেতেও পারতাম না। আমি যখন খণ্ডকালীন বিশ্ববিদ্যালয়ের ছাত্র ছিলাম তখন সবকিছু ঠিক ছিল, তাই কয়েক বছর ধরে আমি শান্ত থাকতে পেরেছিলাম এবং সুস্থ হয়ে উঠেছিলাম। গত কয়েক বছর ধরে আমি মোটাম"&amp;"ুটি স্বাভাবিক জীবনযাপন করছি কিন্তু এমন জিনিস এড়িয়ে চলছি যা আমাকে উদ্বিগ্ন করে তোলে। তাই উড়ে যাওয়া বন্ধ করে দিয়েছি, এবং মোটামুটি সাদাসিধে জীবনযাপন করেছি। আমি ঠিক ছিলাম। আমি সাইকেল চালিয়ে স্কোয়াশ খেলছিলাম। তাছাড়া, অন্যদের মতো আমার কখনও এত ড্রাইভ এবং"&amp;" স্ট্যামিনা ছিল না, তবে এটি এত খারাপ ছিল না। তাছাড়া, আমার গোড়ালিতে আঘাত লেগেছে বলে আমি গ্রীষ্মকালটা খুব কষ্ট পেয়েছি। তাই তারপর থেকে আমি খুব বেশি ব্যায়াম করিনি। এক বছর আগে থেকে আমি ধীরে ধীরে ক্লান্ত হয়ে পড়ি, যদিও আমি সবসময় ভাবতাম যে এটি কেবল রাতে গড"&amp;"়ে ৬.৫ ঘন্টা ঘুমানোর কারণেই ঘটে, এবং কাজও ছিল চাপপূর্ণ। অনেক সময় আমি ক্লান্ত হয়ে পড়তাম এবং কাজের পরে ঘুমের প্রয়োজন হত। তাই গ্রীষ্মে আমার অবসর সময়ে আমার ওজন কিছুটা বেড়ে যেত, প্রায় ৫ কেজি। ৩ মাস আগে আমি কিটো ডায়েট করেছিলাম। ডায়েটের ফলে ধীরে ধীরে পর"&amp;"িস্থিতি আরও খারাপ হতে শুরু করে এবং ২.৫ সপ্তাহ আগে আমি থামার সিদ্ধান্ত নিই। আমি ৮ কেজি ওজন কমাতে সক্ষম হয়েছি, তাই এই অংশটি ঠিক আছে। এই সময় আমার উদ্বেগ অনেক বেড়ে যায়। আমি প্রতি ২ ঘন্টা অন্তর ক্ষুধার্ত থাকতাম, যেমন পাগলাটে ক্ষুধা, কিন্তু একই সাথে বমি বমি"&amp;" ভাব এবং খেতে কষ্ট হচ্ছিল। এটি আমার উদ্বেগ শুরু করে, এবং এখন আমার বুকে ব্যথা এবং বেশ তীব্র ধড়ফড় হয়। আমার সবসময় যে বুকের ব্যথা হত তার বেশিরভাগই সাইক্লিং দুর্ঘটনার কারণে আমার পাঁজর খারাপভাবে সেরে গেছে তাই যদি আমি ভুল পথে নামি বা নির্দিষ্টভাবে বসে থাকি, "&amp;"তাহলে এটি ব্যথা করতে পারে। অথবা যদি আমি ঘুমানোর সময় এটির উপর শুয়ে থাকি তবে এটি কেবল কয়েক দিন ব্যথা করবে। এগুলো আমার ঠিক আছে কারণ আমি ব্যথা ধরতে পারি এবং হাড়ের বাইরের অংশ স্পর্শ করতে পারি। তাই আমি জানি এগুলো কী। আমারও ঢেকুর ও গ্যাস হতে শুরু করে। মাঝে ম"&amp;"াঝে আমার হৃদপিণ্ডের কাছে এক অদ্ভুত ব্যথা হয়, এবং তারপর একটু পরে ঢেকুর ওঠার ফলে তা উপশম হয়, কিন্তু তারপর অনেক দেরি হয়ে গেছে আমার উদ্বেগ শুরু হয়েছে। গ্যাসের কারণে আমি আগে কখনও এমন ব্যথা অনুভব করিনি। ক্ষুধার্ত যন্ত্রণা এবং ঢেকুর ওঠার অনুভূতি কমে গেছে, কি"&amp;"ন্তু ধড়ফড় এখনও আমাকে সর্পিল করে তোলে। মঙ্গলবার আমাকে আবার কাজে যেতে হবে কিন্তু আমি চিন্তিত যে আমি হয়তো পারব না। এটি এখন মানসিক চাপ আরও বাড়িয়ে দিচ্ছে। আমি ভাবছিলাম হয়তো আমার হাসপাতালে যাওয়া উচিত এবং আমার মন শান্ত করা উচিত, সবকিছু ঠিক আছে শুনে অবশ্যই"&amp;" ভালো লাগবে, আমি সত্যিই আশা করি। কিন্তু আমি কল্পনাও করতে পারছি না যে আমি যদি সেখানে যাই তাহলে আমি কীভাবে আমার উদ্বেগ সামলাতে পারব। আমার বন্ধুরা শুধু বলেছে যে এটা করো কিন্তু... আজ আমি অন্য শহরে বন্ধুর বাড়িতে যাওয়ার জন্য গাড়ি চালিয়ে যাওয়ার চেষ্টা করেছি"&amp;", কিন্তু আমার হৃদপিণ্ড ৫ বার ধড়ফড় করেছে এবং আমি ঘুরে দাঁড়িয়েছি। শুরুতেই আমি গাড়ি চালানোর সময়টা নিয়ে নার্ভাস ছিলাম কারণ এটা একটু দূরে ছিল, আর শেষবার যখন আমি সেখানে গিয়েছিলাম তখন ফেরার পথে আমার একটা উদ্বেগের আক্রমণ হয়েছিল। ফেরার সময়টা ছিল এক ভয়াব"&amp;"হ ড্রাইভ। এদিকে, গত রাত এবং তার আগের রাত আমি বিভিন্ন বন্ধুদের বাড়িতে আড্ডা দিয়ে কাটিয়েছি, এবং আমি ঠিক ছিলাম। তাই আমার মনে হয় না আমার শারীরিকভাবে কিছু সমস্যা আছে। কিন্তু আমি জানি না। আমি ""আপনার নার্ভের জন্য আশা এবং সাহায্য"" পড়া শুরু করেছিলাম, এবং এট"&amp;"ি অনেক সাহায্য করেছিল যতক্ষণ না আমি আমার ঘাড়ে একটি পিণ্ড খুঁজে পাই...")</f>
        <v>উদ্বেগ... হ্যালো, এটা অনেক দীর্ঘ হতে চলেছে। তাই আমি প্রশ্নগুলো সামনে রাখছি। ১. এই মুহূর্তে আমার চেকআপ করাতে আপত্তি নেই, কিন্তু হাসপাতালে যাওয়ার চিন্তাই আমাকে দ্বিধাগ্রস্ত করে তোলে। ২. এই লক্ষণগুলো কি আসলেই সাধারণ উদ্বেগ বলে মনে হয়? আমার কৈশোরের শেষের দিকে, বিশের দশকের গোড়ার দিকে আমার ভীষণ উদ্বেগ ছিল। আমি সিনেমা হল বা শপিং মলে যেতেও পারতাম না। আমি যখন খণ্ডকালীন বিশ্ববিদ্যালয়ের ছাত্র ছিলাম তখন সবকিছু ঠিক ছিল, তাই কয়েক বছর ধরে আমি শান্ত থাকতে পেরেছিলাম এবং সুস্থ হয়ে উঠেছিলাম। গত কয়েক বছর ধরে আমি মোটামুটি স্বাভাবিক জীবনযাপন করছি কিন্তু এমন জিনিস এড়িয়ে চলছি যা আমাকে উদ্বিগ্ন করে তোলে। তাই উড়ে যাওয়া বন্ধ করে দিয়েছি, এবং মোটামুটি সাদাসিধে জীবনযাপন করেছি। আমি ঠিক ছিলাম। আমি সাইকেল চালিয়ে স্কোয়াশ খেলছিলাম। তাছাড়া, অন্যদের মতো আমার কখনও এত ড্রাইভ এবং স্ট্যামিনা ছিল না, তবে এটি এত খারাপ ছিল না। তাছাড়া, আমার গোড়ালিতে আঘাত লেগেছে বলে আমি গ্রীষ্মকালটা খুব কষ্ট পেয়েছি। তাই তারপর থেকে আমি খুব বেশি ব্যায়াম করিনি। এক বছর আগে থেকে আমি ধীরে ধীরে ক্লান্ত হয়ে পড়ি, যদিও আমি সবসময় ভাবতাম যে এটি কেবল রাতে গড়ে ৬.৫ ঘন্টা ঘুমানোর কারণেই ঘটে, এবং কাজও ছিল চাপপূর্ণ। অনেক সময় আমি ক্লান্ত হয়ে পড়তাম এবং কাজের পরে ঘুমের প্রয়োজন হত। তাই গ্রীষ্মে আমার অবসর সময়ে আমার ওজন কিছুটা বেড়ে যেত, প্রায় ৫ কেজি। ৩ মাস আগে আমি কিটো ডায়েট করেছিলাম। ডায়েটের ফলে ধীরে ধীরে পরিস্থিতি আরও খারাপ হতে শুরু করে এবং ২.৫ সপ্তাহ আগে আমি থামার সিদ্ধান্ত নিই। আমি ৮ কেজি ওজন কমাতে সক্ষম হয়েছি, তাই এই অংশটি ঠিক আছে। এই সময় আমার উদ্বেগ অনেক বেড়ে যায়। আমি প্রতি ২ ঘন্টা অন্তর ক্ষুধার্ত থাকতাম, যেমন পাগলাটে ক্ষুধা, কিন্তু একই সাথে বমি বমি ভাব এবং খেতে কষ্ট হচ্ছিল। এটি আমার উদ্বেগ শুরু করে, এবং এখন আমার বুকে ব্যথা এবং বেশ তীব্র ধড়ফড় হয়। আমার সবসময় যে বুকের ব্যথা হত তার বেশিরভাগই সাইক্লিং দুর্ঘটনার কারণে আমার পাঁজর খারাপভাবে সেরে গেছে তাই যদি আমি ভুল পথে নামি বা নির্দিষ্টভাবে বসে থাকি, তাহলে এটি ব্যথা করতে পারে। অথবা যদি আমি ঘুমানোর সময় এটির উপর শুয়ে থাকি তবে এটি কেবল কয়েক দিন ব্যথা করবে। এগুলো আমার ঠিক আছে কারণ আমি ব্যথা ধরতে পারি এবং হাড়ের বাইরের অংশ স্পর্শ করতে পারি। তাই আমি জানি এগুলো কী। আমারও ঢেকুর ও গ্যাস হতে শুরু করে। মাঝে মাঝে আমার হৃদপিণ্ডের কাছে এক অদ্ভুত ব্যথা হয়, এবং তারপর একটু পরে ঢেকুর ওঠার ফলে তা উপশম হয়, কিন্তু তারপর অনেক দেরি হয়ে গেছে আমার উদ্বেগ শুরু হয়েছে। গ্যাসের কারণে আমি আগে কখনও এমন ব্যথা অনুভব করিনি। ক্ষুধার্ত যন্ত্রণা এবং ঢেকুর ওঠার অনুভূতি কমে গেছে, কিন্তু ধড়ফড় এখনও আমাকে সর্পিল করে তোলে। মঙ্গলবার আমাকে আবার কাজে যেতে হবে কিন্তু আমি চিন্তিত যে আমি হয়তো পারব না। এটি এখন মানসিক চাপ আরও বাড়িয়ে দিচ্ছে। আমি ভাবছিলাম হয়তো আমার হাসপাতালে যাওয়া উচিত এবং আমার মন শান্ত করা উচিত, সবকিছু ঠিক আছে শুনে অবশ্যই ভালো লাগবে, আমি সত্যিই আশা করি। কিন্তু আমি কল্পনাও করতে পারছি না যে আমি যদি সেখানে যাই তাহলে আমি কীভাবে আমার উদ্বেগ সামলাতে পারব। আমার বন্ধুরা শুধু বলেছে যে এটা করো কিন্তু... আজ আমি অন্য শহরে বন্ধুর বাড়িতে যাওয়ার জন্য গাড়ি চালিয়ে যাওয়ার চেষ্টা করেছি, কিন্তু আমার হৃদপিণ্ড ৫ বার ধড়ফড় করেছে এবং আমি ঘুরে দাঁড়িয়েছি। শুরুতেই আমি গাড়ি চালানোর সময়টা নিয়ে নার্ভাস ছিলাম কারণ এটা একটু দূরে ছিল, আর শেষবার যখন আমি সেখানে গিয়েছিলাম তখন ফেরার পথে আমার একটা উদ্বেগের আক্রমণ হয়েছিল। ফেরার সময়টা ছিল এক ভয়াবহ ড্রাইভ। এদিকে, গত রাত এবং তার আগের রাত আমি বিভিন্ন বন্ধুদের বাড়িতে আড্ডা দিয়ে কাটিয়েছি, এবং আমি ঠিক ছিলাম। তাই আমার মনে হয় না আমার শারীরিকভাবে কিছু সমস্যা আছে। কিন্তু আমি জানি না। আমি "আপনার নার্ভের জন্য আশা এবং সাহায্য" পড়া শুরু করেছিলাম, এবং এটি অনেক সাহায্য করেছিল যতক্ষণ না আমি আমার ঘাড়ে একটি পিণ্ড খুঁজে পাই...</v>
      </c>
    </row>
    <row r="2954" spans="1:3" ht="15" x14ac:dyDescent="0.25">
      <c r="A2954" s="3" t="s">
        <v>2947</v>
      </c>
      <c r="B2954" s="3" t="s">
        <v>1992</v>
      </c>
      <c r="C2954" s="4" t="str">
        <f ca="1">IFERROR(__xludf.DUMMYFUNCTION("GOOGLETRANSLATE(A2954, ""auto"", ""bn"")"),"বরফের মধ্যে গাড়ি চালিয়ে নতুন চাকরিতে যাওয়ার সময় আমার একটা আতঙ্কের আক্রমণ হয়েছিল এবং আমার বসকে কাঁদতে কাঁদতে ফোন করে ব্যাখ্যা করতে হয়েছিল। আমি খুবই লজ্জিত। তাছাড়া, আমার গাড়ি চালানোর ভয়ানক উদ্বেগ আছে, বিশেষ করে বরফে। তাছাড়া, ১৬ বছর বয়সে তুষার ঝড়"&amp;"ের সময় আমার একটা ভয়াবহ দুর্ঘটনা ঘটেছিল, এবং ৬ বছর পরেও আমি এখনও ভয়াবহ উদ্বেগের সাথে লড়াই করছি। যদি আমাকে বরফের মধ্যে গাড়ি চালাতে হয় অথবা এমন ড্রাইভারের সাথে থাকতে হয় যার উপর আমি বিশ্বাস করি না, তাহলে আমার সাধারণত কান্নাকাটি এবং হাইপারভেন্টিলেটিংয়ে"&amp;"র সমস্যা হবে এবং বরফের মধ্যে গাড়ি চালানো এড়াতে আমি যেকোনো কিছু করব। গত কয়েক বছর ধরে সবকিছু ঠিকঠাক ছিল কারণ আমি হেঁটে কাজে যেতাম। আমি অন্যত্র চলে এসেছি, তিন দিন আগে একটি নতুন চাকরি শুরু করেছি এবং আজ প্রথম দিন ছিল যখন আমাকে বরফের মধ্যে গাড়ি চালাতে হত। প"&amp;"্রথমে আমি ঠিক ছিলাম, কিন্তু যখন আমি গাড়িটি পরিষ্কার করে চালু করার জন্য বের হলাম, তখন আমি ভেঙে পড়লাম। তাছাড়া, আমি গাড়িতে বসে ১৫ মিনিট ধরে কেঁদেছিলাম নিজেকে সামলাতে। আমার শিফট শুরুর সময় আমাকে আমার নতুন বসকে ফোন করে ক্ষমা চাইতে হয়েছিল এবং তাকে বলতে হয়"&amp;"েছিল যে আমার ভীষণ উদ্বেগ আছে এবং আমি নিজেকে গাড়ি চালাতে পারছি না, এবং আমি চেষ্টা করছিলাম। সে আমার সহকর্মীকে ফোন করেছিল, যিনি খুব ভালো এবং বোধগম্য ছিলেন এবং আমাকে তুলেছিলেন। কিন্তু যখন আমি আমার বসের সাথে ফোনে কথা বলছিলাম তখন সে বলল, ""ওহ না... তুষারপাত হল"&amp;"ে তুমি কী করবে?"" কারণ আমরা কলোরাডোতে থাকি এবং প্রচুর তুষারপাত হয়। এবং আমি সত্যি বলতে জানি না। আমি জানি আমার একজন কাউন্সেলরের সাথে দেখা করা উচিত, কিন্তু তোমাকে সেখানে গাড়ি চালাতে হবে, এবং আমি অপ্রয়োজনীয় গাড়ি চালানো ঘৃণা করি। আমি বিব্রত বোধ করি এবং কী"&amp;" করব জানি না।")</f>
        <v>বরফের মধ্যে গাড়ি চালিয়ে নতুন চাকরিতে যাওয়ার সময় আমার একটা আতঙ্কের আক্রমণ হয়েছিল এবং আমার বসকে কাঁদতে কাঁদতে ফোন করে ব্যাখ্যা করতে হয়েছিল। আমি খুবই লজ্জিত। তাছাড়া, আমার গাড়ি চালানোর ভয়ানক উদ্বেগ আছে, বিশেষ করে বরফে। তাছাড়া, ১৬ বছর বয়সে তুষার ঝড়ের সময় আমার একটা ভয়াবহ দুর্ঘটনা ঘটেছিল, এবং ৬ বছর পরেও আমি এখনও ভয়াবহ উদ্বেগের সাথে লড়াই করছি। যদি আমাকে বরফের মধ্যে গাড়ি চালাতে হয় অথবা এমন ড্রাইভারের সাথে থাকতে হয় যার উপর আমি বিশ্বাস করি না, তাহলে আমার সাধারণত কান্নাকাটি এবং হাইপারভেন্টিলেটিংয়ের সমস্যা হবে এবং বরফের মধ্যে গাড়ি চালানো এড়াতে আমি যেকোনো কিছু করব। গত কয়েক বছর ধরে সবকিছু ঠিকঠাক ছিল কারণ আমি হেঁটে কাজে যেতাম। আমি অন্যত্র চলে এসেছি, তিন দিন আগে একটি নতুন চাকরি শুরু করেছি এবং আজ প্রথম দিন ছিল যখন আমাকে বরফের মধ্যে গাড়ি চালাতে হত। প্রথমে আমি ঠিক ছিলাম, কিন্তু যখন আমি গাড়িটি পরিষ্কার করে চালু করার জন্য বের হলাম, তখন আমি ভেঙে পড়লাম। তাছাড়া, আমি গাড়িতে বসে ১৫ মিনিট ধরে কেঁদেছিলাম নিজেকে সামলাতে। আমার শিফট শুরুর সময় আমাকে আমার নতুন বসকে ফোন করে ক্ষমা চাইতে হয়েছিল এবং তাকে বলতে হয়েছিল যে আমার ভীষণ উদ্বেগ আছে এবং আমি নিজেকে গাড়ি চালাতে পারছি না, এবং আমি চেষ্টা করছিলাম। সে আমার সহকর্মীকে ফোন করেছিল, যিনি খুব ভালো এবং বোধগম্য ছিলেন এবং আমাকে তুলেছিলেন। কিন্তু যখন আমি আমার বসের সাথে ফোনে কথা বলছিলাম তখন সে বলল, "ওহ না... তুষারপাত হলে তুমি কী করবে?" কারণ আমরা কলোরাডোতে থাকি এবং প্রচুর তুষারপাত হয়। এবং আমি সত্যি বলতে জানি না। আমি জানি আমার একজন কাউন্সেলরের সাথে দেখা করা উচিত, কিন্তু তোমাকে সেখানে গাড়ি চালাতে হবে, এবং আমি অপ্রয়োজনীয় গাড়ি চালানো ঘৃণা করি। আমি বিব্রত বোধ করি এবং কী করব জানি না।</v>
      </c>
    </row>
    <row r="2955" spans="1:3" ht="15" x14ac:dyDescent="0.25">
      <c r="A2955" s="3" t="s">
        <v>2948</v>
      </c>
      <c r="B2955" s="3" t="s">
        <v>1992</v>
      </c>
      <c r="C2955" s="4" t="str">
        <f ca="1">IFERROR(__xludf.DUMMYFUNCTION("GOOGLETRANSLATE(A2955, ""auto"", ""bn"")"),"আমার মুখে ঘুষি মারা হয়েছে, আর এখন আমি সবসময় এই বিষয়ে উদ্বিগ্ন থাকি যে, আবার কখনও আমার মধ্যে ঝগড়া হয়নি। যদি কিছু হয়, আমি সবসময় তা এড়িয়ে চলার চেষ্টা করি। কিন্তু মাঝে মাঝে এমন কিছু জিনিস থাকে যা আমার কাছে অত্যন্ত অন্যায় মনে হয়, এবং আমার কথা বলা উচিত। প্রায় এ"&amp;"ক সপ্তাহ আগে আমি একটা দোকানে ছিলাম যেখানে তাদের দুটি বেশ বড় ম্যাকাও ছিল। তাদের মধ্যে একটি দেখতে খুবই চাপা ছিল কারণ এটি তার পালক টেনে টেনে নিচ্ছিল এবং পুরো ধড়ে প্রায় পালকহীন ছিল। খাঁচার কাছে মানুষ থাকাকালীন পাখিরা খুশি ছিল না, যার পরে সাধারণত প্রচুর চিৎকা"&amp;"র এবং উত্তেজিতভাবে তাদের ডানা ঝাপটানো হত। যখন আমি দোকান থেকে বের হচ্ছিলাম, খাঁচার পাখিদের পরিস্থিতি সামলাতে না পেরে, আমি দেখলাম একজন মহিলা খাঁচার উপর চিৎকার করে এবং টেপ লাগিয়ে প্রায় ৫ মিনিট ধরে তাদের হয়রানি করছে। অবশেষে আমি সাহস করে তার কাছে গেলাম এবং ত"&amp;"াকে জিজ্ঞাসা করলাম যে সে কি পাখিদের একা রেখে যেতে পারে কারণ তারা ইতিমধ্যেই চাপে ছিল। সে অত্যন্ত অভদ্র ছিল, আমাকে জিজ্ঞাসা করছিল যে আমি কি জানি আমি কার সাথে কথা বলছি। আমি করিনি (সে দেখতে তেমন বিশেষ কিছু ছিল না, বরং খুব সাধারণ কার্দাশিয়ানদের মতো) তাই আমি ব"&amp;"ললাম ""না, দয়া করে পাখিদের হয়রানি বন্ধ করো এবং তাদের একা থাকতে দাও"" তারপর সে আমার চুল ধরে (বিড়ালের লড়াইয়ের স্টাইলে) আমার চোখে ঘুষি মারল। মুষ্টিবদ্ধ, আমার প্রেসক্রিপশন চশমা পরা ছিল যা সে ভেঙে ফেলেছিল। আমার পরিবার পুলিশকে ফোন করে। তারা এসেছিল এবং তাদের"&amp;" আমার গল্প বলার পর, তারা আমাকে বলল যে আমাকেও গ্রেপ্তার করা হতে পারে। আমি ভীত হয়ে গেলাম, সে হাসছিল কারণ সে তার মুখ আঁচড়াতে সক্ষম হয়েছিল যে আমি প্রথমে তাকে আক্রমণ করেছি। এটা ভয়াবহ ছিল। শেষ পর্যন্ত, আমার একটি বিশাল কালো চোখ, একেবারে নতুন প্রেসক্রিপশন চশম"&amp;"া নষ্ট হয়ে গেছে এবং সাহায্য করার চেষ্টা করার জন্য একটি আংশিক ভাঙা নাক পেয়েছিল। আমি মোটেও ন্যায়বিচার পাইনি, এবং এখন আমি মানুষকে ভয় পাই। আমি আর ভিড়ের জায়গা বা দোকানে যেতে পারিনি। তাছাড়া, আমি আর মানুষের চোখের দিকে তাকাতে পারি না। তাছাড়া, আমি একেবারে "&amp;"ভয় পাই যে লোকেরা কোনও কারণ ছাড়াই অযৌক্তিকভাবে প্রতিক্রিয়া জানাবে এবং আমি আবার আক্রমণের শিকার হব। তাছাড়া, আমি আতঙ্কিত। তাছাড়া, এই অযৌক্তিক ভয় নিয়ে কী করব তা আমার আসলেই কোনও ধারণা নেই, এবং যেকোনো পরামর্শ পেলে আমি কৃতজ্ঞ থাকব। ধন্যবাদ!")</f>
        <v>আমার মুখে ঘুষি মারা হয়েছে, আর এখন আমি সবসময় এই বিষয়ে উদ্বিগ্ন থাকি যে, আবার কখনও আমার মধ্যে ঝগড়া হয়নি। যদি কিছু হয়, আমি সবসময় তা এড়িয়ে চলার চেষ্টা করি। কিন্তু মাঝে মাঝে এমন কিছু জিনিস থাকে যা আমার কাছে অত্যন্ত অন্যায় মনে হয়, এবং আমার কথা বলা উচিত। প্রায় এক সপ্তাহ আগে আমি একটা দোকানে ছিলাম যেখানে তাদের দুটি বেশ বড় ম্যাকাও ছিল। তাদের মধ্যে একটি দেখতে খুবই চাপা ছিল কারণ এটি তার পালক টেনে টেনে নিচ্ছিল এবং পুরো ধড়ে প্রায় পালকহীন ছিল। খাঁচার কাছে মানুষ থাকাকালীন পাখিরা খুশি ছিল না, যার পরে সাধারণত প্রচুর চিৎকার এবং উত্তেজিতভাবে তাদের ডানা ঝাপটানো হত। যখন আমি দোকান থেকে বের হচ্ছিলাম, খাঁচার পাখিদের পরিস্থিতি সামলাতে না পেরে, আমি দেখলাম একজন মহিলা খাঁচার উপর চিৎকার করে এবং টেপ লাগিয়ে প্রায় ৫ মিনিট ধরে তাদের হয়রানি করছে। অবশেষে আমি সাহস করে তার কাছে গেলাম এবং তাকে জিজ্ঞাসা করলাম যে সে কি পাখিদের একা রেখে যেতে পারে কারণ তারা ইতিমধ্যেই চাপে ছিল। সে অত্যন্ত অভদ্র ছিল, আমাকে জিজ্ঞাসা করছিল যে আমি কি জানি আমি কার সাথে কথা বলছি। আমি করিনি (সে দেখতে তেমন বিশেষ কিছু ছিল না, বরং খুব সাধারণ কার্দাশিয়ানদের মতো) তাই আমি বললাম "না, দয়া করে পাখিদের হয়রানি বন্ধ করো এবং তাদের একা থাকতে দাও" তারপর সে আমার চুল ধরে (বিড়ালের লড়াইয়ের স্টাইলে) আমার চোখে ঘুষি মারল। মুষ্টিবদ্ধ, আমার প্রেসক্রিপশন চশমা পরা ছিল যা সে ভেঙে ফেলেছিল। আমার পরিবার পুলিশকে ফোন করে। তারা এসেছিল এবং তাদের আমার গল্প বলার পর, তারা আমাকে বলল যে আমাকেও গ্রেপ্তার করা হতে পারে। আমি ভীত হয়ে গেলাম, সে হাসছিল কারণ সে তার মুখ আঁচড়াতে সক্ষম হয়েছিল যে আমি প্রথমে তাকে আক্রমণ করেছি। এটা ভয়াবহ ছিল। শেষ পর্যন্ত, আমার একটি বিশাল কালো চোখ, একেবারে নতুন প্রেসক্রিপশন চশমা নষ্ট হয়ে গেছে এবং সাহায্য করার চেষ্টা করার জন্য একটি আংশিক ভাঙা নাক পেয়েছিল। আমি মোটেও ন্যায়বিচার পাইনি, এবং এখন আমি মানুষকে ভয় পাই। আমি আর ভিড়ের জায়গা বা দোকানে যেতে পারিনি। তাছাড়া, আমি আর মানুষের চোখের দিকে তাকাতে পারি না। তাছাড়া, আমি একেবারে ভয় পাই যে লোকেরা কোনও কারণ ছাড়াই অযৌক্তিকভাবে প্রতিক্রিয়া জানাবে এবং আমি আবার আক্রমণের শিকার হব। তাছাড়া, আমি আতঙ্কিত। তাছাড়া, এই অযৌক্তিক ভয় নিয়ে কী করব তা আমার আসলেই কোনও ধারণা নেই, এবং যেকোনো পরামর্শ পেলে আমি কৃতজ্ঞ থাকব। ধন্যবাদ!</v>
      </c>
    </row>
    <row r="2956" spans="1:3" ht="15" x14ac:dyDescent="0.25">
      <c r="A2956" s="3" t="s">
        <v>2949</v>
      </c>
      <c r="B2956" s="3" t="s">
        <v>1992</v>
      </c>
      <c r="C2956" s="4" t="str">
        <f ca="1">IFERROR(__xludf.DUMMYFUNCTION("GOOGLETRANSLATE(A2956, ""auto"", ""bn"")"),"উদ্বেগের লক্ষণগুলি কমানোর জন্য কার্যকর উপায় খুঁজছেন? সবাইকে হ্যালো। আমি পরামর্শ খুঁজছি অথবা বমি বমি ভাব, ডায়রিয়া, মাথাব্যথা ইত্যাদির মতো উদ্বেগের লক্ষণগুলি মোকাবেলা করার জন্য সাহায্য খুঁজছি। আমার মস্তিষ্ক সবসময় আমাকে অকার্যকর করার এবং নতুন শারীরিক লক্"&amp;"ষণ দিয়ে আমার সামাজিক উদ্বেগ কাটিয়ে ওঠা থেকে বিরত রাখার উপায় খুঁজে বের করে। আমি আজকাল বিশেষভাবে অসুস্থ বোধ করছি কারণ আমি আমার প্রেমিকের সাথে সম্পর্ক ছিন্ন করেছি, কারণ আমি খুব বেশি হতাশাগ্রস্ত এবং উদ্বিগ্ন ছিলাম, এবং সে এটি সহ্য করতে পারছিল না। এটি একটি "&amp;"খারাপ সম্পর্ক ছিল, এবং আমি খুশি যে এটি শেষ হয়ে গেছে কিন্তু তবুও, আমি ব্যর্থতার মতো অনুভব করছি কারণ আমি ভয় পাচ্ছি যে আমার মানসিক অসুস্থতা আমাকে কারও দ্বারা ভালোবাসা থেকে বিরত রাখবে... এবং এক সপ্তাহের মধ্যে আমার পরীক্ষা... তাই আমার জীবনে হঠাৎ করে সবকিছু ব"&amp;"দলে যাচ্ছে। সর্বোত্তমভাবে, আমি এখনও আশা করি! অতএব, নিজের যত্ন নেওয়া শুরু করার জন্য এটি আমার জন্য উপযুক্ত মুহূর্ত। আমি কেন এই উদ্বেগ অনুভব করছি তা আরও ভালভাবে বুঝতে একটি থেরাপি শুরু করছি তবে হয়তো আপনাদের মধ্যে কারও কাছে শারীরিক ব্যায়াম বা সম্মোহনের মতো "&amp;"এই অস্বস্তিকর প্রকাশগুলি প্রশমিত করার জন্য ভাল পরামর্শ আছে? ধন্যবাদ! আমি আপনার জাদুকরী পরামর্শের জন্য অপেক্ষা করছি।")</f>
        <v>উদ্বেগের লক্ষণগুলি কমানোর জন্য কার্যকর উপায় খুঁজছেন? সবাইকে হ্যালো। আমি পরামর্শ খুঁজছি অথবা বমি বমি ভাব, ডায়রিয়া, মাথাব্যথা ইত্যাদির মতো উদ্বেগের লক্ষণগুলি মোকাবেলা করার জন্য সাহায্য খুঁজছি। আমার মস্তিষ্ক সবসময় আমাকে অকার্যকর করার এবং নতুন শারীরিক লক্ষণ দিয়ে আমার সামাজিক উদ্বেগ কাটিয়ে ওঠা থেকে বিরত রাখার উপায় খুঁজে বের করে। আমি আজকাল বিশেষভাবে অসুস্থ বোধ করছি কারণ আমি আমার প্রেমিকের সাথে সম্পর্ক ছিন্ন করেছি, কারণ আমি খুব বেশি হতাশাগ্রস্ত এবং উদ্বিগ্ন ছিলাম, এবং সে এটি সহ্য করতে পারছিল না। এটি একটি খারাপ সম্পর্ক ছিল, এবং আমি খুশি যে এটি শেষ হয়ে গেছে কিন্তু তবুও, আমি ব্যর্থতার মতো অনুভব করছি কারণ আমি ভয় পাচ্ছি যে আমার মানসিক অসুস্থতা আমাকে কারও দ্বারা ভালোবাসা থেকে বিরত রাখবে... এবং এক সপ্তাহের মধ্যে আমার পরীক্ষা... তাই আমার জীবনে হঠাৎ করে সবকিছু বদলে যাচ্ছে। সর্বোত্তমভাবে, আমি এখনও আশা করি! অতএব, নিজের যত্ন নেওয়া শুরু করার জন্য এটি আমার জন্য উপযুক্ত মুহূর্ত। আমি কেন এই উদ্বেগ অনুভব করছি তা আরও ভালভাবে বুঝতে একটি থেরাপি শুরু করছি তবে হয়তো আপনাদের মধ্যে কারও কাছে শারীরিক ব্যায়াম বা সম্মোহনের মতো এই অস্বস্তিকর প্রকাশগুলি প্রশমিত করার জন্য ভাল পরামর্শ আছে? ধন্যবাদ! আমি আপনার জাদুকরী পরামর্শের জন্য অপেক্ষা করছি।</v>
      </c>
    </row>
    <row r="2957" spans="1:3" ht="15" x14ac:dyDescent="0.25">
      <c r="A2957" s="3" t="s">
        <v>2950</v>
      </c>
      <c r="B2957" s="3" t="s">
        <v>1992</v>
      </c>
      <c r="C2957" s="4" t="str">
        <f ca="1">IFERROR(__xludf.DUMMYFUNCTION("GOOGLETRANSLATE(A2957, ""auto"", ""bn"")"),"প্যানিক অ্যাটাক বন্ধু খুঁজছি। দুঃখিত, যদি এটা অদ্ভুত হয়। আমার প্রতিদিন প্যানিক অ্যাটাক হচ্ছে (আমার মনে হয় এটাই ভুল) এবং মানুষের সাথে কথা বলা আমার সাহায্য করে। আমি এই সুবিধার প্রতিদান দিতে পেরে খুশি হব!! আমরা টেক্সট করতে পারি। আমি কোনও আইএম ব্যবহার করি ন"&amp;"া। আমি কেবল চাই যে কেউ কথা বলুক যতক্ষণ না এটি চলে যায়। সাধারণত আমার জন্য প্রায় এক ঘন্টা সময় লাগে, তবে প্রথম 30 মিনিটই আমার কাছে সত্যিই গুরুত্বপূর্ণ। আমার নাম টিফানি।")</f>
        <v>প্যানিক অ্যাটাক বন্ধু খুঁজছি। দুঃখিত, যদি এটা অদ্ভুত হয়। আমার প্রতিদিন প্যানিক অ্যাটাক হচ্ছে (আমার মনে হয় এটাই ভুল) এবং মানুষের সাথে কথা বলা আমার সাহায্য করে। আমি এই সুবিধার প্রতিদান দিতে পেরে খুশি হব!! আমরা টেক্সট করতে পারি। আমি কোনও আইএম ব্যবহার করি না। আমি কেবল চাই যে কেউ কথা বলুক যতক্ষণ না এটি চলে যায়। সাধারণত আমার জন্য প্রায় এক ঘন্টা সময় লাগে, তবে প্রথম 30 মিনিটই আমার কাছে সত্যিই গুরুত্বপূর্ণ। আমার নাম টিফানি।</v>
      </c>
    </row>
    <row r="2958" spans="1:3" ht="15" x14ac:dyDescent="0.25">
      <c r="A2958" s="3" t="s">
        <v>2951</v>
      </c>
      <c r="B2958" s="3" t="s">
        <v>1992</v>
      </c>
      <c r="C2958" s="4" t="str">
        <f ca="1">IFERROR(__xludf.DUMMYFUNCTION("GOOGLETRANSLATE(A2958, ""auto"", ""bn"")"),"উদ্বেগ। নাকি আসলেই না। আমার উদ্বেগের গল্প এবং আমি কীভাবে আর এর থেকে বিরত থাকছি না, আট বছর আগে, আমার দীর্ঘস্থায়ী উদ্বেগ ধরা পড়ে। সেই সময়, আমি এটাকে এড়িয়ে গিয়েছিলাম এই ভেবে, ""আরে, এটা স্বাভাবিক, তাই না? সবাই মাঝে মাঝে উদ্বিগ্ন হয়। এটা চলে যাবে, তাই "&amp;"না?"" ভুল। আট বছর পরে, আমি নিজেকে কাঁপিয়ে দিচ্ছিলাম এই ভেবে যে উদ্বেগ মৌসুমী ফ্লুর মতো চলে যায়। আমি থেরাপি সেশনের মধ্য দিয়ে কিছু সময় কাটিয়েছি, এবং যদিও সেগুলি সাহায্য করেছিল, তারা আসলে আমার উদ্বেগ থেকে মুক্তি পায়নি*, কারণ আমার মতো মানুষের জন্য, উদ্ব"&amp;"েগ সর্বদা উপস্থিত থাকে -- একটি বিরক্তিকর, অবাঞ্ছিত সঙ্গী যা আমি চিরকাল ধরে আবদ্ধ। আমি দীর্ঘ সময় ধরে উদ্বেগের সাথে লড়াই করার জন্য লড়াই করেছি। যখন প্রতিটি স্পিড বাম্প রাস্তার মাঝখানে একটি বিশাল পাথরের মতো দেখাচ্ছিল তখন সম্পূর্ণরূপে কার্যকরী মানুষ হওয়া ক"&amp;"ঠিন ছিল। এর থেকে বেরিয়ে আসার উপায় খোঁজার পরিবর্তে, আমার মনোযোগ ছিল স্পিড বাম্প-বোল্ডারের দিকে এবং এটিকে জয় করা কতটা অসম্ভব। উদ্বেগ আমাকে পঙ্গু করে দিয়েছিল এবং আমাকে এমন অনুভব করিয়েছিল যে আমি সর্বদা ব্যর্থ হতে বাধ্য। ছোট ছোট কাজগুলোও মাঝে মাঝে উদ্বেগ "&amp;"এবং আতঙ্কের সৃষ্টি করত। আমার শেষকৃত্যের পরিকল্পনা করার সময় আমি রাস্তা পার হতাম কারণ যদি বাস আমাকে ধাক্কা দেয়? আমাকে পার্টিতে আমন্ত্রণ জানানো হত, এবং হ্যাঁ আমি সামাজিকীকরণ করতে চাইতাম, কিন্তু আমি ছাড়তাম কারণ যদি আমি পানীয়টি ফেলে দিই এবং নিজেকে নিয়ে গো"&amp;"লমাল করি? জনসাধারণের কাছে বক্তৃতা ছিল সবচেয়ে খারাপ বিষয়, কারণ এটি এত বেশি ""কী-যদি"" সৃষ্টি করে। আমি কেবল শব্দের ভুল উচ্চারণ এবং আমার লাইন ভুলে যাওয়ার চিন্তায় ঘামছিলাম। এমন দিন ছিল যখন আমি ভাবতাম যে আমি পুরোপুরি ঠিক আছি, তারপর আমি ক্রমাগত আতঙ্ক এবং চা"&amp;"পের দ্বারা আক্রান্ত হতাম যা আমার কাজ করার ক্ষমতা কেড়ে নিত, এবং আমি নিজেকে বন্ধ করে দিতাম, কারণ উদ্বেগ এইভাবে পঙ্গু করে দিচ্ছিল। আমি আমার জীবনের অনেক কিছু ছেড়ে দিয়েছিলাম -- স্কুল, চাকরি, সম্পর্ক -- কিছু, আমি এমনকি শুরুও করতে পারিনি, সবই কারণ আমি চিন্তিত"&amp;" ছিলাম যে আমি যথেষ্ট ভালো নই। আমি এমন একটি কোর্স নিতে ভয় পেতাম যা আমি চাইতাম কারণ স্নাতক হওয়ার পর যদি আমি চাকরি না পাই? তাছাড়া, আমি এই প্রোগ্রামগুলি নিতে পারতাম না কারণ যদি আমি সেগুলিতে ব্যর্থ হই এবং আমাকে আবার সেগুলি নিতে হয়? তাছাড়া, আমি আমার শিক্ষকত"&amp;"ার চাকরি থেকে পদত্যাগ করেছি কারণ আমার ভয় ছিল যে পরের বছর কেউ আমার বিষয়গুলো নেবে না, আমি হয়তো যথেষ্ট ভালো শিক্ষক হতে পারব না। তাছাড়া, আমি সম্পর্ক গড়ে তুলতে ভয় পেতাম এবং যাদের আমি সত্যিই পছন্দ করতাম বা বন্ধু হতে চাইতাম তাদের সাথে কথা বলা বন্ধ করে দিতাম, কার"&amp;"ণ যদি তারা আমাকে না বোঝে? কারণ আমি এমনটাই অনুভব করতাম, কেউ আমাকে বোঝে না। আমি অনুমোদন এবং সমর্থনের জন্য আকুল ছিলাম, কিন্তু পরিবর্তে, আমি যাদের যত্ন নিতাম তাদের মধ্যে কেউ কেউ আমাকে ""অতিরিক্ত নাটকীয়"" এবং ""কান্নাকাটিকারী শিশু"" বলে ছেড়ে চলে গিয়েছিল, কা"&amp;"রণ তারা বুঝতে পারছিল না যে আমি কীসের মধ্য দিয়ে যাচ্ছি। ঠিক আছে, একই কথা। আমি কীভাবে তাদের দোষ দেব যখন আমি নিজেই বুঝতে পারিনি? বছরের পর বছর উদ্বেগের সাথে লড়াই করার পর, আমি এতে বিরক্ত হয়ে পড়েছিলাম এবং আমি ভিতরে ভিতরে তাকে চুপ করে থাকতে বলেছিলাম। তা হয়ন"&amp;"ি। কিন্তু আমি জানতাম যে আমাকে এটি সম্পর্কে কিছু করতে হবে, নাহলে, আমি সত্যিই বাঁচতে পারব না। আমি জানতাম যে নিজেকে সাহায্য করার জন্য আমার অনেক কিছু করার ছিল। তাই আমি তা করেছিলাম। আমি স্ব-সহায়ক বই পড়ি, যদি সত্যি বলতে, এগুলো আসলে খুব একটা সাহায্য করেনি কারণ"&amp;" এগুলো সবই একই জিনিস বলে যা আমি আগে থেকেই জানতাম (তবে এখনও ভালো মনে করিয়ে দেয়)। আমি আমার সহ-উদ্বিগ্ন ব্যক্তিদের কাছে পৌঁছাতে শুরু করি এবং পরামর্শ চাই, কারণ, আপনি জানেন, একজনকে জানার জন্য একজনের প্রয়োজন হয়, এবং আমি যদি সত্যিই নিজেকে খুঁজে পেতে চাই তবে "&amp;"তারাই ছিল সেরা মানুষ। ধীরে ধীরে, আমি কে এবং আমি কী করতে সক্ষম তা সম্পর্কে আমি আত্মবিশ্বাসী হয়ে উঠি। এতে বছরের পর বছর এবং অনেক কঠোর পরিশ্রম লেগেছে, কিন্তু আমি অনেক কিছু শিখেছি, এবং যারা আমাকে সাহায্য করেছে এবং আমাকে নিজের সম্পর্কে একটু ভালো বোধ করিয়েছে ত"&amp;"াদের প্রতি আমি আর কৃতজ্ঞ থাকতে পারি না। কয়েক বছর পরে দ্রুত এগিয়ে যান। আমি বলতে পারি না যে আমি আর উদ্বিগ্ন হই না। সর্বোপরি, উদ্বেগ ইতিমধ্যেই আমার একটি বড় অংশ। হয়তো আমি এটিকে কোনওভাবে পরিচালনা করার জন্য কয়েকটি কৌশল শিখেছি। অথবা হয়তো এটি আমাকে আগের মতো"&amp;" ভয় দেখায় না। বাস্তবতা হল, উদ্বেগ পরিচালনা করার জন্য কোনও এক-আকার-ফিট-সকল পদ্ধতি নেই। কিছু লোক তাদের উদ্বেগের বিরুদ্ধে লড়াই করে। কিছু লোক এটিকে উপেক্ষা করার চেষ্টা করে। যদি এটা তোমার জন্য কাজ করে, তাহলে এটা তোমার জন্যই হবে। কিন্তু যদি আমি নিজের জন্য এক"&amp;"টা জিনিস বুঝতে পারি, তা হলো, আমার উদ্বেগের সাথে লড়াই করা একটা হেরে যাওয়া যুদ্ধ, তাই আমি বরং সেটাকে আলিঙ্গন করি। আমি একটু বিরতি নিই। আমি নিঃশ্বাস নিই। তাছাড়া, আমি নিজেকে আমার চারপাশের পরিবেশের সাথে সংযুক্ত করি। এইভাবে, আমি জানি যে আমি যে পরিবেশে আছি তার "&amp;"উপর আমার নিয়ন্ত্রণ আছে। আমি পরিস্থিতি বুঝতে পারি এবং যতটা সম্ভব যুক্তিসঙ্গতভাবে চিন্তা করার চেষ্টা করি। আমি ঘটনাগুলি স্বীকার করি, এবং যদিও আমি আমার আবেগ সম্পর্কে আসলে কিছুই করতে পারি না, তবুও আমি পরিস্থিতি সম্পর্কে তাদের সাথে কথা বলি যারা শুনতে আগ্রহী। য"&amp;"দি আমি একা থাকি, তাহলে আমি লেখার মাধ্যমে যা আমাকে বিরক্ত করে তা প্রকাশ করি। আমি হাঁটি। আমি দৌড়াতে যাই। পরিস্থিতি থেকে পালানোর চেষ্টা করার জন্য নয়, বরং অতিরিক্ত স্নায়ু ঝেড়ে ফেলার জন্য। আমি কী আমাকে উদ্বিগ্ন করে তোলে তা ফিরে দেখি এবং মূল্যায়ন করি যে আম"&amp;"ি এটি সম্পর্কে কী করতে পারি। যদি আমার বিরতি নেওয়ার এবং আবেগগুলি অনুভব করার প্রয়োজন হয়, আমি নিজেকে কয়েক ঘন্টা, অথবা হয়তো কয়েক দিন সময় দেই যাতে এটি তার গতিপথে চলতে পারে। আমি মনে মনে ভাবি, ""এটা কেটে যাবে।"" এটা সবসময়ই হয়। আমার সহ-উদ্বেগিত মানুষদের "&amp;"কাছে, তুমি এটা বুঝতে পেরেছো। এটা একটা কঠিন পথ, আর মাঝে মাঝে তুমি একা বোধ করতে পারো, কিন্তু তুমি তা নও। নিজের প্রতি সদয় হোন। যদি কাঁদতে হয়, তাহলে তা করো। যদি তোমার বিশ্রামের প্রয়োজন হয়, যতটা প্রয়োজন ততটা বিরতি নাও। যদি এটা একা সহ্য করা খুব বেশি কঠিন হয়, ত"&amp;"াহলে সাহায্য চাইতে পারো। অন্য সবার কাছে, একজন ব্যক্তির পরিস্থিতির উপর নিয়ন্ত্রণ নিতে না পারার অক্ষমতায় উদ্বেগ বৃদ্ধি পায়। যখন কেউ হেরে যায়, তখন তাদের সুরক্ষিত, শোনা এবং বৈধতা বোধ করা গুরুত্বপূর্ণ। এই কারণেই সকলের প্রতি দয়া এবং সহানুভূতি দেখানো গুরুত্বপূর"&amp;"্ণ। (*অস্বীকৃতি: আমি বলছি না যে আমার মতো লোকেদের থেরাপি ত্যাগ করা উচিত। এটি আমার জন্য কাজ করেনি, তবে আমি নিশ্চিত যে এটি অন্যদের সাহায্য করে। অনুগ্রহ করে, যদি তুমি মনে করো যে এটি সাহায্য করে তবে থেরাপিতে যাও/চালিয়ে যাও।)")</f>
        <v>উদ্বেগ। নাকি আসলেই না। আমার উদ্বেগের গল্প এবং আমি কীভাবে আর এর থেকে বিরত থাকছি না, আট বছর আগে, আমার দীর্ঘস্থায়ী উদ্বেগ ধরা পড়ে। সেই সময়, আমি এটাকে এড়িয়ে গিয়েছিলাম এই ভেবে, "আরে, এটা স্বাভাবিক, তাই না? সবাই মাঝে মাঝে উদ্বিগ্ন হয়। এটা চলে যাবে, তাই না?" ভুল। আট বছর পরে, আমি নিজেকে কাঁপিয়ে দিচ্ছিলাম এই ভেবে যে উদ্বেগ মৌসুমী ফ্লুর মতো চলে যায়। আমি থেরাপি সেশনের মধ্য দিয়ে কিছু সময় কাটিয়েছি, এবং যদিও সেগুলি সাহায্য করেছিল, তারা আসলে আমার উদ্বেগ থেকে মুক্তি পায়নি*, কারণ আমার মতো মানুষের জন্য, উদ্বেগ সর্বদা উপস্থিত থাকে -- একটি বিরক্তিকর, অবাঞ্ছিত সঙ্গী যা আমি চিরকাল ধরে আবদ্ধ। আমি দীর্ঘ সময় ধরে উদ্বেগের সাথে লড়াই করার জন্য লড়াই করেছি। যখন প্রতিটি স্পিড বাম্প রাস্তার মাঝখানে একটি বিশাল পাথরের মতো দেখাচ্ছিল তখন সম্পূর্ণরূপে কার্যকরী মানুষ হওয়া কঠিন ছিল। এর থেকে বেরিয়ে আসার উপায় খোঁজার পরিবর্তে, আমার মনোযোগ ছিল স্পিড বাম্প-বোল্ডারের দিকে এবং এটিকে জয় করা কতটা অসম্ভব। উদ্বেগ আমাকে পঙ্গু করে দিয়েছিল এবং আমাকে এমন অনুভব করিয়েছিল যে আমি সর্বদা ব্যর্থ হতে বাধ্য। ছোট ছোট কাজগুলোও মাঝে মাঝে উদ্বেগ এবং আতঙ্কের সৃষ্টি করত। আমার শেষকৃত্যের পরিকল্পনা করার সময় আমি রাস্তা পার হতাম কারণ যদি বাস আমাকে ধাক্কা দেয়? আমাকে পার্টিতে আমন্ত্রণ জানানো হত, এবং হ্যাঁ আমি সামাজিকীকরণ করতে চাইতাম, কিন্তু আমি ছাড়তাম কারণ যদি আমি পানীয়টি ফেলে দিই এবং নিজেকে নিয়ে গোলমাল করি? জনসাধারণের কাছে বক্তৃতা ছিল সবচেয়ে খারাপ বিষয়, কারণ এটি এত বেশি "কী-যদি" সৃষ্টি করে। আমি কেবল শব্দের ভুল উচ্চারণ এবং আমার লাইন ভুলে যাওয়ার চিন্তায় ঘামছিলাম। এমন দিন ছিল যখন আমি ভাবতাম যে আমি পুরোপুরি ঠিক আছি, তারপর আমি ক্রমাগত আতঙ্ক এবং চাপের দ্বারা আক্রান্ত হতাম যা আমার কাজ করার ক্ষমতা কেড়ে নিত, এবং আমি নিজেকে বন্ধ করে দিতাম, কারণ উদ্বেগ এইভাবে পঙ্গু করে দিচ্ছিল। আমি আমার জীবনের অনেক কিছু ছেড়ে দিয়েছিলাম -- স্কুল, চাকরি, সম্পর্ক -- কিছু, আমি এমনকি শুরুও করতে পারিনি, সবই কারণ আমি চিন্তিত ছিলাম যে আমি যথেষ্ট ভালো নই। আমি এমন একটি কোর্স নিতে ভয় পেতাম যা আমি চাইতাম কারণ স্নাতক হওয়ার পর যদি আমি চাকরি না পাই? তাছাড়া, আমি এই প্রোগ্রামগুলি নিতে পারতাম না কারণ যদি আমি সেগুলিতে ব্যর্থ হই এবং আমাকে আবার সেগুলি নিতে হয়? তাছাড়া, আমি আমার শিক্ষকতার চাকরি থেকে পদত্যাগ করেছি কারণ আমার ভয় ছিল যে পরের বছর কেউ আমার বিষয়গুলো নেবে না, আমি হয়তো যথেষ্ট ভালো শিক্ষক হতে পারব না। তাছাড়া, আমি সম্পর্ক গড়ে তুলতে ভয় পেতাম এবং যাদের আমি সত্যিই পছন্দ করতাম বা বন্ধু হতে চাইতাম তাদের সাথে কথা বলা বন্ধ করে দিতাম, কারণ যদি তারা আমাকে না বোঝে? কারণ আমি এমনটাই অনুভব করতাম, কেউ আমাকে বোঝে না। আমি অনুমোদন এবং সমর্থনের জন্য আকুল ছিলাম, কিন্তু পরিবর্তে, আমি যাদের যত্ন নিতাম তাদের মধ্যে কেউ কেউ আমাকে "অতিরিক্ত নাটকীয়" এবং "কান্নাকাটিকারী শিশু" বলে ছেড়ে চলে গিয়েছিল, কারণ তারা বুঝতে পারছিল না যে আমি কীসের মধ্য দিয়ে যাচ্ছি। ঠিক আছে, একই কথা। আমি কীভাবে তাদের দোষ দেব যখন আমি নিজেই বুঝতে পারিনি? বছরের পর বছর উদ্বেগের সাথে লড়াই করার পর, আমি এতে বিরক্ত হয়ে পড়েছিলাম এবং আমি ভিতরে ভিতরে তাকে চুপ করে থাকতে বলেছিলাম। তা হয়নি। কিন্তু আমি জানতাম যে আমাকে এটি সম্পর্কে কিছু করতে হবে, নাহলে, আমি সত্যিই বাঁচতে পারব না। আমি জানতাম যে নিজেকে সাহায্য করার জন্য আমার অনেক কিছু করার ছিল। তাই আমি তা করেছিলাম। আমি স্ব-সহায়ক বই পড়ি, যদি সত্যি বলতে, এগুলো আসলে খুব একটা সাহায্য করেনি কারণ এগুলো সবই একই জিনিস বলে যা আমি আগে থেকেই জানতাম (তবে এখনও ভালো মনে করিয়ে দেয়)। আমি আমার সহ-উদ্বিগ্ন ব্যক্তিদের কাছে পৌঁছাতে শুরু করি এবং পরামর্শ চাই, কারণ, আপনি জানেন, একজনকে জানার জন্য একজনের প্রয়োজন হয়, এবং আমি যদি সত্যিই নিজেকে খুঁজে পেতে চাই তবে তারাই ছিল সেরা মানুষ। ধীরে ধীরে, আমি কে এবং আমি কী করতে সক্ষম তা সম্পর্কে আমি আত্মবিশ্বাসী হয়ে উঠি। এতে বছরের পর বছর এবং অনেক কঠোর পরিশ্রম লেগেছে, কিন্তু আমি অনেক কিছু শিখেছি, এবং যারা আমাকে সাহায্য করেছে এবং আমাকে নিজের সম্পর্কে একটু ভালো বোধ করিয়েছে তাদের প্রতি আমি আর কৃতজ্ঞ থাকতে পারি না। কয়েক বছর পরে দ্রুত এগিয়ে যান। আমি বলতে পারি না যে আমি আর উদ্বিগ্ন হই না। সর্বোপরি, উদ্বেগ ইতিমধ্যেই আমার একটি বড় অংশ। হয়তো আমি এটিকে কোনওভাবে পরিচালনা করার জন্য কয়েকটি কৌশল শিখেছি। অথবা হয়তো এটি আমাকে আগের মতো ভয় দেখায় না। বাস্তবতা হল, উদ্বেগ পরিচালনা করার জন্য কোনও এক-আকার-ফিট-সকল পদ্ধতি নেই। কিছু লোক তাদের উদ্বেগের বিরুদ্ধে লড়াই করে। কিছু লোক এটিকে উপেক্ষা করার চেষ্টা করে। যদি এটা তোমার জন্য কাজ করে, তাহলে এটা তোমার জন্যই হবে। কিন্তু যদি আমি নিজের জন্য একটা জিনিস বুঝতে পারি, তা হলো, আমার উদ্বেগের সাথে লড়াই করা একটা হেরে যাওয়া যুদ্ধ, তাই আমি বরং সেটাকে আলিঙ্গন করি। আমি একটু বিরতি নিই। আমি নিঃশ্বাস নিই। তাছাড়া, আমি নিজেকে আমার চারপাশের পরিবেশের সাথে সংযুক্ত করি। এইভাবে, আমি জানি যে আমি যে পরিবেশে আছি তার উপর আমার নিয়ন্ত্রণ আছে। আমি পরিস্থিতি বুঝতে পারি এবং যতটা সম্ভব যুক্তিসঙ্গতভাবে চিন্তা করার চেষ্টা করি। আমি ঘটনাগুলি স্বীকার করি, এবং যদিও আমি আমার আবেগ সম্পর্কে আসলে কিছুই করতে পারি না, তবুও আমি পরিস্থিতি সম্পর্কে তাদের সাথে কথা বলি যারা শুনতে আগ্রহী। যদি আমি একা থাকি, তাহলে আমি লেখার মাধ্যমে যা আমাকে বিরক্ত করে তা প্রকাশ করি। আমি হাঁটি। আমি দৌড়াতে যাই। পরিস্থিতি থেকে পালানোর চেষ্টা করার জন্য নয়, বরং অতিরিক্ত স্নায়ু ঝেড়ে ফেলার জন্য। আমি কী আমাকে উদ্বিগ্ন করে তোলে তা ফিরে দেখি এবং মূল্যায়ন করি যে আমি এটি সম্পর্কে কী করতে পারি। যদি আমার বিরতি নেওয়ার এবং আবেগগুলি অনুভব করার প্রয়োজন হয়, আমি নিজেকে কয়েক ঘন্টা, অথবা হয়তো কয়েক দিন সময় দেই যাতে এটি তার গতিপথে চলতে পারে। আমি মনে মনে ভাবি, "এটা কেটে যাবে।" এটা সবসময়ই হয়। আমার সহ-উদ্বেগিত মানুষদের কাছে, তুমি এটা বুঝতে পেরেছো। এটা একটা কঠিন পথ, আর মাঝে মাঝে তুমি একা বোধ করতে পারো, কিন্তু তুমি তা নও। নিজের প্রতি সদয় হোন। যদি কাঁদতে হয়, তাহলে তা করো। যদি তোমার বিশ্রামের প্রয়োজন হয়, যতটা প্রয়োজন ততটা বিরতি নাও। যদি এটা একা সহ্য করা খুব বেশি কঠিন হয়, তাহলে সাহায্য চাইতে পারো। অন্য সবার কাছে, একজন ব্যক্তির পরিস্থিতির উপর নিয়ন্ত্রণ নিতে না পারার অক্ষমতায় উদ্বেগ বৃদ্ধি পায়। যখন কেউ হেরে যায়, তখন তাদের সুরক্ষিত, শোনা এবং বৈধতা বোধ করা গুরুত্বপূর্ণ। এই কারণেই সকলের প্রতি দয়া এবং সহানুভূতি দেখানো গুরুত্বপূর্ণ। (*অস্বীকৃতি: আমি বলছি না যে আমার মতো লোকেদের থেরাপি ত্যাগ করা উচিত। এটি আমার জন্য কাজ করেনি, তবে আমি নিশ্চিত যে এটি অন্যদের সাহায্য করে। অনুগ্রহ করে, যদি তুমি মনে করো যে এটি সাহায্য করে তবে থেরাপিতে যাও/চালিয়ে যাও।)</v>
      </c>
    </row>
    <row r="2959" spans="1:3" ht="15" x14ac:dyDescent="0.25">
      <c r="A2959" s="3" t="s">
        <v>2952</v>
      </c>
      <c r="B2959" s="3" t="s">
        <v>1992</v>
      </c>
      <c r="C2959" s="4" t="str">
        <f ca="1">IFERROR(__xludf.DUMMYFUNCTION("GOOGLETRANSLATE(A2959, ""auto"", ""bn"")"),"আমার গল্প তো আমি এখানে বিছানায় শুয়ে আছি আয়ারল্যান্ডে রাত ৮.২০ মিনিটে। আমার গল্পটা এখানে। আমার একটা বেদনাদায়ক শৈশব কেটেছে। আমার মা আমার বাবার সাথে অনেকবার প্রতারণা করেছেন। তিনি ওসিডিতে আক্রান্ত হয়েছেন এবং ৫টি বাচ্চাকে তাদের বাবার কাছে রেখে গেছেন। প্রায়শই আ"&amp;"মার শৈশব ছিল নরক, শুধু বাবার সাথে থাকা সময়টুকু ছাড়া। তিনি একজন দেবদূত! আমার পরিবারের মধ্যে আমি সবচেয়ে ছোট, এখন ২১ বছর। আমার ম্যাডামের সাথে কী ঘটেছিল তা আমি কখনও কারও সাথে বলিনি, যখন লোকেরা জিজ্ঞাসা করতো তিনি কোথায় আছেন, আমি ছুটির দিনে বলেছিলাম! তাছাড়া, আ"&amp;"মি সাহসী মুখ দেখাতাম। আর আমি এটা করতেও ভালো ছিলাম! আমি আমার জীবনে অনেক বোকামি করেছি, আমস্টারডামে থাকার পর আমার ভাইয়ের সাথে গাড়ি চালিয়ে বাড়ি ফিরতে গিয়ে ডিইউআই করেছি। পুলিশে চাকরি করার আকাঙ্ক্ষা থাকায় এটা আমাকে একটু বিরক্ত করেছিল। তারপর থেকে আমি কলেজে "&amp;"খুব পার্টি করেছি! আমি আরও বেশি ব্যবহৃত ওষুধ পান করতাম, এবং আমি এটি পছন্দ করতাম, তবে এটি মাত্র ৪ সপ্তাহ স্থায়ী হয়েছিল! MDMA করার পর ঘুম থেকে উঠে আমার প্রচণ্ড প্যানিক অ্যাটাক হয়েছিল #হ্যাঁ। আমি ভাবছিলাম আমি মারা যাচ্ছি এবং ভোর ৫ টায় ঠান্ডা রান্নাঘরের মে"&amp;"ঝেতে শুয়ে পড়ার পর আমি শুধু আমার বাবা এবং কীভাবে আমি তাকে হতাশ করেছিলাম, সবকিছুর মাঝে শুধু আমার কথাই ভাবতে পারি। ৩ মাস পর আমি উদ্বেগ, প্যানিক অ্যাটাক ইত্যাদিতে খুব বেশি ভুগছি। প্যানিক অ্যাটাক কিছুটা বন্ধ হয়ে গেছে, কিন্তু আমি ক্রমাগত ভয়ে ভুগছি এবং উদ্বে"&amp;"গ - এবং এর লক্ষণগুলি নিয়ে চাপে আছি। এটা আমার কাছে একেবারেই নতুন! উদ্বেগের লক্ষণ (অদ্ভুত দৃষ্টি/মাথাব্যথা/গিলতে না পারা/হৃদস্পন্দন/এই উপলব্ধি) আমি ডাবলিনে একজন লোকের সাথে দেখা করতে শুরু করেছি, সে একজন সামগ্রিক থেরাপিস্ট। আমি আবার সুস্থ বোধ করার জন্য যে সম"&amp;"স্ত উপায় চেষ্টা করেছি তার তুলনায় সে অনেক সাহায্য করেছে। সে বিশ্বাস করে যে এটি এখন আমি যে সমস্ত আঘাতের সম্মুখীন হয়েছি তা বেরিয়ে আসছে, এবং আমার কোনও মানসিক ব্যাধি ইত্যাদি নেই বরং একটি আবেগগত! আমার স্বস্তির জন্য। আমি সাধারণত খুব খেলাধুলাপ্রিয় এবং বহির্মু"&amp;"খী, কিন্তু এখন আমি কলেজ স্থগিত করেছি এবং কাজ করা বন্ধ করে দিয়েছি। আজ পর্যন্ত নিজেকে এতটাই বিচ্ছিন্ন করে ফেলেছি যে, আমি আর সেখান থেকে ফিরে আসতে পারছি না। ক্রমাগত ভয় আমাকে সত্যিই আত্মহত্যা করতে বাধ্য করছে। সেইজন্যই আজ রাতের এই রাতটা লিখছি, আমার জীবনের সবচ"&amp;"েয়ে খারাপ রাত, গত এক সপ্তাহ ধরে আমি আমার মৃত্যুর পরিকল্পনা করছি। বাবার জন্য টাকা জোগাড় করছি এবং চিঠি লিখছি। এটা বন্ধ করা দরকার, আমি জানি এটা পরিবর্তন করার ক্ষমতা আমার আছে, কিন্তু সাহস বা শক্তি আমার নেই। আমি শুধু কাঁদছি। আমি খুব একা। তাছাড়া, আমি খুব ভয়"&amp;" পাচ্ছি। তাছাড়া, আমি এতটাই হারিয়ে গেছি যে আমি শুধু ভালোবাসা পেতে চাই। তাছাড়া, আমি চাই আমার এমন একজন মা থাকুক যাকে আমি এখন আগের চেয়েও বেশি ভালোবাসতে পারতাম। তাছাড়া, আমি আমার জীবন ফিরে পেতে চাই। পড়ার জন্য ধন্যবাদ। বিদায়।")</f>
        <v>আমার গল্প তো আমি এখানে বিছানায় শুয়ে আছি আয়ারল্যান্ডে রাত ৮.২০ মিনিটে। আমার গল্পটা এখানে। আমার একটা বেদনাদায়ক শৈশব কেটেছে। আমার মা আমার বাবার সাথে অনেকবার প্রতারণা করেছেন। তিনি ওসিডিতে আক্রান্ত হয়েছেন এবং ৫টি বাচ্চাকে তাদের বাবার কাছে রেখে গেছেন। প্রায়শই আমার শৈশব ছিল নরক, শুধু বাবার সাথে থাকা সময়টুকু ছাড়া। তিনি একজন দেবদূত! আমার পরিবারের মধ্যে আমি সবচেয়ে ছোট, এখন ২১ বছর। আমার ম্যাডামের সাথে কী ঘটেছিল তা আমি কখনও কারও সাথে বলিনি, যখন লোকেরা জিজ্ঞাসা করতো তিনি কোথায় আছেন, আমি ছুটির দিনে বলেছিলাম! তাছাড়া, আমি সাহসী মুখ দেখাতাম। আর আমি এটা করতেও ভালো ছিলাম! আমি আমার জীবনে অনেক বোকামি করেছি, আমস্টারডামে থাকার পর আমার ভাইয়ের সাথে গাড়ি চালিয়ে বাড়ি ফিরতে গিয়ে ডিইউআই করেছি। পুলিশে চাকরি করার আকাঙ্ক্ষা থাকায় এটা আমাকে একটু বিরক্ত করেছিল। তারপর থেকে আমি কলেজে খুব পার্টি করেছি! আমি আরও বেশি ব্যবহৃত ওষুধ পান করতাম, এবং আমি এটি পছন্দ করতাম, তবে এটি মাত্র ৪ সপ্তাহ স্থায়ী হয়েছিল! MDMA করার পর ঘুম থেকে উঠে আমার প্রচণ্ড প্যানিক অ্যাটাক হয়েছিল #হ্যাঁ। আমি ভাবছিলাম আমি মারা যাচ্ছি এবং ভোর ৫ টায় ঠান্ডা রান্নাঘরের মেঝেতে শুয়ে পড়ার পর আমি শুধু আমার বাবা এবং কীভাবে আমি তাকে হতাশ করেছিলাম, সবকিছুর মাঝে শুধু আমার কথাই ভাবতে পারি। ৩ মাস পর আমি উদ্বেগ, প্যানিক অ্যাটাক ইত্যাদিতে খুব বেশি ভুগছি। প্যানিক অ্যাটাক কিছুটা বন্ধ হয়ে গেছে, কিন্তু আমি ক্রমাগত ভয়ে ভুগছি এবং উদ্বেগ - এবং এর লক্ষণগুলি নিয়ে চাপে আছি। এটা আমার কাছে একেবারেই নতুন! উদ্বেগের লক্ষণ (অদ্ভুত দৃষ্টি/মাথাব্যথা/গিলতে না পারা/হৃদস্পন্দন/এই উপলব্ধি) আমি ডাবলিনে একজন লোকের সাথে দেখা করতে শুরু করেছি, সে একজন সামগ্রিক থেরাপিস্ট। আমি আবার সুস্থ বোধ করার জন্য যে সমস্ত উপায় চেষ্টা করেছি তার তুলনায় সে অনেক সাহায্য করেছে। সে বিশ্বাস করে যে এটি এখন আমি যে সমস্ত আঘাতের সম্মুখীন হয়েছি তা বেরিয়ে আসছে, এবং আমার কোনও মানসিক ব্যাধি ইত্যাদি নেই বরং একটি আবেগগত! আমার স্বস্তির জন্য। আমি সাধারণত খুব খেলাধুলাপ্রিয় এবং বহির্মুখী, কিন্তু এখন আমি কলেজ স্থগিত করেছি এবং কাজ করা বন্ধ করে দিয়েছি। আজ পর্যন্ত নিজেকে এতটাই বিচ্ছিন্ন করে ফেলেছি যে, আমি আর সেখান থেকে ফিরে আসতে পারছি না। ক্রমাগত ভয় আমাকে সত্যিই আত্মহত্যা করতে বাধ্য করছে। সেইজন্যই আজ রাতের এই রাতটা লিখছি, আমার জীবনের সবচেয়ে খারাপ রাত, গত এক সপ্তাহ ধরে আমি আমার মৃত্যুর পরিকল্পনা করছি। বাবার জন্য টাকা জোগাড় করছি এবং চিঠি লিখছি। এটা বন্ধ করা দরকার, আমি জানি এটা পরিবর্তন করার ক্ষমতা আমার আছে, কিন্তু সাহস বা শক্তি আমার নেই। আমি শুধু কাঁদছি। আমি খুব একা। তাছাড়া, আমি খুব ভয় পাচ্ছি। তাছাড়া, আমি এতটাই হারিয়ে গেছি যে আমি শুধু ভালোবাসা পেতে চাই। তাছাড়া, আমি চাই আমার এমন একজন মা থাকুক যাকে আমি এখন আগের চেয়েও বেশি ভালোবাসতে পারতাম। তাছাড়া, আমি আমার জীবন ফিরে পেতে চাই। পড়ার জন্য ধন্যবাদ। বিদায়।</v>
      </c>
    </row>
    <row r="2960" spans="1:3" ht="15" x14ac:dyDescent="0.25">
      <c r="A2960" s="3" t="s">
        <v>2953</v>
      </c>
      <c r="B2960" s="3" t="s">
        <v>1992</v>
      </c>
      <c r="C2960" s="4" t="str">
        <f ca="1">IFERROR(__xludf.DUMMYFUNCTION("GOOGLETRANSLATE(A2960, ""auto"", ""bn"")"),"আমি জানি না কিভাবে আমি এই পরিস্থিতি থেকে বেরিয়ে আসবো। কিশোর বয়স থেকেই আমি কমবেশি উদ্বেগে ভুগছি। মাঝে মাঝে আমার উদ্বেগ (অর্থাৎ সামাজিক উদ্বেগ) সহনীয় হয়ে উঠেছে এবং আমি জীবনের বিভিন্ন ধরণের উদ্বেগ এবং ভয়ঙ্কর ঘটনাগুলির মধ্য দিয়ে কোনওভাবে এগিয়ে যেতে পের"&amp;"েছি। এটি সহজ ছিল না এবং এর কারণে আমি অন্যদের মতো দ্রুত পড়াশোনায় এগিয়ে যেতে পারিনি। প্রায় দুই বছর আগে আমার জীবনে বড় পরিবর্তন এসেছিল যা আমার উদ্বেগকে আগুনে পুড়িয়ে দেয়। আমার GAD, সামাজিক ভয় এবং বিষণ্ণতা ধরা পড়ে। তখন থেকে বিশ্ববিদ্যালয়ে আমার পড়াশো"&amp;"না বেশিরভাগ সময় অবসর সময়ে হয়েছে। এবং আমি ছিন্নভিন্ন বোধ করি। আমার স্নাতক হওয়ার জন্য আমার কেবল স্নাতকোত্তর থিসিস করতে হবে এবং আমি যতটা সম্ভব এটি করার চেষ্টা করেছি। যদিও আমার মনে হয় আমার আইকিউ কমে গেছে কারণ আজকাল আমার মনোযোগ দিতে, জিনিস মনে রাখতে সমস্য"&amp;"া হয় এবং আমার বেশিরভাগ সময় উদ্বিগ্ন থাকতে হয়। আমি আরও ভয় পাই যে স্নাতক হতে হলে আমাকে 6 মাসের মধ্যে তিনটি মৌখিক উপস্থাপনা দিতে হবে। মনে হচ্ছে আমি কঠিন এবং কঠিন অবস্থানের মধ্যে আছি। আরও লক্ষ লক্ষ জিনিস নিয়ে আমার অনেক উদ্বেগ আছে। আমি জানি না আমি কীভাবে "&amp;"আমার পড়াশোনা... এবং জীবন যাপন করবো। আমি নিশ্চিত নই কেন আমি এখানে এটা লিখলাম। হয়তো আমিও একই রকম অভিজ্ঞতার কথা শুনতে আগ্রহী, জানি না। আর ব্যাকরণগত ভুল ইত্যাদির জন্য দুঃখিত। ইংরেজি আমার মাতৃভাষা নয়। পড়ার জন্য ধন্যবাদ এবং তোমাদের সকলকে আগামী সপ্তাহের শুভক"&amp;"ামনা জানাচ্ছি!")</f>
        <v>আমি জানি না কিভাবে আমি এই পরিস্থিতি থেকে বেরিয়ে আসবো। কিশোর বয়স থেকেই আমি কমবেশি উদ্বেগে ভুগছি। মাঝে মাঝে আমার উদ্বেগ (অর্থাৎ সামাজিক উদ্বেগ) সহনীয় হয়ে উঠেছে এবং আমি জীবনের বিভিন্ন ধরণের উদ্বেগ এবং ভয়ঙ্কর ঘটনাগুলির মধ্য দিয়ে কোনওভাবে এগিয়ে যেতে পেরেছি। এটি সহজ ছিল না এবং এর কারণে আমি অন্যদের মতো দ্রুত পড়াশোনায় এগিয়ে যেতে পারিনি। প্রায় দুই বছর আগে আমার জীবনে বড় পরিবর্তন এসেছিল যা আমার উদ্বেগকে আগুনে পুড়িয়ে দেয়। আমার GAD, সামাজিক ভয় এবং বিষণ্ণতা ধরা পড়ে। তখন থেকে বিশ্ববিদ্যালয়ে আমার পড়াশোনা বেশিরভাগ সময় অবসর সময়ে হয়েছে। এবং আমি ছিন্নভিন্ন বোধ করি। আমার স্নাতক হওয়ার জন্য আমার কেবল স্নাতকোত্তর থিসিস করতে হবে এবং আমি যতটা সম্ভব এটি করার চেষ্টা করেছি। যদিও আমার মনে হয় আমার আইকিউ কমে গেছে কারণ আজকাল আমার মনোযোগ দিতে, জিনিস মনে রাখতে সমস্যা হয় এবং আমার বেশিরভাগ সময় উদ্বিগ্ন থাকতে হয়। আমি আরও ভয় পাই যে স্নাতক হতে হলে আমাকে 6 মাসের মধ্যে তিনটি মৌখিক উপস্থাপনা দিতে হবে। মনে হচ্ছে আমি কঠিন এবং কঠিন অবস্থানের মধ্যে আছি। আরও লক্ষ লক্ষ জিনিস নিয়ে আমার অনেক উদ্বেগ আছে। আমি জানি না আমি কীভাবে আমার পড়াশোনা... এবং জীবন যাপন করবো। আমি নিশ্চিত নই কেন আমি এখানে এটা লিখলাম। হয়তো আমিও একই রকম অভিজ্ঞতার কথা শুনতে আগ্রহী, জানি না। আর ব্যাকরণগত ভুল ইত্যাদির জন্য দুঃখিত। ইংরেজি আমার মাতৃভাষা নয়। পড়ার জন্য ধন্যবাদ এবং তোমাদের সকলকে আগামী সপ্তাহের শুভকামনা জানাচ্ছি!</v>
      </c>
    </row>
    <row r="2961" spans="1:3" ht="15" x14ac:dyDescent="0.25">
      <c r="A2961" s="3" t="s">
        <v>2954</v>
      </c>
      <c r="B2961" s="3" t="s">
        <v>1992</v>
      </c>
      <c r="C2961" s="4" t="str">
        <f ca="1">IFERROR(__xludf.DUMMYFUNCTION("GOOGLETRANSLATE(A2961, ""auto"", ""bn"")"),"প্রেমিকের কাছে সম্পর্কের উদ্বেগ প্রকাশ করার জন্য কোন পরামর্শ? প্রায় ছয় মাস হল প্রথম বাস্তব প্রাপ্তবয়স্ক LTR এবং আমি মোটামুটি নিশ্চিত যে সেই সেই ব্যক্তি এবং এটাই হল। আমরা খুব একই রকম মানুষ কিন্তু অবশ্যই আমাদের মধ্যে পার্থক্য আছে এবং আমার মনে হয় না যে স"&amp;"ে স্বাভাবিকভাবেই বুঝতে পারে তা হল আমার উদ্বেগ। আমি সম্পর্কের ক্ষেত্রে নিরাপদ বোধ করি, কিছু দিন ছাড়া, কেবল একটি ছোট্ট মন্তব্য বা দৃষ্টিভঙ্গি (যেমন আমি যা বলি তাতে চোখ বড় করে দেখা বা পরের দিন আমাকে না দেখার জন্য মজা করা - প্রায় এমন কিছু যা পুরোপুরি প্রিন"&amp;"্স চার্মিং নয়) এবং আমি ঘুরে বেড়াই। কমপক্ষে 48-72 ঘন্টা এটি একটি ক্লান্তিকর, বমি বমি ভাব এবং আবেগপ্রবণ। সে আমাকে পছন্দ করে না, সে আমাকে ছেড়ে যেতে চায়, সে সিদ্ধান্ত নিয়েছে যে আমি ঠিক নই। ওহ, আমি কখনই আমার মতো ভালোবাসা পাব না, কারণ সম্পর্কটি মরে যাচ্ছে."&amp;".. ইত্যাদি। Â (বিরাম চিহ্নের অভাব সম্পূর্ণরূপে নাটকীয় প্রভাবের জন্য ছিল, হা হা)। আমি গুগলে খুঁজছি, ব্লগ পড়ছি, নিজের সাথে কথা বলছি, আর চিন্তাভাবনা শান্ত করার চেষ্টা করছি যতক্ষণ না সে কিছু মিষ্টি কথা বলে এবং আমার মন ভালো হয়ে যায়। আমি তার সাথে এই বিষয়ে"&amp;" কিছুটা শেয়ার করেছি কিন্তু ঘটনাটি জানার পর। তাছাড়া, আমার ভয় হচ্ছে যে সে আমার আশ্বাসের প্রয়োজনীয়তাকে সমালোচনা হিসেবে দেখবে যে সে যথেষ্ট করছে না, এবং আমি ভালো করেই জানি যে সমস্যাটি তার চেয়ে আমার মধ্যেই বেশি। তাই আমি একাই এটি মোকাবেলা করি, কিন্তু আমি এ"&amp;"টা ঘৃণা করি। অন্য কেউ কি আত্ম-সহায়তা এবং সঙ্গীর উপর নির্ভরতার মধ্যে ভালো ভারসাম্য বজায় রাখতে পেরেছে? এই সর্পিল অবস্থায় কোন টিপস আছে? এটি আমার পুরো দিনটি গ্রাস করছে এবং এই অনুভূতিটি আবার না আসা থেকে আমাকে আরও সক্রিয় হতে হবে।")</f>
        <v>প্রেমিকের কাছে সম্পর্কের উদ্বেগ প্রকাশ করার জন্য কোন পরামর্শ? প্রায় ছয় মাস হল প্রথম বাস্তব প্রাপ্তবয়স্ক LTR এবং আমি মোটামুটি নিশ্চিত যে সেই সেই ব্যক্তি এবং এটাই হল। আমরা খুব একই রকম মানুষ কিন্তু অবশ্যই আমাদের মধ্যে পার্থক্য আছে এবং আমার মনে হয় না যে সে স্বাভাবিকভাবেই বুঝতে পারে তা হল আমার উদ্বেগ। আমি সম্পর্কের ক্ষেত্রে নিরাপদ বোধ করি, কিছু দিন ছাড়া, কেবল একটি ছোট্ট মন্তব্য বা দৃষ্টিভঙ্গি (যেমন আমি যা বলি তাতে চোখ বড় করে দেখা বা পরের দিন আমাকে না দেখার জন্য মজা করা - প্রায় এমন কিছু যা পুরোপুরি প্রিন্স চার্মিং নয়) এবং আমি ঘুরে বেড়াই। কমপক্ষে 48-72 ঘন্টা এটি একটি ক্লান্তিকর, বমি বমি ভাব এবং আবেগপ্রবণ। সে আমাকে পছন্দ করে না, সে আমাকে ছেড়ে যেতে চায়, সে সিদ্ধান্ত নিয়েছে যে আমি ঠিক নই। ওহ, আমি কখনই আমার মতো ভালোবাসা পাব না, কারণ সম্পর্কটি মরে যাচ্ছে... ইত্যাদি। Â (বিরাম চিহ্নের অভাব সম্পূর্ণরূপে নাটকীয় প্রভাবের জন্য ছিল, হা হা)। আমি গুগলে খুঁজছি, ব্লগ পড়ছি, নিজের সাথে কথা বলছি, আর চিন্তাভাবনা শান্ত করার চেষ্টা করছি যতক্ষণ না সে কিছু মিষ্টি কথা বলে এবং আমার মন ভালো হয়ে যায়। আমি তার সাথে এই বিষয়ে কিছুটা শেয়ার করেছি কিন্তু ঘটনাটি জানার পর। তাছাড়া, আমার ভয় হচ্ছে যে সে আমার আশ্বাসের প্রয়োজনীয়তাকে সমালোচনা হিসেবে দেখবে যে সে যথেষ্ট করছে না, এবং আমি ভালো করেই জানি যে সমস্যাটি তার চেয়ে আমার মধ্যেই বেশি। তাই আমি একাই এটি মোকাবেলা করি, কিন্তু আমি এটা ঘৃণা করি। অন্য কেউ কি আত্ম-সহায়তা এবং সঙ্গীর উপর নির্ভরতার মধ্যে ভালো ভারসাম্য বজায় রাখতে পেরেছে? এই সর্পিল অবস্থায় কোন টিপস আছে? এটি আমার পুরো দিনটি গ্রাস করছে এবং এই অনুভূতিটি আবার না আসা থেকে আমাকে আরও সক্রিয় হতে হবে।</v>
      </c>
    </row>
    <row r="2962" spans="1:3" ht="15" x14ac:dyDescent="0.25">
      <c r="A2962" s="3" t="s">
        <v>2955</v>
      </c>
      <c r="B2962" s="3" t="s">
        <v>1992</v>
      </c>
      <c r="C2962" s="4" t="str">
        <f ca="1">IFERROR(__xludf.DUMMYFUNCTION("GOOGLETRANSLATE(A2962, ""auto"", ""bn"")"),"কাজের সাথে সম্পর্কিত... আমি জানি না কী! কিছু পরামর্শের পর। আমি সবসময় চাকরি হারানোর ভয়ে ভুগছি। আমি যাদের সাথে কাজ করি তাদের আর কারোরই এই মানসিকতা নেই এবং যদি কেউ করেও, তারা তা দেখায় না। আমার RAF-তে ক্যারিয়ার ছিল, আমি পেশাগতভাবে একজন বিমান প্রকৌশলী এবং "&amp;"পৃথিবীতে কখনও কোনও যত্ন ছিল না কারণ আমি সবসময় জানতাম যে আমার চাকরি নিরাপদ। যখন আমার সন্তান হয়েছিল তখন আমি চলে গিয়েছিলাম এবং যুক্তরাজ্যের সবচেয়ে বড় কোম্পানিগুলির মধ্যে একটিতে যোগ দিয়েছিলাম। কার্যত প্রথম দিন থেকেই কোম্পানিটি শূন্য এবং হতাশাগ্রস্ত ছিল "&amp;"এবং সমস্ত পুরানো সময়কাররা বলেছে যে এখানে এমনই অবস্থা। কিন্তু ব্রেক্সিট ভোট এবং এখন যা ঘটছে তার পর থেকে আমি এমন একটি পর্যায়ে আছি যেখানে আমি ক্রমাগত উত্তেজিত থাকি। আমি সবসময় হতাশ থাকি, আমি বাইরে যেতে চাই না, আমার অনুভূতি দেখে সত্যিই কাঁদতে ইচ্ছে করে। এটি"&amp;" এমন পর্যায়ে পৌঁছেছে যে এমনকি কাজের সহকর্মীরাও মিক এবং গ্যাংকে আমার পোশাক থেকে শুরু করে আমি কীভাবে কাজ করি তা নিয়ে আলোচনা করে। আমি সবসময় সতর্ক ছিলাম এবং জরুরি অবস্থার জন্য প্রায় 10k ডলারের একটি বৃষ্টির দিনের তহবিল পেয়েছি। একজন কর্মী এই বিষয়টি ছড়িয়ে প"&amp;"ড়েছে। এখন আমি কর্মক্ষেত্রেও মুখ খুলতে পারছি না কারণ কেউ সবসময় এটাকে বিকৃত করে এবং আমি আরও বেশি খারাপ কিছুর জবাব দেই। আমি আমার স্ত্রীর সাথে এই বিষয়ে কথা বলার চেষ্টা করি। কিন্তু আমি আসলে কিছু করতে পারি না কারণ আমার শিফট এবং ছুটি সবসময় পরিবর্তিত হয়। আমি জ"&amp;"ানি এটা আমার কোম্পানির অধীনে, কিন্তু এই অর্থনৈতিক সময়ে চলে যাওয়া আমার মনে হয় আরও খারাপ হবে... অথবা হবে। আমি আমার কর্মজীবনে অগ্রগতি করতে চাই এবং একটি ডিগ্রি শুরু করেছি যা আমি আমার দ্বিতীয় মডিউলে আছি, কিন্তু এটি আবার আমার সময়কে অতিরিক্ত করে তুলেছে, এবং"&amp;" এটি নিয়ে চিন্তা করার আরেকটি বিষয়। তদুপরি, আমি কখনও এই বিষয়ে চিকিৎসা সহায়তা পাইনি এবং আমার মনে হয় A এবং D শব্দ ব্যবহার করার বিষয়ে আমার এখনও একটি কলঙ্ক আছে কারণ এটি এখনও পুরোপুরি বোঝা যায়নি এবং আমার কাজের ধারায় আপনার বিরুদ্ধে ব্যবহার করা যেতে পারে। "&amp;"তদুপরি, আমি মনে করি আমি এই প্ল্যাটফর্মটি ব্যবহার করছি কারণ কর্মক্ষেত্রে কেউ বুঝতে পারে না যে এটি খুব বেশি হতে শুরু করেছে। তদুপরি, আমি একজন দ্বিগুণ আফগানিস্তানের অভিজ্ঞ সৈনিক যে কখনও যুদ্ধের নোংরা দিকটি দেখেনি কিন্তু লোকেরা আশা করে বা মনে করে যে আমি তাই। আ"&amp;"মার পরিবার মেধাবী কিন্তু প্রধান উপার্জনকারী হিসেবে আমি আমার দুশ্চিন্তা তাদের কাছে তুলে দিতে পারি না এবং চাইও না। অন্য চাকরিতে চড়া কি এতে সাহায্য করবে, নাকি আমি অন্য কিছু নিয়ে চিন্তিত হয়ে কম বেতনে আটকে থাকব?")</f>
        <v>কাজের সাথে সম্পর্কিত... আমি জানি না কী! কিছু পরামর্শের পর। আমি সবসময় চাকরি হারানোর ভয়ে ভুগছি। আমি যাদের সাথে কাজ করি তাদের আর কারোরই এই মানসিকতা নেই এবং যদি কেউ করেও, তারা তা দেখায় না। আমার RAF-তে ক্যারিয়ার ছিল, আমি পেশাগতভাবে একজন বিমান প্রকৌশলী এবং পৃথিবীতে কখনও কোনও যত্ন ছিল না কারণ আমি সবসময় জানতাম যে আমার চাকরি নিরাপদ। যখন আমার সন্তান হয়েছিল তখন আমি চলে গিয়েছিলাম এবং যুক্তরাজ্যের সবচেয়ে বড় কোম্পানিগুলির মধ্যে একটিতে যোগ দিয়েছিলাম। কার্যত প্রথম দিন থেকেই কোম্পানিটি শূন্য এবং হতাশাগ্রস্ত ছিল এবং সমস্ত পুরানো সময়কাররা বলেছে যে এখানে এমনই অবস্থা। কিন্তু ব্রেক্সিট ভোট এবং এখন যা ঘটছে তার পর থেকে আমি এমন একটি পর্যায়ে আছি যেখানে আমি ক্রমাগত উত্তেজিত থাকি। আমি সবসময় হতাশ থাকি, আমি বাইরে যেতে চাই না, আমার অনুভূতি দেখে সত্যিই কাঁদতে ইচ্ছে করে। এটি এমন পর্যায়ে পৌঁছেছে যে এমনকি কাজের সহকর্মীরাও মিক এবং গ্যাংকে আমার পোশাক থেকে শুরু করে আমি কীভাবে কাজ করি তা নিয়ে আলোচনা করে। আমি সবসময় সতর্ক ছিলাম এবং জরুরি অবস্থার জন্য প্রায় 10k ডলারের একটি বৃষ্টির দিনের তহবিল পেয়েছি। একজন কর্মী এই বিষয়টি ছড়িয়ে পড়েছে। এখন আমি কর্মক্ষেত্রেও মুখ খুলতে পারছি না কারণ কেউ সবসময় এটাকে বিকৃত করে এবং আমি আরও বেশি খারাপ কিছুর জবাব দেই। আমি আমার স্ত্রীর সাথে এই বিষয়ে কথা বলার চেষ্টা করি। কিন্তু আমি আসলে কিছু করতে পারি না কারণ আমার শিফট এবং ছুটি সবসময় পরিবর্তিত হয়। আমি জানি এটা আমার কোম্পানির অধীনে, কিন্তু এই অর্থনৈতিক সময়ে চলে যাওয়া আমার মনে হয় আরও খারাপ হবে... অথবা হবে। আমি আমার কর্মজীবনে অগ্রগতি করতে চাই এবং একটি ডিগ্রি শুরু করেছি যা আমি আমার দ্বিতীয় মডিউলে আছি, কিন্তু এটি আবার আমার সময়কে অতিরিক্ত করে তুলেছে, এবং এটি নিয়ে চিন্তা করার আরেকটি বিষয়। তদুপরি, আমি কখনও এই বিষয়ে চিকিৎসা সহায়তা পাইনি এবং আমার মনে হয় A এবং D শব্দ ব্যবহার করার বিষয়ে আমার এখনও একটি কলঙ্ক আছে কারণ এটি এখনও পুরোপুরি বোঝা যায়নি এবং আমার কাজের ধারায় আপনার বিরুদ্ধে ব্যবহার করা যেতে পারে। তদুপরি, আমি মনে করি আমি এই প্ল্যাটফর্মটি ব্যবহার করছি কারণ কর্মক্ষেত্রে কেউ বুঝতে পারে না যে এটি খুব বেশি হতে শুরু করেছে। তদুপরি, আমি একজন দ্বিগুণ আফগানিস্তানের অভিজ্ঞ সৈনিক যে কখনও যুদ্ধের নোংরা দিকটি দেখেনি কিন্তু লোকেরা আশা করে বা মনে করে যে আমি তাই। আমার পরিবার মেধাবী কিন্তু প্রধান উপার্জনকারী হিসেবে আমি আমার দুশ্চিন্তা তাদের কাছে তুলে দিতে পারি না এবং চাইও না। অন্য চাকরিতে চড়া কি এতে সাহায্য করবে, নাকি আমি অন্য কিছু নিয়ে চিন্তিত হয়ে কম বেতনে আটকে থাকব?</v>
      </c>
    </row>
    <row r="2963" spans="1:3" ht="15" x14ac:dyDescent="0.25">
      <c r="A2963" s="3" t="s">
        <v>2956</v>
      </c>
      <c r="B2963" s="3" t="s">
        <v>1992</v>
      </c>
      <c r="C2963" s="4" t="str">
        <f ca="1">IFERROR(__xludf.DUMMYFUNCTION("GOOGLETRANSLATE(A2963, ""auto"", ""bn"")"),"দয়া করে আমাকে আতঙ্কিত হওয়া বন্ধ করতে বলো। এই মুহূর্তে আমি হাস্যকর কিছু নিয়ে অসুস্থ, আর আমার এমন কাউকে দরকার যে এটা কতটা হাস্যকর তা আবার প্রমাণ করবে যাতে আমি চিন্তা করা বন্ধ করতে পারি। আমি প্রায় এক মাস ধরে একজনের সাথে ডেটিং করছি - আমরা তাকে জে বলে ডাকি। জে"&amp;" এবং আমি প্রতিদিন অনলাইনে কথা বলি এবং দু-একবার দেখা করেছি, এবং এটা সবসময়ই খুব ভালো লেগেছে। জে সবসময় আমাকে দ্রুত বার্তা পাঠাতে সময় নেয় যখন সে কর্মক্ষেত্রে তার ছুটিতে থাকে, সবসময় শুভ সকাল বলে, ইত্যাদি। আমি লক্ষ্য করেছি যে সময়ের সাথে সাথে আমরা কম কথা ব"&amp;"লছি। আমরা এখনও প্রতিদিন কথা বলি, এবং বেশ কয়েক ঘন্টা ধরে, কিন্তু বার্তাগুলি খুব কম এবং এর মধ্যে অনেক দূরে। আমরা স্ন্যাপচ্যাট ব্যবহার করি তাই এটি অগত্যা খুব খারাপ নয়, এবং যেহেতু আমরা স্ন্যাপ ম্যাপ ব্যবহার করি তাই আমি তার শেষ কার্যকলাপ দেখতে পাচ্ছি (আমি স্"&amp;"টকার নই, আমি কেবল উপেক্ষা করা সম্পর্কে প্রচণ্ড উদ্বেগ বোধ করি)। সে ঘন্টার পর ঘন্টা অ্যাপ না খুলেই থাকে এবং স্পষ্টতই ঠিক আছে, কিন্তু আমার উদ্বেগ আমাকে বলে যে সে আগের মতো আমার সাথে আর কথা বলতে চায় না। আমরা কোনও সম্পর্কের মধ্যে নেই, কিন্তু সে আমাকে বলেছিল য"&amp;"ে সে আমার 'প্রকৃত প্রেমিক' হওয়ার আগে পর্যন্ত একচেটিয়া থাকতে চায়, এবং এই কারণে আমি এই বিরল যোগাযোগকে কেবল 'হানিমুন পর্ব' শেষ হওয়ার সময় হিসাবে ন্যায্যতা দেওয়ার চেষ্টা করেছি - আমরা এখনও একে অপরের প্রতি আগ্রহী, কিন্তু আমাদের আর মেসেজিং নিয়ে OTT হওয়ার "&amp;"দরকার নেই। তাই আমি কয়েক রাত আগে J-এর সাথে দেখা করেছিলাম, এবং কয়েকবার পান করার পর আমি তাকে বলেছিলাম যে আমি চিন্তিত ছিলাম যে সে আমাকে আর পছন্দ করে না। যখন আমি তাকে আমার কারণগুলি বললাম তখন সে হেসে বলল যে আমি বোকামি করছি এবং অবশ্যই সে আমাকে পছন্দ করে এবং আম"&amp;"াকে বারবার দেখতে চায়। সেই মুহুর্তে আমি খুব স্বস্তি পেয়েছিলাম, কিন্তু এখন আমি পুরো পরিস্থিতি সম্পর্কে আবারও ভীত বোধ করছি। আমি জানি এটি সম্ভবত কারণ 2018 সালে আমাকে অনেকবার ভূতের দ্বারা প্রভাবিত করা হয়েছিল, এবং এটি আমাকে অনেক নিরাপত্তাহীনতা দিয়ে ফেলেছে, "&amp;"এবং আমি সবসময় ধরে নিই যে আমার জীবনে যে কেউ আসবে সে কোনও সতর্কতা ছাড়াই চলে যাবে। সবচেয়ে খারাপ দিক হলো, আমাকে প্রায় সবাই বলেছে যে আমার চিন্তার কোনও কারণ নেই - বিশেষ করে জে নিজেই আমাকে আশ্বস্ত করেছেন! আমার এখন সত্যিই একটা আলিঙ্গন দরকার।")</f>
        <v>দয়া করে আমাকে আতঙ্কিত হওয়া বন্ধ করতে বলো। এই মুহূর্তে আমি হাস্যকর কিছু নিয়ে অসুস্থ, আর আমার এমন কাউকে দরকার যে এটা কতটা হাস্যকর তা আবার প্রমাণ করবে যাতে আমি চিন্তা করা বন্ধ করতে পারি। আমি প্রায় এক মাস ধরে একজনের সাথে ডেটিং করছি - আমরা তাকে জে বলে ডাকি। জে এবং আমি প্রতিদিন অনলাইনে কথা বলি এবং দু-একবার দেখা করেছি, এবং এটা সবসময়ই খুব ভালো লেগেছে। জে সবসময় আমাকে দ্রুত বার্তা পাঠাতে সময় নেয় যখন সে কর্মক্ষেত্রে তার ছুটিতে থাকে, সবসময় শুভ সকাল বলে, ইত্যাদি। আমি লক্ষ্য করেছি যে সময়ের সাথে সাথে আমরা কম কথা বলছি। আমরা এখনও প্রতিদিন কথা বলি, এবং বেশ কয়েক ঘন্টা ধরে, কিন্তু বার্তাগুলি খুব কম এবং এর মধ্যে অনেক দূরে। আমরা স্ন্যাপচ্যাট ব্যবহার করি তাই এটি অগত্যা খুব খারাপ নয়, এবং যেহেতু আমরা স্ন্যাপ ম্যাপ ব্যবহার করি তাই আমি তার শেষ কার্যকলাপ দেখতে পাচ্ছি (আমি স্টকার নই, আমি কেবল উপেক্ষা করা সম্পর্কে প্রচণ্ড উদ্বেগ বোধ করি)। সে ঘন্টার পর ঘন্টা অ্যাপ না খুলেই থাকে এবং স্পষ্টতই ঠিক আছে, কিন্তু আমার উদ্বেগ আমাকে বলে যে সে আগের মতো আমার সাথে আর কথা বলতে চায় না। আমরা কোনও সম্পর্কের মধ্যে নেই, কিন্তু সে আমাকে বলেছিল যে সে আমার 'প্রকৃত প্রেমিক' হওয়ার আগে পর্যন্ত একচেটিয়া থাকতে চায়, এবং এই কারণে আমি এই বিরল যোগাযোগকে কেবল 'হানিমুন পর্ব' শেষ হওয়ার সময় হিসাবে ন্যায্যতা দেওয়ার চেষ্টা করেছি - আমরা এখনও একে অপরের প্রতি আগ্রহী, কিন্তু আমাদের আর মেসেজিং নিয়ে OTT হওয়ার দরকার নেই। তাই আমি কয়েক রাত আগে J-এর সাথে দেখা করেছিলাম, এবং কয়েকবার পান করার পর আমি তাকে বলেছিলাম যে আমি চিন্তিত ছিলাম যে সে আমাকে আর পছন্দ করে না। যখন আমি তাকে আমার কারণগুলি বললাম তখন সে হেসে বলল যে আমি বোকামি করছি এবং অবশ্যই সে আমাকে পছন্দ করে এবং আমাকে বারবার দেখতে চায়। সেই মুহুর্তে আমি খুব স্বস্তি পেয়েছিলাম, কিন্তু এখন আমি পুরো পরিস্থিতি সম্পর্কে আবারও ভীত বোধ করছি। আমি জানি এটি সম্ভবত কারণ 2018 সালে আমাকে অনেকবার ভূতের দ্বারা প্রভাবিত করা হয়েছিল, এবং এটি আমাকে অনেক নিরাপত্তাহীনতা দিয়ে ফেলেছে, এবং আমি সবসময় ধরে নিই যে আমার জীবনে যে কেউ আসবে সে কোনও সতর্কতা ছাড়াই চলে যাবে। সবচেয়ে খারাপ দিক হলো, আমাকে প্রায় সবাই বলেছে যে আমার চিন্তার কোনও কারণ নেই - বিশেষ করে জে নিজেই আমাকে আশ্বস্ত করেছেন! আমার এখন সত্যিই একটা আলিঙ্গন দরকার।</v>
      </c>
    </row>
    <row r="2964" spans="1:3" ht="15" x14ac:dyDescent="0.25">
      <c r="A2964" s="3" t="s">
        <v>2957</v>
      </c>
      <c r="B2964" s="3" t="s">
        <v>1992</v>
      </c>
      <c r="C2964" s="4" t="str">
        <f ca="1">IFERROR(__xludf.DUMMYFUNCTION("GOOGLETRANSLATE(A2964, ""auto"", ""bn"")"),"আমার গার্লফ্রেন্ডকে আমার উদ্বেগ এবং বিষণ্ণতা মোকাবেলা করতে কীভাবে সাহায্য করব? শিরোনামে যেমন বলা আছে, আমি ভাবছি কারো কাছে কি আমার গার্লফ্রেন্ডকে ভালো বোধ করা এবং বিষণ্ণতা মোকাবেলা করার জন্য কোন টিপস আছে? আমাদের মধ্যে খুব যোগাযোগমূলক এবং খোলামেলা সম্পর্ক র"&amp;"য়েছে, তাই আমরা ভালো আছি। কিন্তু আমার উদ্বেগ এমন ধরণের যা ধ্রুবক এবং আমার অ্যাপার্টমেন্টের সাথেও গভীরভাবে জড়িত। যখনই আমি কোনও কিছুতে পা রাখি তখনই তা চালু হয়ে যায় এবং আমার খারাপ লাগে। এর ফলে আমার পেশা থেকে দীর্ঘ বিরতির সময় আমি হতাশাগ্রস্ত হয়ে পড়ি কার"&amp;"ণ আমার শরীর অবশেষে মানসিক চাপের কারণে বন্ধ হয়ে যায়। আমার গার্লফ্রেন্ড কখনও এই সমস্যাগুলির সাথে কারও সাথে থাকেনি এবং এটি ব্যক্তিগতভাবে না নেওয়া কঠিন বলে মনে হয়। ""কেন সে আমার চারপাশে উদ্বেগ অনুভব করছে? সে আমার সমস্ত সমস্যা দূর করে দেয়।"" ইত্যাদি চিন্ত"&amp;"াভাবনা সহকারে, তার নিজস্ব উদ্বেগ রয়েছে, যদিও হতাশার পর্যায়ে নয়। গত সপ্তাহটি আমার জন্য মানসিক নরক ছিল। আমার একটি হতাশার আক্রমণ হয়েছিল যার ফলে সম্পূর্ণ মানসিকভাবে বন্ধ হয়ে গিয়েছিল। এটি আমার গার্লফ্রেন্ডের প্রতি ভালোবাসা প্রকাশ করা কঠিন করে তুলেছিল যদি"&amp;"ও আমি জানতাম যে এটি সেখানে রয়েছে। আমি নিজেকে একজন থেরাপিস্টের জন্য অপেক্ষার তালিকায় রেখেছি কিন্তু ততক্ষণ পর্যন্ত আমার জানা দরকার যে অন্যরা তাদের সঙ্গীদের মোকাবেলায় সাহায্য করার জন্য কী করেছে। আমি সবসময় জানি যে আমি আমার বিষণ্ণতার অন্য দিকটি থেকে বেরিয়"&amp;"ে আসতে পারি, কিন্তু এখন আমার যত্ন নেওয়ার জন্য অন্য কেউ আছে, এবং আমি সম্পূর্ণ বন্ধ হয়ে যাওয়ার সাথে সাথে তাকে পথের ধারে পড়ে যেতে দিতে পারি না।")</f>
        <v>আমার গার্লফ্রেন্ডকে আমার উদ্বেগ এবং বিষণ্ণতা মোকাবেলা করতে কীভাবে সাহায্য করব? শিরোনামে যেমন বলা আছে, আমি ভাবছি কারো কাছে কি আমার গার্লফ্রেন্ডকে ভালো বোধ করা এবং বিষণ্ণতা মোকাবেলা করার জন্য কোন টিপস আছে? আমাদের মধ্যে খুব যোগাযোগমূলক এবং খোলামেলা সম্পর্ক রয়েছে, তাই আমরা ভালো আছি। কিন্তু আমার উদ্বেগ এমন ধরণের যা ধ্রুবক এবং আমার অ্যাপার্টমেন্টের সাথেও গভীরভাবে জড়িত। যখনই আমি কোনও কিছুতে পা রাখি তখনই তা চালু হয়ে যায় এবং আমার খারাপ লাগে। এর ফলে আমার পেশা থেকে দীর্ঘ বিরতির সময় আমি হতাশাগ্রস্ত হয়ে পড়ি কারণ আমার শরীর অবশেষে মানসিক চাপের কারণে বন্ধ হয়ে যায়। আমার গার্লফ্রেন্ড কখনও এই সমস্যাগুলির সাথে কারও সাথে থাকেনি এবং এটি ব্যক্তিগতভাবে না নেওয়া কঠিন বলে মনে হয়। "কেন সে আমার চারপাশে উদ্বেগ অনুভব করছে? সে আমার সমস্ত সমস্যা দূর করে দেয়।" ইত্যাদি চিন্তাভাবনা সহকারে, তার নিজস্ব উদ্বেগ রয়েছে, যদিও হতাশার পর্যায়ে নয়। গত সপ্তাহটি আমার জন্য মানসিক নরক ছিল। আমার একটি হতাশার আক্রমণ হয়েছিল যার ফলে সম্পূর্ণ মানসিকভাবে বন্ধ হয়ে গিয়েছিল। এটি আমার গার্লফ্রেন্ডের প্রতি ভালোবাসা প্রকাশ করা কঠিন করে তুলেছিল যদিও আমি জানতাম যে এটি সেখানে রয়েছে। আমি নিজেকে একজন থেরাপিস্টের জন্য অপেক্ষার তালিকায় রেখেছি কিন্তু ততক্ষণ পর্যন্ত আমার জানা দরকার যে অন্যরা তাদের সঙ্গীদের মোকাবেলায় সাহায্য করার জন্য কী করেছে। আমি সবসময় জানি যে আমি আমার বিষণ্ণতার অন্য দিকটি থেকে বেরিয়ে আসতে পারি, কিন্তু এখন আমার যত্ন নেওয়ার জন্য অন্য কেউ আছে, এবং আমি সম্পূর্ণ বন্ধ হয়ে যাওয়ার সাথে সাথে তাকে পথের ধারে পড়ে যেতে দিতে পারি না।</v>
      </c>
    </row>
    <row r="2965" spans="1:3" ht="15" x14ac:dyDescent="0.25">
      <c r="A2965" s="3" t="s">
        <v>2958</v>
      </c>
      <c r="B2965" s="3" t="s">
        <v>1992</v>
      </c>
      <c r="C2965" s="4" t="str">
        <f ca="1">IFERROR(__xludf.DUMMYFUNCTION("GOOGLETRANSLATE(A2965, ""auto"", ""bn"")"),"মনে হচ্ছে আমি ভিক্ষা করছি আমার একটা ভালো চাকরি আছে। আমি সবসময় এটাই চেয়েছিলাম। কিন্তু দেখা যাচ্ছে, এটা আমাকে খুশি করে না এবং প্রায়শই নিজেকে ভাবতে বাধ্য করে: আমি এখানে কী করছি? আমার উদ্বেগের আক্রমণ হয় এবং প্রতি সপ্তাহে একটি খালি ঘরে লুকিয়ে থাকি। আমি জা"&amp;"নি এই প্রতিষ্ঠানে স্থায়ী পদের জন্য আমার কোনও আশা নেই যার অর্থ আমাকে অবশেষে চাকরি পরিবর্তন করতে হবে অথবা আমার কাজের নিরাপত্তাহীনতা এবং স্বীকৃতির অভাবের সাথে বসবাস করতে রাজি হতে হবে। তাছাড়া, আমি কয়েক মাস আগে সিদ্ধান্ত নিয়েছিলাম যে অন্য শিক্ষা স্তরে (আমি "&amp;"শিক্ষা ব্যবস্থায় আছি) আরেকটি চাকরির সুযোগ নেওয়ার চেষ্টা করব কিন্তু এখন, আমি যেখানে থাকি সেখান থেকে খুব বেশি দূরে নয় এমন বিভিন্ন পদে ইতিমধ্যেই কয়েকবার আবেদন করেছি। তাছাড়া, আমি কোনও কলব্যাক পাইনি, এমনকি একটি সাক্ষাৎকারও পাইনি। আমি যে শেষ আবেদনটি করেছি ত"&amp;"া হল সপ্তাহে তিন দিন আমার বাড়ি থেকে প্রায় ৩.৫ ঘন্টা দূরে, এমন একটি এলাকায় যেখানে আমি প্রেমে পড়েছিলাম। সত্যি বলতে, এই চাকরিটি পাওয়া আমার জন্য সবচেয়ে ভালো হবে। আমি সপ্তাহে ৪ দিন এখানে ফিরে আসতে পারি, একটু কাজ করতে পারি, আমার স্বামী এবং সন্তানদের জন্য স"&amp;"প্তাহের জন্য জিনিসপত্র প্রস্তুত করতে পারি এবং আমার নিখুঁত (তবুও আমি আমার পরিবারকে সেখানে স্থানান্তর করতে পারি না) পরিবেশে ৩ দিন কাটাতে পারি, এমন একটি নতুন চাকরি চেষ্টা করে দেখতে পারি যেখানে আমি মনে করি আমি নিখুঁত হতে পারব, সবকিছু ছেড়ে না দিয়ে। আবেদনটি ব"&amp;"ৃহস্পতিবার শেষ হয়, সম্ভবত সোমবার থেকে কাজটি শুরু হবে। আমি মানব সম্পদের মাধ্যমে আবেদন করেছিলাম এবং আমার আবেদনের গুরুত্ব আরও জোরদার করার জন্য বিভাগীয় প্রধানকেও ইমেল করার পরামর্শ দেওয়া হয়েছিল। আমি এখনই সেই ইমেলটি লেখার চেষ্টা করছি, এবং এটি আমার লেখার সবচ"&amp;"েয়ে কঠিন কাজ। তদুপরি, আমি এই চাকরির জন্য উপযুক্ত বা খারাপ চাই! তদুপরি, আমার মনে হয় এটি আমার উদ্বেগ সম্পর্কিত অনেক সমস্যার নিখুঁত সমাধান হবে! এবং আমি চাই সেই ব্যক্তিটি দেখুক যে আমি হয়তো নিখুঁতভাবে প্রশিক্ষিত এবং অভিজ্ঞ কর্মচারী নই, তবে আমি অবশ্যই সবচেয়"&amp;"ে উৎসাহী এবং আমি টেবিলে কিছু আনতে পারি। কিন্তু আমি যা লিখি তা মনে হয় যেন আমি তাদের কাছে আমার জীবন পরিবর্তনের জন্য অনুরোধ করছি। আমি কেবল জানি না কিভাবে নিজেকে বিক্রি করতে হয়, মরিয়া না হয়ে।")</f>
        <v>মনে হচ্ছে আমি ভিক্ষা করছি আমার একটা ভালো চাকরি আছে। আমি সবসময় এটাই চেয়েছিলাম। কিন্তু দেখা যাচ্ছে, এটা আমাকে খুশি করে না এবং প্রায়শই নিজেকে ভাবতে বাধ্য করে: আমি এখানে কী করছি? আমার উদ্বেগের আক্রমণ হয় এবং প্রতি সপ্তাহে একটি খালি ঘরে লুকিয়ে থাকি। আমি জানি এই প্রতিষ্ঠানে স্থায়ী পদের জন্য আমার কোনও আশা নেই যার অর্থ আমাকে অবশেষে চাকরি পরিবর্তন করতে হবে অথবা আমার কাজের নিরাপত্তাহীনতা এবং স্বীকৃতির অভাবের সাথে বসবাস করতে রাজি হতে হবে। তাছাড়া, আমি কয়েক মাস আগে সিদ্ধান্ত নিয়েছিলাম যে অন্য শিক্ষা স্তরে (আমি শিক্ষা ব্যবস্থায় আছি) আরেকটি চাকরির সুযোগ নেওয়ার চেষ্টা করব কিন্তু এখন, আমি যেখানে থাকি সেখান থেকে খুব বেশি দূরে নয় এমন বিভিন্ন পদে ইতিমধ্যেই কয়েকবার আবেদন করেছি। তাছাড়া, আমি কোনও কলব্যাক পাইনি, এমনকি একটি সাক্ষাৎকারও পাইনি। আমি যে শেষ আবেদনটি করেছি তা হল সপ্তাহে তিন দিন আমার বাড়ি থেকে প্রায় ৩.৫ ঘন্টা দূরে, এমন একটি এলাকায় যেখানে আমি প্রেমে পড়েছিলাম। সত্যি বলতে, এই চাকরিটি পাওয়া আমার জন্য সবচেয়ে ভালো হবে। আমি সপ্তাহে ৪ দিন এখানে ফিরে আসতে পারি, একটু কাজ করতে পারি, আমার স্বামী এবং সন্তানদের জন্য সপ্তাহের জন্য জিনিসপত্র প্রস্তুত করতে পারি এবং আমার নিখুঁত (তবুও আমি আমার পরিবারকে সেখানে স্থানান্তর করতে পারি না) পরিবেশে ৩ দিন কাটাতে পারি, এমন একটি নতুন চাকরি চেষ্টা করে দেখতে পারি যেখানে আমি মনে করি আমি নিখুঁত হতে পারব, সবকিছু ছেড়ে না দিয়ে। আবেদনটি বৃহস্পতিবার শেষ হয়, সম্ভবত সোমবার থেকে কাজটি শুরু হবে। আমি মানব সম্পদের মাধ্যমে আবেদন করেছিলাম এবং আমার আবেদনের গুরুত্ব আরও জোরদার করার জন্য বিভাগীয় প্রধানকেও ইমেল করার পরামর্শ দেওয়া হয়েছিল। আমি এখনই সেই ইমেলটি লেখার চেষ্টা করছি, এবং এটি আমার লেখার সবচেয়ে কঠিন কাজ। তদুপরি, আমি এই চাকরির জন্য উপযুক্ত বা খারাপ চাই! তদুপরি, আমার মনে হয় এটি আমার উদ্বেগ সম্পর্কিত অনেক সমস্যার নিখুঁত সমাধান হবে! এবং আমি চাই সেই ব্যক্তিটি দেখুক যে আমি হয়তো নিখুঁতভাবে প্রশিক্ষিত এবং অভিজ্ঞ কর্মচারী নই, তবে আমি অবশ্যই সবচেয়ে উৎসাহী এবং আমি টেবিলে কিছু আনতে পারি। কিন্তু আমি যা লিখি তা মনে হয় যেন আমি তাদের কাছে আমার জীবন পরিবর্তনের জন্য অনুরোধ করছি। আমি কেবল জানি না কিভাবে নিজেকে বিক্রি করতে হয়, মরিয়া না হয়ে।</v>
      </c>
    </row>
    <row r="2966" spans="1:3" ht="15" x14ac:dyDescent="0.25">
      <c r="A2966" s="3" t="s">
        <v>2959</v>
      </c>
      <c r="B2966" s="3" t="s">
        <v>1992</v>
      </c>
      <c r="C2966" s="4" t="str">
        <f ca="1">IFERROR(__xludf.DUMMYFUNCTION("GOOGLETRANSLATE(A2966, ""auto"", ""bn"")"),"বাবা হতে চলেছি! ২৩ বছর বয়সে আমার প্রথম সন্তান হচ্ছে, আমি খুব উত্তেজিত, শুধু একটু নার্ভাস যে আমার উদ্বেগ বাবা হিসেবে আমার আচরণে হস্তক্ষেপ করবে। আমার উদ্বেগ মূলত সামাজিক, আমার ঘুম কম হয় এবং যখন পরিস্থিতি স্বাভাবিক নয় তখন প্রচণ্ড পেট ব্যথা হয়। আমি জানি স"&amp;"ন্তান ধারণের ক্ষেত্রে আসলে কোনও রুটিন নেই, আমি এখনও আমার বাবা-মাকে বলিনি, তারা কীভাবে প্রতিক্রিয়া জানাবেন তা নিশ্চিত নই। কেউ যদি একই রকম পরিস্থিতিতে পড়ে থাকেন তবে কেবল কিছু পরামর্শ চাইছি। আশা করছি সন্তান জন্মদান উদ্বেগ কমাতে সাহায্য করবে, কিন্তু আমি সত্"&amp;"যিই নিশ্চিত নই।")</f>
        <v>বাবা হতে চলেছি! ২৩ বছর বয়সে আমার প্রথম সন্তান হচ্ছে, আমি খুব উত্তেজিত, শুধু একটু নার্ভাস যে আমার উদ্বেগ বাবা হিসেবে আমার আচরণে হস্তক্ষেপ করবে। আমার উদ্বেগ মূলত সামাজিক, আমার ঘুম কম হয় এবং যখন পরিস্থিতি স্বাভাবিক নয় তখন প্রচণ্ড পেট ব্যথা হয়। আমি জানি সন্তান ধারণের ক্ষেত্রে আসলে কোনও রুটিন নেই, আমি এখনও আমার বাবা-মাকে বলিনি, তারা কীভাবে প্রতিক্রিয়া জানাবেন তা নিশ্চিত নই। কেউ যদি একই রকম পরিস্থিতিতে পড়ে থাকেন তবে কেবল কিছু পরামর্শ চাইছি। আশা করছি সন্তান জন্মদান উদ্বেগ কমাতে সাহায্য করবে, কিন্তু আমি সত্যিই নিশ্চিত নই।</v>
      </c>
    </row>
    <row r="2967" spans="1:3" ht="15" x14ac:dyDescent="0.25">
      <c r="A2967" s="3" t="s">
        <v>2960</v>
      </c>
      <c r="B2967" s="3" t="s">
        <v>1992</v>
      </c>
      <c r="C2967" s="4" t="str">
        <f ca="1">IFERROR(__xludf.DUMMYFUNCTION("GOOGLETRANSLATE(A2967, ""auto"", ""bn"")"),"প্রতি রাতে ঘুমাতে কষ্ট হচ্ছে। ঘুমাতে যাওয়ার চেষ্টা করার সময়ই আমার মাথা ঘুরপাক খায়, আর এটা এতটাই হাতের বাইরে চলে যায় যে আমাকে আক্ষরিক অর্থেই ক্লান্ত হতে হয় (সাধারণত ইউটিউবের বিভিন্ন গর্তে পড়ে যাওয়ার ফলে) যে ঘুম ভেঙে যায়। এর মানে হল, পরের দিন সকালে যত তাড়া"&amp;"তাড়ি বা দেরিতেই ঘুম থেকে উঠতে হয় না কেন, সাধারণত ভোর ৪-৬টার দিকে আমার ঘুম ভেঙে যায়। আমি এই সমস্যায় খুব বিরক্ত, তাই যদি কারোরও একই সমস্যা থাকে, তাহলে তুমি কীভাবে মোকাবেলা করতে পারো?")</f>
        <v>প্রতি রাতে ঘুমাতে কষ্ট হচ্ছে। ঘুমাতে যাওয়ার চেষ্টা করার সময়ই আমার মাথা ঘুরপাক খায়, আর এটা এতটাই হাতের বাইরে চলে যায় যে আমাকে আক্ষরিক অর্থেই ক্লান্ত হতে হয় (সাধারণত ইউটিউবের বিভিন্ন গর্তে পড়ে যাওয়ার ফলে) যে ঘুম ভেঙে যায়। এর মানে হল, পরের দিন সকালে যত তাড়াতাড়ি বা দেরিতেই ঘুম থেকে উঠতে হয় না কেন, সাধারণত ভোর ৪-৬টার দিকে আমার ঘুম ভেঙে যায়। আমি এই সমস্যায় খুব বিরক্ত, তাই যদি কারোরও একই সমস্যা থাকে, তাহলে তুমি কীভাবে মোকাবেলা করতে পারো?</v>
      </c>
    </row>
    <row r="2968" spans="1:3" ht="15" x14ac:dyDescent="0.25">
      <c r="A2968" s="3" t="s">
        <v>2961</v>
      </c>
      <c r="B2968" s="3" t="s">
        <v>1992</v>
      </c>
      <c r="C2968" s="4" t="str">
        <f ca="1">IFERROR(__xludf.DUMMYFUNCTION("GOOGLETRANSLATE(A2968, ""auto"", ""bn"")"),"প্যারানয়া আমাকে অসুস্থ করে তোলে হাই! আমি খুব বেশি পোস্ট করি না তাই দয়া করে আমার সাথে সহ্য করুন। গত কয়েক বছর ধরে আমি মাঝেমধ্যেই মানসিক চাপ, উদ্বেগ এবং প্যারানয়ায় ভুগছি। সৌভাগ্যক্রমে এখন মানসিক চাপ এবং উদ্বেগ সামলে নেওয়া যায়। কিন্তু প্যারানয়া আরও খারাপ হচ্ছ"&amp;"ে বলে মনে হচ্ছে। আমার এক বছরের এক প্রেমিক আছে যে সম্পূর্ণ বিশ্বস্ত এবং কখনও এমন কিছু করেনি যার ফলে আমি তাকে খারাপ ভাবি। কিন্তু যখনই সে বাইরে যায়, তখন আমি পুরোপুরি আতঙ্কিত না হয়ে পারি না যে কিছু একটা ঘটবে। আমি তাকে বাইরে যেতে ভয় পাই এবং যখন সে বাইরে যায়,"&amp;" তখন আমি সারা রাত এমনকি পরের দিনের জন্যও চরম উদ্বিগ্ন বোধ করি। আমি অতীতের মতো নিজেকে ছোট করে বলার চেষ্টা করি, কিন্তু তাতেও কোনও লাভ হয় না। তাছাড়া, আমি চাই সে তার বন্ধুদের সাথে একা বাইরে যেতে পারুক এবং ভাবুক যে আমি এটা পছন্দ করি না। তাছাড়া, যখন সে বাইরে "&amp;"থাকে তখন আমি স্বাচ্ছন্দ্য বোধ করতে চাই এবং ক্রমাগত চিন্তা না করি। যদিও সে কোনও ভুল করেনি তবুও উদ্বেগ প্রায়শই তার উপর রাগে পরিণত হয়। যেকোনো পরামর্শের জন্য আমি কৃতজ্ঞ।")</f>
        <v>প্যারানয়া আমাকে অসুস্থ করে তোলে হাই! আমি খুব বেশি পোস্ট করি না তাই দয়া করে আমার সাথে সহ্য করুন। গত কয়েক বছর ধরে আমি মাঝেমধ্যেই মানসিক চাপ, উদ্বেগ এবং প্যারানয়ায় ভুগছি। সৌভাগ্যক্রমে এখন মানসিক চাপ এবং উদ্বেগ সামলে নেওয়া যায়। কিন্তু প্যারানয়া আরও খারাপ হচ্ছে বলে মনে হচ্ছে। আমার এক বছরের এক প্রেমিক আছে যে সম্পূর্ণ বিশ্বস্ত এবং কখনও এমন কিছু করেনি যার ফলে আমি তাকে খারাপ ভাবি। কিন্তু যখনই সে বাইরে যায়, তখন আমি পুরোপুরি আতঙ্কিত না হয়ে পারি না যে কিছু একটা ঘটবে। আমি তাকে বাইরে যেতে ভয় পাই এবং যখন সে বাইরে যায়, তখন আমি সারা রাত এমনকি পরের দিনের জন্যও চরম উদ্বিগ্ন বোধ করি। আমি অতীতের মতো নিজেকে ছোট করে বলার চেষ্টা করি, কিন্তু তাতেও কোনও লাভ হয় না। তাছাড়া, আমি চাই সে তার বন্ধুদের সাথে একা বাইরে যেতে পারুক এবং ভাবুক যে আমি এটা পছন্দ করি না। তাছাড়া, যখন সে বাইরে থাকে তখন আমি স্বাচ্ছন্দ্য বোধ করতে চাই এবং ক্রমাগত চিন্তা না করি। যদিও সে কোনও ভুল করেনি তবুও উদ্বেগ প্রায়শই তার উপর রাগে পরিণত হয়। যেকোনো পরামর্শের জন্য আমি কৃতজ্ঞ।</v>
      </c>
    </row>
    <row r="2969" spans="1:3" ht="15" x14ac:dyDescent="0.25">
      <c r="A2969" s="3" t="s">
        <v>2962</v>
      </c>
      <c r="B2969" s="3" t="s">
        <v>1992</v>
      </c>
      <c r="C2969" s="4" t="str">
        <f ca="1">IFERROR(__xludf.DUMMYFUNCTION("GOOGLETRANSLATE(A2969, ""auto"", ""bn"")"),"মাঝে মাঝে আমার বয়ফ্রেন্ড আমাকে উদ্বিগ্ন পরিস্থিতিতে ফেলে দেয়। আজ ফোনে আমি আর আমার বয়ফ্রেন্ড তর্ক করছিলাম, আর আমি বললাম আমি আর ঝগড়া করতে চাই না, আর আমরা কি অন্য কিছু নিয়ে কথা বলতে পারি। হঠাৎ করেই সে বলে, ঠিক আছে, কিন্তু আমার কিছু বিষয় নিয়ে আমি তর্ক "&amp;"করতে চাই, কিন্তু এখন নয়। প্রথমত, সে কখনও আমার সাথে তর্ক করে না। সে কখনও আমাদের সম্পর্কের কোনও সমস্যা প্রকাশ করেনি, আমিই করি এবং সেগুলি সমাধান করার চেষ্টা করি। সে প্রায়শই জিনিসগুলি গোপন করে। সে যেন এটা বলে এবং তারপর আমাকে না বলে যে সে আমার উদ্বেগের সম্পূ"&amp;"র্ণ সেট নিয়ে কী নিয়ে তর্ক করতে চায়। তুমি জানো যে যখন এটি আসতে শুরু করে তখন পুরো শরীরে ঝিঁঝিঁ পোকার অনুভূতি হয়। হ্যাঁ। এবং তারপর আমি কাঁদতে শুরু করি। এবং সে জিজ্ঞাসা করে কী সমস্যা। এবং আমি বলেছিলাম তুমি জানো কী সমস্যা। আমি তাকে জিজ্ঞাসা করেছিলাম যে সবক"&amp;"িছু ঠিক আছে কিনা এবং সে আমার উপর রাগ করেছে কিনা। এবং সে বলেছিল যে এটা ছিল এবং সে ছিল না। কিন্তু আমি কীভাবে তাকে বিশ্বাস করব? হয়তো সে এখন এতে জড়াতে চায় না। আমি ভাবছি যে সে কী নিয়ে তর্ক করতে চাইবে। আমি কী ভুল করেছি, ইত্যাদি। সে জানে আমি কতটা উদ্বিগ্ন, এ"&amp;"বং আমি এমন কিছু বলতে চাই যা সে জানত যে এটি উত্তেজনা সৃষ্টি করবে। এবং সে বিশেষভাবে আশ্বস্তও করছিল না। উফ। আমি জানি না কিভাবে আমার উদ্বেগ নিয়ন্ত্রণে আনব যখন আমি জানি না এটি কী সম্পর্কে।")</f>
        <v>মাঝে মাঝে আমার বয়ফ্রেন্ড আমাকে উদ্বিগ্ন পরিস্থিতিতে ফেলে দেয়। আজ ফোনে আমি আর আমার বয়ফ্রেন্ড তর্ক করছিলাম, আর আমি বললাম আমি আর ঝগড়া করতে চাই না, আর আমরা কি অন্য কিছু নিয়ে কথা বলতে পারি। হঠাৎ করেই সে বলে, ঠিক আছে, কিন্তু আমার কিছু বিষয় নিয়ে আমি তর্ক করতে চাই, কিন্তু এখন নয়। প্রথমত, সে কখনও আমার সাথে তর্ক করে না। সে কখনও আমাদের সম্পর্কের কোনও সমস্যা প্রকাশ করেনি, আমিই করি এবং সেগুলি সমাধান করার চেষ্টা করি। সে প্রায়শই জিনিসগুলি গোপন করে। সে যেন এটা বলে এবং তারপর আমাকে না বলে যে সে আমার উদ্বেগের সম্পূর্ণ সেট নিয়ে কী নিয়ে তর্ক করতে চায়। তুমি জানো যে যখন এটি আসতে শুরু করে তখন পুরো শরীরে ঝিঁঝিঁ পোকার অনুভূতি হয়। হ্যাঁ। এবং তারপর আমি কাঁদতে শুরু করি। এবং সে জিজ্ঞাসা করে কী সমস্যা। এবং আমি বলেছিলাম তুমি জানো কী সমস্যা। আমি তাকে জিজ্ঞাসা করেছিলাম যে সবকিছু ঠিক আছে কিনা এবং সে আমার উপর রাগ করেছে কিনা। এবং সে বলেছিল যে এটা ছিল এবং সে ছিল না। কিন্তু আমি কীভাবে তাকে বিশ্বাস করব? হয়তো সে এখন এতে জড়াতে চায় না। আমি ভাবছি যে সে কী নিয়ে তর্ক করতে চাইবে। আমি কী ভুল করেছি, ইত্যাদি। সে জানে আমি কতটা উদ্বিগ্ন, এবং আমি এমন কিছু বলতে চাই যা সে জানত যে এটি উত্তেজনা সৃষ্টি করবে। এবং সে বিশেষভাবে আশ্বস্তও করছিল না। উফ। আমি জানি না কিভাবে আমার উদ্বেগ নিয়ন্ত্রণে আনব যখন আমি জানি না এটি কী সম্পর্কে।</v>
      </c>
    </row>
    <row r="2970" spans="1:3" ht="15" x14ac:dyDescent="0.25">
      <c r="A2970" s="3" t="s">
        <v>2963</v>
      </c>
      <c r="B2970" s="3" t="s">
        <v>1992</v>
      </c>
      <c r="C2970" s="4" t="str">
        <f ca="1">IFERROR(__xludf.DUMMYFUNCTION("GOOGLETRANSLATE(A2970, ""auto"", ""bn"")"),"SSRI উদ্বেগ/আতঙ্কের আক্রমণ নিজেকে এবং অন্যদের সাহায্য করার জন্য সমাধান খুঁজছি হ্যালো বন্ধুরা, আমার উদ্বেগ ধরা পড়ে (প্রথমে প্যানিক অ্যাটাক ছাড়াই) এবং SSRI গ্রহণ শুরু করে এটি আমাকে উদ্বেগে সাহায্য করে। আমি SSRI(Escitalopram) 10mg গ্রহণ করি। আমি এটি 10 ​​দ"&amp;"িন ধরে ব্যবহার করেছিলাম তারপর হাল ছেড়ে দিয়েছিলাম কারণ আমি ভেবেছিলাম আমি আমার চিন্তাভাবনা নিয়ন্ত্রণ করতে পেরেছি কিন্তু আমার ভুল ছিল, 2 দিন পরে উদ্বেগ ফিরে আসে। তারপর আমি আবার Escitalopram গ্রহণ শুরু করি এবং কয়েক দিন পরে আমার বড় উন্নতি অনুভব করি। আমি এ"&amp;"টি 12 দিন ধরে দ্বিতীয়বার ব্যবহার করছি সবকিছুর উন্নতি হচ্ছে আমি খুব খুশি ছিলাম। আমি CBT থেরাপিতেও যাই। কিন্তু গতকাল আমি আমার মেয়ের সাথে বিছানায় শুয়ে টিভি দেখছিলাম এবং আমার প্যানিক অ্যাটাক হয়েছিল (এটি প্রথমবার ছিল), আমি ভেবেছিলাম যে আমি পর্যাপ্ত অক্সিজ"&amp;"েন পাচ্ছি না। এটি কয়েক মিনিট স্থায়ী হয়েছিল কিন্তু সম্প্রতি আমি এটি সম্পর্কে পড়ার সাথে সাথে, আমি শ্বাস-প্রশ্বাসের কৌশল ব্যবহার করেছি এবং নিজেকে শান্ত করেছি। আমার উদ্বেগ শুরু হলে আমি ক্রমাগত দুঃস্বপ্ন দেখি এবং সেই দুঃস্বপ্নের কারণে আমি রাতে জেগে উঠি (আম"&amp;"ার আবার ঘুমাতে সমস্যা হয় না)। আমি ভেবেছিলাম সবকিছু সামলাতে পারব এবং আমি ইতিবাচক ছিলাম, কিন্তু আজ আমার আবার প্যানিক অ্যাটাক হল যা আবারও শুরু হল (হৃদস্পন্দন ছিল না/চিন্তাভাবনা দ্রুত হচ্ছিল/ঘন ঘন প্রস্রাব হচ্ছিল/মাথায় ব্যথা/অঙ্গ-প্রত্যঙ্গে ঝিঁঝিঁ পোকা/এবং "&amp;"মনে হচ্ছিল যে আমি আবার পৃথিবী থেকে ফিরে আসছি)। SSRI-তে প্যানিক অ্যাটাক হওয়া কি স্বাভাবিক? নাকি পুরোপুরি কাজ করার জন্য যথেষ্ট সময় ছিল না? দ্বিতীয় CBT-এর পর আমার প্যানিক অ্যাটাক শুরু হয়েছিল। খারাপ ইংরেজির জন্য দুঃখিত (এটি আমার মাতৃভাষা নয়)। আশা করি কেউ"&amp;" আমার প্রশ্নের উত্তর দিতে পারবেন এবং তাদের অভিজ্ঞতা শেয়ার করতে পারবেন।")</f>
        <v>SSRI উদ্বেগ/আতঙ্কের আক্রমণ নিজেকে এবং অন্যদের সাহায্য করার জন্য সমাধান খুঁজছি হ্যালো বন্ধুরা, আমার উদ্বেগ ধরা পড়ে (প্রথমে প্যানিক অ্যাটাক ছাড়াই) এবং SSRI গ্রহণ শুরু করে এটি আমাকে উদ্বেগে সাহায্য করে। আমি SSRI(Escitalopram) 10mg গ্রহণ করি। আমি এটি 10 ​​দিন ধরে ব্যবহার করেছিলাম তারপর হাল ছেড়ে দিয়েছিলাম কারণ আমি ভেবেছিলাম আমি আমার চিন্তাভাবনা নিয়ন্ত্রণ করতে পেরেছি কিন্তু আমার ভুল ছিল, 2 দিন পরে উদ্বেগ ফিরে আসে। তারপর আমি আবার Escitalopram গ্রহণ শুরু করি এবং কয়েক দিন পরে আমার বড় উন্নতি অনুভব করি। আমি এটি 12 দিন ধরে দ্বিতীয়বার ব্যবহার করছি সবকিছুর উন্নতি হচ্ছে আমি খুব খুশি ছিলাম। আমি CBT থেরাপিতেও যাই। কিন্তু গতকাল আমি আমার মেয়ের সাথে বিছানায় শুয়ে টিভি দেখছিলাম এবং আমার প্যানিক অ্যাটাক হয়েছিল (এটি প্রথমবার ছিল), আমি ভেবেছিলাম যে আমি পর্যাপ্ত অক্সিজেন পাচ্ছি না। এটি কয়েক মিনিট স্থায়ী হয়েছিল কিন্তু সম্প্রতি আমি এটি সম্পর্কে পড়ার সাথে সাথে, আমি শ্বাস-প্রশ্বাসের কৌশল ব্যবহার করেছি এবং নিজেকে শান্ত করেছি। আমার উদ্বেগ শুরু হলে আমি ক্রমাগত দুঃস্বপ্ন দেখি এবং সেই দুঃস্বপ্নের কারণে আমি রাতে জেগে উঠি (আমার আবার ঘুমাতে সমস্যা হয় না)। আমি ভেবেছিলাম সবকিছু সামলাতে পারব এবং আমি ইতিবাচক ছিলাম, কিন্তু আজ আমার আবার প্যানিক অ্যাটাক হল যা আবারও শুরু হল (হৃদস্পন্দন ছিল না/চিন্তাভাবনা দ্রুত হচ্ছিল/ঘন ঘন প্রস্রাব হচ্ছিল/মাথায় ব্যথা/অঙ্গ-প্রত্যঙ্গে ঝিঁঝিঁ পোকা/এবং মনে হচ্ছিল যে আমি আবার পৃথিবী থেকে ফিরে আসছি)। SSRI-তে প্যানিক অ্যাটাক হওয়া কি স্বাভাবিক? নাকি পুরোপুরি কাজ করার জন্য যথেষ্ট সময় ছিল না? দ্বিতীয় CBT-এর পর আমার প্যানিক অ্যাটাক শুরু হয়েছিল। খারাপ ইংরেজির জন্য দুঃখিত (এটি আমার মাতৃভাষা নয়)। আশা করি কেউ আমার প্রশ্নের উত্তর দিতে পারবেন এবং তাদের অভিজ্ঞতা শেয়ার করতে পারবেন।</v>
      </c>
    </row>
    <row r="2971" spans="1:3" ht="15" x14ac:dyDescent="0.25">
      <c r="A2971" s="3" t="s">
        <v>2964</v>
      </c>
      <c r="B2971" s="3" t="s">
        <v>1992</v>
      </c>
      <c r="C2971" s="4" t="str">
        <f ca="1">IFERROR(__xludf.DUMMYFUNCTION("GOOGLETRANSLATE(A2971, ""auto"", ""bn"")"),"প্যানিক অ্যাটাকের সময় আমার স্ত্রীকে সাহায্য করা সবাইকে নমস্কার! একটু পরামর্শের জন্য অপেক্ষা করছি। আমার স্ত্রীর বেশ তীব্র উদ্বেগ আছে, পারিবারিক সমস্যার কারণে এখন আরও বেশি। তার দিনে দুবার প্যানিক অ্যাটাকের সমস্যা হয়, অথবা খুব কাছাকাছি সময়ে সেগুলি হতে পার"&amp;"ে। আমি তাকে এই সমস্যাগুলি সমাধান করার চেষ্টা করতে পারি, কিন্তু, তার একটা খারাপ অভ্যাস আছে যে তাকে 911 নম্বরে ফোন করতে হয় কারণ সে ভয় পায় যে তার কিছু একটা সমস্যা আছে। সে তার হৃদরোগের পরীক্ষা করানোর জন্য হাসপাতালে বারবার অ্যাম্বুলেন্সে করে গেছে, শুধু এটা "&amp;"বলার জন্য যে সে সুস্থ এবং ছুটি পাচ্ছে। প্যানিক অ্যাটাকের সময় পরিস্থিতি এতটাই খারাপ হয়ে যায় যে সে প্রায় শারীরিকভাবে অসুস্থ হয়ে পড়ে যে তার ফোনটি 911 নম্বরে কল করতে সক্ষম হয়। আমি নিশ্চিত নই যে আমি কীভাবে তাকে এই বিষয়ে সাহায্য করতে পারি এবং তাকে বোঝাত"&amp;"েও চেষ্টা করি যে তার 911 নম্বরে কল করার দরকার নেই। আমি এখানে কিছুটা ক্ষতির সম্মুখীন। সে প্রতিদিনের উদ্বেগের ওষুধ খায় না কারণ সে পার্শ্বপ্রতিক্রিয়ার ভয়ে খুব বেশি ভীত, তবে যখন সে উদ্বিগ্ন হতে শুরু করে তখন তার জন্য একটি প্রেসক্রিপশন আছে। যদিও সে সাধারণত স"&amp;"ময়মতো তা গ্রহণ করে না। ৯১১ নম্বরে ফোন করা এবং হাসপাতালে যাওয়া ক্রমশ বেড়ে যাচ্ছে এবং আমার বাইরের পরামর্শ/সাহায্যের প্রয়োজন।")</f>
        <v>প্যানিক অ্যাটাকের সময় আমার স্ত্রীকে সাহায্য করা সবাইকে নমস্কার! একটু পরামর্শের জন্য অপেক্ষা করছি। আমার স্ত্রীর বেশ তীব্র উদ্বেগ আছে, পারিবারিক সমস্যার কারণে এখন আরও বেশি। তার দিনে দুবার প্যানিক অ্যাটাকের সমস্যা হয়, অথবা খুব কাছাকাছি সময়ে সেগুলি হতে পারে। আমি তাকে এই সমস্যাগুলি সমাধান করার চেষ্টা করতে পারি, কিন্তু, তার একটা খারাপ অভ্যাস আছে যে তাকে 911 নম্বরে ফোন করতে হয় কারণ সে ভয় পায় যে তার কিছু একটা সমস্যা আছে। সে তার হৃদরোগের পরীক্ষা করানোর জন্য হাসপাতালে বারবার অ্যাম্বুলেন্সে করে গেছে, শুধু এটা বলার জন্য যে সে সুস্থ এবং ছুটি পাচ্ছে। প্যানিক অ্যাটাকের সময় পরিস্থিতি এতটাই খারাপ হয়ে যায় যে সে প্রায় শারীরিকভাবে অসুস্থ হয়ে পড়ে যে তার ফোনটি 911 নম্বরে কল করতে সক্ষম হয়। আমি নিশ্চিত নই যে আমি কীভাবে তাকে এই বিষয়ে সাহায্য করতে পারি এবং তাকে বোঝাতেও চেষ্টা করি যে তার 911 নম্বরে কল করার দরকার নেই। আমি এখানে কিছুটা ক্ষতির সম্মুখীন। সে প্রতিদিনের উদ্বেগের ওষুধ খায় না কারণ সে পার্শ্বপ্রতিক্রিয়ার ভয়ে খুব বেশি ভীত, তবে যখন সে উদ্বিগ্ন হতে শুরু করে তখন তার জন্য একটি প্রেসক্রিপশন আছে। যদিও সে সাধারণত সময়মতো তা গ্রহণ করে না। ৯১১ নম্বরে ফোন করা এবং হাসপাতালে যাওয়া ক্রমশ বেড়ে যাচ্ছে এবং আমার বাইরের পরামর্শ/সাহায্যের প্রয়োজন।</v>
      </c>
    </row>
    <row r="2972" spans="1:3" ht="15" x14ac:dyDescent="0.25">
      <c r="A2972" s="3" t="s">
        <v>2965</v>
      </c>
      <c r="B2972" s="3" t="s">
        <v>1992</v>
      </c>
      <c r="C2972" s="4" t="str">
        <f ca="1">IFERROR(__xludf.DUMMYFUNCTION("GOOGLETRANSLATE(A2972, ""auto"", ""bn"")"),"গার্লফ্রেন্ডকে গাড়ি চালানো শেখাতে সাহায্য করুন। আমার বয়স ২২, কয়েক মাসের মধ্যে ফায়ার ফাইটার হিসেবে চাকরি শুরু করতে যাচ্ছি। আমার গার্লফ্রেন্ড আর আমি একসাথে থাকি। তার বয়স ২০, খুব শীঘ্রই ২১, আর সে গাড়ি চালাতে খুব ভয় পায় এবং পার্কিং লটে যখনই আমি তাকে শেখাতে চ"&amp;"েষ্টা করি, তখনই সে নিজের উপর এত কঠোর হয় যে সে ভয়ে ওঠে, রেগে যায় অথবা কাঁদে। তাই কি করবে জানি না কারণ তার এখন শেখা দরকার। আমি খুব ধৈর্যশীল, সে চিৎকার করে না বা আমার গলা উঁচু করে না, তাকে ভালো কাজ এবং সবকিছু বলে, কিন্তু সে অনুশীলন করতে চায় না, কিন্তু আমি ২৪"&amp;" ঘন্টা, কখনো কখনো ৪৮ ঘন্টা বাইরে থাকবো। তার কোন টিপস শেখার দরকার?")</f>
        <v>গার্লফ্রেন্ডকে গাড়ি চালানো শেখাতে সাহায্য করুন। আমার বয়স ২২, কয়েক মাসের মধ্যে ফায়ার ফাইটার হিসেবে চাকরি শুরু করতে যাচ্ছি। আমার গার্লফ্রেন্ড আর আমি একসাথে থাকি। তার বয়স ২০, খুব শীঘ্রই ২১, আর সে গাড়ি চালাতে খুব ভয় পায় এবং পার্কিং লটে যখনই আমি তাকে শেখাতে চেষ্টা করি, তখনই সে নিজের উপর এত কঠোর হয় যে সে ভয়ে ওঠে, রেগে যায় অথবা কাঁদে। তাই কি করবে জানি না কারণ তার এখন শেখা দরকার। আমি খুব ধৈর্যশীল, সে চিৎকার করে না বা আমার গলা উঁচু করে না, তাকে ভালো কাজ এবং সবকিছু বলে, কিন্তু সে অনুশীলন করতে চায় না, কিন্তু আমি ২৪ ঘন্টা, কখনো কখনো ৪৮ ঘন্টা বাইরে থাকবো। তার কোন টিপস শেখার দরকার?</v>
      </c>
    </row>
    <row r="2973" spans="1:3" ht="15" x14ac:dyDescent="0.25">
      <c r="A2973" s="3" t="s">
        <v>2966</v>
      </c>
      <c r="B2973" s="3" t="s">
        <v>1992</v>
      </c>
      <c r="C2973" s="4" t="str">
        <f ca="1">IFERROR(__xludf.DUMMYFUNCTION("GOOGLETRANSLATE(A2973, ""auto"", ""bn"")"),"উদ্বেগের জন্য প্রাকৃতিক পরিপূরক আমি আমার উদ্বেগ কমানোর জন্য কিছু প্রাকৃতিক/ভেষজ প্রতিকার খুঁজছি কিন্তু বেশিরভাগ সময় আমার শক্তি কম থাকে বলে আমি তন্দ্রাচ্ছন্ন থাকতে চাই না। আমি আমার উদ্বেগের জন্য অ্যান্টিডিপ্রেসেন্ট গ্রহণ করতাম এবং ওষুধে ফিরে যাওয়ার আগে প"&amp;"্রাকৃতিক কিছু চেষ্টা করতে চাই। বন্ধুদের সাথে বাইরে যাওয়া, রেস্তোরাঁ, বার ইত্যাদিতে আমার উদ্বেগ হয় এবং আমার উদ্বেগের প্রভাবের কারণে এখন আমি খুব কমই নিজেকে উপভোগ করি। কারও কি এমন কোনও ভেষজ প্রতিকারের পরামর্শ আছে যা উদ্বেগ/আতঙ্ককে শান্ত করে কিন্তু খুব বেশি"&amp;" তন্দ্রাচ্ছন্নতা সৃষ্টি করে না?")</f>
        <v>উদ্বেগের জন্য প্রাকৃতিক পরিপূরক আমি আমার উদ্বেগ কমানোর জন্য কিছু প্রাকৃতিক/ভেষজ প্রতিকার খুঁজছি কিন্তু বেশিরভাগ সময় আমার শক্তি কম থাকে বলে আমি তন্দ্রাচ্ছন্ন থাকতে চাই না। আমি আমার উদ্বেগের জন্য অ্যান্টিডিপ্রেসেন্ট গ্রহণ করতাম এবং ওষুধে ফিরে যাওয়ার আগে প্রাকৃতিক কিছু চেষ্টা করতে চাই। বন্ধুদের সাথে বাইরে যাওয়া, রেস্তোরাঁ, বার ইত্যাদিতে আমার উদ্বেগ হয় এবং আমার উদ্বেগের প্রভাবের কারণে এখন আমি খুব কমই নিজেকে উপভোগ করি। কারও কি এমন কোনও ভেষজ প্রতিকারের পরামর্শ আছে যা উদ্বেগ/আতঙ্ককে শান্ত করে কিন্তু খুব বেশি তন্দ্রাচ্ছন্নতা সৃষ্টি করে না?</v>
      </c>
    </row>
    <row r="2974" spans="1:3" ht="15" x14ac:dyDescent="0.25">
      <c r="A2974" s="3" t="s">
        <v>2967</v>
      </c>
      <c r="B2974" s="3" t="s">
        <v>1992</v>
      </c>
      <c r="C2974" s="4" t="str">
        <f ca="1">IFERROR(__xludf.DUMMYFUNCTION("GOOGLETRANSLATE(A2974, ""auto"", ""bn"")"),"জোলফট - অস্থির শিবির; অস্বস্তিকর হ্যালো, উদ্বিগ্ন মানুষ! আমি সত্যিই আশা করি আপনি এই একাকী গ্রহের সামাজিকভাবে উদ্বিগ্ন আত্মাকে সাহায্য করতে চান। তাই, প্রসঙ্গে বলতে গেলে, আমি আমার পরিস্থিতি সম্পর্কে কিছু পটভূমি তথ্য দিয়ে শুরু করছি। আমার বয়স ১৯ বছর এবং বছর"&amp;"ের পর বছর ধরে সামাজিক উদ্বেগের সমস্যায় ভুগছি। সম্প্রতি যখন আমি উচ্চ বিদ্যালয় শেষ করে একটি নতুন চাকরি শুরু করি, তখন এটি চরমে পৌঁছেছিল। তাই, আমি একজন ডাক্তারের সাথে যোগাযোগ করতে সক্ষম হয়েছিলাম যিনি আমাকে সার্ট্রালিন (জোলফট) লিখে দিয়েছিলেন। আমি গতকাল আমা"&amp;"র প্রথম ৫০ মিলিগ্রামের বড়ি (আপাতদৃষ্টিতে বেশ কম ডোজ) খেয়েছিলাম এবং মাত্র কয়েক ঘন্টা পরেই পার্শ্ব প্রতিক্রিয়া দেখা দিতে শুরু করে, একের পর এক। প্রাথমিকভাবে, আমি কোনও কারণ ছাড়াই খুব উদ্বিগ্ন বোধ করতে শুরু করি (সামাজিক উদ্বেগ আমাকে সামাজিক পরিস্থিতিতে উদ"&amp;"্বিগ্ন করে তোলে, তবে সাধারণত আমার নিজের বাড়িতে যেখানে আমি নিরাপদ বোধ করি সেখানে এটি ঘটে না)। পরবর্তী জিনিসটি আমি নরকের মতো অস্থির বোধ করি (পায়ে আগুন)। ৩০ মিনিট ধরে কাজ করার পরেও এটি এক ঘন্টার মধ্যে ফিরে আসে। তাহলে অবশেষে সেই অংশে যেখানে আমি সত্যিই কিছু "&amp;"মতামতের প্রশংসা করব। এই পার্শ্ব প্রতিক্রিয়াগুলি কি শীঘ্রই চলে যাচ্ছে? জোলফট থেকে কখন আমি ভালো বোধ করব বলে আশা করতে পারি? মানে, কাল আমি কাজে যাচ্ছি। অসুস্থতার জন্য ফোন করলে কি আমি আমার উদ্বেগের কাছে নতি স্বীকার করব? কারণ, একটানা ৮ ঘন্টা অফিসে বসে থাকা এখন"&amp;" অসম্ভব বলে মনে হচ্ছে। একই/অনুরূপ অভিজ্ঞতা আছে এমন কারো কি আমার সমস্যা সম্পর্কে কোন মতামত আছে? আর সাহায্য করার জন্য আগাম ধন্যবাদ!")</f>
        <v>জোলফট - অস্থির শিবির; অস্বস্তিকর হ্যালো, উদ্বিগ্ন মানুষ! আমি সত্যিই আশা করি আপনি এই একাকী গ্রহের সামাজিকভাবে উদ্বিগ্ন আত্মাকে সাহায্য করতে চান। তাই, প্রসঙ্গে বলতে গেলে, আমি আমার পরিস্থিতি সম্পর্কে কিছু পটভূমি তথ্য দিয়ে শুরু করছি। আমার বয়স ১৯ বছর এবং বছরের পর বছর ধরে সামাজিক উদ্বেগের সমস্যায় ভুগছি। সম্প্রতি যখন আমি উচ্চ বিদ্যালয় শেষ করে একটি নতুন চাকরি শুরু করি, তখন এটি চরমে পৌঁছেছিল। তাই, আমি একজন ডাক্তারের সাথে যোগাযোগ করতে সক্ষম হয়েছিলাম যিনি আমাকে সার্ট্রালিন (জোলফট) লিখে দিয়েছিলেন। আমি গতকাল আমার প্রথম ৫০ মিলিগ্রামের বড়ি (আপাতদৃষ্টিতে বেশ কম ডোজ) খেয়েছিলাম এবং মাত্র কয়েক ঘন্টা পরেই পার্শ্ব প্রতিক্রিয়া দেখা দিতে শুরু করে, একের পর এক। প্রাথমিকভাবে, আমি কোনও কারণ ছাড়াই খুব উদ্বিগ্ন বোধ করতে শুরু করি (সামাজিক উদ্বেগ আমাকে সামাজিক পরিস্থিতিতে উদ্বিগ্ন করে তোলে, তবে সাধারণত আমার নিজের বাড়িতে যেখানে আমি নিরাপদ বোধ করি সেখানে এটি ঘটে না)। পরবর্তী জিনিসটি আমি নরকের মতো অস্থির বোধ করি (পায়ে আগুন)। ৩০ মিনিট ধরে কাজ করার পরেও এটি এক ঘন্টার মধ্যে ফিরে আসে। তাহলে অবশেষে সেই অংশে যেখানে আমি সত্যিই কিছু মতামতের প্রশংসা করব। এই পার্শ্ব প্রতিক্রিয়াগুলি কি শীঘ্রই চলে যাচ্ছে? জোলফট থেকে কখন আমি ভালো বোধ করব বলে আশা করতে পারি? মানে, কাল আমি কাজে যাচ্ছি। অসুস্থতার জন্য ফোন করলে কি আমি আমার উদ্বেগের কাছে নতি স্বীকার করব? কারণ, একটানা ৮ ঘন্টা অফিসে বসে থাকা এখন অসম্ভব বলে মনে হচ্ছে। একই/অনুরূপ অভিজ্ঞতা আছে এমন কারো কি আমার সমস্যা সম্পর্কে কোন মতামত আছে? আর সাহায্য করার জন্য আগাম ধন্যবাদ!</v>
      </c>
    </row>
    <row r="2975" spans="1:3" ht="15" x14ac:dyDescent="0.25">
      <c r="A2975" s="3" t="s">
        <v>2968</v>
      </c>
      <c r="B2975" s="3" t="s">
        <v>1992</v>
      </c>
      <c r="C2975" s="4" t="str">
        <f ca="1">IFERROR(__xludf.DUMMYFUNCTION("GOOGLETRANSLATE(A2975, ""auto"", ""bn"")"),"এড়িয়ে চলা: আমি যদি জানতাম যে কীভাবে এই সমস্যা থেকে মুক্তি পাবো। আমার মনে হয় আমি আগের চেয়ে ভালো/কম উদ্বিগ্ন ছিলাম কারণ আমি আমার কিছু ছোট ছোট ট্রিগার মোকাবেলা করতে শিখেছি (যেমন: আমার বন্ধুকে টেক্সট করা, যাদের সাথে আমি যোগাযোগের বাইরে ছিলাম, হঠাৎ করেই তা"&amp;"দের সাথে যোগাযোগ না করে, তারা ভাববে যে আমি অদ্ভুত বা বিরক্তিকর) কিন্তু যখন বড় ট্রিগারের কথা আসে (টাকা, গাড়ি চালানো, বাইরে চলে যাওয়া) তখন তারা আমাকে উদ্বিগ্ন করে না কারণ আমি কেবল তাদের সম্পর্কে সম্পূর্ণরূপে চিন্তা করা এড়িয়ে চলি। এটি এমন পর্যায়ে পৌঁছে"&amp;"ছে যে আমি আমার প্রেমিকের সাথে দেখা এড়িয়ে চলতে শুরু করেছি কারণ আমি ভয় পাচ্ছি যে সে একসাথে থাকার ইচ্ছা জাগিয়ে তুলবে যা আমাকে উদ্বিগ্ন করে তুলবে। তাই যুক্তিসঙ্গতভাবে, যদি আমি তাকে না দেখি, তাহলে আমাদের এটি সম্পর্কে কথা বলতে হবে না, আমাকে এটি সম্পর্কে ভাব"&amp;"তে হবে না এবং আমি উদ্বিগ্ন হব না। এটি বেঁচে থাকার একটি অত্যন্ত অনুৎপাদনশীল উপায়, তবে আমি জানি না যে কীভাবে এমন জিনিসগুলির সাথে মোকাবিলা করতে হবে যা আমি জানি যে সেগুলি সম্পূর্ণরূপে এড়িয়ে যাওয়া ছাড়া আমাকে উদ্বিগ্ন করবে।")</f>
        <v>এড়িয়ে চলা: আমি যদি জানতাম যে কীভাবে এই সমস্যা থেকে মুক্তি পাবো। আমার মনে হয় আমি আগের চেয়ে ভালো/কম উদ্বিগ্ন ছিলাম কারণ আমি আমার কিছু ছোট ছোট ট্রিগার মোকাবেলা করতে শিখেছি (যেমন: আমার বন্ধুকে টেক্সট করা, যাদের সাথে আমি যোগাযোগের বাইরে ছিলাম, হঠাৎ করেই তাদের সাথে যোগাযোগ না করে, তারা ভাববে যে আমি অদ্ভুত বা বিরক্তিকর) কিন্তু যখন বড় ট্রিগারের কথা আসে (টাকা, গাড়ি চালানো, বাইরে চলে যাওয়া) তখন তারা আমাকে উদ্বিগ্ন করে না কারণ আমি কেবল তাদের সম্পর্কে সম্পূর্ণরূপে চিন্তা করা এড়িয়ে চলি। এটি এমন পর্যায়ে পৌঁছেছে যে আমি আমার প্রেমিকের সাথে দেখা এড়িয়ে চলতে শুরু করেছি কারণ আমি ভয় পাচ্ছি যে সে একসাথে থাকার ইচ্ছা জাগিয়ে তুলবে যা আমাকে উদ্বিগ্ন করে তুলবে। তাই যুক্তিসঙ্গতভাবে, যদি আমি তাকে না দেখি, তাহলে আমাদের এটি সম্পর্কে কথা বলতে হবে না, আমাকে এটি সম্পর্কে ভাবতে হবে না এবং আমি উদ্বিগ্ন হব না। এটি বেঁচে থাকার একটি অত্যন্ত অনুৎপাদনশীল উপায়, তবে আমি জানি না যে কীভাবে এমন জিনিসগুলির সাথে মোকাবিলা করতে হবে যা আমি জানি যে সেগুলি সম্পূর্ণরূপে এড়িয়ে যাওয়া ছাড়া আমাকে উদ্বিগ্ন করবে।</v>
      </c>
    </row>
    <row r="2976" spans="1:3" ht="15" x14ac:dyDescent="0.25">
      <c r="A2976" s="3" t="s">
        <v>2969</v>
      </c>
      <c r="B2976" s="3" t="s">
        <v>1992</v>
      </c>
      <c r="C2976" s="4" t="str">
        <f ca="1">IFERROR(__xludf.DUMMYFUNCTION("GOOGLETRANSLATE(A2976, ""auto"", ""bn"")"),"কেউ জোলফট খেয়েছেন? এটি গ্রহণ করার সময় আপনার কী কী সুবিধা এবং অসুবিধা হয়েছে? আমি উদ্বেগ এবং উদ্বেগজনিত হালকা বিষণ্ণতার জন্য এটি নিচ্ছি।")</f>
        <v>কেউ জোলফট খেয়েছেন? এটি গ্রহণ করার সময় আপনার কী কী সুবিধা এবং অসুবিধা হয়েছে? আমি উদ্বেগ এবং উদ্বেগজনিত হালকা বিষণ্ণতার জন্য এটি নিচ্ছি।</v>
      </c>
    </row>
    <row r="2977" spans="1:3" ht="15" x14ac:dyDescent="0.25">
      <c r="A2977" s="3" t="s">
        <v>2970</v>
      </c>
      <c r="B2977" s="3" t="s">
        <v>1992</v>
      </c>
      <c r="C2977" s="4" t="str">
        <f ca="1">IFERROR(__xludf.DUMMYFUNCTION("GOOGLETRANSLATE(A2977, ""auto"", ""bn"")"),"জীবনের সবচেয়ে খারাপ দিনগুলোর সুযোগ নিয়ে কাজ করছি। গত কয়েক মাস বেশ কঠিন কেটেছে কারণ আমি বছরের পর বছর ধরে যে অ্যান্টিডিপ্রেসেন্টস নিয়ে আসছিলাম, সেগুলো কমিয়ে নতুন অ্যান্টিডিপ্রেসেন্টস নিয়েছি, নতুন অ্যান্টিডিপ্রেসেন্টস নেওয়ার জন্য। ওষুধগুলো আমার উদ্বেগের জন্"&amp;"য ভালো ছিল, কিন্তু সেগুলো আমাকে কিছু চরম নেতিবাচক আচরণের দিকে ঠেলে দিয়েছে যেমন একা থাকা, খারাপ খাবার খাওয়া, কখনো ব্যায়াম না করা, বাইরে না যাওয়া এবং রোদের আলোয় মেলামেশা না করা, ঘুমের খারাপ অভ্যাস ইত্যাদি। সংক্ষেপে বলতে গেলে, নতুন অ্যান্টিডিপ্রেসেন্ট আমার জ"&amp;"ীবনে ঘটে যাওয়া বেশ কিছু প্যানিক অ্যাটাক দিয়েছে, যার পরিণতি হয়েছে জ্যানাক্সের জরুরি চিকিৎসা কেন্দ্রে জরুরি চিকিৎসার জন্য। আমি কিছুক্ষণের জন্য ওষুধ বন্ধ করে দিচ্ছি - আমি তাদের উপর নির্ভরশীল হয়ে পড়েছি এবং বছরের পর বছর ধরে অ্যান্টিডিপ্রেসেন্টরা যেসব স্পষ্ট "&amp;"খারাপ অভ্যাস লুকিয়ে রেখেছিল সেগুলো উপেক্ষা করেছি। অবশেষে পূর্ণ রাতের ঘুম পাওয়ার পর আজ সকালে আমি ভালো বোধ করছি। কয়েক মাসের মধ্যে প্রথমবারের মতো আমি হতাশা থেকে ব্যায়াম করেছি। তাছাড়া, গত দুই মাসে আমি মদ্যপান কমিয়ে এনেছি, যা গত কয়েক বছরের মদ্যপান/সাপ্তাহিক "&amp;"অতিরিক্ত মদ্যপানের তুলনায় অনেক কমিয়ে এনেছি, কিন্তু এখন থেকে ১০০% মদ্যপান ত্যাগ করছি। আজ রোদে হাঁটতে বেরিয়েছি, যা গত কয়েক সপ্তাহের মধ্যে প্রথমবারের মতো আমি কয়েক মিনিটেরও বেশি সময় ধরে SU লাইটে থাকতে দেখেছি কারণ আমি বাড়িতে আটকে ছিলাম। বাইরে কিছু কাজ করতে য"&amp;"াচ্ছি। আমি একজন থেরাপিস্টের সাথে অ্যাপয়েন্টমেন্ট করার এবং কোনও ধরণের গ্রুপ সেশনে যোগ দেওয়ার জন্য দৃঢ়প্রতিজ্ঞ। আমি এখন প্রতিদিন কয়েক মিনিট ধ্যান করছি (মাইন্ডফুলনেস বা যাই বলা হোক না কেন)। তাছাড়া, আমি আসলে আমার বসকে জিজ্ঞাসা করতে পারি যে আমি কি সপ্তাহে "&amp;"কয়েকদিন অফিসে কাজ শুরু করতে পারি যাতে একা একা না থাকি। গত কয়েকদিন এত ভয়ঙ্কর এবং ভয়াবহ কেটেছে, আমি আশা করছি এটিই কিছু পরিবর্তনের অনুঘটক হতে পারে।")</f>
        <v>জীবনের সবচেয়ে খারাপ দিনগুলোর সুযোগ নিয়ে কাজ করছি। গত কয়েক মাস বেশ কঠিন কেটেছে কারণ আমি বছরের পর বছর ধরে যে অ্যান্টিডিপ্রেসেন্টস নিয়ে আসছিলাম, সেগুলো কমিয়ে নতুন অ্যান্টিডিপ্রেসেন্টস নিয়েছি, নতুন অ্যান্টিডিপ্রেসেন্টস নেওয়ার জন্য। ওষুধগুলো আমার উদ্বেগের জন্য ভালো ছিল, কিন্তু সেগুলো আমাকে কিছু চরম নেতিবাচক আচরণের দিকে ঠেলে দিয়েছে যেমন একা থাকা, খারাপ খাবার খাওয়া, কখনো ব্যায়াম না করা, বাইরে না যাওয়া এবং রোদের আলোয় মেলামেশা না করা, ঘুমের খারাপ অভ্যাস ইত্যাদি। সংক্ষেপে বলতে গেলে, নতুন অ্যান্টিডিপ্রেসেন্ট আমার জীবনে ঘটে যাওয়া বেশ কিছু প্যানিক অ্যাটাক দিয়েছে, যার পরিণতি হয়েছে জ্যানাক্সের জরুরি চিকিৎসা কেন্দ্রে জরুরি চিকিৎসার জন্য। আমি কিছুক্ষণের জন্য ওষুধ বন্ধ করে দিচ্ছি - আমি তাদের উপর নির্ভরশীল হয়ে পড়েছি এবং বছরের পর বছর ধরে অ্যান্টিডিপ্রেসেন্টরা যেসব স্পষ্ট খারাপ অভ্যাস লুকিয়ে রেখেছিল সেগুলো উপেক্ষা করেছি। অবশেষে পূর্ণ রাতের ঘুম পাওয়ার পর আজ সকালে আমি ভালো বোধ করছি। কয়েক মাসের মধ্যে প্রথমবারের মতো আমি হতাশা থেকে ব্যায়াম করেছি। তাছাড়া, গত দুই মাসে আমি মদ্যপান কমিয়ে এনেছি, যা গত কয়েক বছরের মদ্যপান/সাপ্তাহিক অতিরিক্ত মদ্যপানের তুলনায় অনেক কমিয়ে এনেছি, কিন্তু এখন থেকে ১০০% মদ্যপান ত্যাগ করছি। আজ রোদে হাঁটতে বেরিয়েছি, যা গত কয়েক সপ্তাহের মধ্যে প্রথমবারের মতো আমি কয়েক মিনিটেরও বেশি সময় ধরে SU লাইটে থাকতে দেখেছি কারণ আমি বাড়িতে আটকে ছিলাম। বাইরে কিছু কাজ করতে যাচ্ছি। আমি একজন থেরাপিস্টের সাথে অ্যাপয়েন্টমেন্ট করার এবং কোনও ধরণের গ্রুপ সেশনে যোগ দেওয়ার জন্য দৃঢ়প্রতিজ্ঞ। আমি এখন প্রতিদিন কয়েক মিনিট ধ্যান করছি (মাইন্ডফুলনেস বা যাই বলা হোক না কেন)। তাছাড়া, আমি আসলে আমার বসকে জিজ্ঞাসা করতে পারি যে আমি কি সপ্তাহে কয়েকদিন অফিসে কাজ শুরু করতে পারি যাতে একা একা না থাকি। গত কয়েকদিন এত ভয়ঙ্কর এবং ভয়াবহ কেটেছে, আমি আশা করছি এটিই কিছু পরিবর্তনের অনুঘটক হতে পারে।</v>
      </c>
    </row>
    <row r="2978" spans="1:3" ht="15" x14ac:dyDescent="0.25">
      <c r="A2978" s="3" t="s">
        <v>2971</v>
      </c>
      <c r="B2978" s="3" t="s">
        <v>1992</v>
      </c>
      <c r="C2978" s="4" t="str">
        <f ca="1">IFERROR(__xludf.DUMMYFUNCTION("GOOGLETRANSLATE(A2978, ""auto"", ""bn"")"),"চরম উদ্বেগ / প্যারানোয়া আরে, আমি এটা একটা ছুটির দিনে পোস্ট করছি কারণ আমি চাই না বন্ধুরা এটা খুঁজে পাক। বন্ধুদের সাথে বা স্কুলে থাকাকালীন আমি খুব একটা উদ্বিগ্ন থাকি না, কিন্তু যখন আমি বাড়ি ফিরে আসি, তখন আমার বিছানায় শুয়ে তীব্র উদ্বেগের পর্বগুলি শুরু হয"&amp;"়। আমি কিছুক্ষণ আগে ভাবতে শুরু করেছিলাম যে কীভাবে লোকেরা আমার সাথে ভালো ব্যবহার করছে না, এবং কেউ আমাকে ভালো ব্যবহার করতে বলছে। আমি জানি, এটা হাস্যকর শোনাচ্ছে। এবং আমিও তাই মনে করি, কিন্তু আমি সেই অনুভূতিটি এড়াতে পারছি না। আমি কয়েকটি কারণে এমন অনুভব করি,"&amp;" এবং আমি যতই ভাবি না কেন এটা কতটা বোকামি, আমি আমার দৈনন্দিন জীবন যাপন করি এই ভেবে যে লোকেরা আমার সাথে ভালো ব্যবহার করে, এবং কেবল আমার সাথে ভালো থাকার কারণে নয়। উদাহরণস্বরূপ, একবার ক্লাসে, আমি এই মেয়েটির সাথে কথা বলছিলাম, এবং সে আমার পেশীগুলির প্রশংসা কর"&amp;"েছিল (এবং এটি এমন নয় যে আমার কোনও পরিমাপে বিশাল বা ""ভালো"" আছে। আমি প্রশিক্ষণ নিচ্ছিলাম এবং উন্নতি হয়েছিল, তবে এটি কয়েক সপ্তাহ পরে আমি প্রশিক্ষণ না নেওয়ার পরে হয়েছিল)। এবার, আমি মনে মনে ভাবলাম, হুঁ, এটা তো দারুন। এখন, আমি বাড়ি ফিরে কম্পিউটারে বসে ব"&amp;"ন্ধুদের সাথে গল্প করছিলাম, আর আমার ভাই এসে আমার পেশীগুলো এলোমেলোভাবে অনুভব করে এবং তাদের প্রশংসা করে। আমি তৎক্ষণাৎ মনে মনে ভাবতে লাগলাম, ""কেউ কখনও প্রশংসা না করার পর, একই দিনে দুজন লোক আমার পেশীগুলোর প্রশংসা করার সম্ভাবনা কত? আর কয়েক সপ্তাহ পরেও আমি অনু"&amp;"শীলন করিনি।"" আমি জানি এটা অযৌক্তিক, কিন্তু আমি যতই সেই অনুভূতিটা ঝেড়ে ফেলার চেষ্টা করি না কেন, এটি এখনও রয়ে গেছে, এবং আমি সন্দেহ করি যে আমি কখনও সেই অনুভূতিটা ঝেড়ে ফেলতে পারব।")</f>
        <v>চরম উদ্বেগ / প্যারানোয়া আরে, আমি এটা একটা ছুটির দিনে পোস্ট করছি কারণ আমি চাই না বন্ধুরা এটা খুঁজে পাক। বন্ধুদের সাথে বা স্কুলে থাকাকালীন আমি খুব একটা উদ্বিগ্ন থাকি না, কিন্তু যখন আমি বাড়ি ফিরে আসি, তখন আমার বিছানায় শুয়ে তীব্র উদ্বেগের পর্বগুলি শুরু হয়। আমি কিছুক্ষণ আগে ভাবতে শুরু করেছিলাম যে কীভাবে লোকেরা আমার সাথে ভালো ব্যবহার করছে না, এবং কেউ আমাকে ভালো ব্যবহার করতে বলছে। আমি জানি, এটা হাস্যকর শোনাচ্ছে। এবং আমিও তাই মনে করি, কিন্তু আমি সেই অনুভূতিটি এড়াতে পারছি না। আমি কয়েকটি কারণে এমন অনুভব করি, এবং আমি যতই ভাবি না কেন এটা কতটা বোকামি, আমি আমার দৈনন্দিন জীবন যাপন করি এই ভেবে যে লোকেরা আমার সাথে ভালো ব্যবহার করে, এবং কেবল আমার সাথে ভালো থাকার কারণে নয়। উদাহরণস্বরূপ, একবার ক্লাসে, আমি এই মেয়েটির সাথে কথা বলছিলাম, এবং সে আমার পেশীগুলির প্রশংসা করেছিল (এবং এটি এমন নয় যে আমার কোনও পরিমাপে বিশাল বা "ভালো" আছে। আমি প্রশিক্ষণ নিচ্ছিলাম এবং উন্নতি হয়েছিল, তবে এটি কয়েক সপ্তাহ পরে আমি প্রশিক্ষণ না নেওয়ার পরে হয়েছিল)। এবার, আমি মনে মনে ভাবলাম, হুঁ, এটা তো দারুন। এখন, আমি বাড়ি ফিরে কম্পিউটারে বসে বন্ধুদের সাথে গল্প করছিলাম, আর আমার ভাই এসে আমার পেশীগুলো এলোমেলোভাবে অনুভব করে এবং তাদের প্রশংসা করে। আমি তৎক্ষণাৎ মনে মনে ভাবতে লাগলাম, "কেউ কখনও প্রশংসা না করার পর, একই দিনে দুজন লোক আমার পেশীগুলোর প্রশংসা করার সম্ভাবনা কত? আর কয়েক সপ্তাহ পরেও আমি অনুশীলন করিনি।" আমি জানি এটা অযৌক্তিক, কিন্তু আমি যতই সেই অনুভূতিটা ঝেড়ে ফেলার চেষ্টা করি না কেন, এটি এখনও রয়ে গেছে, এবং আমি সন্দেহ করি যে আমি কখনও সেই অনুভূতিটা ঝেড়ে ফেলতে পারব।</v>
      </c>
    </row>
    <row r="2979" spans="1:3" ht="15" x14ac:dyDescent="0.25">
      <c r="A2979" s="3" t="s">
        <v>2972</v>
      </c>
      <c r="B2979" s="3" t="s">
        <v>1992</v>
      </c>
      <c r="C2979" s="4" t="str">
        <f ca="1">IFERROR(__xludf.DUMMYFUNCTION("GOOGLETRANSLATE(A2979, ""auto"", ""bn"")"),"আমি গুরুত্বপূর্ণ সুযোগগুলো হারাচ্ছি। আমার দুশ্চিন্তা আছে কিনা তা নিশ্চিত নই। আমি বারবার ভাবি, হয়তো ঠিক আছে, আর তারপর কেউ না কেউ আমাকে বলে যে আমি সম্ভবত ঠিক আছি। তাছাড়া, আমি আমার বাবা-মায়ের সাথে কথা বলেছিলাম, এবং তারা বলেছিল যে এটা স্বাভাবিক। কিন্তু গতক"&amp;"াল, আমি আমার বন্ধুর সাথে বাস্কেটবল খেলা দেখতে যাচ্ছি কারণ আমার ভালো লাগছিল না, যখন বাস্তবে আমি প্রতিবার সেখানে থাকার কথা ভাবলেই শ্বাস নিতে পারছিলাম না। এখনও একই অবস্থা। এই জ্যাজ রিহার্সেলে যেতে আমার এত ভয় লাগছে যে আমি বিছানায় বসে কাঁদছি এবং উপায় খুঁজছ"&amp;"ি। আমার বাবা-মা আমাকে এমন কিছুর মুখোমুখি হতে বাধ্য করছেন যা আমার শারীরিকভাবে কষ্ট দেয়, এবং আমি জানি না তাদের কী বোঝাবো যাতে তারা বুঝতে পারে। (সাধারণত তারা মানসিক অসুস্থতা সম্পর্কে খুব ভালোভাবে বোঝে, কিন্তু যেহেতু আমার কোনও রোগ ধরা পড়েনি, তাই তারা ধরে নে"&amp;"য় যে আমি ১০০% ভালো আছি এবং আমি কি অতিরিক্ত প্রতিক্রিয়া দেখাচ্ছি) আমি সত্যিই আর কোনও কার্যকলাপ এবং সুযোগ মিস করতে চাই না, কিন্তু যদি সেগুলি মিস করার অর্থ হল আমার পেটে ভারী ইটের অনুভূতি, মাথা ঘোরা এবং শ্বাসকষ্টের মতো অনুভূতির মুখোমুখি হতে না হয়, তাহলে আম"&amp;"ার মনে হয় আমার কিছু যায় আসে না। কারও কাছে পরামর্শ আছে... দয়া করে শেয়ার করুন। আমি সত্যিই ভয় পাচ্ছি এবং ঠিক কী করব তার কোনও ধারণা নেই। ধন্যবাদ।")</f>
        <v>আমি গুরুত্বপূর্ণ সুযোগগুলো হারাচ্ছি। আমার দুশ্চিন্তা আছে কিনা তা নিশ্চিত নই। আমি বারবার ভাবি, হয়তো ঠিক আছে, আর তারপর কেউ না কেউ আমাকে বলে যে আমি সম্ভবত ঠিক আছি। তাছাড়া, আমি আমার বাবা-মায়ের সাথে কথা বলেছিলাম, এবং তারা বলেছিল যে এটা স্বাভাবিক। কিন্তু গতকাল, আমি আমার বন্ধুর সাথে বাস্কেটবল খেলা দেখতে যাচ্ছি কারণ আমার ভালো লাগছিল না, যখন বাস্তবে আমি প্রতিবার সেখানে থাকার কথা ভাবলেই শ্বাস নিতে পারছিলাম না। এখনও একই অবস্থা। এই জ্যাজ রিহার্সেলে যেতে আমার এত ভয় লাগছে যে আমি বিছানায় বসে কাঁদছি এবং উপায় খুঁজছি। আমার বাবা-মা আমাকে এমন কিছুর মুখোমুখি হতে বাধ্য করছেন যা আমার শারীরিকভাবে কষ্ট দেয়, এবং আমি জানি না তাদের কী বোঝাবো যাতে তারা বুঝতে পারে। (সাধারণত তারা মানসিক অসুস্থতা সম্পর্কে খুব ভালোভাবে বোঝে, কিন্তু যেহেতু আমার কোনও রোগ ধরা পড়েনি, তাই তারা ধরে নেয় যে আমি ১০০% ভালো আছি এবং আমি কি অতিরিক্ত প্রতিক্রিয়া দেখাচ্ছি) আমি সত্যিই আর কোনও কার্যকলাপ এবং সুযোগ মিস করতে চাই না, কিন্তু যদি সেগুলি মিস করার অর্থ হল আমার পেটে ভারী ইটের অনুভূতি, মাথা ঘোরা এবং শ্বাসকষ্টের মতো অনুভূতির মুখোমুখি হতে না হয়, তাহলে আমার মনে হয় আমার কিছু যায় আসে না। কারও কাছে পরামর্শ আছে... দয়া করে শেয়ার করুন। আমি সত্যিই ভয় পাচ্ছি এবং ঠিক কী করব তার কোনও ধারণা নেই। ধন্যবাদ।</v>
      </c>
    </row>
    <row r="2980" spans="1:3" ht="15" x14ac:dyDescent="0.25">
      <c r="A2980" s="3" t="s">
        <v>2973</v>
      </c>
      <c r="B2980" s="3" t="s">
        <v>1992</v>
      </c>
      <c r="C2980" s="4" t="str">
        <f ca="1">IFERROR(__xludf.DUMMYFUNCTION("GOOGLETRANSLATE(A2980, ""auto"", ""bn"")"),"কাজের সাথে সম্পর্কিত উদ্বেগ সম্পর্কে পডকাস্ট? কেউ কি জানেন? এখনই খুব সহায়ক হবে।")</f>
        <v>কাজের সাথে সম্পর্কিত উদ্বেগ সম্পর্কে পডকাস্ট? কেউ কি জানেন? এখনই খুব সহায়ক হবে।</v>
      </c>
    </row>
    <row r="2981" spans="1:3" ht="15" x14ac:dyDescent="0.25">
      <c r="A2981" s="3" t="s">
        <v>2974</v>
      </c>
      <c r="B2981" s="3" t="s">
        <v>1992</v>
      </c>
      <c r="C2981" s="4" t="str">
        <f ca="1">IFERROR(__xludf.DUMMYFUNCTION("GOOGLETRANSLATE(A2981, ""auto"", ""bn"")"),"GAD: আমি [M26] আর কি করতে পারি? এক সপ্তাহ আগে একটা চিন্তা আরেকটা চিন্তার জন্ম দেয় এবং কেউ যেন সুইচ উল্টে দেয়, আমার মনে মৃত্যু, সময় চলে যাওয়া, বৃদ্ধ হওয়া, বাবা-মা (বাবা ৫৬ বছর বয়সী) হারানোর ভয় শুরু হয়। মৃত্যুর পর আর কিছুই থাকে না ইত্যাদি। তারপর থেক"&amp;"ে আমি এই চিন্তাগুলো মাথা থেকে সরাতে পারছি না এবং সব সময় উদ্বিগ্ন বোধ করতে থাকি। মনোরোগ বিশেষজ্ঞের কাছে গিয়েছিলাম এবং অতিরিক্ত প্রেসক্রিপশনের পাশাপাশি অ্যাটারাক্সিও দেওয়া হয়েছিল। থেরাপির জন্য একজন মনোবিজ্ঞানীর কাছেও পাঠানো হয়েছিল। আমি এখনও থেরাপির তার"&amp;"িখের জন্য অপেক্ষা করছি। ওষুধ শুরু না হওয়া পর্যন্ত এবং থেরাপি এতটা চিন্তা না করা পর্যন্ত আমি কি আর কিছু করতে পারি? এটা আমাকে মেরে ফেলছে...")</f>
        <v>GAD: আমি [M26] আর কি করতে পারি? এক সপ্তাহ আগে একটা চিন্তা আরেকটা চিন্তার জন্ম দেয় এবং কেউ যেন সুইচ উল্টে দেয়, আমার মনে মৃত্যু, সময় চলে যাওয়া, বৃদ্ধ হওয়া, বাবা-মা (বাবা ৫৬ বছর বয়সী) হারানোর ভয় শুরু হয়। মৃত্যুর পর আর কিছুই থাকে না ইত্যাদি। তারপর থেকে আমি এই চিন্তাগুলো মাথা থেকে সরাতে পারছি না এবং সব সময় উদ্বিগ্ন বোধ করতে থাকি। মনোরোগ বিশেষজ্ঞের কাছে গিয়েছিলাম এবং অতিরিক্ত প্রেসক্রিপশনের পাশাপাশি অ্যাটারাক্সিও দেওয়া হয়েছিল। থেরাপির জন্য একজন মনোবিজ্ঞানীর কাছেও পাঠানো হয়েছিল। আমি এখনও থেরাপির তারিখের জন্য অপেক্ষা করছি। ওষুধ শুরু না হওয়া পর্যন্ত এবং থেরাপি এতটা চিন্তা না করা পর্যন্ত আমি কি আর কিছু করতে পারি? এটা আমাকে মেরে ফেলছে...</v>
      </c>
    </row>
    <row r="2982" spans="1:3" ht="15" x14ac:dyDescent="0.25">
      <c r="A2982" s="3" t="s">
        <v>2975</v>
      </c>
      <c r="B2982" s="3" t="s">
        <v>1992</v>
      </c>
      <c r="C2982" s="4" t="str">
        <f ca="1">IFERROR(__xludf.DUMMYFUNCTION("GOOGLETRANSLATE(A2982, ""auto"", ""bn"")"),"আমার পরামর্শ দরকার সবাইকে হ্যালো, আমি ১৬ বছর বয়সী একজন ইতালীয় ছাত্র এবং আমার একটি উদ্বেগজনিত ব্যাধি আছে, এবং আমার একটি বড় সমস্যা আছে: আমি সবসময় স্কুলের কারণে উদ্বিগ্ন থাকি, এবং এটি আরও খারাপ হচ্ছে, আমি আর সহ্য করতে পারছি না। আমি প্রতিদিন নিজেকে কাঁদতে"&amp;" দেখি কারণ আমার স্কুল খুব কঠিন মনে হয়, আমি মনোযোগ দিতে পারি না এবং আমাকে যা শেখানো হয় তা বুঝতে সমস্যা হয়, এবং আমার আত্মহত্যার চিন্তাভাবনা শুরু হয় ... তাছাড়া, আমি স্কুল ছেড়ে দেওয়ার কথা ভাবছি, আমার কী করা উচিত?")</f>
        <v>আমার পরামর্শ দরকার সবাইকে হ্যালো, আমি ১৬ বছর বয়সী একজন ইতালীয় ছাত্র এবং আমার একটি উদ্বেগজনিত ব্যাধি আছে, এবং আমার একটি বড় সমস্যা আছে: আমি সবসময় স্কুলের কারণে উদ্বিগ্ন থাকি, এবং এটি আরও খারাপ হচ্ছে, আমি আর সহ্য করতে পারছি না। আমি প্রতিদিন নিজেকে কাঁদতে দেখি কারণ আমার স্কুল খুব কঠিন মনে হয়, আমি মনোযোগ দিতে পারি না এবং আমাকে যা শেখানো হয় তা বুঝতে সমস্যা হয়, এবং আমার আত্মহত্যার চিন্তাভাবনা শুরু হয় ... তাছাড়া, আমি স্কুল ছেড়ে দেওয়ার কথা ভাবছি, আমার কী করা উচিত?</v>
      </c>
    </row>
    <row r="2983" spans="1:3" ht="15" x14ac:dyDescent="0.25">
      <c r="A2983" s="3" t="s">
        <v>2976</v>
      </c>
      <c r="B2983" s="3" t="s">
        <v>1992</v>
      </c>
      <c r="C2983" s="4" t="str">
        <f ca="1">IFERROR(__xludf.DUMMYFUNCTION("GOOGLETRANSLATE(A2983, ""auto"", ""bn"")"),"প্রথম পোস্ট: হ্যালো, আমি ৩৬ বছর বয়সী একজন মহিলা, জীবনের বেশিরভাগ সময় ধরেই উদ্বেগের সাথে লড়াই করে আসছি, কিন্তু ১৮ বছর বয়সে আমার প্রথম সত্যিকারের প্যানিক অ্যাটাক হয়েছিল। তারপর থেকে এটি বারবার শুরু হয়েছে, যার মধ্যে আমার তিন সন্তানের মধ্যে দুটির ক্ষেত্র"&amp;"ে PPD/PPA এর আক্রমণও রয়েছে। আমি Zoloft ব্যবহার করে আসছি (যা সাহায্য করে... যখন আমি এটি গ্রহণ করি) এবং থেরাপির আওতায় আওতায় আছি। চার বছর আগে গর্ভপাতের পর আমার এক সপ্তাহ ধরে মানসিক চিকিৎসার জন্য (স্বেচ্ছাসেবী) থাকার ব্যবস্থা ছিল। গত মাস ধরে আমার আবারও এই সম"&amp;"স্যা দেখা দিচ্ছে। কিছুদিন ধরে এটি বেড়েই চলেছে, কিন্তু ক্রিসমাস সবসময় আমাকে চাপ দেয়। আমি বেশ কয়েক মাস ধরে ওষুধ বন্ধ করে দিয়েছি। তাই এক মাস আগে আমি বাইরে যাওয়ার চেষ্টা করি এবং আমার পাড়া থেকে বের হওয়ার সাথে সাথেই আমার মধ্যে প্রচণ্ড উদ্বেগ দেখা দেয়। "&amp;"আমি বাড়িতে ফিরে যাই এবং আমার স্বামীকে গাড়ি চালাতে বলি। আমরা প্রায় দোকানে পৌঁছাই যখন আমি সম্পূর্ণরূপে অস্থির হয়ে পড়ি। আমি চিৎকার করছি, কাঁদছি, আমার সিটে বসে ছটফট করছি, আমি কীভাবে মারা যাচ্ছি তা নিয়ে কথা বলছি (সব আমার ছোট দুই বাচ্চার সামনে এবং তাদের ব"&amp;"াজে কথা শুনে ভয় পাচ্ছি)। আমি আমার স্বামীকে গাড়ি থামাতে বলি এবং অ্যাম্বুলেন্স ডাকি। কয়েক ঘন্টার জন্য জরুরি বিভাগে ভর্তি থাকি এবং ভিস্টারিল প্রেসক্রিপশন (একটি অ্যান্টিহিস্টামিন যা উদ্বেগও কমায়) দিয়ে বাড়ি পাঠানো হয়। আমি সেদিনই জোলফ্টে ফিরে যাই, ৫০ মিল"&amp;"িগ্রাম দিয়ে শুরু করি। প্রায় দেড় সপ্তাহ আগে আমার প্রাথমিক চিকিৎসার ডাক্তারের সাথে দেখা করেছিলাম, এবং তিনি আমাকে ১০০ মিলিগ্রাম পর্যন্ত ডোজ দেওয়ার অনুমতি দেন। আমি কিছু উন্নতি দেখতে পাচ্ছি কিন্তু এখনও ওঠানামা আছে। নববর্ষের দিন আমার বুক/পিঠে তীব্র ব্যথা এব"&amp;"ং কান/গলা ব্যথা হয়েছিল। আমার লক্ষণগুলি গুগল করে আমার বিশ্বাস হয়েছিল যে আমার হার্ট অ্যাটাক হয়েছে, তাই আমি আমার স্বামীকে জরুরি চিকিৎসা কেন্দ্রে নিয়ে যাওয়ার জন্য অনুরোধ করি। আমার পুরো পরীক্ষা (EKG, ট্রোপোনিন পরীক্ষা, ক্রমাগত পর্যবেক্ষণ ইত্যাদি) করা হয়ে"&amp;"ছিল এবং সবকিছু ঠিক হয়ে গিয়েছিল। কান এবং গলার ব্যথা শেষ পর্যন্ত আমার কান থেকে তরল পদার্থ বের হয়ে যাওয়ার কারণে হয়েছিল। বৃহস্পতিবার এবং শুক্রবার দিনগুলো অনেক ভালো ছিল। আমি কেনাকাটা করতে গিয়েছিলাম (আমার স্বামী মুদিখানার কেনাকাটার আগে টার্গেটে যাওয়ার পর"&amp;"ামর্শ দিয়েছিলেন, যা আমাকে আরও শান্ত বোধ করতে সাহায্য করেছিল, আমি টার্গেট পছন্দ করি হা হা)। শুক্রবার আমি নিশ্চিত করেছিলাম যে আমি খাচ্ছি এবং পান করছি এবং দারুন লাগছে। তবে গতকাল দিনটি খারাপ ছিল। আমরা ওয়ালমার্টে গিয়েছিলাম এবং যাওয়ার আগে আমি কিছু খাইনি, যা"&amp;"র ফলে আমি উদ্বিগ্ন বোধ করছিলাম, এবং আমার পুরো ধড় (পেট, পাঁজরের খাঁচা, পিঠ), হালকা মাথাব্যথা ইত্যাদিতে খিঁচুনি হচ্ছিল। স্বামী আমাকে মাফিন খেতে এবং কিছু জল পান করতে বলেছিলেন যা কিছুক্ষণের জন্য আমার ভালো বোধ করেছিল। কিন্তু বাকি দিন আমি উদ্বেগের ঢেউ এবং প্রা"&amp;"য় অবিরাম বুক/পিঠে ব্যথা এবং মাথার পিছনের অংশে যে আমি মারা যাচ্ছি তা অনুভব করেছিলাম। এটি আমার বিবাহের উপর যথেষ্ট চাপ সৃষ্টি করছে। আমার স্বামী একজন ফার্স্ট রেসপন্ডার হিসেবে প্রশিক্ষিত (পূর্ববর্তী চাকরিতে তিনি একজন সেফটি কোঅর্ডিনেটর ছিলেন) এবং তিনি সরাসরি হ"&amp;"ার্ট অ্যাটাক এবং এই ধরণের সমস্যাগুলির মুখোমুখি হয়েছেন (আসলে আমাদের বাড়ির উঠোনে একদিন একজন পুরুষের হার্ট অ্যাটাক হয়েছিল এবং আমার স্বামী তাকে প্রাথমিক চিকিৎসা দিয়েছিলেন যতক্ষণ না অ্যাম্বুলেন্স আসে। দুঃখের বিষয়, তিনি বেঁচে যাননি)। তিনি ক্রমাগত আমাকে আশ্"&amp;"বস্ত করার চেষ্টা করেন যে আমার হার্ট অ্যাটাক হচ্ছে না, এটি কেবল আগের মতোই উদ্বেগ। কিন্তু তিনি মনে করেন যে আমি তাকে বিশ্বাস করি না কারণ আমার উদ্বেগ কেবল অনুপ্রবেশকারী চিন্তাভাবনাগুলিকে যেতে দেয় না। তিনি আসলে ভাবেন যে গত মাসে যখন আমি জরুরি বিভাগে গিয়েছিলাম"&amp;" তখন আমার আরও একবার হাসপাতালে থাকা উচিত ছিল, এমনকি যদি এর অর্থ আমি ক্রিসমাস মিস করতাম। এটি তাকে চাপ দিচ্ছে, এবং তিনি মনে করছেন যে তিনি আমাকে সাহায্য করতে পারবেন না। সর্বোপরি, আমার আড়াই বছরের মধ্যে প্রথম মাসিক হয়েছে (আমি জন্ম নিয়ন্ত্রণ ব্যাখ্যা করছি, বা"&amp;"হুতে ইমপ্লান্ট) এবং গত মাসিকের জন্য আমি আসলে হালকা রক্তপাত করছি (আমি আগামীকাল আমার OB/GUN-কে ফোন করছি)। যা ঘনিষ্ঠতার উপর মারাত্মক প্রভাব ফেলেছে। যা আমাকে আরও খারাপ স্ত্রীর মতো অনুভব করায়। বেশিরভাগ দিনই আমার মনে হয় যে আমি ফিরে আসার জন্য অপেক্ষা করছি, সুড়ঙ"&amp;"্গের শেষে আলো দেখতে পাচ্ছি। তারপর গতকালের মতো দিনগুলো আসে যখন আমি ক্রমাগত নিম্ন থেকে মাঝারি স্তরের উদ্বেগ এবং মাথার মধ্যে বিরক্তিকর অনুভূতির সাথে মোকাবিলা করি এবং নিজেকে আমার পরিবারের জন্য একটি বিশাল বোঝার মতো মনে করি। আমি এই অনুভূতি থেকে মুক্তি পেতে পারি"&amp;" না যে আমার মধ্যে আসলে কিছু সমস্যা আছে (অবশ্যই উদ্বেগ ছাড়া)।")</f>
        <v>প্রথম পোস্ট: হ্যালো, আমি ৩৬ বছর বয়সী একজন মহিলা, জীবনের বেশিরভাগ সময় ধরেই উদ্বেগের সাথে লড়াই করে আসছি, কিন্তু ১৮ বছর বয়সে আমার প্রথম সত্যিকারের প্যানিক অ্যাটাক হয়েছিল। তারপর থেকে এটি বারবার শুরু হয়েছে, যার মধ্যে আমার তিন সন্তানের মধ্যে দুটির ক্ষেত্রে PPD/PPA এর আক্রমণও রয়েছে। আমি Zoloft ব্যবহার করে আসছি (যা সাহায্য করে... যখন আমি এটি গ্রহণ করি) এবং থেরাপির আওতায় আওতায় আছি। চার বছর আগে গর্ভপাতের পর আমার এক সপ্তাহ ধরে মানসিক চিকিৎসার জন্য (স্বেচ্ছাসেবী) থাকার ব্যবস্থা ছিল। গত মাস ধরে আমার আবারও এই সমস্যা দেখা দিচ্ছে। কিছুদিন ধরে এটি বেড়েই চলেছে, কিন্তু ক্রিসমাস সবসময় আমাকে চাপ দেয়। আমি বেশ কয়েক মাস ধরে ওষুধ বন্ধ করে দিয়েছি। তাই এক মাস আগে আমি বাইরে যাওয়ার চেষ্টা করি এবং আমার পাড়া থেকে বের হওয়ার সাথে সাথেই আমার মধ্যে প্রচণ্ড উদ্বেগ দেখা দেয়। আমি বাড়িতে ফিরে যাই এবং আমার স্বামীকে গাড়ি চালাতে বলি। আমরা প্রায় দোকানে পৌঁছাই যখন আমি সম্পূর্ণরূপে অস্থির হয়ে পড়ি। আমি চিৎকার করছি, কাঁদছি, আমার সিটে বসে ছটফট করছি, আমি কীভাবে মারা যাচ্ছি তা নিয়ে কথা বলছি (সব আমার ছোট দুই বাচ্চার সামনে এবং তাদের বাজে কথা শুনে ভয় পাচ্ছি)। আমি আমার স্বামীকে গাড়ি থামাতে বলি এবং অ্যাম্বুলেন্স ডাকি। কয়েক ঘন্টার জন্য জরুরি বিভাগে ভর্তি থাকি এবং ভিস্টারিল প্রেসক্রিপশন (একটি অ্যান্টিহিস্টামিন যা উদ্বেগও কমায়) দিয়ে বাড়ি পাঠানো হয়। আমি সেদিনই জোলফ্টে ফিরে যাই, ৫০ মিলিগ্রাম দিয়ে শুরু করি। প্রায় দেড় সপ্তাহ আগে আমার প্রাথমিক চিকিৎসার ডাক্তারের সাথে দেখা করেছিলাম, এবং তিনি আমাকে ১০০ মিলিগ্রাম পর্যন্ত ডোজ দেওয়ার অনুমতি দেন। আমি কিছু উন্নতি দেখতে পাচ্ছি কিন্তু এখনও ওঠানামা আছে। নববর্ষের দিন আমার বুক/পিঠে তীব্র ব্যথা এবং কান/গলা ব্যথা হয়েছিল। আমার লক্ষণগুলি গুগল করে আমার বিশ্বাস হয়েছিল যে আমার হার্ট অ্যাটাক হয়েছে, তাই আমি আমার স্বামীকে জরুরি চিকিৎসা কেন্দ্রে নিয়ে যাওয়ার জন্য অনুরোধ করি। আমার পুরো পরীক্ষা (EKG, ট্রোপোনিন পরীক্ষা, ক্রমাগত পর্যবেক্ষণ ইত্যাদি) করা হয়েছিল এবং সবকিছু ঠিক হয়ে গিয়েছিল। কান এবং গলার ব্যথা শেষ পর্যন্ত আমার কান থেকে তরল পদার্থ বের হয়ে যাওয়ার কারণে হয়েছিল। বৃহস্পতিবার এবং শুক্রবার দিনগুলো অনেক ভালো ছিল। আমি কেনাকাটা করতে গিয়েছিলাম (আমার স্বামী মুদিখানার কেনাকাটার আগে টার্গেটে যাওয়ার পরামর্শ দিয়েছিলেন, যা আমাকে আরও শান্ত বোধ করতে সাহায্য করেছিল, আমি টার্গেট পছন্দ করি হা হা)। শুক্রবার আমি নিশ্চিত করেছিলাম যে আমি খাচ্ছি এবং পান করছি এবং দারুন লাগছে। তবে গতকাল দিনটি খারাপ ছিল। আমরা ওয়ালমার্টে গিয়েছিলাম এবং যাওয়ার আগে আমি কিছু খাইনি, যার ফলে আমি উদ্বিগ্ন বোধ করছিলাম, এবং আমার পুরো ধড় (পেট, পাঁজরের খাঁচা, পিঠ), হালকা মাথাব্যথা ইত্যাদিতে খিঁচুনি হচ্ছিল। স্বামী আমাকে মাফিন খেতে এবং কিছু জল পান করতে বলেছিলেন যা কিছুক্ষণের জন্য আমার ভালো বোধ করেছিল। কিন্তু বাকি দিন আমি উদ্বেগের ঢেউ এবং প্রায় অবিরাম বুক/পিঠে ব্যথা এবং মাথার পিছনের অংশে যে আমি মারা যাচ্ছি তা অনুভব করেছিলাম। এটি আমার বিবাহের উপর যথেষ্ট চাপ সৃষ্টি করছে। আমার স্বামী একজন ফার্স্ট রেসপন্ডার হিসেবে প্রশিক্ষিত (পূর্ববর্তী চাকরিতে তিনি একজন সেফটি কোঅর্ডিনেটর ছিলেন) এবং তিনি সরাসরি হার্ট অ্যাটাক এবং এই ধরণের সমস্যাগুলির মুখোমুখি হয়েছেন (আসলে আমাদের বাড়ির উঠোনে একদিন একজন পুরুষের হার্ট অ্যাটাক হয়েছিল এবং আমার স্বামী তাকে প্রাথমিক চিকিৎসা দিয়েছিলেন যতক্ষণ না অ্যাম্বুলেন্স আসে। দুঃখের বিষয়, তিনি বেঁচে যাননি)। তিনি ক্রমাগত আমাকে আশ্বস্ত করার চেষ্টা করেন যে আমার হার্ট অ্যাটাক হচ্ছে না, এটি কেবল আগের মতোই উদ্বেগ। কিন্তু তিনি মনে করেন যে আমি তাকে বিশ্বাস করি না কারণ আমার উদ্বেগ কেবল অনুপ্রবেশকারী চিন্তাভাবনাগুলিকে যেতে দেয় না। তিনি আসলে ভাবেন যে গত মাসে যখন আমি জরুরি বিভাগে গিয়েছিলাম তখন আমার আরও একবার হাসপাতালে থাকা উচিত ছিল, এমনকি যদি এর অর্থ আমি ক্রিসমাস মিস করতাম। এটি তাকে চাপ দিচ্ছে, এবং তিনি মনে করছেন যে তিনি আমাকে সাহায্য করতে পারবেন না। সর্বোপরি, আমার আড়াই বছরের মধ্যে প্রথম মাসিক হয়েছে (আমি জন্ম নিয়ন্ত্রণ ব্যাখ্যা করছি, বাহুতে ইমপ্লান্ট) এবং গত মাসিকের জন্য আমি আসলে হালকা রক্তপাত করছি (আমি আগামীকাল আমার OB/GUN-কে ফোন করছি)। যা ঘনিষ্ঠতার উপর মারাত্মক প্রভাব ফেলেছে। যা আমাকে আরও খারাপ স্ত্রীর মতো অনুভব করায়। বেশিরভাগ দিনই আমার মনে হয় যে আমি ফিরে আসার জন্য অপেক্ষা করছি, সুড়ঙ্গের শেষে আলো দেখতে পাচ্ছি। তারপর গতকালের মতো দিনগুলো আসে যখন আমি ক্রমাগত নিম্ন থেকে মাঝারি স্তরের উদ্বেগ এবং মাথার মধ্যে বিরক্তিকর অনুভূতির সাথে মোকাবিলা করি এবং নিজেকে আমার পরিবারের জন্য একটি বিশাল বোঝার মতো মনে করি। আমি এই অনুভূতি থেকে মুক্তি পেতে পারি না যে আমার মধ্যে আসলে কিছু সমস্যা আছে (অবশ্যই উদ্বেগ ছাড়া)।</v>
      </c>
    </row>
    <row r="2984" spans="1:3" ht="15" x14ac:dyDescent="0.25">
      <c r="A2984" s="3" t="s">
        <v>2977</v>
      </c>
      <c r="B2984" s="3" t="s">
        <v>1992</v>
      </c>
      <c r="C2984" s="4" t="str">
        <f ca="1">IFERROR(__xludf.DUMMYFUNCTION("GOOGLETRANSLATE(A2984, ""auto"", ""bn"")"),"ছোট ছোট পেশীর টান এবং ব্যথার জন্য ভয় পেয়েছি। হ্যালো বন্ধুরা, আমি সারা জীবন কিছুটা উদ্বিগ্ন ছিলাম, কিন্তু গত বছর আমার প্রথম গুরুতর প্যানিক অ্যাটাক হয়েছিল (রাতের দিকে খুব কম সংখ্যক প্যানিক অ্যাটাক হয়েছিল, কিন্তু আমি জানতাম না কোথায় প্যানিক অ্যাটাক হয়) এবং "&amp;"পরে এটি খারাপ দিকে মোড় নেয়। আমি থেরাপি শুরু করেছিলাম যা সময়ের সাথে সাথে সাহায্য করেছে এবং সেগুলিকে সর্বনিম্ন রাখা হয়েছে, কিন্তু হার্ট অ্যাটাকের কিছু অযৌক্তিক ধারণা এখনও রয়ে গেছে। মনে হচ্ছে আমার শরীরের সাথে শারীরিকভাবে ঘটে যাওয়া প্রতিটি ছোট ছোট জিনিস "&amp;"সম্পর্কে আমি খুব বেশি সচেতন - বিশেষ করে আমার স্টার্নামের চারপাশে সামান্য ব্যথা, আমার বুকের চারপাশে পেশীর টান বা মাথার চারপাশে এই অদ্ভুত ঝিঁঝিঁ পোকা। এবং আমার হৃদয় যেন কোনও ধরণের সুপার পাম্পের জোরে স্পন্দিত হচ্ছে তা অনুভব করতে শুরু করো না। প্রায়শই আমি ভয"&amp;"় পাই যে আমি অজ্ঞান হয়ে যাব। আমার কখনও উচ্চ রক্তচাপ হয়নি, ডাক্তারের কাছে যাইনি ইত্যাদি। আর কেউ কি একই রকম অভিজ্ঞতা পেয়েছেন? এর থেকে মুক্তি পাওয়ার জন্য কোন ধারণা আছে? আপনাকে অনেক ধন্যবাদ এবং সবাই দৃঢ় থাকুন!")</f>
        <v>ছোট ছোট পেশীর টান এবং ব্যথার জন্য ভয় পেয়েছি। হ্যালো বন্ধুরা, আমি সারা জীবন কিছুটা উদ্বিগ্ন ছিলাম, কিন্তু গত বছর আমার প্রথম গুরুতর প্যানিক অ্যাটাক হয়েছিল (রাতের দিকে খুব কম সংখ্যক প্যানিক অ্যাটাক হয়েছিল, কিন্তু আমি জানতাম না কোথায় প্যানিক অ্যাটাক হয়) এবং পরে এটি খারাপ দিকে মোড় নেয়। আমি থেরাপি শুরু করেছিলাম যা সময়ের সাথে সাথে সাহায্য করেছে এবং সেগুলিকে সর্বনিম্ন রাখা হয়েছে, কিন্তু হার্ট অ্যাটাকের কিছু অযৌক্তিক ধারণা এখনও রয়ে গেছে। মনে হচ্ছে আমার শরীরের সাথে শারীরিকভাবে ঘটে যাওয়া প্রতিটি ছোট ছোট জিনিস সম্পর্কে আমি খুব বেশি সচেতন - বিশেষ করে আমার স্টার্নামের চারপাশে সামান্য ব্যথা, আমার বুকের চারপাশে পেশীর টান বা মাথার চারপাশে এই অদ্ভুত ঝিঁঝিঁ পোকা। এবং আমার হৃদয় যেন কোনও ধরণের সুপার পাম্পের জোরে স্পন্দিত হচ্ছে তা অনুভব করতে শুরু করো না। প্রায়শই আমি ভয় পাই যে আমি অজ্ঞান হয়ে যাব। আমার কখনও উচ্চ রক্তচাপ হয়নি, ডাক্তারের কাছে যাইনি ইত্যাদি। আর কেউ কি একই রকম অভিজ্ঞতা পেয়েছেন? এর থেকে মুক্তি পাওয়ার জন্য কোন ধারণা আছে? আপনাকে অনেক ধন্যবাদ এবং সবাই দৃঢ় থাকুন!</v>
      </c>
    </row>
    <row r="2985" spans="1:3" ht="15" x14ac:dyDescent="0.25">
      <c r="A2985" s="3" t="s">
        <v>2978</v>
      </c>
      <c r="B2985" s="3" t="s">
        <v>1992</v>
      </c>
      <c r="C2985" s="4" t="str">
        <f ca="1">IFERROR(__xludf.DUMMYFUNCTION("GOOGLETRANSLATE(A2985, ""auto"", ""bn"")"),"গত রাতে আমি একা একটা ক্লাবে গিয়েছিলাম (এবং এটা খুব ভালো লেগেছে)। কয়েক বছর আগে আমি ঘর থেকে বের হতেই পারছিলাম না। অনলাইনে দেখলাম যে একজন শিল্পীর কথা শুনি, তিনি আমার কাছের একটা ক্লাবে ডিজে করতে যাচ্ছেন। গানটা বেশ আন্ডারগ্রাউন্ড (টেকনো/লফট হাউস) এবং আমার কোনও"&amp;" বন্ধুই এতে মোটেও আগ্রহী নয়। হঠাৎ করেই আমি ভাবলাম 'এটা বন্ধ করো' এবং টিকিট কিনে ফেলি। গত রাতে সেখানে গেলাম। গান বাজছিল, জায়গাটা ব্যস্ত ছিল। আমি নাচছি আর শুধু গান অনুভব করছি, কে কী ভাবছে তা নিয়ে মাথা ঘামাই না। কয়েক বছর আগে আমি দুশ্চিন্তা/আতঙ্কে না জর্জর"&amp;"িত না হয়ে ঘর থেকে বের হতে পারতাম না। আশা করি এই পোস্টটি কিছু লোককে আশা দেবে :)")</f>
        <v>গত রাতে আমি একা একটা ক্লাবে গিয়েছিলাম (এবং এটা খুব ভালো লেগেছে)। কয়েক বছর আগে আমি ঘর থেকে বের হতেই পারছিলাম না। অনলাইনে দেখলাম যে একজন শিল্পীর কথা শুনি, তিনি আমার কাছের একটা ক্লাবে ডিজে করতে যাচ্ছেন। গানটা বেশ আন্ডারগ্রাউন্ড (টেকনো/লফট হাউস) এবং আমার কোনও বন্ধুই এতে মোটেও আগ্রহী নয়। হঠাৎ করেই আমি ভাবলাম 'এটা বন্ধ করো' এবং টিকিট কিনে ফেলি। গত রাতে সেখানে গেলাম। গান বাজছিল, জায়গাটা ব্যস্ত ছিল। আমি নাচছি আর শুধু গান অনুভব করছি, কে কী ভাবছে তা নিয়ে মাথা ঘামাই না। কয়েক বছর আগে আমি দুশ্চিন্তা/আতঙ্কে না জর্জরিত না হয়ে ঘর থেকে বের হতে পারতাম না। আশা করি এই পোস্টটি কিছু লোককে আশা দেবে :)</v>
      </c>
    </row>
    <row r="2986" spans="1:3" ht="15" x14ac:dyDescent="0.25">
      <c r="A2986" s="3" t="s">
        <v>2979</v>
      </c>
      <c r="B2986" s="3" t="s">
        <v>1992</v>
      </c>
      <c r="C2986" s="4" t="str">
        <f ca="1">IFERROR(__xludf.DUMMYFUNCTION("GOOGLETRANSLATE(A2986, ""auto"", ""bn"")"),"তুমি কি নিজেকে এমন পরিস্থিতিতে ফেলবে যা তোমার উদ্বেগ বাড়িয়ে তুলতে পারে কারণ সেগুলো তোমার অন্যভাবে উপকার করে, নাকি তোমার জীবনকে সবসময় উদ্বেগমুক্ত রাখা উচিত? আমিও কারণ আমি মাত্র দুটি চাকরির জন্য পদোন্নতি পেয়েছি এবং এমন একটি চাকরি বেছে নিয়েছি যা আমি ঘৃণ"&amp;"া করি কারণ এটি বেশি বেতন দেয় এবং আমি প্রযুক্তিগত দক্ষতা শিখব। 2 মাস হয়ে গেছে এবং আমি ঘুমাতে পারছি না কারণ এর চাপ আমার মনে সর্বদা থাকে। আমি যদি এমন চাকরি বেছে নিতাম যেখানে কম বেতন হত কিন্তু আমাকে উদ্বিগ্ন করে না। আমি সবসময় চাকরির পছন্দের বিষয়ে বন্ধুবান"&amp;"্ধব এবং পরিবারের সাথে পরামর্শ করি, এবং তারা যুক্তিসঙ্গত সিদ্ধান্ত নেয়, কিন্তু আমার উদ্বেগ যুক্তিসঙ্গত নয়। এটি কেবল সিদ্ধান্ত গ্রহণের প্রক্রিয়ার সময় তাকে শান্ত করা এবং যুক্তিসঙ্গত হওয়ার জন্য নয় বরং এটি উপলব্ধি করার জন্য যে এটি এমন কিছু যা আমাকে প্রতি"&amp;"দিন করতে হবে যদি আমি ভুল সিদ্ধান্ত নিই। আমি যদি সেই সময়ে এটি বুঝতে পারতাম। আমি সহজ পথ বেছে নিতাম।")</f>
        <v>তুমি কি নিজেকে এমন পরিস্থিতিতে ফেলবে যা তোমার উদ্বেগ বাড়িয়ে তুলতে পারে কারণ সেগুলো তোমার অন্যভাবে উপকার করে, নাকি তোমার জীবনকে সবসময় উদ্বেগমুক্ত রাখা উচিত? আমিও কারণ আমি মাত্র দুটি চাকরির জন্য পদোন্নতি পেয়েছি এবং এমন একটি চাকরি বেছে নিয়েছি যা আমি ঘৃণা করি কারণ এটি বেশি বেতন দেয় এবং আমি প্রযুক্তিগত দক্ষতা শিখব। 2 মাস হয়ে গেছে এবং আমি ঘুমাতে পারছি না কারণ এর চাপ আমার মনে সর্বদা থাকে। আমি যদি এমন চাকরি বেছে নিতাম যেখানে কম বেতন হত কিন্তু আমাকে উদ্বিগ্ন করে না। আমি সবসময় চাকরির পছন্দের বিষয়ে বন্ধুবান্ধব এবং পরিবারের সাথে পরামর্শ করি, এবং তারা যুক্তিসঙ্গত সিদ্ধান্ত নেয়, কিন্তু আমার উদ্বেগ যুক্তিসঙ্গত নয়। এটি কেবল সিদ্ধান্ত গ্রহণের প্রক্রিয়ার সময় তাকে শান্ত করা এবং যুক্তিসঙ্গত হওয়ার জন্য নয় বরং এটি উপলব্ধি করার জন্য যে এটি এমন কিছু যা আমাকে প্রতিদিন করতে হবে যদি আমি ভুল সিদ্ধান্ত নিই। আমি যদি সেই সময়ে এটি বুঝতে পারতাম। আমি সহজ পথ বেছে নিতাম।</v>
      </c>
    </row>
    <row r="2987" spans="1:3" ht="15" x14ac:dyDescent="0.25">
      <c r="A2987" s="3" t="s">
        <v>2980</v>
      </c>
      <c r="B2987" s="3" t="s">
        <v>1992</v>
      </c>
      <c r="C2987" s="4" t="str">
        <f ca="1">IFERROR(__xludf.DUMMYFUNCTION("GOOGLETRANSLATE(A2987, ""auto"", ""bn"")"),"কিভাবে মুখ খুলবো? আমার খুব ইচ্ছে করছে এবং আমার বান্ধবী বা বন্ধুর কাছে আমার উদ্বেগের কথা বলতে চাই, কিন্তু যতবারই চাইবো, আমার মনে হবে আমি একটা বোঝা, তারা এটা শুনতে চায় না, আমি তাদের বিরক্ত করবো, তারা চলে যাবে কারণ আমি অতিরিক্ত চাপে আছি, এবং আরও অনেক সমস্যা।"&amp;" এর ফলে আমার উদ্বেগ আরও বাড়ছে এবং পরিস্থিতি আরও খারাপ হচ্ছে। আমার মনে হচ্ছে এখন আমি একটা ক্রমাগত উদ্বেগের মধ্যে বাস করছি কারণ আমি কখনোই এটাকে বের হতে দিতে পারছি না এবং এটা আমার জীবনের সবকিছুকে প্রভাবিত করছে, এবং আমি সবকিছু নষ্ট করে দিচ্ছি। আমি কিভাবে এটা "&amp;"বের করতে পারি? দয়া করে সাহায্য করুন।")</f>
        <v>কিভাবে মুখ খুলবো? আমার খুব ইচ্ছে করছে এবং আমার বান্ধবী বা বন্ধুর কাছে আমার উদ্বেগের কথা বলতে চাই, কিন্তু যতবারই চাইবো, আমার মনে হবে আমি একটা বোঝা, তারা এটা শুনতে চায় না, আমি তাদের বিরক্ত করবো, তারা চলে যাবে কারণ আমি অতিরিক্ত চাপে আছি, এবং আরও অনেক সমস্যা। এর ফলে আমার উদ্বেগ আরও বাড়ছে এবং পরিস্থিতি আরও খারাপ হচ্ছে। আমার মনে হচ্ছে এখন আমি একটা ক্রমাগত উদ্বেগের মধ্যে বাস করছি কারণ আমি কখনোই এটাকে বের হতে দিতে পারছি না এবং এটা আমার জীবনের সবকিছুকে প্রভাবিত করছে, এবং আমি সবকিছু নষ্ট করে দিচ্ছি। আমি কিভাবে এটা বের করতে পারি? দয়া করে সাহায্য করুন।</v>
      </c>
    </row>
    <row r="2988" spans="1:3" ht="15" x14ac:dyDescent="0.25">
      <c r="A2988" s="3" t="s">
        <v>2981</v>
      </c>
      <c r="B2988" s="3" t="s">
        <v>1992</v>
      </c>
      <c r="C2988" s="4" t="str">
        <f ca="1">IFERROR(__xludf.DUMMYFUNCTION("GOOGLETRANSLATE(A2988, ""auto"", ""bn"")"),"কেউ কি মদ্যপান ত্যাগ করার চেষ্টা করছেন বা করেছেন? আমি জানি এতে পরিস্থিতি আরও খারাপ হচ্ছে। কয়েক ঘন্টার শান্তির কোনও মূল্য নেই। আপনি কীভাবে এটি করবেন?")</f>
        <v>কেউ কি মদ্যপান ত্যাগ করার চেষ্টা করছেন বা করেছেন? আমি জানি এতে পরিস্থিতি আরও খারাপ হচ্ছে। কয়েক ঘন্টার শান্তির কোনও মূল্য নেই। আপনি কীভাবে এটি করবেন?</v>
      </c>
    </row>
    <row r="2989" spans="1:3" ht="15" x14ac:dyDescent="0.25">
      <c r="A2989" s="3" t="s">
        <v>2982</v>
      </c>
      <c r="B2989" s="3" t="s">
        <v>1992</v>
      </c>
      <c r="C2989" s="4" t="str">
        <f ca="1">IFERROR(__xludf.DUMMYFUNCTION("GOOGLETRANSLATE(A2989, ""auto"", ""bn"")"),"প্রথমবার লিখছি। দয়া করে সাহায্য করুন, ৩৪ বছর বয়সী একজন পুরুষ, আমি এবং আমার স্ত্রী প্রায় ২ মাস ধরে বিবাহবিচ্ছেদের মধ্য দিয়ে যাচ্ছি। শুরুতে আমরা ভীষণ উদ্বেগ, বিচলিত, ঠিকমতো চিন্তা করতে পারি না ইত্যাদি নিয়ে কাজ করি। আমার এক মেয়ের সাথে দেখা হয় যে আমার এক ডাক্"&amp;"তার বন্ধুর কাছে কাজ করে। আমরা টেক্সট করতে শুরু করি এবং একে অপরকে ING করতে দেখি এবং সমস্ত উদ্বেগ এবং বুদবুদ সাহস চলে যায়। আমি সত্যিই তার প্রতি আকৃষ্ট হয়ে পড়ি, সে পারস্পরিক বন্ধুকে বলছে যে সে আমার প্রতি আকৃষ্ট এবং সবকিছু দারুনভাবে এগিয়ে যাচ্ছে। আমি এই মহিলা"&amp;"র সাথে আমার দেখা অন্য যেকোনো মেয়ের চেয়ে বেশি স্পন্দিত। আমি যতটা মেয়ের সাথে ছিলাম তার চেয়ে তার সাথে আমার অনেক বেশি মিল ছিল। সে আমাকে বলেছিল যে তার উদ্বেগের সমস্যা আছে। হঠাৎ করেই ২ দিন আগে সে আমাকে বলেছিল যে আমাদের কথা বলা উচিত নয়, এবং সে আমাকে আঘাত করতে "&amp;"ভয় পায়। সে যতক্ষণ আমার সাথে ছিল তার উদ্বেগ গোপন ছিল, এবং সে ভালো বোধ করছিল, কিন্তু সুইচটি উল্টে গেল, এবং সে ভয় পেয়ে গেল যে সে আমাকে আঘাত করবে, এবং সে আমার প্রতি এতটাই আগ্রহী ছিল এবং আমার এত যত্ন নিত যে সে আমাকে আঘাত করতে পারত না। এটা আমাকে ভেঙে ফেলেছিল। আ"&amp;"মি বুঝতে পারিনি। কারণ আমার মনে হচ্ছিল আমরা একে অপরকে সাহায্য করছি। তারপর গত রাতে আমি জানতে পারি যে সে আমার সবচেয়ে কাছের বন্ধুদের একজনের সাথে দেখা করছে যার বিবাহিত 3টি বাচ্চা আছে এবং অন্য একজন এক মাসের মধ্যে তার সাথে দেখা করবে, যতক্ষণ না সে এবং আমি কথা শু"&amp;"রু করি। সে আমাকে কখনও কিছু বলেনি বরং তাকে তার সাথে কথা বলতে প্ররোচিত করার চেষ্টা করেছিল। এই দুজনের ঘনিষ্ঠতা আমাকে জিইয়ে রাখছে। আমার উদ্বেগ প্রতিশোধের সাথে ফিরে এসেছে। আমি ঘুমাতে, খেতে, বাথরুম ব্যবহার করতে পারি না ইত্যাদি। তারা কী করেছে তা জেনে আমার বিরক্"&amp;"ত লাগছে এবং সে তার কাছ থেকে আমার কাছে চলে গেছে এবং আমার মুখের সামনে মিথ্যা বলেছে কারণ আমি তাকে কয়েক সপ্তাহ আগে তাদের সম্পর্ক সম্পর্কে জিজ্ঞাসা করেছিলাম। আমি জানি না কোথা থেকে এই বিষয়টি কাটিয়ে ওঠা শুরু করব।")</f>
        <v>প্রথমবার লিখছি। দয়া করে সাহায্য করুন, ৩৪ বছর বয়সী একজন পুরুষ, আমি এবং আমার স্ত্রী প্রায় ২ মাস ধরে বিবাহবিচ্ছেদের মধ্য দিয়ে যাচ্ছি। শুরুতে আমরা ভীষণ উদ্বেগ, বিচলিত, ঠিকমতো চিন্তা করতে পারি না ইত্যাদি নিয়ে কাজ করি। আমার এক মেয়ের সাথে দেখা হয় যে আমার এক ডাক্তার বন্ধুর কাছে কাজ করে। আমরা টেক্সট করতে শুরু করি এবং একে অপরকে ING করতে দেখি এবং সমস্ত উদ্বেগ এবং বুদবুদ সাহস চলে যায়। আমি সত্যিই তার প্রতি আকৃষ্ট হয়ে পড়ি, সে পারস্পরিক বন্ধুকে বলছে যে সে আমার প্রতি আকৃষ্ট এবং সবকিছু দারুনভাবে এগিয়ে যাচ্ছে। আমি এই মহিলার সাথে আমার দেখা অন্য যেকোনো মেয়ের চেয়ে বেশি স্পন্দিত। আমি যতটা মেয়ের সাথে ছিলাম তার চেয়ে তার সাথে আমার অনেক বেশি মিল ছিল। সে আমাকে বলেছিল যে তার উদ্বেগের সমস্যা আছে। হঠাৎ করেই ২ দিন আগে সে আমাকে বলেছিল যে আমাদের কথা বলা উচিত নয়, এবং সে আমাকে আঘাত করতে ভয় পায়। সে যতক্ষণ আমার সাথে ছিল তার উদ্বেগ গোপন ছিল, এবং সে ভালো বোধ করছিল, কিন্তু সুইচটি উল্টে গেল, এবং সে ভয় পেয়ে গেল যে সে আমাকে আঘাত করবে, এবং সে আমার প্রতি এতটাই আগ্রহী ছিল এবং আমার এত যত্ন নিত যে সে আমাকে আঘাত করতে পারত না। এটা আমাকে ভেঙে ফেলেছিল। আমি বুঝতে পারিনি। কারণ আমার মনে হচ্ছিল আমরা একে অপরকে সাহায্য করছি। তারপর গত রাতে আমি জানতে পারি যে সে আমার সবচেয়ে কাছের বন্ধুদের একজনের সাথে দেখা করছে যার বিবাহিত 3টি বাচ্চা আছে এবং অন্য একজন এক মাসের মধ্যে তার সাথে দেখা করবে, যতক্ষণ না সে এবং আমি কথা শুরু করি। সে আমাকে কখনও কিছু বলেনি বরং তাকে তার সাথে কথা বলতে প্ররোচিত করার চেষ্টা করেছিল। এই দুজনের ঘনিষ্ঠতা আমাকে জিইয়ে রাখছে। আমার উদ্বেগ প্রতিশোধের সাথে ফিরে এসেছে। আমি ঘুমাতে, খেতে, বাথরুম ব্যবহার করতে পারি না ইত্যাদি। তারা কী করেছে তা জেনে আমার বিরক্ত লাগছে এবং সে তার কাছ থেকে আমার কাছে চলে গেছে এবং আমার মুখের সামনে মিথ্যা বলেছে কারণ আমি তাকে কয়েক সপ্তাহ আগে তাদের সম্পর্ক সম্পর্কে জিজ্ঞাসা করেছিলাম। আমি জানি না কোথা থেকে এই বিষয়টি কাটিয়ে ওঠা শুরু করব।</v>
      </c>
    </row>
    <row r="2990" spans="1:3" ht="15" x14ac:dyDescent="0.25">
      <c r="A2990" s="3" t="s">
        <v>2983</v>
      </c>
      <c r="B2990" s="3" t="s">
        <v>1992</v>
      </c>
      <c r="C2990" s="4" t="str">
        <f ca="1">IFERROR(__xludf.DUMMYFUNCTION("GOOGLETRANSLATE(A2990, ""auto"", ""bn"")"),"বেঁচে থাকার জন্য আমার উদ্বেগ [হয়তো উদ্দীপক] আমি কখনোই আমার অনুভূতিগুলিকে উদ্বেগ হিসেবে চিহ্নিত করিনি। আমি যেসব অভ্যন্তরীণ বিশৃঙ্খলার মুখোমুখি হই, সেগুলোর নাম দিতে দ্বিধা বোধ করি কারণ আমার কখনও এর কোনও রোগ ধরা পড়েনি। এই ক্ষেত্রে আমার হাত বাঁধা। আমি নিজেকে"&amp;" পেশাদার সাহায্য নেওয়ার অনুমতি দিতে পারি না, যদিও আমার সম্ভবত এটির সত্যিই প্রয়োজন এবং আমার সমস্যাগুলির জন্য আমি যাদের উপর নির্ভর করেছি তারা অনেকেই আমাকে এটি করার জন্য মরিয়া হয়ে সুপারিশ করেছেন। সম্ভবত এটি করতে না পারা এবং অস্বীকার করার মিশ্রণ। কারণ সবক"&amp;"িছু ঠিক আছে, তাই না? আমার কোনও সমস্যা নেই, অন্যদের অবস্থা আরও খারাপ। আমি ভীত হয়ে জেগে উঠি। আমি চাইতাম আমি জেগে না উঠি। আমি চাইতাম আমি চিরতরে ঘুমাতে যেতে পারতাম, এবং সেই সময়টি আমার কাছ থেকে পালিয়ে যাওয়া বন্ধ করে দিত। কিন্তু তা হয় না। এটি আমার পরবর্তী "&amp;"চ্যালেঞ্জগুলির দিকে এগিয়ে যায় যা আমার হৃদয়ের স্পন্দন এবং শ্বাস দ্রুত করে তোলে যখন আমি এটি সম্পর্কে চিন্তা করি। আমার পুরো দিনটি আমি নিচু ভয়ে কাটিয়েছি। আমার মনে হয় আমি আর আমার জীবন উপভোগ করতে পারছি না। এমনকি যখন আমি বন্ধুদের সাথে থাকি, ভালো সময় কাটাই"&amp;" অথবা যখন আমি আমার SO-এর সাথে থাকি, যাকে আমি খুব ভালোবাসি। আমি খুশি বোধ করি, কিন্তু অবশেষে যে কাজগুলো করতে ভয় পাই সেগুলোর চিন্তাভাবনা ফিরে আসে। আমি এটা নিয়ে চিন্তা করা থামাতে পারছি না। সারাদিন বিছানায় কাটিয়েছি, মূলত কিছুই করিনি, আর ভাবি যে আমি কেবল সম"&amp;"য় নষ্ট করছি। আমি ব্যর্থতা এবং সামাজিক প্রত্যাখ্যানকে এত ভয় পাই যে চরম ক্ষেত্রে এটি আমার গলা শক্ত করে ধরে। কখনও কখনও আমি গাড়ি চালাতেও ভয় পাই কারণ আমি অযৌক্তিকভাবে এতে ব্যর্থ হওয়ার ভয় পাই। এর কথা ভাবলেই তীব্র অভ্যন্তরীণ আতঙ্ক তৈরি হয়। আমি দুঃখী। আমি "&amp;"ক্লান্ত। কখনও কখনও আমি চাই যে এই সব শেষ হয়ে যাক, কিন্তু এটি আমার জন্য বেছে নেওয়ার বিকল্প নয়। যদিও আমি এটি নিয়ে অনেক চিন্তা করি... আমি জানি না এটি এখানে প্রযোজ্য কিনা। আমি কেবল চেয়েছিলাম কেউ জানুক শুনতে কেমন লাগে। এটুকুই। যদি এটি কোনও নিয়ম ভঙ্গ করে, "&amp;"তবে এটি সরিয়ে দেওয়া ঠিক আছে। যাইহোক পড়ার জন্য ধন্যবাদ।")</f>
        <v>বেঁচে থাকার জন্য আমার উদ্বেগ [হয়তো উদ্দীপক] আমি কখনোই আমার অনুভূতিগুলিকে উদ্বেগ হিসেবে চিহ্নিত করিনি। আমি যেসব অভ্যন্তরীণ বিশৃঙ্খলার মুখোমুখি হই, সেগুলোর নাম দিতে দ্বিধা বোধ করি কারণ আমার কখনও এর কোনও রোগ ধরা পড়েনি। এই ক্ষেত্রে আমার হাত বাঁধা। আমি নিজেকে পেশাদার সাহায্য নেওয়ার অনুমতি দিতে পারি না, যদিও আমার সম্ভবত এটির সত্যিই প্রয়োজন এবং আমার সমস্যাগুলির জন্য আমি যাদের উপর নির্ভর করেছি তারা অনেকেই আমাকে এটি করার জন্য মরিয়া হয়ে সুপারিশ করেছেন। সম্ভবত এটি করতে না পারা এবং অস্বীকার করার মিশ্রণ। কারণ সবকিছু ঠিক আছে, তাই না? আমার কোনও সমস্যা নেই, অন্যদের অবস্থা আরও খারাপ। আমি ভীত হয়ে জেগে উঠি। আমি চাইতাম আমি জেগে না উঠি। আমি চাইতাম আমি চিরতরে ঘুমাতে যেতে পারতাম, এবং সেই সময়টি আমার কাছ থেকে পালিয়ে যাওয়া বন্ধ করে দিত। কিন্তু তা হয় না। এটি আমার পরবর্তী চ্যালেঞ্জগুলির দিকে এগিয়ে যায় যা আমার হৃদয়ের স্পন্দন এবং শ্বাস দ্রুত করে তোলে যখন আমি এটি সম্পর্কে চিন্তা করি। আমার পুরো দিনটি আমি নিচু ভয়ে কাটিয়েছি। আমার মনে হয় আমি আর আমার জীবন উপভোগ করতে পারছি না। এমনকি যখন আমি বন্ধুদের সাথে থাকি, ভালো সময় কাটাই অথবা যখন আমি আমার SO-এর সাথে থাকি, যাকে আমি খুব ভালোবাসি। আমি খুশি বোধ করি, কিন্তু অবশেষে যে কাজগুলো করতে ভয় পাই সেগুলোর চিন্তাভাবনা ফিরে আসে। আমি এটা নিয়ে চিন্তা করা থামাতে পারছি না। সারাদিন বিছানায় কাটিয়েছি, মূলত কিছুই করিনি, আর ভাবি যে আমি কেবল সময় নষ্ট করছি। আমি ব্যর্থতা এবং সামাজিক প্রত্যাখ্যানকে এত ভয় পাই যে চরম ক্ষেত্রে এটি আমার গলা শক্ত করে ধরে। কখনও কখনও আমি গাড়ি চালাতেও ভয় পাই কারণ আমি অযৌক্তিকভাবে এতে ব্যর্থ হওয়ার ভয় পাই। এর কথা ভাবলেই তীব্র অভ্যন্তরীণ আতঙ্ক তৈরি হয়। আমি দুঃখী। আমি ক্লান্ত। কখনও কখনও আমি চাই যে এই সব শেষ হয়ে যাক, কিন্তু এটি আমার জন্য বেছে নেওয়ার বিকল্প নয়। যদিও আমি এটি নিয়ে অনেক চিন্তা করি... আমি জানি না এটি এখানে প্রযোজ্য কিনা। আমি কেবল চেয়েছিলাম কেউ জানুক শুনতে কেমন লাগে। এটুকুই। যদি এটি কোনও নিয়ম ভঙ্গ করে, তবে এটি সরিয়ে দেওয়া ঠিক আছে। যাইহোক পড়ার জন্য ধন্যবাদ।</v>
      </c>
    </row>
    <row r="2991" spans="1:3" ht="15" x14ac:dyDescent="0.25">
      <c r="A2991" s="3" t="s">
        <v>2984</v>
      </c>
      <c r="B2991" s="3" t="s">
        <v>1992</v>
      </c>
      <c r="C2991" s="4" t="str">
        <f ca="1">IFERROR(__xludf.DUMMYFUNCTION("GOOGLETRANSLATE(A2991, ""auto"", ""bn"")"),"আমার উদ্বেগ/উদ্বেগের আসক্তি আমার প্রেমিকের সাথে আমার সম্পর্ককে ধ্বংস করে দিচ্ছে। আমি খুবই উদ্বিগ্ন এবং আমার প্রেমিকের সাথে আমার একটা তীব্র উদ্বেগের আসক্তি আছে। আমার মনে হয় যে আমার যেকোনো ছোট কথা বা কাজ আমাদের সম্পর্ককে শেষ করে দিতে পারে। আমি খুব ঈর্ষান্ব"&amp;"িত এবং মনে করি সে অবিশ্বস্ত (সে নয়) এবং আমার মনে অযৌক্তিক চিন্তাভাবনা পূর্ণ আতঙ্কের আক্রমণে পরিণত হয় কারণ আমি চিন্তা করি যে সে ভাবছে আমি কুৎসিত, যথেষ্ট ভালো নই, তার অন্য মেয়ে আছে, অথবা সে সত্যিই আমাকে ভালোবাসে না। তাছাড়া, আমি আমার পুরো সত্তা দিয়ে এই "&amp;"লোকটিকে ভালোবাসি। তাছাড়া, আমি সত্যিই নিজেকে তাকে বিয়ে করে সন্তান ধারণ করতে দেখি (এবং সেও একই কথা বলেছে!), কিন্তু আমার উদ্বেগ *অনেক সমস্যার* সৃষ্টি করে। তাছাড়া, আমি কেবল মানসিকভাবে সুস্থ থাকতে চাই এবং তার জন্য একটি শান্ত, শান্ত বান্ধবী হতে চাই, কিন্তু আ"&amp;"মি আমাদের সম্পর্ক নিয়ে ক্রমাগত চাপে থাকি। তাছাড়া, আমি নিজেকে তার পূর্ববর্তী বান্ধবীদের সাথে তুলনা করি এবং যখন আমি মনে করি সে অন্য মেয়ের সাথে প্রেম করছে (সে বন্ধুত্বপূর্ণ নয়) তখন আমার মন ভেঙে যায়। সে আমাকে সমর্থন করে এবং আমার সমস্ত উদ্বেগকে আশ্বস্ত কর"&amp;"ে এবং সর্বদা আমাকে সান্ত্বনা দেয়, কিন্তু আমি ভয় পাই যে আমি তাকে দূরে ঠেলে দিচ্ছি, এবং সে আমার উপর ক্লান্ত হয়ে পড়বে। আমি ক্যাফিন খাওয়া বন্ধ করে দিয়েছি, প্রতিদিন ব্যায়াম করেছি, রাতে ৮ ঘন্টা ঘুমিয়েছি, যোগব্যায়াম করেছি, এবং আমি কি ধ্যান শুরু করছি? আম"&amp;"ি স্ব-সহায়ক বই পড়ি এবং আমার শেখা পদ্ধতিগুলি ব্যবহার করার চেষ্টা করি। কিন্তু আমার এখনও ভুল হয় এবং আমি উদ্বিগ্ন হই। আমার মনে হয় আমার তাকে ছেড়ে দেওয়া উচিত কারণ সে আমাকে ছাড়া আরও সুখী এবং কম চাপযুক্ত হবে। কারও কি কোন পরামর্শ আছে?")</f>
        <v>আমার উদ্বেগ/উদ্বেগের আসক্তি আমার প্রেমিকের সাথে আমার সম্পর্ককে ধ্বংস করে দিচ্ছে। আমি খুবই উদ্বিগ্ন এবং আমার প্রেমিকের সাথে আমার একটা তীব্র উদ্বেগের আসক্তি আছে। আমার মনে হয় যে আমার যেকোনো ছোট কথা বা কাজ আমাদের সম্পর্ককে শেষ করে দিতে পারে। আমি খুব ঈর্ষান্বিত এবং মনে করি সে অবিশ্বস্ত (সে নয়) এবং আমার মনে অযৌক্তিক চিন্তাভাবনা পূর্ণ আতঙ্কের আক্রমণে পরিণত হয় কারণ আমি চিন্তা করি যে সে ভাবছে আমি কুৎসিত, যথেষ্ট ভালো নই, তার অন্য মেয়ে আছে, অথবা সে সত্যিই আমাকে ভালোবাসে না। তাছাড়া, আমি আমার পুরো সত্তা দিয়ে এই লোকটিকে ভালোবাসি। তাছাড়া, আমি সত্যিই নিজেকে তাকে বিয়ে করে সন্তান ধারণ করতে দেখি (এবং সেও একই কথা বলেছে!), কিন্তু আমার উদ্বেগ *অনেক সমস্যার* সৃষ্টি করে। তাছাড়া, আমি কেবল মানসিকভাবে সুস্থ থাকতে চাই এবং তার জন্য একটি শান্ত, শান্ত বান্ধবী হতে চাই, কিন্তু আমি আমাদের সম্পর্ক নিয়ে ক্রমাগত চাপে থাকি। তাছাড়া, আমি নিজেকে তার পূর্ববর্তী বান্ধবীদের সাথে তুলনা করি এবং যখন আমি মনে করি সে অন্য মেয়ের সাথে প্রেম করছে (সে বন্ধুত্বপূর্ণ নয়) তখন আমার মন ভেঙে যায়। সে আমাকে সমর্থন করে এবং আমার সমস্ত উদ্বেগকে আশ্বস্ত করে এবং সর্বদা আমাকে সান্ত্বনা দেয়, কিন্তু আমি ভয় পাই যে আমি তাকে দূরে ঠেলে দিচ্ছি, এবং সে আমার উপর ক্লান্ত হয়ে পড়বে। আমি ক্যাফিন খাওয়া বন্ধ করে দিয়েছি, প্রতিদিন ব্যায়াম করেছি, রাতে ৮ ঘন্টা ঘুমিয়েছি, যোগব্যায়াম করেছি, এবং আমি কি ধ্যান শুরু করছি? আমি স্ব-সহায়ক বই পড়ি এবং আমার শেখা পদ্ধতিগুলি ব্যবহার করার চেষ্টা করি। কিন্তু আমার এখনও ভুল হয় এবং আমি উদ্বিগ্ন হই। আমার মনে হয় আমার তাকে ছেড়ে দেওয়া উচিত কারণ সে আমাকে ছাড়া আরও সুখী এবং কম চাপযুক্ত হবে। কারও কি কোন পরামর্শ আছে?</v>
      </c>
    </row>
    <row r="2992" spans="1:3" ht="15" x14ac:dyDescent="0.25">
      <c r="A2992" s="3" t="s">
        <v>2985</v>
      </c>
      <c r="B2992" s="3" t="s">
        <v>1992</v>
      </c>
      <c r="C2992" s="4" t="str">
        <f ca="1">IFERROR(__xludf.DUMMYFUNCTION("GOOGLETRANSLATE(A2992, ""auto"", ""bn"")"),"আমার উদ্বেগের কারণে আমি খুব বেশি কাজ করার জন্য ডাকি, এবং এটি আমাকে নিজেকে ঘৃণা করে, শিরোনামের মতোই। আমি আমার কাজকে ভালোবাসি, এবং এটি আমাকে কিছু আশ্চর্যজনক সুযোগ দিয়েছে, দুর্ভাগ্যবশত কাজ এখনও আমার জন্য কিছুটা কঠিন। তাছাড়া, আমি মাত্র ৫ মাস আগে আবার কাজ শুর"&amp;"ু করেছি, এবং আমি ইতিমধ্যেই যথেষ্ট ফোন করেছি যে আমি নিশ্চিত যে এটি ব্যবস্থাপনার কাছে বিরক্তিকর এবং আমার সহকর্মীদের মধ্যে আলোচনা করা হয়েছে। তাছাড়া, আমি এখনও আমার চাকরি হারানোর বিষয়ে খুব বেশি চিন্তিত নই (যদিও এটি আমার মনে আছে, বিশ্বাস করুন) কিন্তু ফোন করা "&amp;"আমার কাছে এমন বাজে অনুভূতি তৈরি করে। তাছাড়া, আমি জানি আমার চলে যাওয়া উচিত ছিল, কিন্তু আমার উদ্বেগ এতটাই খারাপ ছিল এবং এতটাই বিশ্বাসযোগ্য ছিল যে আমি তা করে ফেলেছি। যাই হোক, আমি কেবল মুখ খুলতে চেয়েছিলাম। এখন আমি আজ বাড়িতে থাকব এবং ভাবব আমি কী করেছি। উফ।")</f>
        <v>আমার উদ্বেগের কারণে আমি খুব বেশি কাজ করার জন্য ডাকি, এবং এটি আমাকে নিজেকে ঘৃণা করে, শিরোনামের মতোই। আমি আমার কাজকে ভালোবাসি, এবং এটি আমাকে কিছু আশ্চর্যজনক সুযোগ দিয়েছে, দুর্ভাগ্যবশত কাজ এখনও আমার জন্য কিছুটা কঠিন। তাছাড়া, আমি মাত্র ৫ মাস আগে আবার কাজ শুরু করেছি, এবং আমি ইতিমধ্যেই যথেষ্ট ফোন করেছি যে আমি নিশ্চিত যে এটি ব্যবস্থাপনার কাছে বিরক্তিকর এবং আমার সহকর্মীদের মধ্যে আলোচনা করা হয়েছে। তাছাড়া, আমি এখনও আমার চাকরি হারানোর বিষয়ে খুব বেশি চিন্তিত নই (যদিও এটি আমার মনে আছে, বিশ্বাস করুন) কিন্তু ফোন করা আমার কাছে এমন বাজে অনুভূতি তৈরি করে। তাছাড়া, আমি জানি আমার চলে যাওয়া উচিত ছিল, কিন্তু আমার উদ্বেগ এতটাই খারাপ ছিল এবং এতটাই বিশ্বাসযোগ্য ছিল যে আমি তা করে ফেলেছি। যাই হোক, আমি কেবল মুখ খুলতে চেয়েছিলাম। এখন আমি আজ বাড়িতে থাকব এবং ভাবব আমি কী করেছি। উফ।</v>
      </c>
    </row>
    <row r="2993" spans="1:3" ht="15" x14ac:dyDescent="0.25">
      <c r="A2993" s="3" t="s">
        <v>2986</v>
      </c>
      <c r="B2993" s="3" t="s">
        <v>1992</v>
      </c>
      <c r="C2993" s="4" t="str">
        <f ca="1">IFERROR(__xludf.DUMMYFUNCTION("GOOGLETRANSLATE(A2993, ""auto"", ""bn"")"),"মানুষ আমাকে বলে এত চিন্তা করো না... ...কিন্তু যখনই আমি আমার সতর্কতায় অবহেলা করি, তখনই খারাপ কিছু ঘটে। এটা লাভজনক নয়, এবং যারা আমাকে এমনটা বলে, তাদের ব্যাপারে আমি কিছুটা সন্দেহ করি, মাঝে মাঝে। এটা এরকম, *কেন* তুমি চাও আমি আমার সতর্কতায় অবহেলা করি? তুমি কি "&amp;"আমাকে আঘাত করবে? আমাকে কাজে লাগাও? এর থেকে তোমার কী লাভ*? অন্য কেউ কি এর সাথে সম্পর্কিত? (হ্যাঁ, আমি জানি আমি ভয়াবহ এবং উদ্বিগ্ন, কিন্তু না, আমি এটা অপছন্দ করি না। সত্যি বলতে, এটা আমাকে নিরাপদ রাখে। NBA-এর চেয়ে ভয়াবহ হওয়া ভালো, এবং আমি মনে করি কেবল একটি "&amp;"বা অন্যটি করতে সক্ষম।)")</f>
        <v>মানুষ আমাকে বলে এত চিন্তা করো না... ...কিন্তু যখনই আমি আমার সতর্কতায় অবহেলা করি, তখনই খারাপ কিছু ঘটে। এটা লাভজনক নয়, এবং যারা আমাকে এমনটা বলে, তাদের ব্যাপারে আমি কিছুটা সন্দেহ করি, মাঝে মাঝে। এটা এরকম, *কেন* তুমি চাও আমি আমার সতর্কতায় অবহেলা করি? তুমি কি আমাকে আঘাত করবে? আমাকে কাজে লাগাও? এর থেকে তোমার কী লাভ*? অন্য কেউ কি এর সাথে সম্পর্কিত? (হ্যাঁ, আমি জানি আমি ভয়াবহ এবং উদ্বিগ্ন, কিন্তু না, আমি এটা অপছন্দ করি না। সত্যি বলতে, এটা আমাকে নিরাপদ রাখে। NBA-এর চেয়ে ভয়াবহ হওয়া ভালো, এবং আমি মনে করি কেবল একটি বা অন্যটি করতে সক্ষম।)</v>
      </c>
    </row>
    <row r="2994" spans="1:3" ht="15" x14ac:dyDescent="0.25">
      <c r="A2994" s="3" t="s">
        <v>2987</v>
      </c>
      <c r="B2994" s="3" t="s">
        <v>1992</v>
      </c>
      <c r="C2994" s="4" t="str">
        <f ca="1">IFERROR(__xludf.DUMMYFUNCTION("GOOGLETRANSLATE(A2994, ""auto"", ""bn"")"),"আমার জীবনে সবচেয়ে ভয়াবহ প্যানিক অ্যাটাক হয়েছে। আমার লক্ষণগুলো চরম মনে হচ্ছিল। আর কেউ কি কখনও এভাবে আতঙ্কিত হয়েছেন? হাইপারভেন্টিলেট বন্ধ করার জন্য কিছু টিপস দরকার। আমি জিনিসগুলো সংক্ষিপ্ত রাখতে খুব খারাপ, বিশেষ করে যখন আমি এখনকার মতো উদ্বিগ্ন থাকি। সামনে য"&amp;"া আছে তা হল আমার জীবনে হওয়া সবচেয়ে ভয়াবহ প্যানিক অ্যাটাক বর্ণনা করে লেখার বিশাল প্রাচীর। আমার বয়স ২৫, মি, গত ১০ বছর ধরে মাঝে মাঝে প্যানিক অ্যাটাক হয়েছে। এক বছরেরও বেশি সময় ধরে প্রতিদিন জোলফট খেয়েছি। এটা অনেক সাহায্য করে। গত বছর ধরে হয়তো মাসে ১টি প্যানি"&amp;"ক অ্যাটাক হয়েছে (বেশ ভালো) এবং এর কোনটিই ভয়, কাঁপুনি এবং ভারী শ্বাসকষ্ট ছাড়া আর কিছুই হয়নি। দুই রাত আগে, কোনও কারণ ছাড়াই, আমার জীবনে সবচেয়ে ভয়াবহ প্যানিক অ্যাটাক হয়েছে। রাত ৯টায়, কম্পিউটারে ইউটিউব দেখছিলাম, আমি আরামে আছি। আসলে কোনও চিন্তা নেই। হঠাৎ; আস"&amp;"ন্ন ধ্বংসের অনুভূতি। বুকে ভারী হয়ে যায়, একটু মোচড়ে যায়। শীঘ্রই, শ্বাস দ্রুত হয়ে ওঠে। হাইপারভেন্টিলেট শুরু করুন। ২০ মিনিট কেটে যায়। বিছানায় শুয়ে শান্ত হওয়ার চেষ্টা করার সিদ্ধান্ত নিন। বিছানায় শুয়ে ঠোঁট কাঁপতে শুরু করে, তারপর আমার মুখ, তারপর আমার মাথার ত্বক"&amp;", তারপর আমার ঘাড়। এখানেই আমার স্বাভাবিক আক্রমণ চরমে ওঠে। এবারের সময়টা ছিল ভিন্ন। থামেনি। আতঙ্কের এক ঘন্টা পর, আমার ঠোঁট কাঁপতে শুরু করে এবং শিস বাজাতে শুরু করে। ঠোঁট কাঁপতে কাঁপতে কাঁপতে কাঁপতে শুরু করে। ঠোঁট কাঁপতে শুরু করে, যেন কম্পন। এরপর, আমার গাল কাঁ"&amp;"পতে থাকে এবং তারপর সেগুলো অনিয়মিতভাবে কাঁপতে থাকে। কাঁপতে এতটাই তীব্র ছিল যে আমি আয়নাতে দেখতে পাচ্ছিলাম। এখন, চোখের পাতা কাঁপতে থাকে। এতটাই তীব্র হয়ে ওঠে যে আমি আমার বাম চোখের পাতার উপর নিয়ন্ত্রণ হারিয়ে ফেলি। আমি এটি খুলতে পারিনি। হঠাৎ, আমার পুরো মুখ"&amp;" অসাড় হয়ে যায় কিন্তু কাঁপতে থাকে, প্রায় প্রতিটি পেশী। তারপর কাঁপতে সারা শরীরে ছড়িয়ে পড়ে। বিশেষ করে আমার হাত ও পায়ে। হঠাৎ করে আঙ্গুল নাড়াতে পারছিলাম না। আমি আমার ইশারাটি নাড়াতে চেষ্টা করতাম, এবং আমার আংটি নড়ত। তারপর সেগুলো সম্পূর্ণভাবে বন্ধ হয়ে "&amp;"যায়, এবং আমার পায়ের আঙ্গুল কুঁচকে যায় এবং ভীষণ ব্যথা করতে শুরু করে। এখন আমরা সম্পূর্ণ ভয়ে আছি, কান্না এবং সবকিছু, আমি নিশ্চিত যে আমার স্ট্রোক হচ্ছে। আমি আমার স্ত্রীকে ঘরে আসার জন্য চিৎকার করি, বলার চেষ্টা করি ""দয়া করে আমাকে সাহায্য করুন, এটি আমার জীবন"&amp;"ে সবচেয়ে খারাপ প্যানিক অ্যাটাক।"" কিন্তু আমার ঠোঁট এতটাই সঙ্কুচিত এবং অচল ছিল যে আমি যা বলেছিলাম তা অস্পষ্ট বাজে কথার মতো শোনাচ্ছিল। আমি আরও কথা বলার চেষ্টা করলাম, এবং যতই চেষ্টা করলাম, ততই আমি আমার জিহ্বা এবং ঠোঁটের পেশীগুলিকে সঠিকভাবে উচ্চারণ করার জন্য"&amp;" নিয়ন্ত্রণ করতে পারছিলাম না। আমার স্ত্রী আমার হাতগুলি স্পষ্টভাবে কুঁচকে যেতে দেখতে পাচ্ছিল। এই মুহুর্তে আমি এত ভয় পেয়েছিলাম যে আমি আমার স্ত্রীকে যথাসাধ্য চিৎকার করে বলছিলাম ""আমি মারা যাচ্ছি, আমি মারা যাচ্ছি, এটাই।"" আমার স্ত্রী এই ধরণের অবস্থায় আমার "&amp;"সাথে আচরণ করার সাথে মোটামুটি পরিচিত, কিন্তু আমি এত অদ্ভুত আচরণ করছিলাম যে এবার সে আমাকে জরুরি বিভাগে নিয়ে যাওয়ার সিদ্ধান্ত নিল। আমি উঠে পড়লাম এবং আমার প্যান্ট এবং জুতা পরতে পারলাম না এবং পড়ে গেলাম না। ঘরটি বারবার অন্ধকার এবং উজ্জ্বল হয়ে উঠছিল, আমার ম"&amp;"নে হয় আমি অজ্ঞান হয়ে যাওয়ার পথে ছিলাম, কিন্তু আমি তার কাছে পৌঁছে গেলাম। এই জরুরি বিভাগে আমার পরিচিত এবং আমি যখন একই রকম কিন্তু কম গুরুতর অবস্থায় এসেছিলাম তখন আমার উপর বিভিন্ন ধরণের পরীক্ষা করা হয়েছে। আমার হৃদস্পন্দন প্রায় ২০০ এর কাছাকাছি ছিল এবং আমা"&amp;"র রক্তচাপ ছাদের উপর দিয়ে যাচ্ছিল। আমি হাসপাতালের বিছানায় বসে ছিলাম, আমার পা দুটো জ্যাকেট মুখের উপর চেপে ধরে, চোখের জল চেপে ধরে কাঁপছিলাম (কারণ আমি লজ্জা পাচ্ছি, এমনকি এই ডাক্তার এবং নার্সদের সামনেও)। কর্তব্যরত ডাক্তার এসে বললেন, তিনি ৯৯% নিশ্চিত যে আমার"&amp;" প্যানিক অ্যাটাক হচ্ছে, এবং তিনি আমাকে এশিয়ানের দুটি আইভি ইনজেকশন এবং একটি বেনাড্রিল ইনজেকশন দিলেন। কয়েক মিনিটের মধ্যেই, আমি অবশ্যই দুর্দান্ত অনুভব করতে শুরু করলাম, এবং সমস্ত লক্ষণ ধীরে ধীরে চলে গেল, এবং দরজায় আসার ৪৫ মিনিট পরে তারা আমাকে ছেড়ে দিল এবং"&amp;" আমি বাড়িতে গিয়ে নেশাগ্রস্ত শিশুর মতো ঘুমিয়ে পড়লাম। সারা রাত আজ/সকালে এটি আবার ফিরে আসার চেষ্টা করছে, গত এক ঘন্টা ধরে আমার ঠোঁটে শিহরণ শুরু হয়েছে, এবং আমি খুব উদ্বিগ্ন বোধ করছি। আগের রাতের মতোই, এটি সত্যিই খারাপ হওয়ার আগে। তাই আমি ২x .২৫ জ্যানাক্স এ"&amp;"বং ২টি বেনাড্রিল খেয়েছি। তারপর থেকে এক ঘন্টা কেটে গেছে। আমার এখনও হাইপারভেন্টিলেটেশন হচ্ছে এবং টিংলিং এবং অসাড়তা আরও তীব্র থেকে তীব্রতর হচ্ছে। আর কোনও প্যানিক আক্রান্ত রোগীর কি এত খারাপ কোনও পর্ব হয়েছে? পুরোটা, কথা বলতে না পারার কারণে, সত্যিই আমাকে ভয়"&amp;" পেয়ে গিয়েছিল, এবং এখন আমি আবারও এটি ঘটতে ভয় পাচ্ছি। আমার ডাক্তার আমাকে বলেছিলেন যে এই লক্ষণগুলির বেশিরভাগই সম্ভবত হাইপারভেন্টিলেটিংয়ের কারণে, এবং তিনি আমাকে বলেছিলেন যে আমি যদি এটি এড়াতে চাই তবে আমার হাইপারভেন্টিলেটেশন করা উচিত নয়। কিন্তু কিভাবে?? "&amp;"আমি লক্ষ্যও করি না যে আমি এটি করছি। এর অভিজ্ঞতা আছে এমন কেউ কি এমন কোনও ভাল টিপস বা কৌশল জানেন যা আপনাকে ব্যক্তিগতভাবে হাইপারভেন্টিলেটেশন নিয়ন্ত্রণে সাহায্য করেছে? ধরে নিচ্ছি যে এটি আমার সবচেয়ে খারাপ শত্রু। এই ম্যানিক ওয়াল অফ টেক্সটটি আগে থেকে পড়া যে "&amp;"কাউকে ধন্যবাদ। আমি জানি এটি শীঘ্রই কেটে যাবে, আমি কেবল এই স্তরের আতঙ্ক এবং ভয়ানক লক্ষণগুলি আবার এড়াতে কিছু টিপস চাই।")</f>
        <v>আমার জীবনে সবচেয়ে ভয়াবহ প্যানিক অ্যাটাক হয়েছে। আমার লক্ষণগুলো চরম মনে হচ্ছিল। আর কেউ কি কখনও এভাবে আতঙ্কিত হয়েছেন? হাইপারভেন্টিলেট বন্ধ করার জন্য কিছু টিপস দরকার। আমি জিনিসগুলো সংক্ষিপ্ত রাখতে খুব খারাপ, বিশেষ করে যখন আমি এখনকার মতো উদ্বিগ্ন থাকি। সামনে যা আছে তা হল আমার জীবনে হওয়া সবচেয়ে ভয়াবহ প্যানিক অ্যাটাক বর্ণনা করে লেখার বিশাল প্রাচীর। আমার বয়স ২৫, মি, গত ১০ বছর ধরে মাঝে মাঝে প্যানিক অ্যাটাক হয়েছে। এক বছরেরও বেশি সময় ধরে প্রতিদিন জোলফট খেয়েছি। এটা অনেক সাহায্য করে। গত বছর ধরে হয়তো মাসে ১টি প্যানিক অ্যাটাক হয়েছে (বেশ ভালো) এবং এর কোনটিই ভয়, কাঁপুনি এবং ভারী শ্বাসকষ্ট ছাড়া আর কিছুই হয়নি। দুই রাত আগে, কোনও কারণ ছাড়াই, আমার জীবনে সবচেয়ে ভয়াবহ প্যানিক অ্যাটাক হয়েছে। রাত ৯টায়, কম্পিউটারে ইউটিউব দেখছিলাম, আমি আরামে আছি। আসলে কোনও চিন্তা নেই। হঠাৎ; আসন্ন ধ্বংসের অনুভূতি। বুকে ভারী হয়ে যায়, একটু মোচড়ে যায়। শীঘ্রই, শ্বাস দ্রুত হয়ে ওঠে। হাইপারভেন্টিলেট শুরু করুন। ২০ মিনিট কেটে যায়। বিছানায় শুয়ে শান্ত হওয়ার চেষ্টা করার সিদ্ধান্ত নিন। বিছানায় শুয়ে ঠোঁট কাঁপতে শুরু করে, তারপর আমার মুখ, তারপর আমার মাথার ত্বক, তারপর আমার ঘাড়। এখানেই আমার স্বাভাবিক আক্রমণ চরমে ওঠে। এবারের সময়টা ছিল ভিন্ন। থামেনি। আতঙ্কের এক ঘন্টা পর, আমার ঠোঁট কাঁপতে শুরু করে এবং শিস বাজাতে শুরু করে। ঠোঁট কাঁপতে কাঁপতে কাঁপতে কাঁপতে শুরু করে। ঠোঁট কাঁপতে শুরু করে, যেন কম্পন। এরপর, আমার গাল কাঁপতে থাকে এবং তারপর সেগুলো অনিয়মিতভাবে কাঁপতে থাকে। কাঁপতে এতটাই তীব্র ছিল যে আমি আয়নাতে দেখতে পাচ্ছিলাম। এখন, চোখের পাতা কাঁপতে থাকে। এতটাই তীব্র হয়ে ওঠে যে আমি আমার বাম চোখের পাতার উপর নিয়ন্ত্রণ হারিয়ে ফেলি। আমি এটি খুলতে পারিনি। হঠাৎ, আমার পুরো মুখ অসাড় হয়ে যায় কিন্তু কাঁপতে থাকে, প্রায় প্রতিটি পেশী। তারপর কাঁপতে সারা শরীরে ছড়িয়ে পড়ে। বিশেষ করে আমার হাত ও পায়ে। হঠাৎ করে আঙ্গুল নাড়াতে পারছিলাম না। আমি আমার ইশারাটি নাড়াতে চেষ্টা করতাম, এবং আমার আংটি নড়ত। তারপর সেগুলো সম্পূর্ণভাবে বন্ধ হয়ে যায়, এবং আমার পায়ের আঙ্গুল কুঁচকে যায় এবং ভীষণ ব্যথা করতে শুরু করে। এখন আমরা সম্পূর্ণ ভয়ে আছি, কান্না এবং সবকিছু, আমি নিশ্চিত যে আমার স্ট্রোক হচ্ছে। আমি আমার স্ত্রীকে ঘরে আসার জন্য চিৎকার করি, বলার চেষ্টা করি "দয়া করে আমাকে সাহায্য করুন, এটি আমার জীবনে সবচেয়ে খারাপ প্যানিক অ্যাটাক।" কিন্তু আমার ঠোঁট এতটাই সঙ্কুচিত এবং অচল ছিল যে আমি যা বলেছিলাম তা অস্পষ্ট বাজে কথার মতো শোনাচ্ছিল। আমি আরও কথা বলার চেষ্টা করলাম, এবং যতই চেষ্টা করলাম, ততই আমি আমার জিহ্বা এবং ঠোঁটের পেশীগুলিকে সঠিকভাবে উচ্চারণ করার জন্য নিয়ন্ত্রণ করতে পারছিলাম না। আমার স্ত্রী আমার হাতগুলি স্পষ্টভাবে কুঁচকে যেতে দেখতে পাচ্ছিল। এই মুহুর্তে আমি এত ভয় পেয়েছিলাম যে আমি আমার স্ত্রীকে যথাসাধ্য চিৎকার করে বলছিলাম "আমি মারা যাচ্ছি, আমি মারা যাচ্ছি, এটাই।" আমার স্ত্রী এই ধরণের অবস্থায় আমার সাথে আচরণ করার সাথে মোটামুটি পরিচিত, কিন্তু আমি এত অদ্ভুত আচরণ করছিলাম যে এবার সে আমাকে জরুরি বিভাগে নিয়ে যাওয়ার সিদ্ধান্ত নিল। আমি উঠে পড়লাম এবং আমার প্যান্ট এবং জুতা পরতে পারলাম না এবং পড়ে গেলাম না। ঘরটি বারবার অন্ধকার এবং উজ্জ্বল হয়ে উঠছিল, আমার মনে হয় আমি অজ্ঞান হয়ে যাওয়ার পথে ছিলাম, কিন্তু আমি তার কাছে পৌঁছে গেলাম। এই জরুরি বিভাগে আমার পরিচিত এবং আমি যখন একই রকম কিন্তু কম গুরুতর অবস্থায় এসেছিলাম তখন আমার উপর বিভিন্ন ধরণের পরীক্ষা করা হয়েছে। আমার হৃদস্পন্দন প্রায় ২০০ এর কাছাকাছি ছিল এবং আমার রক্তচাপ ছাদের উপর দিয়ে যাচ্ছিল। আমি হাসপাতালের বিছানায় বসে ছিলাম, আমার পা দুটো জ্যাকেট মুখের উপর চেপে ধরে, চোখের জল চেপে ধরে কাঁপছিলাম (কারণ আমি লজ্জা পাচ্ছি, এমনকি এই ডাক্তার এবং নার্সদের সামনেও)। কর্তব্যরত ডাক্তার এসে বললেন, তিনি ৯৯% নিশ্চিত যে আমার প্যানিক অ্যাটাক হচ্ছে, এবং তিনি আমাকে এশিয়ানের দুটি আইভি ইনজেকশন এবং একটি বেনাড্রিল ইনজেকশন দিলেন। কয়েক মিনিটের মধ্যেই, আমি অবশ্যই দুর্দান্ত অনুভব করতে শুরু করলাম, এবং সমস্ত লক্ষণ ধীরে ধীরে চলে গেল, এবং দরজায় আসার ৪৫ মিনিট পরে তারা আমাকে ছেড়ে দিল এবং আমি বাড়িতে গিয়ে নেশাগ্রস্ত শিশুর মতো ঘুমিয়ে পড়লাম। সারা রাত আজ/সকালে এটি আবার ফিরে আসার চেষ্টা করছে, গত এক ঘন্টা ধরে আমার ঠোঁটে শিহরণ শুরু হয়েছে, এবং আমি খুব উদ্বিগ্ন বোধ করছি। আগের রাতের মতোই, এটি সত্যিই খারাপ হওয়ার আগে। তাই আমি ২x .২৫ জ্যানাক্স এবং ২টি বেনাড্রিল খেয়েছি। তারপর থেকে এক ঘন্টা কেটে গেছে। আমার এখনও হাইপারভেন্টিলেটেশন হচ্ছে এবং টিংলিং এবং অসাড়তা আরও তীব্র থেকে তীব্রতর হচ্ছে। আর কোনও প্যানিক আক্রান্ত রোগীর কি এত খারাপ কোনও পর্ব হয়েছে? পুরোটা, কথা বলতে না পারার কারণে, সত্যিই আমাকে ভয় পেয়ে গিয়েছিল, এবং এখন আমি আবারও এটি ঘটতে ভয় পাচ্ছি। আমার ডাক্তার আমাকে বলেছিলেন যে এই লক্ষণগুলির বেশিরভাগই সম্ভবত হাইপারভেন্টিলেটিংয়ের কারণে, এবং তিনি আমাকে বলেছিলেন যে আমি যদি এটি এড়াতে চাই তবে আমার হাইপারভেন্টিলেটেশন করা উচিত নয়। কিন্তু কিভাবে?? আমি লক্ষ্যও করি না যে আমি এটি করছি। এর অভিজ্ঞতা আছে এমন কেউ কি এমন কোনও ভাল টিপস বা কৌশল জানেন যা আপনাকে ব্যক্তিগতভাবে হাইপারভেন্টিলেটেশন নিয়ন্ত্রণে সাহায্য করেছে? ধরে নিচ্ছি যে এটি আমার সবচেয়ে খারাপ শত্রু। এই ম্যানিক ওয়াল অফ টেক্সটটি আগে থেকে পড়া যে কাউকে ধন্যবাদ। আমি জানি এটি শীঘ্রই কেটে যাবে, আমি কেবল এই স্তরের আতঙ্ক এবং ভয়ানক লক্ষণগুলি আবার এড়াতে কিছু টিপস চাই।</v>
      </c>
    </row>
    <row r="2995" spans="1:3" ht="15" x14ac:dyDescent="0.25">
      <c r="A2995" s="3" t="s">
        <v>2988</v>
      </c>
      <c r="B2995" s="3" t="s">
        <v>1992</v>
      </c>
      <c r="C2995" s="4" t="str">
        <f ca="1">IFERROR(__xludf.DUMMYFUNCTION("GOOGLETRANSLATE(A2995, ""auto"", ""bn"")"),"বিমানে আমার উদ্বেগ নিয়ে উদ্বেগ শিরোনামে যেমন বলা হয়েছে। বিমান দুর্ঘটনা বা ক্লোস্ট্রোফোবিক হওয়ার বিষয়ে আমার কোনও উদ্বেগ হয় না, তবে বিমানে থাকাকালীন আমার উদ্বেগ নিজেই। আমি নিশ্চিত এটি অনেকের জন্য সাধারণ। তদুপরি, আমি কাজের জন্য প্রচুর পরিমাণে বিমান চালা"&amp;"ই, বছরে হয়তো ৩০ বার এবং প্রতিটি বিমানই একটি মানসিক যুদ্ধ। তদুপরি, আমি আকাশে বিমানটি হারানোর ভয়ে ভীত। যাদের এই একই সমস্যা আছে, তাদের জন্য, আপনি কী কী কৌশল ব্যবহার করেছেন? যখন আমার মনে হয় আমার প্রয়োজন হবে তখন আমি কিছু বিমানের আগে অল্প পরিমাণে জ্যানাক্স "&amp;"গ্রহণ করি, তবে যদি ভাল পরামর্শ থাকে তবে আমি ওষুধমুক্ত বিকল্পটি পছন্দ করব। ধন্যবাদ!!")</f>
        <v>বিমানে আমার উদ্বেগ নিয়ে উদ্বেগ শিরোনামে যেমন বলা হয়েছে। বিমান দুর্ঘটনা বা ক্লোস্ট্রোফোবিক হওয়ার বিষয়ে আমার কোনও উদ্বেগ হয় না, তবে বিমানে থাকাকালীন আমার উদ্বেগ নিজেই। আমি নিশ্চিত এটি অনেকের জন্য সাধারণ। তদুপরি, আমি কাজের জন্য প্রচুর পরিমাণে বিমান চালাই, বছরে হয়তো ৩০ বার এবং প্রতিটি বিমানই একটি মানসিক যুদ্ধ। তদুপরি, আমি আকাশে বিমানটি হারানোর ভয়ে ভীত। যাদের এই একই সমস্যা আছে, তাদের জন্য, আপনি কী কী কৌশল ব্যবহার করেছেন? যখন আমার মনে হয় আমার প্রয়োজন হবে তখন আমি কিছু বিমানের আগে অল্প পরিমাণে জ্যানাক্স গ্রহণ করি, তবে যদি ভাল পরামর্শ থাকে তবে আমি ওষুধমুক্ত বিকল্পটি পছন্দ করব। ধন্যবাদ!!</v>
      </c>
    </row>
    <row r="2996" spans="1:3" ht="15" x14ac:dyDescent="0.25">
      <c r="A2996" s="3" t="s">
        <v>2989</v>
      </c>
      <c r="B2996" s="3" t="s">
        <v>1992</v>
      </c>
      <c r="C2996" s="4" t="str">
        <f ca="1">IFERROR(__xludf.DUMMYFUNCTION("GOOGLETRANSLATE(A2996, ""auto"", ""bn"")"),"ঘুমানোর আগে নানান চিন্তাভাবনা আমার যতদূর মনে পড়ে, আমি এই সমস্যায় ভুগছি। ঘুমানোর ঠিক আগে আমার মনে একটা আতঙ্ক শুরু হয় যে আমি মৃত্যু থেকে বাঁচতে পারছি না, এবং আমি আটকা পড়ে যাই। আমি তৎক্ষণাৎ বিছানা থেকে উঠে পড়ি এবং খুব অস্বস্তিকর এবং ভয় পাই। জীবনের দাবি"&amp;"তে কাজ করার সময় এবং আমার পুরো কাজ মৃত্যুর চারপাশে শেষ হওয়ার সাথে সাথে পরিস্থিতি আরও খারাপ হচ্ছে। আমি এই রুটিনে ক্লান্ত এবং এই মহামারী থেকে মুক্ত হতে চাই। দয়া করে সাহায্য করুন।")</f>
        <v>ঘুমানোর আগে নানান চিন্তাভাবনা আমার যতদূর মনে পড়ে, আমি এই সমস্যায় ভুগছি। ঘুমানোর ঠিক আগে আমার মনে একটা আতঙ্ক শুরু হয় যে আমি মৃত্যু থেকে বাঁচতে পারছি না, এবং আমি আটকা পড়ে যাই। আমি তৎক্ষণাৎ বিছানা থেকে উঠে পড়ি এবং খুব অস্বস্তিকর এবং ভয় পাই। জীবনের দাবিতে কাজ করার সময় এবং আমার পুরো কাজ মৃত্যুর চারপাশে শেষ হওয়ার সাথে সাথে পরিস্থিতি আরও খারাপ হচ্ছে। আমি এই রুটিনে ক্লান্ত এবং এই মহামারী থেকে মুক্ত হতে চাই। দয়া করে সাহায্য করুন।</v>
      </c>
    </row>
    <row r="2997" spans="1:3" ht="15" x14ac:dyDescent="0.25">
      <c r="A2997" s="3" t="s">
        <v>2990</v>
      </c>
      <c r="B2997" s="3" t="s">
        <v>1992</v>
      </c>
      <c r="C2997" s="4" t="str">
        <f ca="1">IFERROR(__xludf.DUMMYFUNCTION("GOOGLETRANSLATE(A2997, ""auto"", ""bn"")"),"মার্ভেলের রানওয়েজ কি আর কেউ দেখছেন? কারণ গেটের উদ্বেগ নিয়ে তারা যা করছে তা আমার *ভালো* লেগেছে। টিভিতে উদ্বেগকে বৈধ চিকিৎসা সমস্যা হিসেবে দেখানো দেখে খুব ভালো লাগছে। এটা নিখুঁত নয়, কিন্তু এই ধরনের উপস্থাপনা থাকাটা এত গুরুত্বপূর্ণ উপায়ে কলঙ্কের বিরুদ্ধে"&amp;" লড়াই করতে সাহায্য করে। আমি সত্যিই, সত্যিই এটির প্রশংসা করি, এবং আমি যদি আমার কিশোর বয়সে আমার সাথে যা ঘটছিল তা মোকাবেলা করার চেষ্টা করার সময় এই ধরণের উপস্থাপনা পেতাম, তাহলে আমিও আশা করি।")</f>
        <v>মার্ভেলের রানওয়েজ কি আর কেউ দেখছেন? কারণ গেটের উদ্বেগ নিয়ে তারা যা করছে তা আমার *ভালো* লেগেছে। টিভিতে উদ্বেগকে বৈধ চিকিৎসা সমস্যা হিসেবে দেখানো দেখে খুব ভালো লাগছে। এটা নিখুঁত নয়, কিন্তু এই ধরনের উপস্থাপনা থাকাটা এত গুরুত্বপূর্ণ উপায়ে কলঙ্কের বিরুদ্ধে লড়াই করতে সাহায্য করে। আমি সত্যিই, সত্যিই এটির প্রশংসা করি, এবং আমি যদি আমার কিশোর বয়সে আমার সাথে যা ঘটছিল তা মোকাবেলা করার চেষ্টা করার সময় এই ধরণের উপস্থাপনা পেতাম, তাহলে আমিও আশা করি।</v>
      </c>
    </row>
    <row r="2998" spans="1:3" ht="15" x14ac:dyDescent="0.25">
      <c r="A2998" s="3" t="s">
        <v>2991</v>
      </c>
      <c r="B2998" s="3" t="s">
        <v>1992</v>
      </c>
      <c r="C2998" s="4" t="str">
        <f ca="1">IFERROR(__xludf.DUMMYFUNCTION("GOOGLETRANSLATE(A2998, ""auto"", ""bn"")"),"সামাজিক উদ্বেগ বন্ধুত্বের উপর প্রভাব ফেলে। তাই, সম্প্রতি আমার একজন সহকর্মীর সাথে আমার নিখুঁত বন্ধুত্ব হয়েছে। আমরা প্রায় ছয় মাস ধরে ঘনিষ্ঠ এবং তার জন্মদিন শীঘ্রই আসছে। সে প্রথমে আমাকে তার পার্টিতে আমন্ত্রণ জানিয়েছিল। সে তার প্রেমিক এবং তার বন্ধুকে ডাবল"&amp;" ডেটের জন্য আমন্ত্রণ জানানোর পরিকল্পনা করেছিল। আমি কেবল তার জন্য সেখানে থাকার জন্য এই ডিনারের পরিকল্পনা স্থগিত করেছিলাম। সে আমাকে কেবল বার্তা পাঠিয়েছিল যে সে আমাদের অফিস থেকে তিনজন মেয়েকে আমন্ত্রণ জানাবে যারা বেশ অসহনীয় হতে পারে। সে জানে যে আমার বেশ খা"&amp;"রাপ উদ্বেগ আছে এবং যখন এটি আমাকে আঘাত করে তখন আমার নিয়ন্ত্রণ করতে অসুবিধা হয়। তাছাড়া, সে এটাও জানে যে এই মেয়েরা আমার উদ্বেগের কারণ হয়, (অন্যদিন আমার প্যানিক অ্যাটাক হয়েছিল কারণ তারা খুব খারাপ ছিল), তাই যখন সম্ভব হয় তখন আমি তাদের এড়িয়ে চলি। আমার উদ"&amp;"্বেগ বেশ তীব্র হতে পারে, এবং আমি আবার নিজের মতো বোধ করতে কয়েক দিন সময় নিতে পারি, যা আমার জন্য সত্যিই খারাপ। আমি তার সাথে থাকতে চাই কারণ আজ তার জন্মদিন, কিন্তু সে এই লোকদের আমন্ত্রণ জানিয়ে আমি প্রতারিত বোধ করছি। আমি নিশ্চিত নই যে আমি যেতে পারব কিনা এবং "&amp;"একটি সুস্থ ও সুস্থ পরিবেশে থাকতে পারব কিনা। কারো কি কোন পরামর্শ আছে? আমার যাওয়া উচিত কি না? যদি আমার প্যানিক অ্যাটাক হয় তবে তার পার্টি সম্পূর্ণ নষ্ট হয়ে যাবে!")</f>
        <v>সামাজিক উদ্বেগ বন্ধুত্বের উপর প্রভাব ফেলে। তাই, সম্প্রতি আমার একজন সহকর্মীর সাথে আমার নিখুঁত বন্ধুত্ব হয়েছে। আমরা প্রায় ছয় মাস ধরে ঘনিষ্ঠ এবং তার জন্মদিন শীঘ্রই আসছে। সে প্রথমে আমাকে তার পার্টিতে আমন্ত্রণ জানিয়েছিল। সে তার প্রেমিক এবং তার বন্ধুকে ডাবল ডেটের জন্য আমন্ত্রণ জানানোর পরিকল্পনা করেছিল। আমি কেবল তার জন্য সেখানে থাকার জন্য এই ডিনারের পরিকল্পনা স্থগিত করেছিলাম। সে আমাকে কেবল বার্তা পাঠিয়েছিল যে সে আমাদের অফিস থেকে তিনজন মেয়েকে আমন্ত্রণ জানাবে যারা বেশ অসহনীয় হতে পারে। সে জানে যে আমার বেশ খারাপ উদ্বেগ আছে এবং যখন এটি আমাকে আঘাত করে তখন আমার নিয়ন্ত্রণ করতে অসুবিধা হয়। তাছাড়া, সে এটাও জানে যে এই মেয়েরা আমার উদ্বেগের কারণ হয়, (অন্যদিন আমার প্যানিক অ্যাটাক হয়েছিল কারণ তারা খুব খারাপ ছিল), তাই যখন সম্ভব হয় তখন আমি তাদের এড়িয়ে চলি। আমার উদ্বেগ বেশ তীব্র হতে পারে, এবং আমি আবার নিজের মতো বোধ করতে কয়েক দিন সময় নিতে পারি, যা আমার জন্য সত্যিই খারাপ। আমি তার সাথে থাকতে চাই কারণ আজ তার জন্মদিন, কিন্তু সে এই লোকদের আমন্ত্রণ জানিয়ে আমি প্রতারিত বোধ করছি। আমি নিশ্চিত নই যে আমি যেতে পারব কিনা এবং একটি সুস্থ ও সুস্থ পরিবেশে থাকতে পারব কিনা। কারো কি কোন পরামর্শ আছে? আমার যাওয়া উচিত কি না? যদি আমার প্যানিক অ্যাটাক হয় তবে তার পার্টি সম্পূর্ণ নষ্ট হয়ে যাবে!</v>
      </c>
    </row>
    <row r="2999" spans="1:3" ht="15" x14ac:dyDescent="0.25">
      <c r="A2999" s="3" t="s">
        <v>2992</v>
      </c>
      <c r="B2999" s="3" t="s">
        <v>1992</v>
      </c>
      <c r="C2999" s="4" t="str">
        <f ca="1">IFERROR(__xludf.DUMMYFUNCTION("GOOGLETRANSLATE(A2999, ""auto"", ""bn"")"),"বাবার সাথে স্কাইপে একটা কথা হয়েছিল, যেখানে অবশেষে আমি তার ডানপন্থী বিদেশীদের প্রতি ভয়ের কথা বলেছিলাম। আমি আমার পরিবারের সাথে খুব বেশি কথা বলি না। তারা আমার কাছ থেকে সারা বিশ্বে বাস করে। কিন্তু মাঝে মাঝে আমি তাদের স্কাইপে দেখি এবং আমি সবসময় এটাকে ভয় পাই"&amp;"। বেশিরভাগ ক্ষেত্রেই আমার বাবা। সবসময় ঝগড়া করা। ডানপন্থী বাজে কথা বলা (তার মোবাইল ফোন নেই এবং ইন্টারনেটে এমন কিছু পড়ে না যা তার মতামতকে নিশ্চিত করে না) এবং যৌনতাবাদী মন্তব্য এবং রসিকতা করা। এছাড়াও, যখন আমার মা কথা বলতে চান তখন ক্রমাগত বাধা দেয়। আমি আ"&amp;"সলে আজ একটি কাগজের টুকরোতে এটি লিখেছি, এবং এটি কোনও রসিকতা ছিল না, 67 বার সে কিছু বলার চেষ্টা করেছিল, এবং সে 52 বার বাধা দিয়েছে। আজ রাতে আমি তার মুসলিমদের উপর নিন্দা আর সহ্য করতে পারছিলাম। যখন সে বলল যে এটি একটি সত্য যে সমস্ত মুসলিমদের মধ্যে 20% সন্ত্রাস"&amp;"ী, আমি তাকে তার উৎস জিজ্ঞাসা করলাম। যখন সে বলল যে এটি ""নিরাপত্তা সংস্থা"", আমি তাকে জিজ্ঞাসা করলাম কোনটি। যখন সে আমাকে বলতে পারল না কিন্তু বলল যে আমাকে তার মতামতকে সম্মান করতে হবে, তখন আমি তাকে বলেছিলাম যে আমি সে কী বিষয়ে এই মতামত তৈরি করেছে তা পড়তে চা"&amp;"ই। সে বেশ বিরক্ত হয়ে অ্যান্টিফা এবং বেন শাপিরো এবং জর্ডেন পিটারসেনের কথা শুনতে হয়েছিল, এইসব নিয়ে সে বেশ ক্ষোভ প্রকাশ করতে শুরু করে। আমি এই সবের মধ্যে বসে রইলাম এবং শান্তভাবে জোর দিয়ে বললাম যে আমি তার মতামতকে সম্মান করব না যদি না সে কীভাবে এই সিদ্ধান্তে "&amp;"এসেছে তার তথ্য দিয়ে তার মতামতের সমর্থন করতে পারে। আমার পুরো শরীর কাঁপছিল, কিন্তু মুখ শান্ত রাখার চেষ্টা করছিলাম। আমি নিশ্চিত করেছিলাম যে ক্যামেরাটি কেবল আমার মুখটিই দেখাচ্ছে। আমি তাকে ফোন করে খুশি বোধ করছি, কিন্তু আমি এত ক্লান্ত এবং ক্লান্ত। তাছাড়া, আমি"&amp;" তার উপর খুব হতাশ এবং হতাশ বোধ করছি। যখন ফোনটি শেষ হয়েছিল তখন অনেক দেরি হয়ে গিয়েছিল, তাই আমার সাথে কথা বলার মতো কেউ ছিল না। আমার কান্না কিছুটা সাহায্য করেছে, এবং এখন আমি ঘুমিয়ে পড়ার চেষ্টা করছি কিন্তু তা হচ্ছে না, তাই আমি রেডিটে টাইপ করছি। পড়ার জন্য"&amp;" ধন্যবাদ।")</f>
        <v>বাবার সাথে স্কাইপে একটা কথা হয়েছিল, যেখানে অবশেষে আমি তার ডানপন্থী বিদেশীদের প্রতি ভয়ের কথা বলেছিলাম। আমি আমার পরিবারের সাথে খুব বেশি কথা বলি না। তারা আমার কাছ থেকে সারা বিশ্বে বাস করে। কিন্তু মাঝে মাঝে আমি তাদের স্কাইপে দেখি এবং আমি সবসময় এটাকে ভয় পাই। বেশিরভাগ ক্ষেত্রেই আমার বাবা। সবসময় ঝগড়া করা। ডানপন্থী বাজে কথা বলা (তার মোবাইল ফোন নেই এবং ইন্টারনেটে এমন কিছু পড়ে না যা তার মতামতকে নিশ্চিত করে না) এবং যৌনতাবাদী মন্তব্য এবং রসিকতা করা। এছাড়াও, যখন আমার মা কথা বলতে চান তখন ক্রমাগত বাধা দেয়। আমি আসলে আজ একটি কাগজের টুকরোতে এটি লিখেছি, এবং এটি কোনও রসিকতা ছিল না, 67 বার সে কিছু বলার চেষ্টা করেছিল, এবং সে 52 বার বাধা দিয়েছে। আজ রাতে আমি তার মুসলিমদের উপর নিন্দা আর সহ্য করতে পারছিলাম। যখন সে বলল যে এটি একটি সত্য যে সমস্ত মুসলিমদের মধ্যে 20% সন্ত্রাসী, আমি তাকে তার উৎস জিজ্ঞাসা করলাম। যখন সে বলল যে এটি "নিরাপত্তা সংস্থা", আমি তাকে জিজ্ঞাসা করলাম কোনটি। যখন সে আমাকে বলতে পারল না কিন্তু বলল যে আমাকে তার মতামতকে সম্মান করতে হবে, তখন আমি তাকে বলেছিলাম যে আমি সে কী বিষয়ে এই মতামত তৈরি করেছে তা পড়তে চাই। সে বেশ বিরক্ত হয়ে অ্যান্টিফা এবং বেন শাপিরো এবং জর্ডেন পিটারসেনের কথা শুনতে হয়েছিল, এইসব নিয়ে সে বেশ ক্ষোভ প্রকাশ করতে শুরু করে। আমি এই সবের মধ্যে বসে রইলাম এবং শান্তভাবে জোর দিয়ে বললাম যে আমি তার মতামতকে সম্মান করব না যদি না সে কীভাবে এই সিদ্ধান্তে এসেছে তার তথ্য দিয়ে তার মতামতের সমর্থন করতে পারে। আমার পুরো শরীর কাঁপছিল, কিন্তু মুখ শান্ত রাখার চেষ্টা করছিলাম। আমি নিশ্চিত করেছিলাম যে ক্যামেরাটি কেবল আমার মুখটিই দেখাচ্ছে। আমি তাকে ফোন করে খুশি বোধ করছি, কিন্তু আমি এত ক্লান্ত এবং ক্লান্ত। তাছাড়া, আমি তার উপর খুব হতাশ এবং হতাশ বোধ করছি। যখন ফোনটি শেষ হয়েছিল তখন অনেক দেরি হয়ে গিয়েছিল, তাই আমার সাথে কথা বলার মতো কেউ ছিল না। আমার কান্না কিছুটা সাহায্য করেছে, এবং এখন আমি ঘুমিয়ে পড়ার চেষ্টা করছি কিন্তু তা হচ্ছে না, তাই আমি রেডিটে টাইপ করছি। পড়ার জন্য ধন্যবাদ।</v>
      </c>
    </row>
    <row r="3000" spans="1:3" ht="15" x14ac:dyDescent="0.25">
      <c r="A3000" s="3" t="s">
        <v>2993</v>
      </c>
      <c r="B3000" s="3" t="s">
        <v>1992</v>
      </c>
      <c r="C3000" s="4" t="str">
        <f ca="1">IFERROR(__xludf.DUMMYFUNCTION("GOOGLETRANSLATE(A3000, ""auto"", ""bn"")"),"মারাত্মক পারিবারিক অনিদ্রা উদ্বেগ গত সপ্তাহে আমার খুব বেশি ঘুম হচ্ছে না এবং আমার উদ্বেগ কাজ করতে শুরু করেছে। প্রথমে আমি ভেবেছিলাম আমার অনিদ্রা হয়েছে (যা সাময়িক), কিন্তু পরে সেই চিন্তাভাবনা FFI-তে রূপান্তরিত হয়, যা আমাকে ভীত করে তোলে।")</f>
        <v>মারাত্মক পারিবারিক অনিদ্রা উদ্বেগ গত সপ্তাহে আমার খুব বেশি ঘুম হচ্ছে না এবং আমার উদ্বেগ কাজ করতে শুরু করেছে। প্রথমে আমি ভেবেছিলাম আমার অনিদ্রা হয়েছে (যা সাময়িক), কিন্তু পরে সেই চিন্তাভাবনা FFI-তে রূপান্তরিত হয়, যা আমাকে ভীত করে তোলে।</v>
      </c>
    </row>
    <row r="3001" spans="1:3" ht="15" x14ac:dyDescent="0.25">
      <c r="A3001" s="3" t="s">
        <v>2994</v>
      </c>
      <c r="B3001" s="3" t="s">
        <v>1992</v>
      </c>
      <c r="C3001" s="4" t="str">
        <f ca="1">IFERROR(__xludf.DUMMYFUNCTION("GOOGLETRANSLATE(A3001, ""auto"", ""bn"")"),"ইন্টারভিউ নিয়ে উদ্বেগ আমার মনে এই উদ্বেগ যে আমি কোথাও চাকরি পাওয়ার মতো যথেষ্ট ভালো বোধ করছি না। বুধবার আমার একটি ফোন ইন্টারভিউ আছে বলে আবারও বোকামি মাথায় এসেছে (ফোন নিয়ে উদ্বেগও আছে)। যদিও আমি জানি যে আমি সম্ভবত কাজটি করতে পারব এবং আমার কাছে এটি করার দক্ষ"&amp;"তা আছে। আমি এখনও মনে করি না যে আমি এর যোগ্য অথবা আমি যথেষ্ট ভালো। মানুষ কীভাবে নিজেদের উপর বিশ্বাস করে?")</f>
        <v>ইন্টারভিউ নিয়ে উদ্বেগ আমার মনে এই উদ্বেগ যে আমি কোথাও চাকরি পাওয়ার মতো যথেষ্ট ভালো বোধ করছি না। বুধবার আমার একটি ফোন ইন্টারভিউ আছে বলে আবারও বোকামি মাথায় এসেছে (ফোন নিয়ে উদ্বেগও আছে)। যদিও আমি জানি যে আমি সম্ভবত কাজটি করতে পারব এবং আমার কাছে এটি করার দক্ষতা আছে। আমি এখনও মনে করি না যে আমি এর যোগ্য অথবা আমি যথেষ্ট ভালো। মানুষ কীভাবে নিজেদের উপর বিশ্বাস করে?</v>
      </c>
    </row>
    <row r="3002" spans="1:3" ht="15" x14ac:dyDescent="0.25">
      <c r="A3002" s="3" t="s">
        <v>2995</v>
      </c>
      <c r="B3002" s="3" t="s">
        <v>1992</v>
      </c>
      <c r="C3002" s="4" t="str">
        <f ca="1">IFERROR(__xludf.DUMMYFUNCTION("GOOGLETRANSLATE(A3002, ""auto"", ""bn"")"),"ক্রিসমাস এবং নববর্ষের পর আজ আমার শেষ ছুটির দিন, তাই অতিরিক্ত চিন্তা করছি। আমার কিশোর বাচ্চাদের আমার প্রাক্তন স্ত্রীর কাছে ফিরিয়ে নিয়ে যাচ্ছি, তারা আমার সাথে এখানে ক্রিসমাস কাটানোর পর। আমি তাদের অনেক দেখি, তারা মাত্র অল্প গাড়িতে থাকে, এবং আমি আমার বড় ছ"&amp;"েলের সাথে থাকি। ক্রিসমাস/নববর্ষের সময় মাঝে মাঝে কাজের দিনগুলি কাটানোর পর, আগামীকাল কাজে ফিরে আসার পর, আমাকে আমার কোম্পানির স্বাভাবিক চাকরি থেকে অন্য চাকরিতে স্থানান্তরিত করা হয়েছে (কোম্পানির 'প্রয়োজন' কিন্তু আমার পছন্দ নয়) এবং আমার আরামের অঞ্চলের বাইর"&amp;"ে। আমি অত্যধিক মদ্যপান করছি, ভয়ঙ্কর দুঃস্বপ্নের সাথে খারাপ ঘুমাচ্ছি এবং বছরের পর বছর ধরে স্কুলের আগে রবিবার রাতে যে ভয় পেতাম তা ক্রমবর্ধমান। এটা অতিরিক্ত, এবং আমি বিরক্ত। আমি কোনওভাবে এটিকে এড়িয়ে যাওয়ার পরিবর্তে আমার অনুভূতি নিয়ন্ত্রণ করতে সংগ্রাম ক"&amp;"রি। আমি বিশেষ করে আমার কাজকে ঘৃণা করি না, কিছুক্ষণের জন্য ছুটি থাকলে আমার মাথা অতিরিক্ত প্রতিক্রিয়া দেখায়।")</f>
        <v>ক্রিসমাস এবং নববর্ষের পর আজ আমার শেষ ছুটির দিন, তাই অতিরিক্ত চিন্তা করছি। আমার কিশোর বাচ্চাদের আমার প্রাক্তন স্ত্রীর কাছে ফিরিয়ে নিয়ে যাচ্ছি, তারা আমার সাথে এখানে ক্রিসমাস কাটানোর পর। আমি তাদের অনেক দেখি, তারা মাত্র অল্প গাড়িতে থাকে, এবং আমি আমার বড় ছেলের সাথে থাকি। ক্রিসমাস/নববর্ষের সময় মাঝে মাঝে কাজের দিনগুলি কাটানোর পর, আগামীকাল কাজে ফিরে আসার পর, আমাকে আমার কোম্পানির স্বাভাবিক চাকরি থেকে অন্য চাকরিতে স্থানান্তরিত করা হয়েছে (কোম্পানির 'প্রয়োজন' কিন্তু আমার পছন্দ নয়) এবং আমার আরামের অঞ্চলের বাইরে। আমি অত্যধিক মদ্যপান করছি, ভয়ঙ্কর দুঃস্বপ্নের সাথে খারাপ ঘুমাচ্ছি এবং বছরের পর বছর ধরে স্কুলের আগে রবিবার রাতে যে ভয় পেতাম তা ক্রমবর্ধমান। এটা অতিরিক্ত, এবং আমি বিরক্ত। আমি কোনওভাবে এটিকে এড়িয়ে যাওয়ার পরিবর্তে আমার অনুভূতি নিয়ন্ত্রণ করতে সংগ্রাম করি। আমি বিশেষ করে আমার কাজকে ঘৃণা করি না, কিছুক্ষণের জন্য ছুটি থাকলে আমার মাথা অতিরিক্ত প্রতিক্রিয়া দেখায়।</v>
      </c>
    </row>
    <row r="3003" spans="1:3" ht="15" x14ac:dyDescent="0.25">
      <c r="A3003" s="3" t="s">
        <v>2996</v>
      </c>
      <c r="B3003" s="3" t="s">
        <v>1992</v>
      </c>
      <c r="C3003" s="4" t="str">
        <f ca="1">IFERROR(__xludf.DUMMYFUNCTION("GOOGLETRANSLATE(A3003, ""auto"", ""bn"")"),"আমি ভালোবাসা দিবসে একটা মেয়েকে চকলেট দিচ্ছি!!! # আমি জানি এটা যেন অক্টোবরে বড়দিনের পরিকল্পনা করছি, কিন্তু হ্যাঁ, আমি তাকে কিছু চকলেট দেব, দামি চকলেট বা অন্য কিছু নয়। # একটু পটভূমিতে আমি তার সাথে একই খণ্ডকালীন চাকরি করছি। আমি জানি না এটা কি অস্বস্তিকর হবে?"&amp;" আমি তাকে কীভাবে দেব? আমি বারবার ভাবছি যে সে এটা গ্রহণ করবে না।")</f>
        <v>আমি ভালোবাসা দিবসে একটা মেয়েকে চকলেট দিচ্ছি!!! # আমি জানি এটা যেন অক্টোবরে বড়দিনের পরিকল্পনা করছি, কিন্তু হ্যাঁ, আমি তাকে কিছু চকলেট দেব, দামি চকলেট বা অন্য কিছু নয়। # একটু পটভূমিতে আমি তার সাথে একই খণ্ডকালীন চাকরি করছি। আমি জানি না এটা কি অস্বস্তিকর হবে? আমি তাকে কীভাবে দেব? আমি বারবার ভাবছি যে সে এটা গ্রহণ করবে না।</v>
      </c>
    </row>
    <row r="3004" spans="1:3" ht="15" x14ac:dyDescent="0.25">
      <c r="A3004" s="3" t="s">
        <v>2997</v>
      </c>
      <c r="B3004" s="3" t="s">
        <v>1992</v>
      </c>
      <c r="C3004" s="4" t="str">
        <f ca="1">IFERROR(__xludf.DUMMYFUNCTION("GOOGLETRANSLATE(A3004, ""auto"", ""bn"")"),"মতামত ভাগাভাগি করার ব্যাপারে উদ্বেগ?? অন্যদের আগ্রহ এবং মতামত জানার কথা ভেবে কি কেউ সত্যিই ভীত এবং চাপে পড়ে? কিন্তু একই সাথে মানুষ যখন নিজেকে খুব সাধারণ মনে করে এবং মাঝখানে আটকে থাকে তখনও ভীত হয়। যদি অন্য কেউ একই রকম হয়, তাহলে এই বিষয়টি এড়িয়ে যাওয়া"&amp;"র জন্য আপনি কী করেন?? মানে আমি মাঝে মাঝে আমার আগ্রহ সম্পর্কে অজ্ঞতার ভান করি কিন্তু যাদের আমি একটি নির্দিষ্ট ব্যান্ড বা অন্য কিছু উপভোগ করি তাদেরও দিনের পর দিন বিভ্রান্ত করে তুলতে পারি। আর কেউ আছেন???")</f>
        <v>মতামত ভাগাভাগি করার ব্যাপারে উদ্বেগ?? অন্যদের আগ্রহ এবং মতামত জানার কথা ভেবে কি কেউ সত্যিই ভীত এবং চাপে পড়ে? কিন্তু একই সাথে মানুষ যখন নিজেকে খুব সাধারণ মনে করে এবং মাঝখানে আটকে থাকে তখনও ভীত হয়। যদি অন্য কেউ একই রকম হয়, তাহলে এই বিষয়টি এড়িয়ে যাওয়ার জন্য আপনি কী করেন?? মানে আমি মাঝে মাঝে আমার আগ্রহ সম্পর্কে অজ্ঞতার ভান করি কিন্তু যাদের আমি একটি নির্দিষ্ট ব্যান্ড বা অন্য কিছু উপভোগ করি তাদেরও দিনের পর দিন বিভ্রান্ত করে তুলতে পারি। আর কেউ আছেন???</v>
      </c>
    </row>
    <row r="3005" spans="1:3" ht="15" x14ac:dyDescent="0.25">
      <c r="A3005" s="3" t="s">
        <v>2998</v>
      </c>
      <c r="B3005" s="3" t="s">
        <v>1992</v>
      </c>
      <c r="C3005" s="4" t="str">
        <f ca="1">IFERROR(__xludf.DUMMYFUNCTION("GOOGLETRANSLATE(A3005, ""auto"", ""bn"")"),"আমার কি সাহায্য নেওয়া উচিত? আমি বছরের পর বছর ধরে উদ্বেগ এবং কিছুটা বিষণ্ণতার সাথে মোকাবিলা করছি, এবং এটি সর্বদাই খুব কমই ঘটে। কিন্তু আমি নিজের এবং আমার কর্মকাণ্ডের উপর নিয়ন্ত্রণ না থাকার কারণে ক্লান্ত হয়ে পড়ছি, এবং জীবনে এগিয়ে যেতে আমার খুব কষ্ট হচ্ছে"&amp;"। আমার বয়স ১৯, এবং আমি আমার বাবা-মায়ের কাছ থেকে দূরে সরে গিয়ে প্রাপ্তবয়স্ক জীবনযাপন করতে খুব ভয় পাই, এই সম্পর্কে সামান্যতম চিন্তাভাবনা আমার আতঙ্কিত করে তোলে। আমি খুব কমই জিনিস উপভোগ করি, আসলে কিছুই যথেষ্ট গুরুত্বপূর্ণ নয় আমি মজা করার জন্য জিনিসগুলি "&amp;"উপভোগ করি, সবকিছুই কেবল কিছুটা অপ্রীতিকর। আরও অনেক কিছু আছে, কিন্তু আপনি জানেন উদ্বেগ কতটা, তাই সবকিছু লেখার কোনও কারণ নেই। তাই সম্প্রতি আমি আমার ডাক্তারের কাছে যাওয়ার এবং কিছু সাহায্য নেওয়ার কথা ভাবছি কিন্তু ডেনমার্কে সাহায্য পাওয়া কি দীর্ঘ প্রক্রিয়া"&amp;", তাই এটি কি মূল্যবান? ওষুধ কি কাজ করে? নাকি এটি আরও খারাপ? একজন থেরাপিস্টের সাথে যোগাযোগ করা আমার জন্য কাজ করবে না। আপনার সময় দেওয়ার জন্য ধন্যবাদ। (কিছু অদ্ভুত শোনালে বা ভুল বানান হলে দুঃখিত)")</f>
        <v>আমার কি সাহায্য নেওয়া উচিত? আমি বছরের পর বছর ধরে উদ্বেগ এবং কিছুটা বিষণ্ণতার সাথে মোকাবিলা করছি, এবং এটি সর্বদাই খুব কমই ঘটে। কিন্তু আমি নিজের এবং আমার কর্মকাণ্ডের উপর নিয়ন্ত্রণ না থাকার কারণে ক্লান্ত হয়ে পড়ছি, এবং জীবনে এগিয়ে যেতে আমার খুব কষ্ট হচ্ছে। আমার বয়স ১৯, এবং আমি আমার বাবা-মায়ের কাছ থেকে দূরে সরে গিয়ে প্রাপ্তবয়স্ক জীবনযাপন করতে খুব ভয় পাই, এই সম্পর্কে সামান্যতম চিন্তাভাবনা আমার আতঙ্কিত করে তোলে। আমি খুব কমই জিনিস উপভোগ করি, আসলে কিছুই যথেষ্ট গুরুত্বপূর্ণ নয় আমি মজা করার জন্য জিনিসগুলি উপভোগ করি, সবকিছুই কেবল কিছুটা অপ্রীতিকর। আরও অনেক কিছু আছে, কিন্তু আপনি জানেন উদ্বেগ কতটা, তাই সবকিছু লেখার কোনও কারণ নেই। তাই সম্প্রতি আমি আমার ডাক্তারের কাছে যাওয়ার এবং কিছু সাহায্য নেওয়ার কথা ভাবছি কিন্তু ডেনমার্কে সাহায্য পাওয়া কি দীর্ঘ প্রক্রিয়া, তাই এটি কি মূল্যবান? ওষুধ কি কাজ করে? নাকি এটি আরও খারাপ? একজন থেরাপিস্টের সাথে যোগাযোগ করা আমার জন্য কাজ করবে না। আপনার সময় দেওয়ার জন্য ধন্যবাদ। (কিছু অদ্ভুত শোনালে বা ভুল বানান হলে দুঃখিত)</v>
      </c>
    </row>
    <row r="3006" spans="1:3" ht="15" x14ac:dyDescent="0.25">
      <c r="A3006" s="3" t="s">
        <v>2999</v>
      </c>
      <c r="B3006" s="3" t="s">
        <v>1992</v>
      </c>
      <c r="C3006" s="4" t="str">
        <f ca="1">IFERROR(__xludf.DUMMYFUNCTION("GOOGLETRANSLATE(A3006, ""auto"", ""bn"")"),"আমার মনে হয় আমার অস্বাভাবিক প্যানিক অ্যাটাক হয়েছে। প্রায় ৩ মাস ধরে আমার প্যানিক অ্যাটাক হয়নি। কিন্তু গত রাতে আমি ঘুমাতে গেলাম, হঠাৎ ঘুম থেকে উঠেই ভয়ে বিছানা থেকে উঠে পড়লাম। আমি সোজা হাঁটতে পারছিলাম না, সবকিছু দৃশ্যত ঘুরছিল, আমার হৃদস্পন্দন দ্রুত বেগ"&amp;"ে ছুটে যাচ্ছিল এবং শরীর কাঁপছিল। আমার ব্রেন টিউমার হয়েছে বলে আমি বারবার ভীত হয়ে পড়ছিলাম, কিন্তু ৩ মাস আগে আমার সিটি স্ক্যান এবং সব ধরণের রক্ত ​​পরীক্ষা করা হয়েছিল এবং সবকিছু ঠিকঠাক হয়ে গিয়েছিল। আর কারো কি এইরকম প্যানিক অ্যাটাক হয়েছে? আমার মনে নেই আ"&amp;"মি কখনো দুঃস্বপ্ন দেখেছি।")</f>
        <v>আমার মনে হয় আমার অস্বাভাবিক প্যানিক অ্যাটাক হয়েছে। প্রায় ৩ মাস ধরে আমার প্যানিক অ্যাটাক হয়নি। কিন্তু গত রাতে আমি ঘুমাতে গেলাম, হঠাৎ ঘুম থেকে উঠেই ভয়ে বিছানা থেকে উঠে পড়লাম। আমি সোজা হাঁটতে পারছিলাম না, সবকিছু দৃশ্যত ঘুরছিল, আমার হৃদস্পন্দন দ্রুত বেগে ছুটে যাচ্ছিল এবং শরীর কাঁপছিল। আমার ব্রেন টিউমার হয়েছে বলে আমি বারবার ভীত হয়ে পড়ছিলাম, কিন্তু ৩ মাস আগে আমার সিটি স্ক্যান এবং সব ধরণের রক্ত ​​পরীক্ষা করা হয়েছিল এবং সবকিছু ঠিকঠাক হয়ে গিয়েছিল। আর কারো কি এইরকম প্যানিক অ্যাটাক হয়েছে? আমার মনে নেই আমি কখনো দুঃস্বপ্ন দেখেছি।</v>
      </c>
    </row>
    <row r="3007" spans="1:3" ht="15" x14ac:dyDescent="0.25">
      <c r="A3007" s="3" t="s">
        <v>3000</v>
      </c>
      <c r="B3007" s="3" t="s">
        <v>1992</v>
      </c>
      <c r="C3007" s="4" t="str">
        <f ca="1">IFERROR(__xludf.DUMMYFUNCTION("GOOGLETRANSLATE(A3007, ""auto"", ""bn"")"),"আমার ওজনযুক্ত কম্বল নিয়ে দুশ্চিন্তা? হ্যালো, আমার বিষণ্ণতা এবং উদ্বেগের পাশাপাশি ক্রোন'স, সম্পর্কিত আর্থ্রাইটিস এবং কটিদেশীয় অঞ্চলে ডিজেনারেটিভ ডিস্ক রোগ রয়েছে। আমার বাগদত্তা?? ক্রিসমাসের জন্য আমাকে একটি ওজনযুক্ত কম্বল কিনে দিয়েছিল, এবং আমি খুব রোমাঞ্"&amp;"চিত ছিলাম। আমি প্রায়শই প্রচুর কম্বল পরে ঘুমাই কারণ আমি ওজন পছন্দ করি, কিন্তু আমি সত্যিই গরম হয়ে যাই এবং এটি সত্যিই একটি ভাল রাতের ঘুমের জন্য উপযুক্ত নয়। তাই ক্রিসমাসের পর দুই সপ্তাহেরও কম সময় হয়ে গেছে এবং আমার উদ্বেগ আমাকে নিশ্চিত করেছে যে ওজনযুক্ত ক"&amp;"ম্বল মূলত আমার সমস্ত লক্ষণগুলিকে আরও খারাপ করছে। আমার লক্ষণগুলি আরও খারাপ হওয়ার যুক্তিসঙ্গত কারণ রয়েছে, তবে আমি এই ধারণাটি নিয়ে নিজেকে এতটাই ব্যস্ত করে তুলেছি যে আমার ওজনযুক্ত কম্বল (15 অতিরিক্ত পাউন্ড) পরে ঘুমিয়ে আমি আমার শরীরে চাপ তৈরি করছি, এবং তাই"&amp;" আমি যে ব্যথা এবং অনিদ্রা অনুভব করছি তার জন্য দায়ী। এটা কি পাগলাটে, তাই না? আমি জানি এই পুরো চিন্তাভাবনার সমস্যাটি কেবল উদ্বেগকে স্থায়ী করে এবং আসলে আমার শরীরকে চাপ দেয়, যা সক্রিয়ভাবে ক্রোন'সকে আরও খারাপ করে তোলে। আমি জানি এটা চক্রাকারে ঘটে যায়, এবং আ"&amp;"মি জানি যে এই অতিরিক্ত উদ্বেগ এবং এই তত্ত্বগুলি তৈরি করার জন্য আমি মূলত দায়ী, আমার ব্যথার জন্য এমন কিছুর উপর দোষ চাপাচ্ছি যা আমাকে সত্যিই খুশি করে, যার কোনও ভিত্তি নেই। কিন্তু আমি থামতে পারছি না। আমি আমার মস্তিষ্ক বন্ধ করতে পারছি না।")</f>
        <v>আমার ওজনযুক্ত কম্বল নিয়ে দুশ্চিন্তা? হ্যালো, আমার বিষণ্ণতা এবং উদ্বেগের পাশাপাশি ক্রোন'স, সম্পর্কিত আর্থ্রাইটিস এবং কটিদেশীয় অঞ্চলে ডিজেনারেটিভ ডিস্ক রোগ রয়েছে। আমার বাগদত্তা?? ক্রিসমাসের জন্য আমাকে একটি ওজনযুক্ত কম্বল কিনে দিয়েছিল, এবং আমি খুব রোমাঞ্চিত ছিলাম। আমি প্রায়শই প্রচুর কম্বল পরে ঘুমাই কারণ আমি ওজন পছন্দ করি, কিন্তু আমি সত্যিই গরম হয়ে যাই এবং এটি সত্যিই একটি ভাল রাতের ঘুমের জন্য উপযুক্ত নয়। তাই ক্রিসমাসের পর দুই সপ্তাহেরও কম সময় হয়ে গেছে এবং আমার উদ্বেগ আমাকে নিশ্চিত করেছে যে ওজনযুক্ত কম্বল মূলত আমার সমস্ত লক্ষণগুলিকে আরও খারাপ করছে। আমার লক্ষণগুলি আরও খারাপ হওয়ার যুক্তিসঙ্গত কারণ রয়েছে, তবে আমি এই ধারণাটি নিয়ে নিজেকে এতটাই ব্যস্ত করে তুলেছি যে আমার ওজনযুক্ত কম্বল (15 অতিরিক্ত পাউন্ড) পরে ঘুমিয়ে আমি আমার শরীরে চাপ তৈরি করছি, এবং তাই আমি যে ব্যথা এবং অনিদ্রা অনুভব করছি তার জন্য দায়ী। এটা কি পাগলাটে, তাই না? আমি জানি এই পুরো চিন্তাভাবনার সমস্যাটি কেবল উদ্বেগকে স্থায়ী করে এবং আসলে আমার শরীরকে চাপ দেয়, যা সক্রিয়ভাবে ক্রোন'সকে আরও খারাপ করে তোলে। আমি জানি এটা চক্রাকারে ঘটে যায়, এবং আমি জানি যে এই অতিরিক্ত উদ্বেগ এবং এই তত্ত্বগুলি তৈরি করার জন্য আমি মূলত দায়ী, আমার ব্যথার জন্য এমন কিছুর উপর দোষ চাপাচ্ছি যা আমাকে সত্যিই খুশি করে, যার কোনও ভিত্তি নেই। কিন্তু আমি থামতে পারছি না। আমি আমার মস্তিষ্ক বন্ধ করতে পারছি না।</v>
      </c>
    </row>
    <row r="3008" spans="1:3" ht="15" x14ac:dyDescent="0.25">
      <c r="A3008" s="3" t="s">
        <v>3001</v>
      </c>
      <c r="B3008" s="3" t="s">
        <v>1992</v>
      </c>
      <c r="C3008" s="4" t="str">
        <f ca="1">IFERROR(__xludf.DUMMYFUNCTION("GOOGLETRANSLATE(A3008, ""auto"", ""bn"")"),"আমার উদ্বেগ *কেউ আমাকে এটা মোকাবেলা করার জন্য একটা ভালো পদ্ধতি বলে দিন* হে বন্ধুরা, আমি এখানে কিছু পোস্ট করার সিদ্ধান্ত নিয়েছি কারণ সত্যি বলতে আমার আর কেউ নেই যার সাথে আমি এটা নিয়ে কথা বলতে চাই। ছোটবেলা থেকেই আমার মনে হয় আমার ভয়ানক উদ্বেগ ছিল, যদিও আম"&amp;"ি এখনও কোনও পেশাদারের সাথে এই বিষয়ে কথা বলিনি, আমি প্রায় ৮০% নিশ্চিত যে আমি তা নিশ্চিত। আমার প্রথমবারের মতো উদ্বেগ অনুভব করার কথা মনে আছে, প্রায় ১২ বছর বয়সে। আমি এবং আমার কিছু বন্ধু স্কুলে যাওয়ার পথে একটি সহজ রাস্তা পার হয়েছিলাম এবং একজন লোক বলেছিল "&amp;"যে সে পুলিশকে ফোন করবে। তারপর থেকে পরবর্তী ২ সপ্তাহ বা তারও বেশি সময় ধরে আমি সারা রাত জেগে থাকতাম এবং ঘুমাতে পারতাম না কারণ আমার মন ভাবত পুলিশ শীঘ্রই আমার বাড়িতে আসবে। ইত্যাদি। একদিন রাতে আমি কাছাকাছি একজন সিরিয়ান পুলিশ শুনতে পেলাম এবং আক্ষরিক অর্থেই আ"&amp;"মার জানালা দিয়ে তাকিয়ে দেখলাম যে পুলিশ আমার বাড়িতে আসবে। আমার মনে মনে আমি জানতাম এটা অনেক বেশি, কিন্তু আমি এর উপর কোনও নিয়ন্ত্রণ অনুভব করিনি। প্রথমে, আমি ভেবেছিলাম হয়তো ঘুমের জন্য এটি অনিদ্রা। কিন্তু তার কিছুক্ষণ পরেই আমার ঘুম ঠিকঠাক হচ্ছিল এবং সবকিছ"&amp;"ু ঠিকঠাক হয়ে গেল। কিশোর বয়সে (আমি কিশোরী কিন্তু প্রায় প্রাপ্তবয়স্ক) আমি অনেক উদ্বেগ অনুভব করেছি এবং আজও তা অব্যাহত রয়েছে। আমি বর্তমানে এটি লিখছি কারণ আমি ঘুমাতে পারি না। আমার শৈশব কিছুটা ""রুক্ষ"" ছিল প্রায় ১৩-১৪ বছর বয়সে আমি মাদকাসক্ত হতে শুরু করি"&amp;" এবং অন্যান্য খারাপ কাজ করতে শুরু করি, ১৫ বছর বয়সে আমি আদালতে ছিলাম। ভাবুন আমার উদ্বেগ তখন কতটা খারাপ হত... ঈশ্বরের করুণা! আমি বর্তমানে একটি স্বাভাবিক দিন কাটানোর এবং তাড়াতাড়ি ঘুমানোর এবং ভালো বোধ করার পর্যায়ে আছি। আমার কিছুটা উচ্চাকাঙ্ক্ষার প্রয়োজন।"&amp;" রাগ করার জন্য দুঃখিত। দয়া করে আপনার চিন্তাভাবনা এবং আমি কীভাবে এটি মোকাবেলা করতে পারি তা সহ উত্তর দিন, এটি অত্যন্ত প্রশংসা করা হবে :)")</f>
        <v>আমার উদ্বেগ *কেউ আমাকে এটা মোকাবেলা করার জন্য একটা ভালো পদ্ধতি বলে দিন* হে বন্ধুরা, আমি এখানে কিছু পোস্ট করার সিদ্ধান্ত নিয়েছি কারণ সত্যি বলতে আমার আর কেউ নেই যার সাথে আমি এটা নিয়ে কথা বলতে চাই। ছোটবেলা থেকেই আমার মনে হয় আমার ভয়ানক উদ্বেগ ছিল, যদিও আমি এখনও কোনও পেশাদারের সাথে এই বিষয়ে কথা বলিনি, আমি প্রায় ৮০% নিশ্চিত যে আমি তা নিশ্চিত। আমার প্রথমবারের মতো উদ্বেগ অনুভব করার কথা মনে আছে, প্রায় ১২ বছর বয়সে। আমি এবং আমার কিছু বন্ধু স্কুলে যাওয়ার পথে একটি সহজ রাস্তা পার হয়েছিলাম এবং একজন লোক বলেছিল যে সে পুলিশকে ফোন করবে। তারপর থেকে পরবর্তী ২ সপ্তাহ বা তারও বেশি সময় ধরে আমি সারা রাত জেগে থাকতাম এবং ঘুমাতে পারতাম না কারণ আমার মন ভাবত পুলিশ শীঘ্রই আমার বাড়িতে আসবে। ইত্যাদি। একদিন রাতে আমি কাছাকাছি একজন সিরিয়ান পুলিশ শুনতে পেলাম এবং আক্ষরিক অর্থেই আমার জানালা দিয়ে তাকিয়ে দেখলাম যে পুলিশ আমার বাড়িতে আসবে। আমার মনে মনে আমি জানতাম এটা অনেক বেশি, কিন্তু আমি এর উপর কোনও নিয়ন্ত্রণ অনুভব করিনি। প্রথমে, আমি ভেবেছিলাম হয়তো ঘুমের জন্য এটি অনিদ্রা। কিন্তু তার কিছুক্ষণ পরেই আমার ঘুম ঠিকঠাক হচ্ছিল এবং সবকিছু ঠিকঠাক হয়ে গেল। কিশোর বয়সে (আমি কিশোরী কিন্তু প্রায় প্রাপ্তবয়স্ক) আমি অনেক উদ্বেগ অনুভব করেছি এবং আজও তা অব্যাহত রয়েছে। আমি বর্তমানে এটি লিখছি কারণ আমি ঘুমাতে পারি না। আমার শৈশব কিছুটা "রুক্ষ" ছিল প্রায় ১৩-১৪ বছর বয়সে আমি মাদকাসক্ত হতে শুরু করি এবং অন্যান্য খারাপ কাজ করতে শুরু করি, ১৫ বছর বয়সে আমি আদালতে ছিলাম। ভাবুন আমার উদ্বেগ তখন কতটা খারাপ হত... ঈশ্বরের করুণা! আমি বর্তমানে একটি স্বাভাবিক দিন কাটানোর এবং তাড়াতাড়ি ঘুমানোর এবং ভালো বোধ করার পর্যায়ে আছি। আমার কিছুটা উচ্চাকাঙ্ক্ষার প্রয়োজন। রাগ করার জন্য দুঃখিত। দয়া করে আপনার চিন্তাভাবনা এবং আমি কীভাবে এটি মোকাবেলা করতে পারি তা সহ উত্তর দিন, এটি অত্যন্ত প্রশংসা করা হবে :)</v>
      </c>
    </row>
    <row r="3009" spans="1:3" ht="15" x14ac:dyDescent="0.25">
      <c r="A3009" s="3" t="s">
        <v>3002</v>
      </c>
      <c r="B3009" s="3" t="s">
        <v>1992</v>
      </c>
      <c r="C3009" s="4" t="str">
        <f ca="1">IFERROR(__xludf.DUMMYFUNCTION("GOOGLETRANSLATE(A3009, ""auto"", ""bn"")"),"উন্নতি হচ্ছে! কিছুদিন ধরে, পরিস্থিতি এতটাই খারাপ হয়ে গিয়েছিল যে আমার খাবার চেপে রাখতে সমস্যা হচ্ছিল, আর প্রতিদিন খাবার না খেলেও বেঁচে থাকতে হচ্ছিল। গত বছর থেকে, মানসিক চাপ এবং উদ্বেগ আমার মোট ৪০ পাউন্ড ওজন কমানোর একটি কারণ হয়ে দাঁড়িয়েছে (এবং আমি আশা "&amp;"করছি এর কিছুটা ফিরে পাবো)। যাইহোক, গত এক সপ্তাহের মধ্যে, আমি আমার সমস্ত খাবার কমাতে সক্ষম হয়েছি, এবং আমি অনেক সুস্থ বোধ করছি। সামান্য অগ্রগতি হলেও, এটা দেখে ভালো লাগছে যে পরিস্থিতি আগের মতো আর গুরুতর নয়।")</f>
        <v>উন্নতি হচ্ছে! কিছুদিন ধরে, পরিস্থিতি এতটাই খারাপ হয়ে গিয়েছিল যে আমার খাবার চেপে রাখতে সমস্যা হচ্ছিল, আর প্রতিদিন খাবার না খেলেও বেঁচে থাকতে হচ্ছিল। গত বছর থেকে, মানসিক চাপ এবং উদ্বেগ আমার মোট ৪০ পাউন্ড ওজন কমানোর একটি কারণ হয়ে দাঁড়িয়েছে (এবং আমি আশা করছি এর কিছুটা ফিরে পাবো)। যাইহোক, গত এক সপ্তাহের মধ্যে, আমি আমার সমস্ত খাবার কমাতে সক্ষম হয়েছি, এবং আমি অনেক সুস্থ বোধ করছি। সামান্য অগ্রগতি হলেও, এটা দেখে ভালো লাগছে যে পরিস্থিতি আগের মতো আর গুরুতর নয়।</v>
      </c>
    </row>
    <row r="3010" spans="1:3" ht="15" x14ac:dyDescent="0.25">
      <c r="A3010" s="3" t="s">
        <v>3003</v>
      </c>
      <c r="B3010" s="3" t="s">
        <v>1992</v>
      </c>
      <c r="C3010" s="4" t="str">
        <f ca="1">IFERROR(__xludf.DUMMYFUNCTION("GOOGLETRANSLATE(A3010, ""auto"", ""bn"")"),"তুমি কি মাঝে মাঝে চাইবে না যে তারা এমন একটা ট্রানকুইলাইজার ইনজেকশন আবিষ্কার করুক যা তোমাকে তাৎক্ষণিকভাবে শান্ত করে আবার স্বাভাবিক করে তুলবে? তুমি কি দেখেছো কোন বন্য জন্তুকে গুলি করে মেরে ফেলা হচ্ছে? আমার খুব ভালো লাগবে যদি কেউ আমার ভেতরের জন্তুটিকে গুলি ক"&amp;"রে। যেটা আমাকে রাতে এবং ভোরে জাগিয়ে রাখে। যেটা আমাকে কুয়াশাচ্ছন্ন করে তোলে, এবং স্পষ্টভাবে ভাবতে পারে না। ওহ, আমি আবার স্বাভাবিক হতে চাই।")</f>
        <v>তুমি কি মাঝে মাঝে চাইবে না যে তারা এমন একটা ট্রানকুইলাইজার ইনজেকশন আবিষ্কার করুক যা তোমাকে তাৎক্ষণিকভাবে শান্ত করে আবার স্বাভাবিক করে তুলবে? তুমি কি দেখেছো কোন বন্য জন্তুকে গুলি করে মেরে ফেলা হচ্ছে? আমার খুব ভালো লাগবে যদি কেউ আমার ভেতরের জন্তুটিকে গুলি করে। যেটা আমাকে রাতে এবং ভোরে জাগিয়ে রাখে। যেটা আমাকে কুয়াশাচ্ছন্ন করে তোলে, এবং স্পষ্টভাবে ভাবতে পারে না। ওহ, আমি আবার স্বাভাবিক হতে চাই।</v>
      </c>
    </row>
    <row r="3011" spans="1:3" ht="15" x14ac:dyDescent="0.25">
      <c r="A3011" s="3" t="s">
        <v>3004</v>
      </c>
      <c r="B3011" s="3" t="s">
        <v>1992</v>
      </c>
      <c r="C3011" s="4" t="str">
        <f ca="1">IFERROR(__xludf.DUMMYFUNCTION("GOOGLETRANSLATE(A3011, ""auto"", ""bn"")"),"পরিবর্তনের সাথে মোকাবিলা করা আমি জানি পরিবর্তন মানুষকে উদ্বিগ্ন করে তোলে, কিন্তু ছোটবেলা থেকেই আমার রুটিনের অংশ নয় এমন যেকোনো কিছু মোকাবেলা করতে আমার খুব কষ্ট হত। আমার বাবা-মা বাইরে গেলে আমি ঘন্টার পর ঘন্টা কাঁদতাম কারণ আমি ভাবতাম কিছু একটা ঘটবে কারণ এটা"&amp;" প্রতি রাতে ঘটে না এবং আমি এতে অভ্যস্ত ছিলাম না। আমার বয়স যখন ৮ বছর তখন আমার OCD ধরা পড়ে, এবং তারপর থেকে আমি প্রতিদিন আমার ট্রিগারগুলিতে মনোযোগ দেওয়ার এবং এটি মোকাবেলা করার উপায় খুঁজে বের করার জন্য কাজ করছি। আমার OCD এতটাই উন্নত হয়েছে যে কিছু দিন আমি"&amp;" এটি খুব বেশি লক্ষ্য করি না। যাইহোক, গত কয়েক মাস সত্যিই চ্যালেঞ্জিং ছিল, ২০১৮ সালের ফেব্রুয়ারিতে আমি আমার SO এর সাথে সম্পর্কে জড়িয়ে পড়েছিলাম, এবং এটি দুর্দান্ত ছিল, সে আমার উদ্বেগ ইত্যাদি মোকাবেলায় অসাধারণ, কিন্তু এই সপ্তাহে তার একটি নতুন কাজ শুরু ক"&amp;"রার কথা রয়েছে যার অর্থ আমাদের রুটিন এলোমেলো হয়ে যাচ্ছে। আমরা এখনও একসাথে থাকি না, তবে যখনই সম্ভব কথা বলি এবং সপ্তাহে প্রায় ৫ বার একে অপরের সাথে দেখা করি। তার নতুন সময়সূচীর ফলে আমরা সপ্তাহে মাত্র একদিন একে অপরের সাথে দেখা করতে পারব এবং প্রতিদিন সর্বোচ্"&amp;"চ এক বা দুই ঘন্টা কথা বলতে পারব। এই কথাটা ভাবতেই আমার উদ্বেগ এতটাই বেড়ে যায় যে আমি IFA-এর মতো বোকা বোকা প্রশ্ন জিজ্ঞাসা করতে শুরু করি। দীর্ঘ পোস্টের জন্য দুঃখিত, কিন্তু এটি আমার বুক থেকে সরিয়ে ফেলা দরকার ছিল। যেকোনো পরামর্শ সত্যিই দুর্দান্ত হবে।")</f>
        <v>পরিবর্তনের সাথে মোকাবিলা করা আমি জানি পরিবর্তন মানুষকে উদ্বিগ্ন করে তোলে, কিন্তু ছোটবেলা থেকেই আমার রুটিনের অংশ নয় এমন যেকোনো কিছু মোকাবেলা করতে আমার খুব কষ্ট হত। আমার বাবা-মা বাইরে গেলে আমি ঘন্টার পর ঘন্টা কাঁদতাম কারণ আমি ভাবতাম কিছু একটা ঘটবে কারণ এটা প্রতি রাতে ঘটে না এবং আমি এতে অভ্যস্ত ছিলাম না। আমার বয়স যখন ৮ বছর তখন আমার OCD ধরা পড়ে, এবং তারপর থেকে আমি প্রতিদিন আমার ট্রিগারগুলিতে মনোযোগ দেওয়ার এবং এটি মোকাবেলা করার উপায় খুঁজে বের করার জন্য কাজ করছি। আমার OCD এতটাই উন্নত হয়েছে যে কিছু দিন আমি এটি খুব বেশি লক্ষ্য করি না। যাইহোক, গত কয়েক মাস সত্যিই চ্যালেঞ্জিং ছিল, ২০১৮ সালের ফেব্রুয়ারিতে আমি আমার SO এর সাথে সম্পর্কে জড়িয়ে পড়েছিলাম, এবং এটি দুর্দান্ত ছিল, সে আমার উদ্বেগ ইত্যাদি মোকাবেলায় অসাধারণ, কিন্তু এই সপ্তাহে তার একটি নতুন কাজ শুরু করার কথা রয়েছে যার অর্থ আমাদের রুটিন এলোমেলো হয়ে যাচ্ছে। আমরা এখনও একসাথে থাকি না, তবে যখনই সম্ভব কথা বলি এবং সপ্তাহে প্রায় ৫ বার একে অপরের সাথে দেখা করি। তার নতুন সময়সূচীর ফলে আমরা সপ্তাহে মাত্র একদিন একে অপরের সাথে দেখা করতে পারব এবং প্রতিদিন সর্বোচ্চ এক বা দুই ঘন্টা কথা বলতে পারব। এই কথাটা ভাবতেই আমার উদ্বেগ এতটাই বেড়ে যায় যে আমি IFA-এর মতো বোকা বোকা প্রশ্ন জিজ্ঞাসা করতে শুরু করি। দীর্ঘ পোস্টের জন্য দুঃখিত, কিন্তু এটি আমার বুক থেকে সরিয়ে ফেলা দরকার ছিল। যেকোনো পরামর্শ সত্যিই দুর্দান্ত হবে।</v>
      </c>
    </row>
    <row r="3012" spans="1:3" ht="15" x14ac:dyDescent="0.25">
      <c r="A3012" s="3" t="s">
        <v>3005</v>
      </c>
      <c r="B3012" s="3" t="s">
        <v>1992</v>
      </c>
      <c r="C3012" s="4" t="str">
        <f ca="1">IFERROR(__xludf.DUMMYFUNCTION("GOOGLETRANSLATE(A3012, ""auto"", ""bn"")"),"আজকাল স্বাস্থ্যগত উদ্বেগ যে কুৎসিত আকার ধারণ করছে, তা আসলে আলিঙ্গনের সাথেই ঘটতে পারে। এক বছর আগে আমার GAD ধরা পড়েছিল, এবং স্বাস্থ্যগত উদ্বেগ আমার জন্য একটি প্রধান বিষয়। আমার পরিবারের অনেক সদস্য (আমার মা সহ) ক্যান্সারে আক্রান্ত হয়ে মারা গেছেন/যার ফলে আম"&amp;"ি ক্রমাগত উদ্বিগ্ন। আজ সকালে ইন্টারনেটে কিছু স্তন ক্যান্সারের গল্প দেখে আমি বোকার মতো আমার স্তন পরীক্ষা করছি এবং ভয় পাচ্ছি যে আমার স্তন ক্যান্সার হয়েছে। আমি যুক্তিসঙ্গতভাবে জানি যে এটি হওয়ার সম্ভাবনা নেই - আমি একজন সুস্থ ব্যক্তি যে ব্যায়াম করি, ভালো খ"&amp;"াবার খাওয়ার চেষ্টা করি এবং একটি সুষম জীবনযাপন করি, কিন্তু যখন আপনি এটি আশা করেন না তখন আমার মানসিক স্বাস্থ্য এইরকম কুৎসিত আকার ধারণ করে। তাছাড়া, আমি জানি আমি যখনই ভয় পাই তখনই ডাক্তারের কাছে যেতে পারি না, এবং আমাকে নিজেই এটি মোকাবেলা করতে শিখতে হবে। উফ। "&amp;"শুভ রবিবার এবং উদ্বেগ পরিচালনা করার জন্য, এটি একটি কঠিন সংগ্রাম!")</f>
        <v>আজকাল স্বাস্থ্যগত উদ্বেগ যে কুৎসিত আকার ধারণ করছে, তা আসলে আলিঙ্গনের সাথেই ঘটতে পারে। এক বছর আগে আমার GAD ধরা পড়েছিল, এবং স্বাস্থ্যগত উদ্বেগ আমার জন্য একটি প্রধান বিষয়। আমার পরিবারের অনেক সদস্য (আমার মা সহ) ক্যান্সারে আক্রান্ত হয়ে মারা গেছেন/যার ফলে আমি ক্রমাগত উদ্বিগ্ন। আজ সকালে ইন্টারনেটে কিছু স্তন ক্যান্সারের গল্প দেখে আমি বোকার মতো আমার স্তন পরীক্ষা করছি এবং ভয় পাচ্ছি যে আমার স্তন ক্যান্সার হয়েছে। আমি যুক্তিসঙ্গতভাবে জানি যে এটি হওয়ার সম্ভাবনা নেই - আমি একজন সুস্থ ব্যক্তি যে ব্যায়াম করি, ভালো খাবার খাওয়ার চেষ্টা করি এবং একটি সুষম জীবনযাপন করি, কিন্তু যখন আপনি এটি আশা করেন না তখন আমার মানসিক স্বাস্থ্য এইরকম কুৎসিত আকার ধারণ করে। তাছাড়া, আমি জানি আমি যখনই ভয় পাই তখনই ডাক্তারের কাছে যেতে পারি না, এবং আমাকে নিজেই এটি মোকাবেলা করতে শিখতে হবে। উফ। শুভ রবিবার এবং উদ্বেগ পরিচালনা করার জন্য, এটি একটি কঠিন সংগ্রাম!</v>
      </c>
    </row>
    <row r="3013" spans="1:3" ht="15" x14ac:dyDescent="0.25">
      <c r="A3013" s="3" t="s">
        <v>3006</v>
      </c>
      <c r="B3013" s="3" t="s">
        <v>1992</v>
      </c>
      <c r="C3013" s="4" t="str">
        <f ca="1">IFERROR(__xludf.DUMMYFUNCTION("GOOGLETRANSLATE(A3013, ""auto"", ""bn"")"),"এটা কি কখনও ভালো হবে? গত বছর আমার বয়স ৪০ বছর হয়ে গেছে এবং আমি কল্পনাও করিনি যে আমার জীবন এমন হবে, সবসময় একাকী থাকা, আমার সামাজিক উদ্বেগ বয়স যত বাড়ছে ততই খারাপ হয়েছে, চাকরি করতে পারছি না কারণ আমি মানুষের আশেপাশে থাকাকে এত ঘৃণা করি। আমি ওষুধ এবং সিবিটি চে"&amp;"ষ্টা করেছি কিন্তু কিছুই কাজ করেনি। এই জিনিসটা নিয়ে সত্যিই বিরক্ত....দুঃখিত, শুধু মুখ ফুটে বলছি এবং শুধু এটা থেকে বেরিয়ে আসতে চাই। সবসময় বিশ্বাস ধরে রাখার চেষ্টা করি, কিন্তু মাঝে মাঝে এটা খুব কঠিন (সে যা বলেছিল) ????")</f>
        <v>এটা কি কখনও ভালো হবে? গত বছর আমার বয়স ৪০ বছর হয়ে গেছে এবং আমি কল্পনাও করিনি যে আমার জীবন এমন হবে, সবসময় একাকী থাকা, আমার সামাজিক উদ্বেগ বয়স যত বাড়ছে ততই খারাপ হয়েছে, চাকরি করতে পারছি না কারণ আমি মানুষের আশেপাশে থাকাকে এত ঘৃণা করি। আমি ওষুধ এবং সিবিটি চেষ্টা করেছি কিন্তু কিছুই কাজ করেনি। এই জিনিসটা নিয়ে সত্যিই বিরক্ত....দুঃখিত, শুধু মুখ ফুটে বলছি এবং শুধু এটা থেকে বেরিয়ে আসতে চাই। সবসময় বিশ্বাস ধরে রাখার চেষ্টা করি, কিন্তু মাঝে মাঝে এটা খুব কঠিন (সে যা বলেছিল) ????</v>
      </c>
    </row>
    <row r="3014" spans="1:3" ht="15" x14ac:dyDescent="0.25">
      <c r="A3014" s="3" t="s">
        <v>3007</v>
      </c>
      <c r="B3014" s="3" t="s">
        <v>1992</v>
      </c>
      <c r="C3014" s="4" t="str">
        <f ca="1">IFERROR(__xludf.DUMMYFUNCTION("GOOGLETRANSLATE(A3014, ""auto"", ""bn"")"),"আমি ঘুমোতে যাওয়ার জন্য উদ্বিগ্ন ছিলাম, আর এখন ৩ ঘন্টার মধ্যে ঘুম না আসায় কাজ করতে হবে এবং আমি ফোন করতে চাই, কিন্তু আমি এটা নিয়েও উদ্বিগ্ন। আমার উদ্বেগ সাধারণত আমাকে কিছুক্ষণের জন্য বিছানায় জাগিয়ে রাখে, কিন্তু এখন পর্যন্ত না। আমি ফোনে কথা বলছি কারণ আমি জান"&amp;"ি চোখ বন্ধ করলে আরও বেশি উদ্বিগ্ন হয়ে পড়বো। আমার খুব বেশি সময় ধরে কাজ করতে হয় না, কিন্তু এই অবস্থায় আমি গাড়ি চালাতে চাই না, এবং বিশেষ করে এই অবস্থায় কাজ করতেও চাই না। তাছাড়া, আমি মূলত কাজে ফোন করার ব্যাপারে উদ্বিগ্ন কারণ তাদের কর্মী সংখ্যা কম থাকে, বিশে"&amp;"ষ করে রবিবারে, কিন্তু আমার মনে হয় না যে জায়গায় কর্মী থাকা নিশ্চিত করা আমার দায়িত্ব। তাছাড়া, আমি নিশ্চিত যে তারা কয়েকদিন আগে একজন কর্মচারীকে হারিয়েছে। তাছাড়া, অদ্ভুত সময়সূচীর কারণে আমার পরিবার ক্রিসমাস দেরিতে করছে, তাই আমরা আমার শিফটের পরে উপহার খুলছি এব"&amp;"ং আমি নিশ্চিতভাবেই এর মধ্য দিয়ে ক্লান্ত হতে চাই না। আমি জানি এটা করা দরকার। আমি জানি আমাকে ফোন করতে হবে। তাছাড়া, আমার শরীরটাও ভালো নেই। কিন্তু ম্যানেজারকে কী বলবো বুঝতে পারছি না। আমি এই জায়গায় একদিনও ফোন করিনি, আর আমার খুব ভয় হচ্ছে যে তারা রেগে যাবে। ম্"&amp;"যানেজাররা এই ধরণের কাজের জন্য মানুষকে দোষারোপ করে, এটা আমার খুব খারাপ লাগে। তাছাড়া, এটা আমার খুব খারাপ লাগে। এইসব কথা বলার জন্য দুঃখিত, আমি ক্লান্ত, আর আমি এক সপ্তাহ ঘুমাতে চাই।")</f>
        <v>আমি ঘুমোতে যাওয়ার জন্য উদ্বিগ্ন ছিলাম, আর এখন ৩ ঘন্টার মধ্যে ঘুম না আসায় কাজ করতে হবে এবং আমি ফোন করতে চাই, কিন্তু আমি এটা নিয়েও উদ্বিগ্ন। আমার উদ্বেগ সাধারণত আমাকে কিছুক্ষণের জন্য বিছানায় জাগিয়ে রাখে, কিন্তু এখন পর্যন্ত না। আমি ফোনে কথা বলছি কারণ আমি জানি চোখ বন্ধ করলে আরও বেশি উদ্বিগ্ন হয়ে পড়বো। আমার খুব বেশি সময় ধরে কাজ করতে হয় না, কিন্তু এই অবস্থায় আমি গাড়ি চালাতে চাই না, এবং বিশেষ করে এই অবস্থায় কাজ করতেও চাই না। তাছাড়া, আমি মূলত কাজে ফোন করার ব্যাপারে উদ্বিগ্ন কারণ তাদের কর্মী সংখ্যা কম থাকে, বিশেষ করে রবিবারে, কিন্তু আমার মনে হয় না যে জায়গায় কর্মী থাকা নিশ্চিত করা আমার দায়িত্ব। তাছাড়া, আমি নিশ্চিত যে তারা কয়েকদিন আগে একজন কর্মচারীকে হারিয়েছে। তাছাড়া, অদ্ভুত সময়সূচীর কারণে আমার পরিবার ক্রিসমাস দেরিতে করছে, তাই আমরা আমার শিফটের পরে উপহার খুলছি এবং আমি নিশ্চিতভাবেই এর মধ্য দিয়ে ক্লান্ত হতে চাই না। আমি জানি এটা করা দরকার। আমি জানি আমাকে ফোন করতে হবে। তাছাড়া, আমার শরীরটাও ভালো নেই। কিন্তু ম্যানেজারকে কী বলবো বুঝতে পারছি না। আমি এই জায়গায় একদিনও ফোন করিনি, আর আমার খুব ভয় হচ্ছে যে তারা রেগে যাবে। ম্যানেজাররা এই ধরণের কাজের জন্য মানুষকে দোষারোপ করে, এটা আমার খুব খারাপ লাগে। তাছাড়া, এটা আমার খুব খারাপ লাগে। এইসব কথা বলার জন্য দুঃখিত, আমি ক্লান্ত, আর আমি এক সপ্তাহ ঘুমাতে চাই।</v>
      </c>
    </row>
    <row r="3015" spans="1:3" ht="15" x14ac:dyDescent="0.25">
      <c r="A3015" s="3" t="s">
        <v>3008</v>
      </c>
      <c r="B3015" s="3" t="s">
        <v>1992</v>
      </c>
      <c r="C3015" s="4" t="str">
        <f ca="1">IFERROR(__xludf.DUMMYFUNCTION("GOOGLETRANSLATE(A3015, ""auto"", ""bn"")"),"দুশ্চিন্তা এবং ঘুমের ব্যাধি হে বন্ধুরা, আমার অনেক দিন ধরেই দুশ্চিন্তা ছিল, আমি ধ্যান এবং শ্বাস-প্রশ্বাসের মাধ্যমে আমার চিন্তাভাবনা শান্ত করে আমার দৈনন্দিন কাজগুলো সামলাতে পারছিলাম কিন্তু সম্প্রতি এটি আরও খারাপ হয়েছে এবং সবচেয়ে খারাপ দিক হল প্রায় এক মাস"&amp;" ধরে আমার ঘুমের সমস্যা শুরু হয়েছে, যেমন গতকাল আমি রাত ১২টায় ক্লান্ত ছিলাম কারণ আগের দিন আমার রাতটা উজ্জ্বল ছিল, তাই আমি ঘুমাতে গেলাম এবং এই সব চিন্তাভাবনাগুলো আমার মনেই ঘুরপাক খাচ্ছিল। ভোর ৪টা পর্যন্ত আমি নিজেকে থামানোর জন্য সংগ্রাম করে ঘুমিয়ে পড়লাম + "&amp;"আমি যত ঘন্টাই ঘুমাই না কেন, আমি সবসময় ৯ টায় ঘুম থেকে উঠি, এখন আমি যেখানে থাকি সেখানে সকাল ১১ টা। আমি খুব চেষ্টা করছি। উৎপাদনশীল হতে চাই না। যদি কেউ একই রকম পরিস্থিতিতে থাকে তাহলে কিছু পরামর্শের প্রয়োজন, অথবা কিছু সাহায্য করতে পারেন ??? Ã½?? ÂÂ¯")</f>
        <v>দুশ্চিন্তা এবং ঘুমের ব্যাধি হে বন্ধুরা, আমার অনেক দিন ধরেই দুশ্চিন্তা ছিল, আমি ধ্যান এবং শ্বাস-প্রশ্বাসের মাধ্যমে আমার চিন্তাভাবনা শান্ত করে আমার দৈনন্দিন কাজগুলো সামলাতে পারছিলাম কিন্তু সম্প্রতি এটি আরও খারাপ হয়েছে এবং সবচেয়ে খারাপ দিক হল প্রায় এক মাস ধরে আমার ঘুমের সমস্যা শুরু হয়েছে, যেমন গতকাল আমি রাত ১২টায় ক্লান্ত ছিলাম কারণ আগের দিন আমার রাতটা উজ্জ্বল ছিল, তাই আমি ঘুমাতে গেলাম এবং এই সব চিন্তাভাবনাগুলো আমার মনেই ঘুরপাক খাচ্ছিল। ভোর ৪টা পর্যন্ত আমি নিজেকে থামানোর জন্য সংগ্রাম করে ঘুমিয়ে পড়লাম + আমি যত ঘন্টাই ঘুমাই না কেন, আমি সবসময় ৯ টায় ঘুম থেকে উঠি, এখন আমি যেখানে থাকি সেখানে সকাল ১১ টা। আমি খুব চেষ্টা করছি। উৎপাদনশীল হতে চাই না। যদি কেউ একই রকম পরিস্থিতিতে থাকে তাহলে কিছু পরামর্শের প্রয়োজন, অথবা কিছু সাহায্য করতে পারেন ??? Ã½?? ÂÂ¯</v>
      </c>
    </row>
    <row r="3016" spans="1:3" ht="15" x14ac:dyDescent="0.25">
      <c r="A3016" s="3" t="s">
        <v>3009</v>
      </c>
      <c r="B3016" s="3" t="s">
        <v>1992</v>
      </c>
      <c r="C3016" s="4" t="str">
        <f ca="1">IFERROR(__xludf.DUMMYFUNCTION("GOOGLETRANSLATE(A3016, ""auto"", ""bn"")"),"আমার সমবয়সী মেয়েটির সাথে আমার দুই বছরেরও বেশি সময় ধরে হৃদয়ের যন্ত্রণা এবং উদ্বেগ মোকাবেলা করার উপায়। প্রথম দুই বছর ধরে আমরা দারুণ কাজ করছি, একসাথে কলেজ টিকে আছি, একে অপরকে সাহায্য করছি। সম্প্রতি, সে স্বীকার করেছে যে তার হৃদয় দোলাচ্ছে, এবং সে এখনও সম্পর্ক"&amp;"ের প্রতি প্রতিশ্রুতিবদ্ধ হতে চায় না। সে বলেছে যে তার কারো প্রতি ক্রাশ আছে, এবং এটি আরও বেশি প্রশংসার মতো। সে আমাকে অন্য মেয়েদের সাথে ডেট করার পরামর্শ দিয়েছে বিবেচনা এবং দয়ার জন্য, অনিশ্চয়তার সাথে তার জন্য অপেক্ষা করার চেয়ে। তাছাড়া, সে বলেছে যে যদি সে "&amp;"এখন প্রতিশ্রুতিবদ্ধ হয়, তবে আমার সাথে সম্পর্কে থাকার সময় যদি সে অন্য কাউকে পছন্দ করে তবে তা প্রতারণার মতো দেখাবে। আমি হতাশ এবং খুব দুঃখিত বোধ করছি কারণ আমি চাই সে নিজেকে জানুক এবং পৃথিবীকে আরও অন্বেষণ করুক, তবে এই হৃদয়ের যন্ত্রণা আমাকে তাড়া করে কারণ আম"&amp;"ি উদ্বিগ্ন যে সে ফিরে আসবে কিনা। আমি সত্যিই জানি না এখন কী করব। তাছাড়া, আমি কাজ করছি এবং সবকিছু থেকে আমি হতাশ বোধ করছি। আমার কি তার জন্য অপেক্ষা করা উচিত? নাকি তার পরামর্শ অনুসরণ করা উচিত?")</f>
        <v>আমার সমবয়সী মেয়েটির সাথে আমার দুই বছরেরও বেশি সময় ধরে হৃদয়ের যন্ত্রণা এবং উদ্বেগ মোকাবেলা করার উপায়। প্রথম দুই বছর ধরে আমরা দারুণ কাজ করছি, একসাথে কলেজ টিকে আছি, একে অপরকে সাহায্য করছি। সম্প্রতি, সে স্বীকার করেছে যে তার হৃদয় দোলাচ্ছে, এবং সে এখনও সম্পর্কের প্রতি প্রতিশ্রুতিবদ্ধ হতে চায় না। সে বলেছে যে তার কারো প্রতি ক্রাশ আছে, এবং এটি আরও বেশি প্রশংসার মতো। সে আমাকে অন্য মেয়েদের সাথে ডেট করার পরামর্শ দিয়েছে বিবেচনা এবং দয়ার জন্য, অনিশ্চয়তার সাথে তার জন্য অপেক্ষা করার চেয়ে। তাছাড়া, সে বলেছে যে যদি সে এখন প্রতিশ্রুতিবদ্ধ হয়, তবে আমার সাথে সম্পর্কে থাকার সময় যদি সে অন্য কাউকে পছন্দ করে তবে তা প্রতারণার মতো দেখাবে। আমি হতাশ এবং খুব দুঃখিত বোধ করছি কারণ আমি চাই সে নিজেকে জানুক এবং পৃথিবীকে আরও অন্বেষণ করুক, তবে এই হৃদয়ের যন্ত্রণা আমাকে তাড়া করে কারণ আমি উদ্বিগ্ন যে সে ফিরে আসবে কিনা। আমি সত্যিই জানি না এখন কী করব। তাছাড়া, আমি কাজ করছি এবং সবকিছু থেকে আমি হতাশ বোধ করছি। আমার কি তার জন্য অপেক্ষা করা উচিত? নাকি তার পরামর্শ অনুসরণ করা উচিত?</v>
      </c>
    </row>
    <row r="3017" spans="1:3" ht="15" x14ac:dyDescent="0.25">
      <c r="A3017" s="3" t="s">
        <v>3010</v>
      </c>
      <c r="B3017" s="3" t="s">
        <v>1992</v>
      </c>
      <c r="C3017" s="4" t="str">
        <f ca="1">IFERROR(__xludf.DUMMYFUNCTION("GOOGLETRANSLATE(A3017, ""auto"", ""bn"")"),"ঘুমাতে খুব বেশি উদ্বিগ্ন, কাল নাকি আজ বিশ্ববিদ্যালয়ে ফিরে যেতে ভয় পাচ্ছি, কারণ এখন ভোর ৫টা। সারা বছর নানা কারণেই আমার খারাপ লাগছে, আর সবচেয়ে বড় প্রভাব ঘুমের। আমার হৃদস্পন্দন খুব দ্রুত স্পন্দিত হয়, আমি স্থির হয়ে বসতে পারি না, আর যেকোনো কিছু নিয়ে ভাব"&amp;"তে ভাবতেই আমার কান্না চলে আসে। রাতের বেশিরভাগ সময় আমি মাথা ব্যস্ত রাখার চেষ্টায় কাটিয়েছি, কিন্তু এখন আমি বিছানায় শুয়ে ঘুমানোর চেষ্টা করছি কিন্তু ঘুম আসছে না।")</f>
        <v>ঘুমাতে খুব বেশি উদ্বিগ্ন, কাল নাকি আজ বিশ্ববিদ্যালয়ে ফিরে যেতে ভয় পাচ্ছি, কারণ এখন ভোর ৫টা। সারা বছর নানা কারণেই আমার খারাপ লাগছে, আর সবচেয়ে বড় প্রভাব ঘুমের। আমার হৃদস্পন্দন খুব দ্রুত স্পন্দিত হয়, আমি স্থির হয়ে বসতে পারি না, আর যেকোনো কিছু নিয়ে ভাবতে ভাবতেই আমার কান্না চলে আসে। রাতের বেশিরভাগ সময় আমি মাথা ব্যস্ত রাখার চেষ্টায় কাটিয়েছি, কিন্তু এখন আমি বিছানায় শুয়ে ঘুমানোর চেষ্টা করছি কিন্তু ঘুম আসছে না।</v>
      </c>
    </row>
    <row r="3018" spans="1:3" ht="15" x14ac:dyDescent="0.25">
      <c r="A3018" s="3" t="s">
        <v>3011</v>
      </c>
      <c r="B3018" s="3" t="s">
        <v>1992</v>
      </c>
      <c r="C3018" s="4" t="str">
        <f ca="1">IFERROR(__xludf.DUMMYFUNCTION("GOOGLETRANSLATE(A3018, ""auto"", ""bn"")"),"কেউ কি এই ধরণের কথা বলার প্রয়োজন অনুভব করেছেন? প্রায় ২ দিন আগে আমার মধ্যে সবচেয়ে খারাপ উদ্বেগের প্রকোপ দেখা গিয়েছিল। কর্মক্ষেত্রে এটি ৯-১০ ঘন্টা স্থায়ী ছিল এবং তারপর যখন আমি বাড়ি ফিরছিলাম তখন ধীরে ধীরে কমে যায়। আমি বুঝতে পারি যে আমি কতটা সম্পূর্ণ পরিবর্"&amp;"তিত ছিলাম। আমি এখনও মনে করতে পারছি না বা বুঝতে পারছি না যে আমার মস্তিষ্ক কীভাবে সামাজিক সংকেতগুলি বুঝতে পেরেছিল। তাছাড়া, আমি ভেবেছিলাম যে আমি কোনও ভুল করেছি, কোনও প্রমাণ ছাড়াই। এটি আমাকে বিশ্বাস করতে পরিচালিত করেছিল যে আমি আমার খুব ঘনিষ্ঠ দুই বন্ধুকে হার"&amp;"িয়েছি যারা সহকর্মী এবং যার সাথে আমি বন্ধুত্ব করার চেষ্টা করছি সেও একজন সহকর্মী। যাই হোক। আমি আমার ডেস্কে বসে আমার কাজ করতাম। কিন্তু আমি আমার মস্তিষ্কে এই প্রয়োজন অনুভব করতাম। চূড়ান্ত চুলকানির মতো। আমার খুব ভালো ইচ্ছাশক্তি এবং ব্যথা সহনশীলতা আছে, কিন্তু"&amp;" আমি এই চুলকানিকে না বলতে পারিনি। (এটি কোনও শারীরিক চুলকানি ছিল না যা আমি চুলকাই)। এটি আমার আঙ্গুলের মধ্যে পেন্সিল ঘোরানোর প্রয়োজনের সাথে প্রকাশিত হয়েছিল। যখন আমি সাধারণত এটি করি, তখন এটি স্বাভাবিক, কিন্তু এর জন্য আমাকে যতটা সম্ভব শক্তি ব্যবহার করতে হবে"&amp;" এবং যতটা সম্ভব ঘূর্ণন তৈরি করতে হবে। এছাড়াও, আমি আমার আঙ্গুলগুলি খুব দ্রুত নাড়াচাড়া করতাম, প্রায় ছন্দবদ্ধ কিন্তু পেশীর খিঁচুনির মতো এক ধরণের প্রভাবের সাথে। আমি জানতে চাই এটি একটি নথিভুক্ত অবস্থা কিনা এবং যেকোনো সাহায্যের জন্য অত্যন্ত কৃতজ্ঞ।")</f>
        <v>কেউ কি এই ধরণের কথা বলার প্রয়োজন অনুভব করেছেন? প্রায় ২ দিন আগে আমার মধ্যে সবচেয়ে খারাপ উদ্বেগের প্রকোপ দেখা গিয়েছিল। কর্মক্ষেত্রে এটি ৯-১০ ঘন্টা স্থায়ী ছিল এবং তারপর যখন আমি বাড়ি ফিরছিলাম তখন ধীরে ধীরে কমে যায়। আমি বুঝতে পারি যে আমি কতটা সম্পূর্ণ পরিবর্তিত ছিলাম। আমি এখনও মনে করতে পারছি না বা বুঝতে পারছি না যে আমার মস্তিষ্ক কীভাবে সামাজিক সংকেতগুলি বুঝতে পেরেছিল। তাছাড়া, আমি ভেবেছিলাম যে আমি কোনও ভুল করেছি, কোনও প্রমাণ ছাড়াই। এটি আমাকে বিশ্বাস করতে পরিচালিত করেছিল যে আমি আমার খুব ঘনিষ্ঠ দুই বন্ধুকে হারিয়েছি যারা সহকর্মী এবং যার সাথে আমি বন্ধুত্ব করার চেষ্টা করছি সেও একজন সহকর্মী। যাই হোক। আমি আমার ডেস্কে বসে আমার কাজ করতাম। কিন্তু আমি আমার মস্তিষ্কে এই প্রয়োজন অনুভব করতাম। চূড়ান্ত চুলকানির মতো। আমার খুব ভালো ইচ্ছাশক্তি এবং ব্যথা সহনশীলতা আছে, কিন্তু আমি এই চুলকানিকে না বলতে পারিনি। (এটি কোনও শারীরিক চুলকানি ছিল না যা আমি চুলকাই)। এটি আমার আঙ্গুলের মধ্যে পেন্সিল ঘোরানোর প্রয়োজনের সাথে প্রকাশিত হয়েছিল। যখন আমি সাধারণত এটি করি, তখন এটি স্বাভাবিক, কিন্তু এর জন্য আমাকে যতটা সম্ভব শক্তি ব্যবহার করতে হবে এবং যতটা সম্ভব ঘূর্ণন তৈরি করতে হবে। এছাড়াও, আমি আমার আঙ্গুলগুলি খুব দ্রুত নাড়াচাড়া করতাম, প্রায় ছন্দবদ্ধ কিন্তু পেশীর খিঁচুনির মতো এক ধরণের প্রভাবের সাথে। আমি জানতে চাই এটি একটি নথিভুক্ত অবস্থা কিনা এবং যেকোনো সাহায্যের জন্য অত্যন্ত কৃতজ্ঞ।</v>
      </c>
    </row>
    <row r="3019" spans="1:3" ht="15" x14ac:dyDescent="0.25">
      <c r="A3019" s="3" t="s">
        <v>3012</v>
      </c>
      <c r="B3019" s="3" t="s">
        <v>1992</v>
      </c>
      <c r="C3019" s="4" t="str">
        <f ca="1">IFERROR(__xludf.DUMMYFUNCTION("GOOGLETRANSLATE(A3019, ""auto"", ""bn"")"),"আমি OCD প্রতিরোধ করতে পারছি না, আর এটা খুব যন্ত্রণাদায়ক! এক্সপোজার। এটা খুবই কঠিন। বেশিরভাগ সময় আমি হার মেনে নিই। এটা খুবই যন্ত্রণাদায়ক! মনে হচ্ছে যদি আমি আরও একবার আচার-অনুষ্ঠান করি তাহলে আর কখনও ফিরে আসবে না। সাহায্য করুন!")</f>
        <v>আমি OCD প্রতিরোধ করতে পারছি না, আর এটা খুব যন্ত্রণাদায়ক! এক্সপোজার। এটা খুবই কঠিন। বেশিরভাগ সময় আমি হার মেনে নিই। এটা খুবই যন্ত্রণাদায়ক! মনে হচ্ছে যদি আমি আরও একবার আচার-অনুষ্ঠান করি তাহলে আর কখনও ফিরে আসবে না। সাহায্য করুন!</v>
      </c>
    </row>
    <row r="3020" spans="1:3" ht="15" x14ac:dyDescent="0.25">
      <c r="A3020" s="3" t="s">
        <v>3013</v>
      </c>
      <c r="B3020" s="3" t="s">
        <v>1992</v>
      </c>
      <c r="C3020" s="4" t="str">
        <f ca="1">IFERROR(__xludf.DUMMYFUNCTION("GOOGLETRANSLATE(A3020, ""auto"", ""bn"")"),"তো একটা গাছের জন্য আমি একেবারেই হারিয়ে ফেলেছি.... আমি শপথ করছি, পরের বছর আমরা একটা নকল গাছ পাবো। আমাদের গাছের সব সাজসজ্জা ছিঁড়ে ফেলার সময় আমি সম্পূর্ণ নিয়ন্ত্রণ হারিয়ে ফেলেছি। এটা খুব সুন্দর ছিল, আর এখন... এটা এত খালি। এখন আমার খুব খারাপ লাগছে। এটা ক"&amp;"ি অপরাধবোধ? দুঃখ? কী হচ্ছে?! আমার আসলে মনে হচ্ছে গাছটা ভয় পেয়েছে। মনে হচ্ছে, আমিও একই পরিস্থিতিতে থাকতাম। কত অযৌক্তিক, কিন্তু আমার ঈশ্বর!! এটা নিয়ে আমি আতঙ্কিত। আমার খুব খারাপ লাগছে!!!!")</f>
        <v>তো একটা গাছের জন্য আমি একেবারেই হারিয়ে ফেলেছি.... আমি শপথ করছি, পরের বছর আমরা একটা নকল গাছ পাবো। আমাদের গাছের সব সাজসজ্জা ছিঁড়ে ফেলার সময় আমি সম্পূর্ণ নিয়ন্ত্রণ হারিয়ে ফেলেছি। এটা খুব সুন্দর ছিল, আর এখন... এটা এত খালি। এখন আমার খুব খারাপ লাগছে। এটা কি অপরাধবোধ? দুঃখ? কী হচ্ছে?! আমার আসলে মনে হচ্ছে গাছটা ভয় পেয়েছে। মনে হচ্ছে, আমিও একই পরিস্থিতিতে থাকতাম। কত অযৌক্তিক, কিন্তু আমার ঈশ্বর!! এটা নিয়ে আমি আতঙ্কিত। আমার খুব খারাপ লাগছে!!!!</v>
      </c>
    </row>
    <row r="3021" spans="1:3" ht="15" x14ac:dyDescent="0.25">
      <c r="A3021" s="3" t="s">
        <v>3014</v>
      </c>
      <c r="B3021" s="3" t="s">
        <v>1992</v>
      </c>
      <c r="C3021" s="4" t="str">
        <f ca="1">IFERROR(__xludf.DUMMYFUNCTION("GOOGLETRANSLATE(A3021, ""auto"", ""bn"")"),"কিছুদিন ধরে একটা চাকরিতে কাজ করছি কিন্তু এখনও ভুল করছি। গত তিন বছর ধরে আমি আমার চাকরিতে কাজ করছি। শুরুতে আমি ভুল করছিলাম কারণ আমি এখনও চাকরিতে নতুন ছিলাম। প্রাথমিকভাবে চাকরি ছেড়ে দেওয়ার পর, বছরগুলি কেটে যাওয়ার সাথে সাথে আমার উন্নতি হয়েছে এবং খুব কমই ক"&amp;"োনও ভুল করেছি। যাইহোক, সম্প্রতি আমি প্রচুর ভুল করছি (যেমন নগদ অর্থের অসঙ্গতি)। আমি জানি না এই সাম্প্রতিক ভুলগুলির কারণ কী কারণ আমি সাধারণত আমার নগদ গণনা করার সময় খুব সতর্ক থাকি। এই সমস্যার কারণে, আমি কাজের সময় অত্যন্ত উদ্বিগ্ন ছিলাম যার ফলে আরও বেশি ভুল"&amp;" করছি। প্রতিটি শিফটের পরে আমি আমার করা প্রতিটি পদক্ষেপ/লেনদেনকে অতিরিক্ত বিশ্লেষণ করছি। আমি আমার পরবর্তী শিফটে যাওয়ার এবং তিরস্কার পাওয়ার বা এই বিষয়ে পুনরায় প্রশিক্ষণ পাওয়ার বিষয়ে চিন্তিত। আমি নিজের উপর হতাশ বোধ করছি কারণ আমার জ্যেষ্ঠতা/অভিজ্ঞতা আছে"&amp;" তবুও আমি এখনও বোকা ভুল করছি। তাছাড়া, এই সমস্যাটি ঠিক করতে না পারার জন্য আমি আরও বেশি উদ্বিগ্ন হয়ে উঠছি।")</f>
        <v>কিছুদিন ধরে একটা চাকরিতে কাজ করছি কিন্তু এখনও ভুল করছি। গত তিন বছর ধরে আমি আমার চাকরিতে কাজ করছি। শুরুতে আমি ভুল করছিলাম কারণ আমি এখনও চাকরিতে নতুন ছিলাম। প্রাথমিকভাবে চাকরি ছেড়ে দেওয়ার পর, বছরগুলি কেটে যাওয়ার সাথে সাথে আমার উন্নতি হয়েছে এবং খুব কমই কোনও ভুল করেছি। যাইহোক, সম্প্রতি আমি প্রচুর ভুল করছি (যেমন নগদ অর্থের অসঙ্গতি)। আমি জানি না এই সাম্প্রতিক ভুলগুলির কারণ কী কারণ আমি সাধারণত আমার নগদ গণনা করার সময় খুব সতর্ক থাকি। এই সমস্যার কারণে, আমি কাজের সময় অত্যন্ত উদ্বিগ্ন ছিলাম যার ফলে আরও বেশি ভুল করছি। প্রতিটি শিফটের পরে আমি আমার করা প্রতিটি পদক্ষেপ/লেনদেনকে অতিরিক্ত বিশ্লেষণ করছি। আমি আমার পরবর্তী শিফটে যাওয়ার এবং তিরস্কার পাওয়ার বা এই বিষয়ে পুনরায় প্রশিক্ষণ পাওয়ার বিষয়ে চিন্তিত। আমি নিজের উপর হতাশ বোধ করছি কারণ আমার জ্যেষ্ঠতা/অভিজ্ঞতা আছে তবুও আমি এখনও বোকা ভুল করছি। তাছাড়া, এই সমস্যাটি ঠিক করতে না পারার জন্য আমি আরও বেশি উদ্বিগ্ন হয়ে উঠছি।</v>
      </c>
    </row>
    <row r="3022" spans="1:3" ht="15" x14ac:dyDescent="0.25">
      <c r="A3022" s="3" t="s">
        <v>3015</v>
      </c>
      <c r="B3022" s="3" t="s">
        <v>1992</v>
      </c>
      <c r="C3022" s="4" t="str">
        <f ca="1">IFERROR(__xludf.DUMMYFUNCTION("GOOGLETRANSLATE(A3022, ""auto"", ""bn"")"),"আমার বয়স ২৬ বছর এবং আমার সাথে যাতায়াতকারী সকলেরই বারবার উদ্বেগ সহ্য হয় না। এর মধ্যে রয়েছে সামাজিক উদ্বেগ যা প্যারানয়িয়া সৃষ্টি করে। যখন আমি নতুন মানুষের সাথে (বিশেষ করে যাদের প্রতি আমি আকৃষ্ট হই, কর্তৃপক্ষের ব্যক্তিত্ব বা আমি কোন না কোনভাবে হুমকি দিচ্"&amp;"ছি বলে মনে করি) যোগাযোগ করি, তখন আমি উদ্বিগ্ন হয়ে পড়ি এবং সাথে সাথে নিজের মাথায় ফিরে যাই। কথোপকথন খুব কমই সহজ এবং স্বাভাবিক মনে হয়, আমি প্রায়শই শব্দের উপর হোঁচট খাই এবং অস্বস্তিকর নীরবতা ছেড়ে দেই অথবা অন্য সময়ে, আমি শব্দ বমি করি, লোকেদের সাথে কথা বল"&amp;"ি এবং সাধারণত আমার মুখে আমার পা রাখি। আমি বুঝতে পারি যে বেশিরভাগ মানুষ এর পরে আসলেই যোগাযোগ করতে চায় না, যা বোধগম্য। এই মিথস্ক্রিয়াগুলিতে আমি এত উদ্বিগ্ন হয়ে পড়ি যে মনে হয় এটি আমার নিয়ন্ত্রণের বাইরে। আমি এটি অবিশ্বাস্যভাবে হতাশাজনক বলে মনে করি তবে য"&amp;"া আমাকে আরও বেশি চিন্তিত করে তা হল বারবার অনুভূতি যে বন্ধু এবং প্রিয়জনরা আমার উপর বিরক্ত হয়ে উঠছে। সহকর্মী, সহপাঠী, বন্ধুরা আসলে আমার সঙ্গ উপভোগ করছে কিনা বা তারা কেবল আমার উপস্থিতি সহ্য করছে কিনা তা নিয়ে আমি প্যারানয়া অনুভব করেছি। যদিও অপরিচিতদের সাথে"&amp;" যোগাযোগ করা কিছুটা সহজ, তবুও আমি সাধারণত মিথস্ক্রিয়া করার সময় উদ্বিগ্ন থাকি; আমি নিশ্চিত এটি দেখায়। আমি অস্বস্তিকর মিথস্ক্রিয়ার উপর নির্ভর করি; যদি আমি কাউকে আঘাত করি, আমার মনে হয় আমি তাদের আমার সম্পর্কে ধারণা নষ্ট করে ফেলেছি এবং এটি তাদের সাথে কথা ব"&amp;"লতে আমাকে আরও অস্বস্তিকর করে তোলে। এই নিরাপত্তাহীনতা আমার প্রায় প্রতিটি প্রেমিক সম্পর্কের মধ্যেই স্থান করে নিয়েছে। প্যারানোয়া এবং সন্দেহগুলি হামাগুড়ি দিতে শুরু করে যে আমি সবকিছু নষ্ট করছি, এবং প্রায়শই এটি একটি স্ব-পরিপূর্ণ ভবিষ্যদ্বাণী। আমি কল্পনা কর"&amp;"ি যে কাউকে ক্রমাগত বোঝাতে হবে যে আপনি তাদের ভালোবাসেন। কোনটি আসল তা জানা এবং আমার নিজের ধারণাগুলিতে বিশ্বাস করা কঠিন :(আমি ভাবছি অন্য কেউ এই অভিজ্ঞতা অনুভব করে কিনা? কী আপনাকে মোকাবেলা করতে সাহায্য করেছে?")</f>
        <v>আমার বয়স ২৬ বছর এবং আমার সাথে যাতায়াতকারী সকলেরই বারবার উদ্বেগ সহ্য হয় না। এর মধ্যে রয়েছে সামাজিক উদ্বেগ যা প্যারানয়িয়া সৃষ্টি করে। যখন আমি নতুন মানুষের সাথে (বিশেষ করে যাদের প্রতি আমি আকৃষ্ট হই, কর্তৃপক্ষের ব্যক্তিত্ব বা আমি কোন না কোনভাবে হুমকি দিচ্ছি বলে মনে করি) যোগাযোগ করি, তখন আমি উদ্বিগ্ন হয়ে পড়ি এবং সাথে সাথে নিজের মাথায় ফিরে যাই। কথোপকথন খুব কমই সহজ এবং স্বাভাবিক মনে হয়, আমি প্রায়শই শব্দের উপর হোঁচট খাই এবং অস্বস্তিকর নীরবতা ছেড়ে দেই অথবা অন্য সময়ে, আমি শব্দ বমি করি, লোকেদের সাথে কথা বলি এবং সাধারণত আমার মুখে আমার পা রাখি। আমি বুঝতে পারি যে বেশিরভাগ মানুষ এর পরে আসলেই যোগাযোগ করতে চায় না, যা বোধগম্য। এই মিথস্ক্রিয়াগুলিতে আমি এত উদ্বিগ্ন হয়ে পড়ি যে মনে হয় এটি আমার নিয়ন্ত্রণের বাইরে। আমি এটি অবিশ্বাস্যভাবে হতাশাজনক বলে মনে করি তবে যা আমাকে আরও বেশি চিন্তিত করে তা হল বারবার অনুভূতি যে বন্ধু এবং প্রিয়জনরা আমার উপর বিরক্ত হয়ে উঠছে। সহকর্মী, সহপাঠী, বন্ধুরা আসলে আমার সঙ্গ উপভোগ করছে কিনা বা তারা কেবল আমার উপস্থিতি সহ্য করছে কিনা তা নিয়ে আমি প্যারানয়া অনুভব করেছি। যদিও অপরিচিতদের সাথে যোগাযোগ করা কিছুটা সহজ, তবুও আমি সাধারণত মিথস্ক্রিয়া করার সময় উদ্বিগ্ন থাকি; আমি নিশ্চিত এটি দেখায়। আমি অস্বস্তিকর মিথস্ক্রিয়ার উপর নির্ভর করি; যদি আমি কাউকে আঘাত করি, আমার মনে হয় আমি তাদের আমার সম্পর্কে ধারণা নষ্ট করে ফেলেছি এবং এটি তাদের সাথে কথা বলতে আমাকে আরও অস্বস্তিকর করে তোলে। এই নিরাপত্তাহীনতা আমার প্রায় প্রতিটি প্রেমিক সম্পর্কের মধ্যেই স্থান করে নিয়েছে। প্যারানোয়া এবং সন্দেহগুলি হামাগুড়ি দিতে শুরু করে যে আমি সবকিছু নষ্ট করছি, এবং প্রায়শই এটি একটি স্ব-পরিপূর্ণ ভবিষ্যদ্বাণী। আমি কল্পনা করি যে কাউকে ক্রমাগত বোঝাতে হবে যে আপনি তাদের ভালোবাসেন। কোনটি আসল তা জানা এবং আমার নিজের ধারণাগুলিতে বিশ্বাস করা কঠিন :(আমি ভাবছি অন্য কেউ এই অভিজ্ঞতা অনুভব করে কিনা? কী আপনাকে মোকাবেলা করতে সাহায্য করেছে?</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Moshiur Rahman Faisal</dc:creator>
  <cp:lastModifiedBy>Moshiur Rahman Faisal</cp:lastModifiedBy>
  <dcterms:created xsi:type="dcterms:W3CDTF">2026-01-06T14:50:41Z</dcterms:created>
  <dcterms:modified xsi:type="dcterms:W3CDTF">2026-01-06T14:50:41Z</dcterms:modified>
</cp:coreProperties>
</file>