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EED6AE8E-5199-471F-BADB-ECEDE0573E87}" xr6:coauthVersionLast="47" xr6:coauthVersionMax="47" xr10:uidLastSave="{00000000-0000-0000-0000-000000000000}"/>
  <bookViews>
    <workbookView xWindow="-108" yWindow="-108" windowWidth="23256" windowHeight="12576" activeTab="1"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2" l="1"/>
  <c r="R47" i="2"/>
  <c r="R46" i="2"/>
  <c r="I39" i="2"/>
  <c r="R45" i="2"/>
  <c r="K39" i="2"/>
  <c r="B8" i="3"/>
  <c r="I14" i="2"/>
  <c r="D14" i="2"/>
  <c r="A21" i="1"/>
  <c r="O8" i="1"/>
  <c r="N8" i="1"/>
  <c r="N21" i="1" s="1"/>
  <c r="K52" i="2" l="1"/>
  <c r="K53" i="2" s="1"/>
  <c r="I36" i="2" l="1"/>
  <c r="I37" i="2" s="1"/>
  <c r="I38" i="2" s="1"/>
  <c r="P40" i="2"/>
  <c r="I48" i="2"/>
  <c r="K33" i="2"/>
  <c r="K34" i="2" s="1"/>
  <c r="K36" i="2"/>
  <c r="K37" i="2" s="1"/>
  <c r="K38" i="2" s="1"/>
  <c r="I47" i="2"/>
  <c r="I51" i="2" l="1"/>
  <c r="I52" i="2" s="1"/>
  <c r="I53" i="2" s="1"/>
  <c r="I54" i="2" s="1"/>
  <c r="I46" i="2"/>
  <c r="I33" i="2"/>
  <c r="I34" i="2" s="1"/>
  <c r="P19" i="1" l="1"/>
  <c r="P20" i="1"/>
  <c r="P18" i="1"/>
  <c r="O6" i="1"/>
  <c r="O7" i="1"/>
  <c r="O5" i="1"/>
  <c r="O20" i="1"/>
  <c r="O19" i="1"/>
  <c r="O18" i="1"/>
  <c r="N20" i="1"/>
  <c r="N19" i="1"/>
  <c r="N18" i="1"/>
  <c r="B2" i="1"/>
  <c r="M8" i="1" s="1"/>
  <c r="C6" i="3" l="1"/>
  <c r="T16" i="2"/>
  <c r="C21" i="1"/>
  <c r="C14" i="2" s="1"/>
  <c r="M5" i="1"/>
  <c r="M18" i="1" s="1"/>
  <c r="M6" i="1"/>
  <c r="M19" i="1" s="1"/>
  <c r="A19" i="1" s="1"/>
  <c r="M7" i="1"/>
  <c r="C20" i="1" s="1"/>
  <c r="G17" i="1"/>
  <c r="U16" i="2" l="1"/>
  <c r="B14" i="2"/>
  <c r="M20" i="1"/>
  <c r="A20" i="1" s="1"/>
  <c r="B20" i="1"/>
  <c r="A18" i="1"/>
  <c r="C18" i="1"/>
  <c r="C19" i="1"/>
  <c r="B19" i="1" l="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<sst xmlns="http://schemas.openxmlformats.org/spreadsheetml/2006/main" count="267" uniqueCount="184">
  <si>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</si>
  <si>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</si>
  <si>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</si>
  <si>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</si>
  <si>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</si>
  <si>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</si>
  <si>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</si>
  <si>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</si>
  <si>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</si>
  <si>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</si>
  <si>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</si>
  <si>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</si>
  <si>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</si>
  <si>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</si>
  <si>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</si>
  <si>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</si>
  <si>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</si>
  <si>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</si>
  <si>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</si>
  <si>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</si>
  <si>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</si>
  <si>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</si>
  <si>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</si>
  <si>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</si>
  <si>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</si>
  <si>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</si>
  <si>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</si>
  <si>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</si>
  <si>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</si>
  <si>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</si>
  <si>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</si>
  <si>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</si>
  <si>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</si>
  <si>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</si>
  <si>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</si>
  <si>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</si>
  <si>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</si>
  <si>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</si>
  <si>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</si>
  <si>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</si>
  <si>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</si>
  <si>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</si>
  <si>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</si>
  <si>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</si>
  <si>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</si>
  <si>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</si>
  <si>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</si>
  <si>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</si>
  <si>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</si>
  <si>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</si>
  <si>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</si>
  <si>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</si>
  <si>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</si>
  <si>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</si>
  <si>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</si>
  <si>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</si>
  <si>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</si>
  <si>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</si>
  <si>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</si>
  <si>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</si>
  <si>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</si>
  <si>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Wind Energy Offshore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</si>
  <si>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</si>
  <si>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</si>
  <si>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</si>
  <si>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</si>
  <si>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</si>
  <si>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</si>
  <si>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</si>
  <si>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</si>
  <si>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</si>
  <si>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</si>
  <si>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</si>
  <si>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</si>
  <si>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</si>
  <si>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</si>
  <si>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</si>
  <si>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</si>
  <si>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</si>
  <si>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</si>
  <si>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</si>
  <si>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</si>
  <si>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</si>
  <si>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</si>
  <si>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</si>
  <si>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</si>
  <si>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</si>
  <si>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</si>
  <si>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</si>
  <si>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</si>
  <si>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</si>
  <si>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</si>
  <si>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</si>
  <si>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</si>
  <si>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</si>
  <si>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</si>
  <si>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</si>
  <si>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</si>
  <si>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</si>
  <si>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</si>
  <si>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</si>
  <si>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</si>
  <si>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</si>
  <si>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</si>
  <si>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</si>
  <si>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</si>
  <si>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</si>
  <si>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</si>
  <si>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</si>
  <si>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</si>
  <si>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</si>
  <si>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</si>
  <si>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</si>
  <si>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</si>
  <si>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</si>
  <si>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</si>
  <si>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</si>
  <si>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</si>
  <si>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</si>
  <si>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</si>
  <si>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</si>
  <si>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</si>
  <si>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</si>
  <si>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</si>
  <si>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</si>
  <si>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</si>
  <si>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</si>
  <si>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</si>
  <si>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</si>
  <si>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</si>
  <si>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</si>
  <si>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</si>
  <si>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</si>
  <si>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</si>
  <si>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</si>
  <si>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</si>
  <si>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</si>
  <si>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</si>
  <si>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</si>
  <si>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</si>
  <si>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</si>
  <si>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</si>
  <si>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</si>
  <si>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</si>
  <si>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</si>
  <si>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</si>
  <si>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</si>
  <si>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</si>
  <si>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</si>
  <si>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</si>
  <si>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</si>
  <si>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</si>
  <si>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</si>
  <si>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</si>
  <si>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</si>
  <si>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</si>
  <si>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</si>
  <si>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</si>
  <si>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</si>
  <si>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</si>
  <si>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</si>
  <si>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</si>
  <si>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</si>
  <si>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</si>
  <si>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</si>
  <si>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 xml:space="preserve">Gas turbine is added from a demo. </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</si>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</sst>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43" fontId="1" fillId="0" borderId="0" applyFont="0" applyFill="0" applyBorder="0" applyAlignment="0" applyProtection="0"/>
    <xf numFmtId="9" fontId="24" fillId="0" borderId="0" applyFont="0" applyFill="0" applyBorder="0" applyAlignment="0" applyProtection="0"/>
  </cellStyleXfs>
  <cellXfs count="83">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0" fontId="8" fillId="7" borderId="0" xfId="6" applyFont="1" applyFill="1" applyAlignment="1">
      <alignment horizontal="center" vertical="center" wrapText="1"/>
    </xf>
    <xf numFmtId="0" fontId="9" fillId="5" borderId="0" xfId="4" applyFont="1" applyBorder="1" applyAlignment="1">
      <alignment horizontal="left" wrapText="1"/>
    </xf>
    <xf numFmtId="0" fontId="9" fillId="5" borderId="0" xfId="4" applyFont="1" applyBorder="1" applyAlignment="1">
      <alignment horizontal="center" wrapText="1"/>
    </xf>
    <xf numFmtId="164" fontId="24" fillId="0" borderId="0" xfId="28" applyNumberFormat="1"/>
  </cellXfs>
  <cellStyles count="32">
    <cellStyle name="20 % - Farve5" xfId="4" builtinId="46"/>
    <cellStyle name="60 % - Farve2 2" xfId="29" xr:uid="{6962D5AB-DB5F-4149-84F0-5B6DA4492FAC}"/>
    <cellStyle name="Comma 2" xfId="8" xr:uid="{7F9F721F-8D2D-401E-9391-67D3C397F9EA}"/>
    <cellStyle name="Comma 2 2" xfId="30" xr:uid="{6F9798B2-8926-4AED-9259-F203CE178010}"/>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3" xfId="28" xr:uid="{0D2CA9BC-A2C6-4A02-A2C1-9E3572E5461B}"/>
    <cellStyle name="Normal 4" xfId="6" xr:uid="{A77B035C-28CB-4B69-847D-DB97D7960A30}"/>
    <cellStyle name="Normal 4 2" xfId="7" xr:uid="{526350E6-4026-494E-A2D4-11B1F5F70C60}"/>
    <cellStyle name="Normal 8" xfId="11" xr:uid="{5E2915F8-ABD1-449A-A971-A392DC04F85E}"/>
    <cellStyle name="Normal 9 2" xfId="12" xr:uid="{76C2A144-BDAD-487A-A8B0-5DFDE14DE249}"/>
    <cellStyle name="Normale_B2020" xfId="13" xr:uid="{4621A556-8287-48AC-B294-B83AD4DDB20B}"/>
    <cellStyle name="Percent 2" xfId="15" xr:uid="{7F7EB962-1E72-41DF-A51F-07617E904F1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24</xdr:row>
      <xdr:rowOff>7620</xdr:rowOff>
    </xdr:from>
    <xdr:to>
      <xdr:col>3</xdr:col>
      <xdr:colOff>0</xdr:colOff>
      <xdr:row>28</xdr:row>
      <xdr:rowOff>175260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4617720"/>
          <a:ext cx="284988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381000</xdr:colOff>
      <xdr:row>15</xdr:row>
      <xdr:rowOff>66675</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186940"/>
          <a:ext cx="4419600" cy="56959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Value gotten from Demo models. </a:t>
          </a: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6">
          <cell r="J6" t="str">
            <v>WINOFF</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topLeftCell="B1" workbookViewId="0">
      <selection activeCell="M10" sqref="M10"/>
    </sheetView>
  </sheetViews>
  <sheetFormatPr defaultRowHeight="14.4" x14ac:dyDescent="0.3"/>
  <cols>
    <col min="1" max="1" width="16.6640625" customWidth="1"/>
    <col min="2" max="2" width="13.109375" bestFit="1" customWidth="1"/>
    <col min="3" max="3" width="11.88671875" bestFit="1" customWidth="1"/>
    <col min="4" max="4" width="11.5546875" bestFit="1" customWidth="1"/>
    <col min="5" max="5" width="13" bestFit="1" customWidth="1"/>
    <col min="6" max="6" width="8.33203125" bestFit="1" customWidth="1"/>
    <col min="7" max="9" width="8.33203125" customWidth="1"/>
    <col min="10" max="10" width="2.109375" bestFit="1" customWidth="1"/>
    <col min="11" max="11" width="12.44140625" customWidth="1"/>
    <col min="12" max="12" width="7.109375" customWidth="1"/>
    <col min="13" max="13" width="14.5546875" bestFit="1"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19" x14ac:dyDescent="0.3">
      <c r="A1" s="1" t="s">
        <v>0</v>
      </c>
      <c r="B1" s="1" t="s">
        <v>1</v>
      </c>
      <c r="C1" s="1" t="s">
        <v>2</v>
      </c>
      <c r="D1" s="1" t="s">
        <v>3</v>
      </c>
      <c r="E1" s="1" t="s">
        <v>4</v>
      </c>
      <c r="F1" s="1" t="s">
        <v>5</v>
      </c>
      <c r="G1" s="1"/>
      <c r="H1" s="1"/>
      <c r="I1" s="1"/>
    </row>
    <row r="2" spans="1:19" ht="15.6" x14ac:dyDescent="0.3">
      <c r="A2" s="2" t="s">
        <v>58</v>
      </c>
      <c r="B2" s="3" t="str">
        <f>[1]EB1!B6</f>
        <v>ELC</v>
      </c>
      <c r="C2" s="2" t="s">
        <v>6</v>
      </c>
      <c r="D2" s="2" t="s">
        <v>59</v>
      </c>
      <c r="E2" s="2" t="s">
        <v>171</v>
      </c>
      <c r="F2" s="2" t="s">
        <v>7</v>
      </c>
      <c r="G2" s="2"/>
      <c r="H2" s="2"/>
      <c r="I2" s="2"/>
      <c r="K2" s="4" t="s">
        <v>8</v>
      </c>
      <c r="L2" s="4"/>
      <c r="M2" s="5"/>
      <c r="N2" s="5"/>
      <c r="O2" s="5"/>
      <c r="P2" s="5"/>
      <c r="Q2" s="5"/>
      <c r="R2" s="5"/>
      <c r="S2" s="5"/>
    </row>
    <row r="3" spans="1:19" x14ac:dyDescent="0.3">
      <c r="K3" s="6" t="s">
        <v>174</v>
      </c>
      <c r="L3" s="7" t="s">
        <v>9</v>
      </c>
      <c r="M3" s="6" t="s">
        <v>10</v>
      </c>
      <c r="N3" s="6" t="s">
        <v>11</v>
      </c>
      <c r="O3" s="6" t="s">
        <v>12</v>
      </c>
      <c r="P3" s="6" t="s">
        <v>13</v>
      </c>
      <c r="Q3" s="6" t="s">
        <v>14</v>
      </c>
      <c r="R3" s="6" t="s">
        <v>15</v>
      </c>
      <c r="S3" s="6" t="s">
        <v>16</v>
      </c>
    </row>
    <row r="4" spans="1:19" ht="22.2" thickBot="1" x14ac:dyDescent="0.35">
      <c r="A4" s="8"/>
      <c r="B4" s="8"/>
      <c r="C4" s="8"/>
      <c r="D4" s="8"/>
      <c r="F4" s="8"/>
      <c r="G4" s="8"/>
      <c r="H4" s="8"/>
      <c r="I4" s="8"/>
      <c r="K4" s="9" t="s">
        <v>17</v>
      </c>
      <c r="L4" s="9" t="s">
        <v>18</v>
      </c>
      <c r="M4" s="9" t="s">
        <v>19</v>
      </c>
      <c r="N4" s="9" t="s">
        <v>20</v>
      </c>
      <c r="O4" s="9" t="s">
        <v>12</v>
      </c>
      <c r="P4" s="9" t="s">
        <v>21</v>
      </c>
      <c r="Q4" s="9" t="s">
        <v>22</v>
      </c>
      <c r="R4" s="9" t="s">
        <v>23</v>
      </c>
      <c r="S4" s="9" t="s">
        <v>24</v>
      </c>
    </row>
    <row r="5" spans="1:19" x14ac:dyDescent="0.3">
      <c r="D5" s="10"/>
      <c r="E5" s="10"/>
      <c r="F5" s="11"/>
      <c r="G5" s="11"/>
      <c r="H5" s="11"/>
      <c r="I5" s="11"/>
      <c r="K5" s="12" t="s">
        <v>25</v>
      </c>
      <c r="L5" s="12"/>
      <c r="M5" s="12" t="str">
        <f>$B$2&amp;[2]Pri_RNW!$J$5</f>
        <v>ELCWINON</v>
      </c>
      <c r="N5" s="13" t="s">
        <v>60</v>
      </c>
      <c r="O5" s="12" t="str">
        <f>$D$2</f>
        <v>PJ</v>
      </c>
      <c r="P5" s="12"/>
      <c r="Q5" s="12"/>
      <c r="R5" s="12"/>
      <c r="S5" s="12"/>
    </row>
    <row r="6" spans="1:19" x14ac:dyDescent="0.3">
      <c r="D6" s="10"/>
      <c r="E6" s="10"/>
      <c r="F6" s="11"/>
      <c r="G6" s="11"/>
      <c r="H6" s="11"/>
      <c r="I6" s="11"/>
      <c r="K6" s="12"/>
      <c r="L6" s="12"/>
      <c r="M6" s="12" t="str">
        <f>$B$2&amp;[2]Pri_RNW!$J$6</f>
        <v>ELCWINOFF</v>
      </c>
      <c r="N6" s="13" t="s">
        <v>61</v>
      </c>
      <c r="O6" s="12" t="str">
        <f t="shared" ref="O6:O7" si="0">$D$2</f>
        <v>PJ</v>
      </c>
      <c r="P6" s="12"/>
      <c r="Q6" s="12"/>
      <c r="R6" s="12"/>
      <c r="S6" s="12"/>
    </row>
    <row r="7" spans="1:19" x14ac:dyDescent="0.3">
      <c r="D7" s="10"/>
      <c r="E7" s="10"/>
      <c r="F7" s="11"/>
      <c r="G7" s="11"/>
      <c r="H7" s="11"/>
      <c r="I7" s="11"/>
      <c r="K7" s="12"/>
      <c r="L7" s="12"/>
      <c r="M7" s="12" t="str">
        <f>$B$2&amp;[2]Pri_RNW!$J$7</f>
        <v>ELCSOL</v>
      </c>
      <c r="N7" s="13" t="s">
        <v>62</v>
      </c>
      <c r="O7" s="12" t="str">
        <f t="shared" si="0"/>
        <v>PJ</v>
      </c>
      <c r="P7" s="12"/>
      <c r="Q7" s="12"/>
      <c r="R7" s="12"/>
      <c r="S7" s="12"/>
    </row>
    <row r="8" spans="1:19" x14ac:dyDescent="0.3">
      <c r="D8" s="10"/>
      <c r="E8" s="10"/>
      <c r="F8" s="11"/>
      <c r="G8" s="11"/>
      <c r="H8" s="11"/>
      <c r="I8" s="11"/>
      <c r="K8" s="12"/>
      <c r="L8" s="12"/>
      <c r="M8" s="12" t="str">
        <f>$B$2&amp;[1]EB1!$E$2</f>
        <v>ELCGAS</v>
      </c>
      <c r="N8" s="13" t="str">
        <f>$C$2&amp;" "&amp;[1]EB1!$E$3</f>
        <v>Sector Fuel Natural Gas</v>
      </c>
      <c r="O8" s="12" t="str">
        <f>$D$2</f>
        <v>PJ</v>
      </c>
      <c r="P8" s="12"/>
      <c r="Q8" s="12"/>
      <c r="R8" s="12"/>
      <c r="S8" s="12"/>
    </row>
    <row r="9" spans="1:19" x14ac:dyDescent="0.3">
      <c r="D9" s="10"/>
      <c r="E9" s="10"/>
      <c r="F9" s="11"/>
      <c r="G9" s="11"/>
      <c r="H9" s="11"/>
      <c r="I9" s="11"/>
      <c r="K9" s="82" t="s">
        <v>181</v>
      </c>
      <c r="L9" s="82"/>
      <c r="M9" s="82" t="s">
        <v>182</v>
      </c>
      <c r="N9" s="82" t="s">
        <v>183</v>
      </c>
      <c r="O9" s="82" t="s">
        <v>100</v>
      </c>
      <c r="P9" s="12"/>
      <c r="Q9" s="12"/>
      <c r="R9" s="12"/>
      <c r="S9" s="12"/>
    </row>
    <row r="10" spans="1:19" x14ac:dyDescent="0.3">
      <c r="D10" s="10"/>
      <c r="E10" s="10"/>
      <c r="F10" s="11"/>
      <c r="G10" s="11"/>
      <c r="H10" s="11"/>
      <c r="I10" s="11"/>
      <c r="K10" s="12"/>
      <c r="L10" s="12"/>
      <c r="M10" s="12"/>
      <c r="N10" s="13"/>
      <c r="O10" s="12"/>
      <c r="P10" s="12"/>
      <c r="Q10" s="12"/>
      <c r="R10" s="12"/>
      <c r="S10" s="12"/>
    </row>
    <row r="11" spans="1:19" x14ac:dyDescent="0.3">
      <c r="D11" s="10"/>
      <c r="E11" s="10"/>
      <c r="F11" s="11"/>
      <c r="G11" s="11"/>
      <c r="H11" s="11"/>
      <c r="I11" s="11"/>
      <c r="K11" s="12"/>
      <c r="L11" s="12"/>
      <c r="P11" s="12"/>
      <c r="Q11" s="12"/>
      <c r="R11" s="12"/>
      <c r="S11" s="12"/>
    </row>
    <row r="12" spans="1:19" x14ac:dyDescent="0.3">
      <c r="D12" s="10"/>
      <c r="E12" s="10"/>
      <c r="F12" s="11"/>
      <c r="G12" s="11"/>
      <c r="H12" s="11"/>
      <c r="I12" s="11"/>
      <c r="K12" s="12"/>
      <c r="L12" s="12"/>
      <c r="P12" s="12"/>
      <c r="Q12" s="12"/>
      <c r="R12" s="12"/>
      <c r="S12" s="12"/>
    </row>
    <row r="13" spans="1:19" x14ac:dyDescent="0.3">
      <c r="M13" s="14"/>
      <c r="N13" s="15"/>
    </row>
    <row r="14" spans="1:19" x14ac:dyDescent="0.3">
      <c r="C14" s="16" t="s">
        <v>26</v>
      </c>
      <c r="D14" s="16"/>
      <c r="E14" s="16"/>
      <c r="K14" s="4" t="s">
        <v>27</v>
      </c>
      <c r="L14" s="4"/>
      <c r="M14" s="12"/>
      <c r="N14" s="12"/>
      <c r="O14" s="12"/>
      <c r="P14" s="12"/>
      <c r="Q14" s="12"/>
      <c r="R14" s="12"/>
      <c r="S14" s="12"/>
    </row>
    <row r="15" spans="1:19" x14ac:dyDescent="0.3">
      <c r="A15" s="17" t="s">
        <v>28</v>
      </c>
      <c r="B15" s="17" t="s">
        <v>29</v>
      </c>
      <c r="C15" s="17" t="s">
        <v>30</v>
      </c>
      <c r="D15" s="18" t="s">
        <v>31</v>
      </c>
      <c r="E15" s="19" t="s">
        <v>33</v>
      </c>
      <c r="F15" s="19" t="s">
        <v>83</v>
      </c>
      <c r="G15" s="19" t="s">
        <v>173</v>
      </c>
      <c r="H15" s="79" t="s">
        <v>87</v>
      </c>
      <c r="K15" s="6" t="s">
        <v>34</v>
      </c>
      <c r="L15" s="7" t="s">
        <v>9</v>
      </c>
      <c r="M15" s="6" t="s">
        <v>28</v>
      </c>
      <c r="N15" s="6" t="s">
        <v>35</v>
      </c>
      <c r="O15" s="6" t="s">
        <v>36</v>
      </c>
      <c r="P15" s="6" t="s">
        <v>37</v>
      </c>
      <c r="Q15" s="6" t="s">
        <v>38</v>
      </c>
      <c r="R15" s="6" t="s">
        <v>39</v>
      </c>
      <c r="S15" s="6" t="s">
        <v>40</v>
      </c>
    </row>
    <row r="16" spans="1:19" ht="32.4" thickBot="1" x14ac:dyDescent="0.35">
      <c r="A16" s="20" t="s">
        <v>41</v>
      </c>
      <c r="B16" s="20" t="s">
        <v>42</v>
      </c>
      <c r="C16" s="20" t="s">
        <v>43</v>
      </c>
      <c r="D16" s="20" t="s">
        <v>44</v>
      </c>
      <c r="E16" s="20" t="s">
        <v>46</v>
      </c>
      <c r="F16" s="20"/>
      <c r="G16" s="20" t="s">
        <v>45</v>
      </c>
      <c r="H16" s="80"/>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t="str">
        <f>E2&amp;"a"</f>
        <v>M€2022a</v>
      </c>
      <c r="H17" s="81"/>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s="24" t="str">
        <f>M19</f>
        <v>FTE-ELCWINOFF</v>
      </c>
      <c r="B19" t="str">
        <f>RIGHT(C19,6)</f>
        <v>WINOFF</v>
      </c>
      <c r="C19" s="24" t="str">
        <f>M6</f>
        <v>ELCWINOFF</v>
      </c>
      <c r="D19" s="10"/>
      <c r="E19" s="25">
        <v>1</v>
      </c>
      <c r="F19">
        <v>2021</v>
      </c>
      <c r="G19" s="10">
        <v>1000</v>
      </c>
      <c r="H19" s="25">
        <v>100</v>
      </c>
      <c r="K19" s="12"/>
      <c r="L19" s="24"/>
      <c r="M19" s="12" t="str">
        <f>"FTE"&amp;$J$2&amp;"-"&amp;M6</f>
        <v>FTE-ELCWINOFF</v>
      </c>
      <c r="N19" s="13" t="str">
        <f>$C$2&amp;" Technology"&amp;" "&amp;$J$1&amp;" "&amp;N6</f>
        <v>Sector Fuel Technology  Electricity Plants Wind Energy Offshore</v>
      </c>
      <c r="O19" s="12" t="str">
        <f>$D$2</f>
        <v>PJ</v>
      </c>
      <c r="P19" s="12" t="str">
        <f t="shared" ref="P19:P20" si="1">$D$2&amp;"a"</f>
        <v>PJa</v>
      </c>
      <c r="Q19" s="12"/>
      <c r="R19" s="12"/>
      <c r="S19" s="12"/>
    </row>
    <row r="20" spans="1:19" x14ac:dyDescent="0.3">
      <c r="A20" s="24" t="str">
        <f>M20</f>
        <v>FTE-ELCSOL</v>
      </c>
      <c r="B20" t="str">
        <f>RIGHT(C20,3)</f>
        <v>SOL</v>
      </c>
      <c r="C20" s="24" t="str">
        <f>M7</f>
        <v>ELCSOL</v>
      </c>
      <c r="D20" s="10"/>
      <c r="E20" s="25">
        <v>1</v>
      </c>
      <c r="F20">
        <v>2021</v>
      </c>
      <c r="G20" s="10">
        <v>1000</v>
      </c>
      <c r="H20" s="25">
        <v>100</v>
      </c>
      <c r="K20" s="24"/>
      <c r="L20" s="24"/>
      <c r="M20" s="12" t="str">
        <f>"FTE"&amp;$J$2&amp;"-"&amp;M7</f>
        <v>FTE-ELCSOL</v>
      </c>
      <c r="N20" s="13" t="str">
        <f>$C$2&amp;" Technology"&amp;" "&amp;$J$1&amp;" "&amp;N7</f>
        <v>Sector Fuel Technology  Electricity Plants Solar Energy</v>
      </c>
      <c r="O20" s="12" t="str">
        <f>$D$2</f>
        <v>PJ</v>
      </c>
      <c r="P20" s="12" t="str">
        <f t="shared" si="1"/>
        <v>PJa</v>
      </c>
      <c r="Q20" s="12"/>
      <c r="R20" s="12"/>
      <c r="S20" s="12"/>
    </row>
    <row r="21" spans="1:19" x14ac:dyDescent="0.3">
      <c r="A21" t="str">
        <f>M21</f>
        <v>FTE-ELCGAS</v>
      </c>
      <c r="B21" t="s">
        <v>164</v>
      </c>
      <c r="C21" s="12" t="str">
        <f>M8</f>
        <v>ELCGAS</v>
      </c>
      <c r="E21" s="25">
        <v>1</v>
      </c>
      <c r="F21">
        <v>2021</v>
      </c>
      <c r="G21" s="10">
        <v>1000</v>
      </c>
      <c r="H21" s="25">
        <v>100</v>
      </c>
      <c r="M21" t="s">
        <v>162</v>
      </c>
      <c r="N21" s="13" t="str">
        <f>$C$2&amp;" Technology"&amp;" "&amp;$F$1&amp;" "&amp;N8</f>
        <v>Sector Fuel Technology Existing Sector Fuel Natural Gas</v>
      </c>
      <c r="O21" t="s">
        <v>59</v>
      </c>
      <c r="P21" t="s">
        <v>163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tabSelected="1" workbookViewId="0">
      <selection activeCell="G17" sqref="G17"/>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63</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64</v>
      </c>
      <c r="E3" s="28" t="s">
        <v>50</v>
      </c>
      <c r="F3" s="28" t="s">
        <v>65</v>
      </c>
      <c r="G3" s="28" t="s">
        <v>66</v>
      </c>
      <c r="H3" s="28" t="s">
        <v>5</v>
      </c>
      <c r="I3" s="28" t="s">
        <v>67</v>
      </c>
      <c r="J3" s="14"/>
      <c r="K3" s="14"/>
      <c r="L3" s="14"/>
      <c r="M3" s="14"/>
      <c r="N3" s="14"/>
      <c r="O3" s="14"/>
      <c r="P3" s="14"/>
      <c r="Q3" s="14"/>
    </row>
    <row r="4" spans="1:26" ht="15.6" x14ac:dyDescent="0.3">
      <c r="A4" s="14"/>
      <c r="B4" s="2" t="s">
        <v>58</v>
      </c>
      <c r="C4" s="2" t="s">
        <v>68</v>
      </c>
      <c r="D4" s="3" t="s">
        <v>69</v>
      </c>
      <c r="E4" s="2" t="s">
        <v>59</v>
      </c>
      <c r="F4" s="2" t="s">
        <v>70</v>
      </c>
      <c r="G4" s="2" t="s">
        <v>71</v>
      </c>
      <c r="H4" s="2" t="s">
        <v>7</v>
      </c>
      <c r="I4" s="2" t="s">
        <v>72</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174</v>
      </c>
      <c r="S5" s="7" t="s">
        <v>9</v>
      </c>
      <c r="T5" s="6" t="s">
        <v>10</v>
      </c>
      <c r="U5" s="6" t="s">
        <v>11</v>
      </c>
      <c r="V5" s="6" t="s">
        <v>12</v>
      </c>
      <c r="W5" s="6" t="s">
        <v>13</v>
      </c>
      <c r="X5" s="6" t="s">
        <v>14</v>
      </c>
      <c r="Y5" s="6" t="s">
        <v>15</v>
      </c>
      <c r="Z5" s="6" t="s">
        <v>16</v>
      </c>
    </row>
    <row r="6" spans="1:26" ht="22.2" thickBot="1" x14ac:dyDescent="0.35">
      <c r="A6" s="14"/>
      <c r="B6" s="29" t="s">
        <v>73</v>
      </c>
      <c r="C6" s="1" t="s">
        <v>74</v>
      </c>
      <c r="D6" s="1" t="s">
        <v>75</v>
      </c>
      <c r="E6" s="1" t="s">
        <v>76</v>
      </c>
      <c r="F6" s="1" t="s">
        <v>77</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78</v>
      </c>
      <c r="C7" s="2" t="s">
        <v>79</v>
      </c>
      <c r="D7" s="2" t="s">
        <v>80</v>
      </c>
      <c r="E7" s="2" t="s">
        <v>81</v>
      </c>
      <c r="F7" s="2" t="s">
        <v>72</v>
      </c>
      <c r="G7" s="14"/>
      <c r="H7" s="8"/>
      <c r="I7" s="14"/>
      <c r="J7" s="14"/>
      <c r="K7" s="14"/>
      <c r="L7" s="14"/>
      <c r="M7" s="14"/>
      <c r="N7" s="14"/>
      <c r="O7" s="14"/>
      <c r="P7" s="14"/>
      <c r="Q7" s="14"/>
      <c r="R7" s="5" t="s">
        <v>25</v>
      </c>
      <c r="S7" s="12"/>
      <c r="T7" s="5" t="s">
        <v>58</v>
      </c>
      <c r="U7" s="5" t="s">
        <v>82</v>
      </c>
      <c r="V7" s="5" t="s">
        <v>59</v>
      </c>
      <c r="W7" s="5" t="s">
        <v>175</v>
      </c>
      <c r="X7" s="5" t="s">
        <v>149</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83</v>
      </c>
      <c r="F11" s="34" t="s">
        <v>172</v>
      </c>
      <c r="G11" s="34" t="s">
        <v>32</v>
      </c>
      <c r="H11" s="35" t="s">
        <v>33</v>
      </c>
      <c r="I11" s="35" t="s">
        <v>179</v>
      </c>
      <c r="J11" s="35" t="s">
        <v>84</v>
      </c>
      <c r="K11" s="35" t="s">
        <v>85</v>
      </c>
      <c r="L11" s="35" t="s">
        <v>86</v>
      </c>
      <c r="M11" s="34" t="s">
        <v>87</v>
      </c>
      <c r="N11" s="34" t="s">
        <v>161</v>
      </c>
      <c r="O11" s="34" t="s">
        <v>166</v>
      </c>
      <c r="P11" s="34" t="s">
        <v>88</v>
      </c>
      <c r="Q11" s="36"/>
    </row>
    <row r="12" spans="1:26" ht="31.8" x14ac:dyDescent="0.3">
      <c r="A12" s="14"/>
      <c r="B12" s="20" t="s">
        <v>41</v>
      </c>
      <c r="C12" s="20" t="s">
        <v>42</v>
      </c>
      <c r="D12" s="20" t="s">
        <v>43</v>
      </c>
      <c r="E12" s="20"/>
      <c r="F12" s="37"/>
      <c r="G12" s="37" t="s">
        <v>122</v>
      </c>
      <c r="H12" s="37" t="s">
        <v>46</v>
      </c>
      <c r="I12" s="38" t="s">
        <v>89</v>
      </c>
      <c r="J12" s="37" t="s">
        <v>90</v>
      </c>
      <c r="K12" s="37" t="s">
        <v>91</v>
      </c>
      <c r="L12" s="37" t="s">
        <v>92</v>
      </c>
      <c r="M12" s="37" t="s">
        <v>93</v>
      </c>
      <c r="N12" s="37" t="s">
        <v>124</v>
      </c>
      <c r="O12" s="37" t="s">
        <v>94</v>
      </c>
      <c r="P12" s="37" t="s">
        <v>95</v>
      </c>
      <c r="Q12" s="14"/>
      <c r="R12" s="39"/>
      <c r="S12" s="39"/>
    </row>
    <row r="13" spans="1:26" ht="22.2" thickBot="1" x14ac:dyDescent="0.35">
      <c r="A13" s="14"/>
      <c r="B13" s="21" t="s">
        <v>55</v>
      </c>
      <c r="C13" s="21"/>
      <c r="D13" s="21"/>
      <c r="E13" s="21"/>
      <c r="F13" s="40"/>
      <c r="G13" s="40" t="s">
        <v>70</v>
      </c>
      <c r="H13" s="40"/>
      <c r="I13" s="41"/>
      <c r="J13" s="40" t="s">
        <v>96</v>
      </c>
      <c r="K13" s="40" t="s">
        <v>97</v>
      </c>
      <c r="L13" s="40" t="s">
        <v>98</v>
      </c>
      <c r="M13" s="40" t="s">
        <v>99</v>
      </c>
      <c r="N13" s="40" t="s">
        <v>125</v>
      </c>
      <c r="O13" s="40" t="s">
        <v>100</v>
      </c>
      <c r="P13" s="40" t="s">
        <v>133</v>
      </c>
      <c r="Q13" s="14"/>
      <c r="R13" s="4" t="s">
        <v>27</v>
      </c>
      <c r="S13" s="4"/>
      <c r="T13" s="5"/>
      <c r="U13" s="5"/>
      <c r="V13" s="5"/>
      <c r="W13" s="5"/>
      <c r="X13" s="5"/>
      <c r="Y13" s="5"/>
      <c r="Z13" s="5"/>
    </row>
    <row r="14" spans="1:26" x14ac:dyDescent="0.3">
      <c r="A14" s="14"/>
      <c r="B14" s="14" t="str">
        <f>T16</f>
        <v>ELCTEGAS00</v>
      </c>
      <c r="C14" s="14" t="str">
        <f>Sector_Fuels_ELC!$C$21</f>
        <v>ELCGAS</v>
      </c>
      <c r="D14" s="24" t="str">
        <f>T7</f>
        <v>ELC</v>
      </c>
      <c r="E14" s="14">
        <v>2021</v>
      </c>
      <c r="F14" s="14">
        <v>2022</v>
      </c>
      <c r="G14" s="65">
        <v>0</v>
      </c>
      <c r="H14" s="43">
        <v>0.4929</v>
      </c>
      <c r="I14" s="43">
        <f>1</f>
        <v>1</v>
      </c>
      <c r="J14" s="43"/>
      <c r="K14" s="43">
        <v>35</v>
      </c>
      <c r="L14">
        <v>0.4</v>
      </c>
      <c r="M14" s="43">
        <v>40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101</v>
      </c>
      <c r="S16" s="12"/>
      <c r="T16" t="str">
        <f>$B$4&amp;$C$7&amp;$H$4&amp;RIGHT(Sector_Fuels_ELC!$M$8,3)&amp;"00"</f>
        <v>ELCTEGAS00</v>
      </c>
      <c r="U16" t="str">
        <f>$D$4&amp;" "&amp;$H$3&amp;RIGHT(T16,2)&amp;" - "&amp; "Natural Gas"</f>
        <v>Power Plants Existing00 - Natural Gas</v>
      </c>
      <c r="X16" t="s">
        <v>149</v>
      </c>
      <c r="Y16" s="12"/>
      <c r="Z16" s="12"/>
    </row>
    <row r="17" spans="1:26" x14ac:dyDescent="0.3">
      <c r="A17" s="14"/>
      <c r="O17">
        <f>R47/P14</f>
        <v>0.59677828513444953</v>
      </c>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123</v>
      </c>
      <c r="J21" s="46"/>
      <c r="K21" s="46"/>
      <c r="L21" s="46"/>
      <c r="M21" s="54"/>
      <c r="N21" s="42"/>
      <c r="O21" s="14"/>
      <c r="P21" s="14"/>
      <c r="Q21" s="14"/>
      <c r="R21" s="12" t="s">
        <v>102</v>
      </c>
      <c r="S21" s="12"/>
      <c r="T21" s="12" t="s">
        <v>103</v>
      </c>
      <c r="U21" s="12" t="s">
        <v>104</v>
      </c>
      <c r="V21" s="12" t="s">
        <v>59</v>
      </c>
      <c r="W21" s="12" t="s">
        <v>70</v>
      </c>
      <c r="X21" s="5" t="s">
        <v>105</v>
      </c>
      <c r="Y21" s="12"/>
      <c r="Z21" s="12"/>
    </row>
    <row r="22" spans="1:26" x14ac:dyDescent="0.3">
      <c r="A22" s="14"/>
      <c r="B22" s="14"/>
      <c r="C22" s="14"/>
      <c r="D22" s="14"/>
      <c r="E22" s="14"/>
      <c r="F22" s="14"/>
      <c r="G22" s="14"/>
      <c r="H22" s="14"/>
      <c r="I22" s="48" t="s">
        <v>126</v>
      </c>
      <c r="J22" s="49"/>
      <c r="K22" s="49"/>
      <c r="L22" s="49"/>
      <c r="M22" s="50"/>
      <c r="N22" s="14"/>
      <c r="O22" s="14"/>
      <c r="P22" s="14"/>
      <c r="Q22" s="14"/>
      <c r="T22" s="12" t="s">
        <v>106</v>
      </c>
      <c r="U22" s="12" t="s">
        <v>107</v>
      </c>
      <c r="V22" s="12" t="s">
        <v>59</v>
      </c>
      <c r="W22" s="12" t="s">
        <v>70</v>
      </c>
      <c r="X22" s="12"/>
    </row>
    <row r="23" spans="1:26" x14ac:dyDescent="0.3">
      <c r="A23" s="14"/>
      <c r="B23" s="14"/>
      <c r="C23" s="14"/>
      <c r="D23" s="14"/>
      <c r="E23" s="14"/>
      <c r="F23" s="14"/>
      <c r="G23" s="14"/>
      <c r="H23" s="14"/>
      <c r="I23" s="48" t="s">
        <v>127</v>
      </c>
      <c r="J23" s="49"/>
      <c r="K23" s="49"/>
      <c r="L23" s="49"/>
      <c r="M23" s="50"/>
      <c r="N23" s="14"/>
      <c r="O23" s="14"/>
      <c r="P23" s="14"/>
      <c r="Q23" s="14"/>
      <c r="T23" s="12" t="s">
        <v>108</v>
      </c>
      <c r="U23" s="12" t="s">
        <v>109</v>
      </c>
      <c r="V23" s="12" t="s">
        <v>59</v>
      </c>
      <c r="W23" s="12" t="s">
        <v>70</v>
      </c>
      <c r="X23" s="12"/>
    </row>
    <row r="24" spans="1:26" x14ac:dyDescent="0.3">
      <c r="A24" s="14"/>
      <c r="B24" s="14"/>
      <c r="C24" s="14"/>
      <c r="D24" s="14"/>
      <c r="E24" s="14"/>
      <c r="F24" s="14"/>
      <c r="G24" s="14"/>
      <c r="H24" s="14"/>
      <c r="I24" s="48" t="s">
        <v>154</v>
      </c>
      <c r="J24" s="49"/>
      <c r="K24" s="49"/>
      <c r="L24" s="49"/>
      <c r="M24" s="50"/>
      <c r="N24" s="14"/>
      <c r="O24" s="14"/>
      <c r="P24" s="14"/>
      <c r="Q24" s="14"/>
    </row>
    <row r="25" spans="1:26" x14ac:dyDescent="0.3">
      <c r="A25" s="14"/>
      <c r="B25" s="14"/>
      <c r="C25" s="14"/>
      <c r="D25" s="14"/>
      <c r="E25" s="14"/>
      <c r="F25" s="14"/>
      <c r="G25" s="14"/>
      <c r="H25" s="14"/>
      <c r="I25" s="51" t="s">
        <v>165</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136</v>
      </c>
      <c r="J30" s="46"/>
      <c r="K30" s="46"/>
      <c r="L30" s="46"/>
      <c r="M30" s="46"/>
      <c r="N30" s="46"/>
      <c r="O30" s="46"/>
      <c r="P30" s="47"/>
      <c r="Q30" s="14"/>
    </row>
    <row r="31" spans="1:26" x14ac:dyDescent="0.3">
      <c r="A31" s="14"/>
      <c r="B31" s="14"/>
      <c r="C31" s="14"/>
      <c r="D31" s="14"/>
      <c r="E31" s="14"/>
      <c r="F31" s="14"/>
      <c r="G31" s="14"/>
      <c r="H31" s="14"/>
      <c r="I31" s="59" t="s">
        <v>128</v>
      </c>
      <c r="J31" s="55"/>
      <c r="K31" s="58" t="s">
        <v>129</v>
      </c>
      <c r="L31" s="55"/>
      <c r="M31" s="55"/>
      <c r="N31" s="49"/>
      <c r="O31" s="49"/>
      <c r="P31" s="50"/>
      <c r="Q31" s="14"/>
    </row>
    <row r="32" spans="1:26" x14ac:dyDescent="0.3">
      <c r="A32" s="14"/>
      <c r="B32" s="14"/>
      <c r="C32" s="14"/>
      <c r="D32" s="14"/>
      <c r="E32" s="14"/>
      <c r="F32" s="14"/>
      <c r="G32" s="14"/>
      <c r="H32" s="14"/>
      <c r="I32" s="48">
        <v>2000000</v>
      </c>
      <c r="J32" s="49" t="s">
        <v>110</v>
      </c>
      <c r="K32" s="48">
        <v>1200000</v>
      </c>
      <c r="L32" s="49" t="s">
        <v>110</v>
      </c>
      <c r="M32" s="49"/>
      <c r="N32" s="49" t="s">
        <v>137</v>
      </c>
      <c r="O32" s="49"/>
      <c r="P32" s="50"/>
      <c r="Q32" s="14"/>
    </row>
    <row r="33" spans="1:20" x14ac:dyDescent="0.3">
      <c r="A33" s="14"/>
      <c r="B33" s="14"/>
      <c r="C33" s="14"/>
      <c r="D33" s="14"/>
      <c r="E33" s="14"/>
      <c r="F33" s="14"/>
      <c r="G33" s="14"/>
      <c r="H33" s="14"/>
      <c r="I33" s="48">
        <f>I32/10^6</f>
        <v>2</v>
      </c>
      <c r="J33" s="49" t="s">
        <v>111</v>
      </c>
      <c r="K33" s="48">
        <f>K32/10^6</f>
        <v>1.2</v>
      </c>
      <c r="L33" s="49" t="s">
        <v>111</v>
      </c>
      <c r="M33" s="49"/>
      <c r="N33" s="49" t="s">
        <v>138</v>
      </c>
      <c r="O33" s="49"/>
      <c r="P33" s="50"/>
      <c r="Q33" s="14"/>
    </row>
    <row r="34" spans="1:20" x14ac:dyDescent="0.3">
      <c r="A34" s="14"/>
      <c r="B34" s="14"/>
      <c r="C34" s="14"/>
      <c r="D34" s="14"/>
      <c r="E34" s="14"/>
      <c r="F34" s="14"/>
      <c r="G34" s="14"/>
      <c r="H34" s="14"/>
      <c r="I34" s="48">
        <f>I33*1000</f>
        <v>2000</v>
      </c>
      <c r="J34" s="49" t="s">
        <v>112</v>
      </c>
      <c r="K34" s="48">
        <f>K33*1000</f>
        <v>1200</v>
      </c>
      <c r="L34" s="49" t="s">
        <v>112</v>
      </c>
      <c r="M34" s="49"/>
      <c r="N34" s="49"/>
      <c r="O34" s="49"/>
      <c r="P34" s="50"/>
      <c r="Q34" s="14"/>
    </row>
    <row r="35" spans="1:20" x14ac:dyDescent="0.3">
      <c r="A35" s="14"/>
      <c r="B35" s="14"/>
      <c r="C35" s="14"/>
      <c r="D35" s="14"/>
      <c r="E35" s="14"/>
      <c r="F35" s="14"/>
      <c r="G35" s="14"/>
      <c r="H35" s="14"/>
      <c r="I35" s="59" t="s">
        <v>142</v>
      </c>
      <c r="J35" s="55"/>
      <c r="K35" s="58" t="s">
        <v>143</v>
      </c>
      <c r="L35" s="55"/>
      <c r="M35" s="55"/>
      <c r="N35" s="49"/>
      <c r="O35" s="49"/>
      <c r="P35" s="50"/>
      <c r="Q35" s="14"/>
    </row>
    <row r="36" spans="1:20" x14ac:dyDescent="0.3">
      <c r="A36" s="14"/>
      <c r="B36" s="14"/>
      <c r="C36" s="14"/>
      <c r="D36" s="14"/>
      <c r="E36" s="14"/>
      <c r="F36" s="14"/>
      <c r="G36" s="14"/>
      <c r="H36" s="14"/>
      <c r="I36" s="56">
        <f>81</f>
        <v>81</v>
      </c>
      <c r="J36" s="55" t="s">
        <v>147</v>
      </c>
      <c r="K36" s="55">
        <f>23424</f>
        <v>23424</v>
      </c>
      <c r="L36" s="55" t="s">
        <v>130</v>
      </c>
      <c r="M36" s="55"/>
      <c r="N36" s="49" t="s">
        <v>139</v>
      </c>
      <c r="O36" s="49"/>
      <c r="P36" s="50"/>
      <c r="Q36" s="14"/>
    </row>
    <row r="37" spans="1:20" x14ac:dyDescent="0.3">
      <c r="A37" s="14"/>
      <c r="B37" s="14"/>
      <c r="C37" s="14"/>
      <c r="D37" s="14"/>
      <c r="E37" s="14"/>
      <c r="F37" s="14"/>
      <c r="G37" s="14"/>
      <c r="H37" s="14"/>
      <c r="I37" s="56">
        <f>I36/P40</f>
        <v>71.05263157894737</v>
      </c>
      <c r="J37" s="55" t="s">
        <v>148</v>
      </c>
      <c r="K37" s="55">
        <f>K36/10^6</f>
        <v>2.3424E-2</v>
      </c>
      <c r="L37" s="55" t="s">
        <v>131</v>
      </c>
      <c r="M37" s="55"/>
      <c r="N37" s="49" t="s">
        <v>140</v>
      </c>
      <c r="O37" s="49"/>
      <c r="P37" s="50"/>
      <c r="Q37" s="14"/>
    </row>
    <row r="38" spans="1:20" x14ac:dyDescent="0.3">
      <c r="A38" s="14"/>
      <c r="B38" s="14"/>
      <c r="C38" s="14"/>
      <c r="D38" s="14"/>
      <c r="E38" s="14"/>
      <c r="F38" s="14"/>
      <c r="G38" s="14"/>
      <c r="H38" s="14"/>
      <c r="I38" s="56">
        <f>(I37*1000000)/10^6</f>
        <v>71.05263157894737</v>
      </c>
      <c r="J38" s="55" t="s">
        <v>132</v>
      </c>
      <c r="K38" s="55">
        <f>K37*1000</f>
        <v>23.423999999999999</v>
      </c>
      <c r="L38" s="55" t="s">
        <v>132</v>
      </c>
      <c r="M38" s="55"/>
      <c r="N38" s="49" t="s">
        <v>141</v>
      </c>
      <c r="O38" s="49"/>
      <c r="P38" s="50"/>
      <c r="Q38" s="14"/>
    </row>
    <row r="39" spans="1:20" x14ac:dyDescent="0.3">
      <c r="A39" s="14"/>
      <c r="B39" s="14"/>
      <c r="C39" s="14"/>
      <c r="D39" s="14"/>
      <c r="E39" s="14"/>
      <c r="F39" s="14"/>
      <c r="G39" s="14"/>
      <c r="H39" s="14"/>
      <c r="I39" s="56" t="e">
        <f>I38/#REF!</f>
        <v>#REF!</v>
      </c>
      <c r="J39" s="55" t="s">
        <v>150</v>
      </c>
      <c r="K39" s="55" t="e">
        <f>K38/#REF!</f>
        <v>#REF!</v>
      </c>
      <c r="L39" s="55" t="s">
        <v>134</v>
      </c>
      <c r="M39" s="55"/>
      <c r="N39" s="49" t="s">
        <v>135</v>
      </c>
      <c r="O39" s="49"/>
      <c r="P39" s="50"/>
      <c r="Q39" s="14"/>
    </row>
    <row r="40" spans="1:20" x14ac:dyDescent="0.3">
      <c r="A40" s="14"/>
      <c r="B40" s="14"/>
      <c r="C40" s="14"/>
      <c r="D40" s="14"/>
      <c r="E40" s="14"/>
      <c r="F40" s="14"/>
      <c r="G40" s="14"/>
      <c r="H40" s="14"/>
      <c r="I40" s="59" t="s">
        <v>145</v>
      </c>
      <c r="J40" s="55"/>
      <c r="K40" s="58" t="s">
        <v>144</v>
      </c>
      <c r="L40" s="55"/>
      <c r="M40" s="55"/>
      <c r="N40" s="55" t="s">
        <v>146</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113</v>
      </c>
      <c r="K45" s="49"/>
      <c r="L45" s="49"/>
      <c r="M45" s="49"/>
      <c r="N45" s="49"/>
      <c r="O45" s="49"/>
      <c r="P45" s="50"/>
      <c r="Q45" s="14"/>
      <c r="R45" s="43">
        <f>18.82</f>
        <v>18.82</v>
      </c>
      <c r="S45" s="43" t="s">
        <v>176</v>
      </c>
      <c r="T45" s="14"/>
    </row>
    <row r="46" spans="1:20" x14ac:dyDescent="0.3">
      <c r="A46" s="14"/>
      <c r="B46" s="14"/>
      <c r="C46" s="14"/>
      <c r="D46" s="14"/>
      <c r="E46" s="14"/>
      <c r="F46" s="14"/>
      <c r="G46" s="14"/>
      <c r="H46" s="14"/>
      <c r="I46" s="48">
        <f>3.6*10^-6</f>
        <v>3.5999999999999998E-6</v>
      </c>
      <c r="J46" s="49" t="s">
        <v>114</v>
      </c>
      <c r="K46" s="49"/>
      <c r="L46" s="49"/>
      <c r="M46" s="49"/>
      <c r="N46" s="49"/>
      <c r="O46" s="49"/>
      <c r="P46" s="50"/>
      <c r="Q46" s="14"/>
      <c r="R46">
        <f>R45*1000*1000</f>
        <v>18820000</v>
      </c>
      <c r="S46" t="s">
        <v>177</v>
      </c>
    </row>
    <row r="47" spans="1:20" x14ac:dyDescent="0.3">
      <c r="A47" s="14"/>
      <c r="B47" s="14"/>
      <c r="C47" s="14"/>
      <c r="D47" s="14"/>
      <c r="E47" s="14"/>
      <c r="F47" s="14"/>
      <c r="G47" s="14"/>
      <c r="H47" s="14"/>
      <c r="I47" s="48">
        <f>277777.777777777</f>
        <v>277777.777777777</v>
      </c>
      <c r="J47" s="49" t="s">
        <v>115</v>
      </c>
      <c r="K47" s="49"/>
      <c r="L47" s="49"/>
      <c r="M47" s="49"/>
      <c r="N47" s="49"/>
      <c r="O47" s="49"/>
      <c r="P47" s="50"/>
      <c r="Q47" s="14"/>
      <c r="R47">
        <f>R46/10^6</f>
        <v>18.82</v>
      </c>
      <c r="S47" t="s">
        <v>178</v>
      </c>
    </row>
    <row r="48" spans="1:20" x14ac:dyDescent="0.3">
      <c r="A48" s="14"/>
      <c r="B48" s="14"/>
      <c r="C48" s="14"/>
      <c r="D48" s="14"/>
      <c r="E48" s="14"/>
      <c r="F48" s="14"/>
      <c r="G48" s="14"/>
      <c r="H48" s="14"/>
      <c r="I48" s="48">
        <f>(I47*4.3)/10^6</f>
        <v>1.1944444444444411</v>
      </c>
      <c r="J48" s="49" t="s">
        <v>116</v>
      </c>
      <c r="K48" s="49" t="s">
        <v>151</v>
      </c>
      <c r="L48" s="49"/>
      <c r="M48" s="49"/>
      <c r="N48" s="49"/>
      <c r="O48" s="49"/>
      <c r="P48" s="50"/>
      <c r="Q48" s="14"/>
    </row>
    <row r="49" spans="1:17" x14ac:dyDescent="0.3">
      <c r="A49" s="14"/>
      <c r="B49" s="14"/>
      <c r="C49" s="14"/>
      <c r="D49" s="14"/>
      <c r="E49" s="14"/>
      <c r="F49" s="14"/>
      <c r="G49" s="14"/>
      <c r="H49" s="14"/>
      <c r="I49" s="59" t="s">
        <v>152</v>
      </c>
      <c r="J49" s="55"/>
      <c r="K49" s="55" t="s">
        <v>153</v>
      </c>
      <c r="L49" s="55"/>
      <c r="M49" s="55"/>
      <c r="N49" s="55"/>
      <c r="O49" s="55"/>
      <c r="P49" s="57"/>
      <c r="Q49" s="14"/>
    </row>
    <row r="50" spans="1:17" x14ac:dyDescent="0.3">
      <c r="A50" s="14"/>
      <c r="B50" s="14"/>
      <c r="C50" s="14"/>
      <c r="D50" s="14"/>
      <c r="E50" s="14"/>
      <c r="F50" s="14"/>
      <c r="G50" s="14"/>
      <c r="H50" s="14"/>
      <c r="I50" s="48">
        <v>0.21</v>
      </c>
      <c r="J50" s="49" t="s">
        <v>117</v>
      </c>
      <c r="K50" s="49" t="s">
        <v>155</v>
      </c>
      <c r="L50" s="49"/>
      <c r="M50" s="49"/>
      <c r="N50" s="49"/>
      <c r="O50" s="49"/>
      <c r="P50" s="50"/>
      <c r="Q50" s="14"/>
    </row>
    <row r="51" spans="1:17" x14ac:dyDescent="0.3">
      <c r="A51" s="14"/>
      <c r="B51" s="14"/>
      <c r="C51" s="14"/>
      <c r="D51" s="14"/>
      <c r="E51" s="14"/>
      <c r="F51" s="14"/>
      <c r="G51" s="14"/>
      <c r="H51" s="14"/>
      <c r="I51" s="48">
        <f>I50*1000</f>
        <v>210</v>
      </c>
      <c r="J51" s="49" t="s">
        <v>118</v>
      </c>
      <c r="K51" s="60" t="s">
        <v>156</v>
      </c>
      <c r="L51" s="49"/>
      <c r="M51" s="49"/>
      <c r="N51" s="49"/>
      <c r="O51" s="49"/>
      <c r="P51" s="50"/>
      <c r="Q51" s="14"/>
    </row>
    <row r="52" spans="1:17" x14ac:dyDescent="0.3">
      <c r="A52" s="14"/>
      <c r="B52" s="14"/>
      <c r="C52" s="14"/>
      <c r="D52" s="14"/>
      <c r="E52" s="14"/>
      <c r="F52" s="14"/>
      <c r="G52" s="14"/>
      <c r="H52" s="14"/>
      <c r="I52" s="48">
        <f>I51*1000</f>
        <v>210000</v>
      </c>
      <c r="J52" s="49" t="s">
        <v>119</v>
      </c>
      <c r="K52" s="49">
        <f>0.45</f>
        <v>0.45</v>
      </c>
      <c r="L52" s="49" t="s">
        <v>157</v>
      </c>
      <c r="M52" s="49"/>
      <c r="N52" s="49" t="s">
        <v>158</v>
      </c>
      <c r="O52" s="49"/>
      <c r="P52" s="50"/>
      <c r="Q52" s="14"/>
    </row>
    <row r="53" spans="1:17" x14ac:dyDescent="0.3">
      <c r="A53" s="14"/>
      <c r="B53" s="14"/>
      <c r="C53" s="14"/>
      <c r="D53" s="14"/>
      <c r="E53" s="14"/>
      <c r="F53" s="14"/>
      <c r="G53" s="14"/>
      <c r="H53" s="14"/>
      <c r="I53" s="48">
        <f>I52*1000</f>
        <v>210000000</v>
      </c>
      <c r="J53" s="49" t="s">
        <v>120</v>
      </c>
      <c r="K53" s="49">
        <f>K52*1000</f>
        <v>450</v>
      </c>
      <c r="L53" s="49" t="s">
        <v>121</v>
      </c>
      <c r="M53" s="49"/>
      <c r="N53" s="49"/>
      <c r="O53" s="49"/>
      <c r="P53" s="50"/>
      <c r="Q53" s="14"/>
    </row>
    <row r="54" spans="1:17" x14ac:dyDescent="0.3">
      <c r="A54" s="14"/>
      <c r="B54" s="14"/>
      <c r="C54" s="14"/>
      <c r="D54" s="14"/>
      <c r="E54" s="14"/>
      <c r="F54" s="14"/>
      <c r="G54" s="14"/>
      <c r="H54" s="14"/>
      <c r="I54" s="48">
        <f>I53/10^6</f>
        <v>210</v>
      </c>
      <c r="J54" s="49" t="s">
        <v>121</v>
      </c>
      <c r="K54" s="49"/>
      <c r="L54" s="49"/>
      <c r="M54" s="49"/>
      <c r="N54" s="49"/>
      <c r="O54" s="49"/>
      <c r="P54" s="50"/>
      <c r="Q54" s="14"/>
    </row>
    <row r="55" spans="1:17" x14ac:dyDescent="0.3">
      <c r="A55" s="14"/>
      <c r="B55" s="14"/>
      <c r="C55" s="14"/>
      <c r="D55" s="14"/>
      <c r="E55" s="14"/>
      <c r="F55" s="14"/>
      <c r="G55" s="14"/>
      <c r="H55" s="14"/>
      <c r="I55" s="64" t="s">
        <v>159</v>
      </c>
      <c r="J55" s="49"/>
      <c r="K55" s="49"/>
      <c r="L55" s="49"/>
      <c r="M55" s="49"/>
      <c r="N55" s="49"/>
      <c r="O55" s="49"/>
      <c r="P55" s="50"/>
      <c r="Q55" s="14"/>
    </row>
    <row r="56" spans="1:17" x14ac:dyDescent="0.3">
      <c r="I56" s="56" t="s">
        <v>160</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J24"/>
  <sheetViews>
    <sheetView workbookViewId="0">
      <selection activeCell="E11" sqref="E11"/>
    </sheetView>
  </sheetViews>
  <sheetFormatPr defaultRowHeight="14.4" x14ac:dyDescent="0.3"/>
  <cols>
    <col min="2" max="2" width="12" customWidth="1"/>
  </cols>
  <sheetData>
    <row r="3" spans="2:10" ht="17.399999999999999" x14ac:dyDescent="0.3">
      <c r="B3" s="66" t="s">
        <v>169</v>
      </c>
      <c r="C3" s="66"/>
      <c r="D3" s="66"/>
      <c r="E3" s="66"/>
      <c r="F3" s="66"/>
      <c r="G3" s="66"/>
      <c r="H3" s="66"/>
      <c r="I3" s="66"/>
      <c r="J3" s="66"/>
    </row>
    <row r="4" spans="2:10" ht="17.399999999999999" x14ac:dyDescent="0.3">
      <c r="B4" s="67"/>
      <c r="C4" s="67"/>
      <c r="D4" s="67"/>
      <c r="E4" s="67"/>
      <c r="F4" s="67"/>
      <c r="G4" s="67"/>
    </row>
    <row r="5" spans="2:10" ht="17.399999999999999" x14ac:dyDescent="0.3">
      <c r="B5" s="68" t="s">
        <v>180</v>
      </c>
      <c r="C5" s="69"/>
    </row>
    <row r="6" spans="2:10" ht="15" thickBot="1" x14ac:dyDescent="0.35">
      <c r="B6" s="70" t="s">
        <v>10</v>
      </c>
      <c r="C6" s="70" t="str">
        <f>Sector_Fuels_ELC!M8</f>
        <v>ELCGAS</v>
      </c>
      <c r="E6" s="71"/>
      <c r="F6" s="71"/>
      <c r="G6" s="71"/>
      <c r="H6" s="44"/>
    </row>
    <row r="7" spans="2:10" ht="15" thickBot="1" x14ac:dyDescent="0.35">
      <c r="B7" s="21" t="s">
        <v>55</v>
      </c>
      <c r="C7" s="21" t="s">
        <v>167</v>
      </c>
      <c r="E7" s="72"/>
      <c r="F7" s="72"/>
      <c r="G7" s="72"/>
      <c r="H7" s="44"/>
    </row>
    <row r="8" spans="2:10" x14ac:dyDescent="0.3">
      <c r="B8" s="14" t="str">
        <f>[1]Con_ELC!$V$6</f>
        <v>ELCCO2</v>
      </c>
      <c r="C8" s="73">
        <v>56.1</v>
      </c>
      <c r="E8" s="74"/>
      <c r="F8" s="74"/>
      <c r="G8" s="74"/>
      <c r="H8" s="44"/>
    </row>
    <row r="23" spans="2:5" x14ac:dyDescent="0.3">
      <c r="B23" s="75"/>
      <c r="C23" s="44" t="s">
        <v>168</v>
      </c>
    </row>
    <row r="24" spans="2:5" x14ac:dyDescent="0.3">
      <c r="B24" s="76"/>
      <c r="C24" s="77" t="s">
        <v>170</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2024-12-05T13:25:46Z</dcterms:modified>
</cp:coreProperties>
</file>