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codeName="ThisWorkbook" defaultThemeVersion="124226"/>
  <mc:AlternateContent xmlns:mc="http://schemas.openxmlformats.org/markup-compatibility/2006">
    <mc:Choice Requires="x15">
      <x15ac:absPath xmlns:x15ac="http://schemas.microsoft.com/office/spreadsheetml/2010/11/ac" url="C:\VEDA\Veda_models\KModel_04\SubRES_TMPL\"/>
    </mc:Choice>
  </mc:AlternateContent>
  <xr:revisionPtr revIDLastSave="0" documentId="13_ncr:1_{E471D2F1-A733-4243-A50E-22A7E001BF42}" xr6:coauthVersionLast="47" xr6:coauthVersionMax="47" xr10:uidLastSave="{00000000-0000-0000-0000-000000000000}"/>
  <bookViews>
    <workbookView xWindow="-108" yWindow="-108" windowWidth="23256" windowHeight="12576" xr2:uid="{00000000-000D-0000-FFFF-FFFF00000000}"/>
  </bookViews>
  <sheets>
    <sheet name="PRI_ELC" sheetId="4" r:id="rId1"/>
    <sheet name="PRI_RSD" sheetId="6" r:id="rId2"/>
    <sheet name="PRI_TRA" sheetId="8" r:id="rId3"/>
    <sheet name="PRI_FuelSec" sheetId="7" r:id="rId4"/>
  </sheets>
  <externalReferences>
    <externalReference r:id="rId5"/>
    <externalReference r:id="rId6"/>
    <externalReference r:id="rId7"/>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4" l="1"/>
  <c r="I18" i="4"/>
  <c r="J24" i="4"/>
  <c r="I30" i="4"/>
  <c r="B18" i="4"/>
  <c r="W44" i="4"/>
  <c r="M18" i="4"/>
  <c r="AH44" i="4"/>
  <c r="K80" i="4"/>
  <c r="K81" i="4" s="1"/>
  <c r="I79" i="4"/>
  <c r="I80" i="4" s="1"/>
  <c r="I81" i="4" s="1"/>
  <c r="I82" i="4" s="1"/>
  <c r="I75" i="4"/>
  <c r="I76" i="4" s="1"/>
  <c r="I74" i="4"/>
  <c r="P68" i="4"/>
  <c r="K64" i="4"/>
  <c r="K65" i="4" s="1"/>
  <c r="K66" i="4" s="1"/>
  <c r="K67" i="4" s="1"/>
  <c r="I64" i="4"/>
  <c r="K61" i="4"/>
  <c r="K62" i="4" s="1"/>
  <c r="I61" i="4"/>
  <c r="I62" i="4" s="1"/>
  <c r="B17" i="4"/>
  <c r="C18" i="4"/>
  <c r="C17" i="4"/>
  <c r="I65" i="4" l="1"/>
  <c r="I66" i="4" s="1"/>
  <c r="I67" i="4" s="1"/>
  <c r="AF44" i="4"/>
  <c r="X44" i="4"/>
  <c r="I48" i="4"/>
  <c r="I49" i="4" s="1"/>
  <c r="I50" i="4" s="1"/>
  <c r="I51" i="4" s="1"/>
  <c r="I45" i="4"/>
  <c r="I46" i="4" s="1"/>
  <c r="I44" i="4"/>
  <c r="I41" i="4"/>
  <c r="I42" i="4" s="1"/>
  <c r="H10" i="7" l="1"/>
  <c r="G10" i="7" l="1"/>
  <c r="K15" i="6" l="1"/>
  <c r="F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3"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T9"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9"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V9"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0"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<sst xmlns="http://schemas.openxmlformats.org/spreadsheetml/2006/main" count="500" uniqueCount="227">
  <si>
    <t>~FI_T</t>
  </si>
  <si>
    <t>TechName</t>
  </si>
  <si>
    <t>TechDesc</t>
  </si>
  <si>
    <t>Comm-IN</t>
  </si>
  <si>
    <t>Comm-OUT</t>
  </si>
  <si>
    <t>FIXOM</t>
  </si>
  <si>
    <t>CommName</t>
  </si>
  <si>
    <t>~FI_Comm</t>
  </si>
  <si>
    <t>Csets</t>
  </si>
  <si>
    <t>CommDesc</t>
  </si>
  <si>
    <t>Unit</t>
  </si>
  <si>
    <t>LimType</t>
  </si>
  <si>
    <t>CTSLvl</t>
  </si>
  <si>
    <t>PeakTS</t>
  </si>
  <si>
    <t>Ctype</t>
  </si>
  <si>
    <t>START</t>
  </si>
  <si>
    <t>Sets</t>
  </si>
  <si>
    <t>EFF</t>
  </si>
  <si>
    <t>~FI_Process</t>
  </si>
  <si>
    <t>Tact</t>
  </si>
  <si>
    <t>Tcap</t>
  </si>
  <si>
    <t>Tslvl</t>
  </si>
  <si>
    <t>PrimaryCG</t>
  </si>
  <si>
    <t>Vintage</t>
  </si>
  <si>
    <t>Commodity Name</t>
  </si>
  <si>
    <t>Commodity Description</t>
  </si>
  <si>
    <t>Peak Monitoring</t>
  </si>
  <si>
    <t>Electricity Indicator</t>
  </si>
  <si>
    <t>Technology Name</t>
  </si>
  <si>
    <t>Technology Description</t>
  </si>
  <si>
    <t>Activity Unit</t>
  </si>
  <si>
    <t>Capacity Unit</t>
  </si>
  <si>
    <t>Vintage Tracking</t>
  </si>
  <si>
    <t>Input Commodity</t>
  </si>
  <si>
    <t>Output Commodity</t>
  </si>
  <si>
    <t>AFA</t>
  </si>
  <si>
    <t>VAROM</t>
  </si>
  <si>
    <t>Efficiency</t>
  </si>
  <si>
    <t>Capacity to Activity Factor</t>
  </si>
  <si>
    <t>INVCOST</t>
  </si>
  <si>
    <t>Fixed O&amp;M Cost</t>
  </si>
  <si>
    <t>Variable O&amp;M Cost</t>
  </si>
  <si>
    <t>*Declare and characterize the new technologies by sector. Sheet names should indicate the sector as &lt;SectorName&gt;_&lt;Anything&gt;</t>
  </si>
  <si>
    <t>Sector Name</t>
  </si>
  <si>
    <t>Description</t>
  </si>
  <si>
    <t>Type</t>
  </si>
  <si>
    <t>Capacity unit</t>
  </si>
  <si>
    <t>Currency Unit</t>
  </si>
  <si>
    <t>New</t>
  </si>
  <si>
    <t>ELC</t>
  </si>
  <si>
    <t>Electricity Plants</t>
  </si>
  <si>
    <t>Power Plants</t>
  </si>
  <si>
    <t>PJ</t>
  </si>
  <si>
    <t>GW</t>
  </si>
  <si>
    <t>M€</t>
  </si>
  <si>
    <t>N</t>
  </si>
  <si>
    <t>Region</t>
  </si>
  <si>
    <t>Power Plant Type</t>
  </si>
  <si>
    <t>Thermal</t>
  </si>
  <si>
    <t>CHP</t>
  </si>
  <si>
    <t>Renewable</t>
  </si>
  <si>
    <t>Nuclear</t>
  </si>
  <si>
    <t>*Commodity Set Membership</t>
  </si>
  <si>
    <t>Region Name</t>
  </si>
  <si>
    <t>Sense of the Balance EQN.</t>
  </si>
  <si>
    <t>Timeslice Level</t>
  </si>
  <si>
    <t>Code</t>
  </si>
  <si>
    <t>T</t>
  </si>
  <si>
    <t>C</t>
  </si>
  <si>
    <t>R</t>
  </si>
  <si>
    <t>kt</t>
  </si>
  <si>
    <t>LIFE</t>
  </si>
  <si>
    <t>ENV_ACT</t>
  </si>
  <si>
    <t>Peak</t>
  </si>
  <si>
    <t>*Technology Name</t>
  </si>
  <si>
    <t>Utilisation Factor</t>
  </si>
  <si>
    <t>Invesctment Cost</t>
  </si>
  <si>
    <t>Remaining Lifetime</t>
  </si>
  <si>
    <t>Activity Emission Coefficient</t>
  </si>
  <si>
    <t>% contribution to PEAK</t>
  </si>
  <si>
    <t>*Process Set Membership</t>
  </si>
  <si>
    <t>TimeSlice level of Process Activity</t>
  </si>
  <si>
    <t>Primary Commodity Group</t>
  </si>
  <si>
    <t>*Units</t>
  </si>
  <si>
    <t>M€/GW</t>
  </si>
  <si>
    <t>M€/PJa</t>
  </si>
  <si>
    <t>M€/PJ</t>
  </si>
  <si>
    <t>Years</t>
  </si>
  <si>
    <t>(Act Unit/Cap Unit)</t>
  </si>
  <si>
    <t>ELE</t>
  </si>
  <si>
    <t>SEASON</t>
  </si>
  <si>
    <t>Default Unit</t>
  </si>
  <si>
    <t>RSD</t>
  </si>
  <si>
    <t>Residential</t>
  </si>
  <si>
    <t>Demand Technologies</t>
  </si>
  <si>
    <t>DROT</t>
  </si>
  <si>
    <t>RSDCO2</t>
  </si>
  <si>
    <t>DMD</t>
  </si>
  <si>
    <t>PJa</t>
  </si>
  <si>
    <t>RSDGAS</t>
  </si>
  <si>
    <t>ROTNGAS</t>
  </si>
  <si>
    <t>Demand Technologies Residential Sector -  New Other - Natural Gas</t>
  </si>
  <si>
    <t>TRA</t>
  </si>
  <si>
    <t>Transport</t>
  </si>
  <si>
    <t>Capacity</t>
  </si>
  <si>
    <t>000_Units</t>
  </si>
  <si>
    <t>Commodity</t>
  </si>
  <si>
    <t>Deafult unit</t>
  </si>
  <si>
    <t>Currency</t>
  </si>
  <si>
    <t>Sector Fuel</t>
  </si>
  <si>
    <t>Investment cost</t>
  </si>
  <si>
    <t>*</t>
  </si>
  <si>
    <t>Year</t>
  </si>
  <si>
    <t>CAP2ACT</t>
  </si>
  <si>
    <t>Remaining</t>
  </si>
  <si>
    <t>Lifetime</t>
  </si>
  <si>
    <t>ACTFLO~DEMO</t>
  </si>
  <si>
    <t>Activity to Flo</t>
  </si>
  <si>
    <t>Investment Cost</t>
  </si>
  <si>
    <t>'000 km</t>
  </si>
  <si>
    <t>Passenger/Car</t>
  </si>
  <si>
    <t>M€/000_Units</t>
  </si>
  <si>
    <t>M€/000_Units/a</t>
  </si>
  <si>
    <t>TCARNDSL</t>
  </si>
  <si>
    <t>Demand Technologies Transport Sector -   Cars - Diesel oil</t>
  </si>
  <si>
    <t>DEMO</t>
  </si>
  <si>
    <t>TRADSL</t>
  </si>
  <si>
    <t>DTCAR</t>
  </si>
  <si>
    <t>TCARNLPG</t>
  </si>
  <si>
    <t>Demand Technologies Transport Sector -   Cars - LPG</t>
  </si>
  <si>
    <t>TRALPG</t>
  </si>
  <si>
    <t>TCARNGSL</t>
  </si>
  <si>
    <t>Demand Technologies Transport Sector -   Cars - Motor spirit</t>
  </si>
  <si>
    <t>TRAGSL</t>
  </si>
  <si>
    <t>TCARNGAS</t>
  </si>
  <si>
    <t>Demand Technologies Transport Sector -   Cars - Natural Gas</t>
  </si>
  <si>
    <t>TRAGAS</t>
  </si>
  <si>
    <t>TCARNELC</t>
  </si>
  <si>
    <t>Demand Technologies Transport Sector -   Cars - Electricity</t>
  </si>
  <si>
    <t>TRAELC</t>
  </si>
  <si>
    <t>BPkm</t>
  </si>
  <si>
    <t>BV*km/PJ</t>
  </si>
  <si>
    <t>bvkm/mvkm</t>
  </si>
  <si>
    <t>DACCS-ELC</t>
  </si>
  <si>
    <t>TOTCO2</t>
  </si>
  <si>
    <t>INPUT</t>
  </si>
  <si>
    <t>PRE</t>
  </si>
  <si>
    <t>Simplistic DACCS with electricity</t>
  </si>
  <si>
    <t>ACT_COST</t>
  </si>
  <si>
    <t>Mt</t>
  </si>
  <si>
    <t>Mta</t>
  </si>
  <si>
    <t>ELCWIND</t>
  </si>
  <si>
    <t>ELCRNW</t>
  </si>
  <si>
    <t>FI_T</t>
  </si>
  <si>
    <t>FI_Process</t>
  </si>
  <si>
    <t>FI_Comm</t>
  </si>
  <si>
    <t>FI_T: Meuro20</t>
  </si>
  <si>
    <t>Meuro/MW</t>
  </si>
  <si>
    <t>Meuro/GW</t>
  </si>
  <si>
    <t>Euro/MW</t>
  </si>
  <si>
    <t>Conversions</t>
  </si>
  <si>
    <t>MWh</t>
  </si>
  <si>
    <t>MWh in 1 PJ</t>
  </si>
  <si>
    <t>PJ in 1 MWh</t>
  </si>
  <si>
    <t>Meuro/PJ</t>
  </si>
  <si>
    <t>(From O&amp;M variable costs)</t>
  </si>
  <si>
    <t>Euro/Wp</t>
  </si>
  <si>
    <t>Euro/kWp</t>
  </si>
  <si>
    <t>Euro/MWp</t>
  </si>
  <si>
    <t>Euro/GWp</t>
  </si>
  <si>
    <t>Meuro/GWp</t>
  </si>
  <si>
    <t>Levelized cost of Energy</t>
  </si>
  <si>
    <r>
      <t>M</t>
    </r>
    <r>
      <rPr>
        <sz val="8"/>
        <color theme="1"/>
        <rFont val="Aptos Narrow"/>
        <family val="2"/>
      </rPr>
      <t>€/GW</t>
    </r>
    <r>
      <rPr>
        <sz val="8"/>
        <color theme="1"/>
        <rFont val="Arial"/>
        <family val="2"/>
      </rPr>
      <t>h</t>
    </r>
  </si>
  <si>
    <t>ELERNWSUN02</t>
  </si>
  <si>
    <t>*LCOE</t>
  </si>
  <si>
    <t>DAYNITE</t>
  </si>
  <si>
    <t>ELERNWINDON</t>
  </si>
  <si>
    <t>ELERNWSUN01</t>
  </si>
  <si>
    <t>Power Plants New - Wind Onshore</t>
  </si>
  <si>
    <t>Power Plants New - PV 1</t>
  </si>
  <si>
    <t>Conversions, also based on values gotten from the Teknologi kataloget</t>
  </si>
  <si>
    <t>Offshore investment</t>
  </si>
  <si>
    <t>Onshore investment</t>
  </si>
  <si>
    <t xml:space="preserve">Based on 2021 prices with 2020 Euro value. </t>
  </si>
  <si>
    <t xml:space="preserve">2022 saw a sharp increase. </t>
  </si>
  <si>
    <t>Offshore F O&amp;M</t>
  </si>
  <si>
    <t>Onshore F O&amp;M</t>
  </si>
  <si>
    <t>USD/kW/year</t>
  </si>
  <si>
    <t>Euro/MW/year</t>
  </si>
  <si>
    <t>23000 flat out, was estimated from køberet.</t>
  </si>
  <si>
    <t>Euro/kW/year</t>
  </si>
  <si>
    <t>Meuro/MW/year</t>
  </si>
  <si>
    <t>Learning rate can be added in SubRes!</t>
  </si>
  <si>
    <t>Meuro/GW/year</t>
  </si>
  <si>
    <t>Vestas has slightly different value?</t>
  </si>
  <si>
    <t>Meuro/PJ/year</t>
  </si>
  <si>
    <t>Meuro/PJ/year?</t>
  </si>
  <si>
    <t>No land rent included or contingencies for on.</t>
  </si>
  <si>
    <t>Offshore V O&amp;M</t>
  </si>
  <si>
    <t>Onshore V O&amp;M</t>
  </si>
  <si>
    <t>USD to EUR rate, 2020:</t>
  </si>
  <si>
    <t>(From O&amp;M variable costs, what source?)</t>
  </si>
  <si>
    <t>Solar Investment</t>
  </si>
  <si>
    <t>Teknologi kataloget</t>
  </si>
  <si>
    <t>The previous price is from just the module price, so a new price is given below:</t>
  </si>
  <si>
    <t>Solar Investment, corrected</t>
  </si>
  <si>
    <t>Meuro/MWp</t>
  </si>
  <si>
    <t>p is just peak</t>
  </si>
  <si>
    <t xml:space="preserve">Solar O&amp;M </t>
  </si>
  <si>
    <t>MIA</t>
  </si>
  <si>
    <t>NCAP_ILED</t>
  </si>
  <si>
    <t>Delay times for construction</t>
  </si>
  <si>
    <t>M€/GW/year</t>
  </si>
  <si>
    <t>OLD</t>
  </si>
  <si>
    <t>YES</t>
  </si>
  <si>
    <t>ELERNWINDOFF45</t>
  </si>
  <si>
    <t>*ENV_ACT</t>
  </si>
  <si>
    <t>ELCWINOFF45</t>
  </si>
  <si>
    <t>ELERNWINDOFF8</t>
  </si>
  <si>
    <t>ELERNWINDOFF20</t>
  </si>
  <si>
    <t>ELERNWINDOFF30</t>
  </si>
  <si>
    <t>ELCWINOFF8</t>
  </si>
  <si>
    <t>ELCWINOFF20</t>
  </si>
  <si>
    <t>ELCWINOFF30</t>
  </si>
  <si>
    <t>Power Plants New - Wind Offshore 8,4 WTG</t>
  </si>
  <si>
    <t>Power Plants New - Wind Offshore 20 WTG</t>
  </si>
  <si>
    <t>Power Plants New - Wind Offshore 30 WTG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</si>
</sst>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
    <numFmt numFmtId="165" formatCode="0.0"/>
    <numFmt numFmtId="166" formatCode="\Te\x\t"/>
  </numFmts>
  <fonts count="3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color indexed="12"/>
      <name val="Arial"/>
      <family val="2"/>
    </font>
    <font>
      <sz val="10"/>
      <name val="Arial"/>
      <family val="2"/>
    </font>
    <font>
      <b/>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1"/>
      <color theme="1"/>
      <name val="Calibri"/>
      <family val="2"/>
      <scheme val="minor"/>
    </font>
    <font>
      <sz val="11"/>
      <color theme="0"/>
      <name val="Calibri"/>
      <family val="2"/>
      <scheme val="minor"/>
    </font>
    <font>
      <sz val="11"/>
      <color rgb="FF006100"/>
      <name val="Calibri"/>
      <family val="2"/>
      <scheme val="minor"/>
    </font>
    <font>
      <b/>
      <sz val="18"/>
      <color theme="3"/>
      <name val="Arial"/>
      <family val="2"/>
    </font>
    <font>
      <b/>
      <sz val="12"/>
      <color rgb="FFFF0000"/>
      <name val="Calibri"/>
      <family val="2"/>
      <scheme val="minor"/>
    </font>
    <font>
      <sz val="8"/>
      <color theme="1"/>
      <name val="Arial"/>
      <family val="2"/>
    </font>
    <font>
      <sz val="10"/>
      <color rgb="FFFF0000"/>
      <name val="Arial"/>
      <family val="2"/>
    </font>
    <font>
      <b/>
      <sz val="12"/>
      <name val="Calibri"/>
      <family val="2"/>
      <scheme val="minor"/>
    </font>
    <font>
      <b/>
      <sz val="11"/>
      <name val="Calibri"/>
      <family val="2"/>
      <scheme val="minor"/>
    </font>
    <font>
      <sz val="11"/>
      <color rgb="FF9C6500"/>
      <name val="Calibri"/>
      <family val="2"/>
      <scheme val="minor"/>
    </font>
    <font>
      <sz val="8"/>
      <color theme="1"/>
      <name val="Aptos Narrow"/>
      <family val="2"/>
    </font>
    <font>
      <b/>
      <sz val="11"/>
      <color theme="1"/>
      <name val="Calibri"/>
      <family val="2"/>
      <scheme val="minor"/>
    </font>
    <font>
      <sz val="10"/>
      <name val="Arial"/>
      <family val="2"/>
    </font>
    <font>
      <sz val="10"/>
      <color theme="1"/>
      <name val="Arial"/>
      <family val="2"/>
    </font>
  </fonts>
  <fills count="11">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patternFill>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EB9C"/>
      </patternFill>
    </fill>
    <fill>
      <patternFill patternType="solid">
        <fgColor theme="5" tint="0.39997558519241921"/>
        <bgColor indexed="65"/>
      </patternFill>
    </fill>
    <fill>
      <patternFill patternType="solid">
        <fgColor theme="6" tint="0.79998168889431442"/>
        <bgColor indexed="64"/>
      </patternFill>
    </fill>
  </fills>
  <borders count="14">
    <border>
      <left/>
      <right/>
      <top/>
      <bottom/>
      <diagonal/>
    </border>
    <border>
      <left/>
      <right/>
      <top style="thin">
        <color indexed="64"/>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3">
    <xf numFmtId="0" fontId="0" fillId="0" borderId="0"/>
    <xf numFmtId="0" fontId="17" fillId="3" borderId="0" applyNumberFormat="0" applyBorder="0" applyAlignment="0" applyProtection="0"/>
    <xf numFmtId="0" fontId="18" fillId="4" borderId="0" applyNumberFormat="0" applyBorder="0" applyAlignment="0" applyProtection="0"/>
    <xf numFmtId="43" fontId="17" fillId="0" borderId="0" applyFont="0" applyFill="0" applyBorder="0" applyAlignment="0" applyProtection="0"/>
    <xf numFmtId="0" fontId="19" fillId="5" borderId="0" applyNumberFormat="0" applyBorder="0" applyAlignment="0" applyProtection="0"/>
    <xf numFmtId="0" fontId="9" fillId="0" borderId="0"/>
    <xf numFmtId="0" fontId="9" fillId="0" borderId="0"/>
    <xf numFmtId="0" fontId="9" fillId="0" borderId="0"/>
    <xf numFmtId="0" fontId="9" fillId="0" borderId="0"/>
    <xf numFmtId="0" fontId="17" fillId="0" borderId="0"/>
    <xf numFmtId="0" fontId="9" fillId="0" borderId="0"/>
    <xf numFmtId="0" fontId="7" fillId="0" borderId="0"/>
    <xf numFmtId="9" fontId="11"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0" fontId="9" fillId="0" borderId="0"/>
    <xf numFmtId="0" fontId="6" fillId="3" borderId="0" applyNumberFormat="0" applyBorder="0" applyAlignment="0" applyProtection="0"/>
    <xf numFmtId="0" fontId="18" fillId="9" borderId="0" applyNumberFormat="0" applyBorder="0" applyAlignment="0" applyProtection="0"/>
    <xf numFmtId="43" fontId="6" fillId="0" borderId="0" applyFont="0" applyFill="0" applyBorder="0" applyAlignment="0" applyProtection="0"/>
    <xf numFmtId="0" fontId="26" fillId="8" borderId="0" applyNumberFormat="0" applyBorder="0" applyAlignment="0" applyProtection="0"/>
    <xf numFmtId="0" fontId="6"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3" borderId="0" applyNumberFormat="0" applyBorder="0" applyAlignment="0" applyProtection="0"/>
    <xf numFmtId="43" fontId="4" fillId="0" borderId="0" applyFont="0" applyFill="0" applyBorder="0" applyAlignment="0" applyProtection="0"/>
    <xf numFmtId="0" fontId="4"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29" fillId="0" borderId="0"/>
    <xf numFmtId="43" fontId="4" fillId="0" borderId="0" applyFont="0" applyFill="0" applyBorder="0" applyAlignment="0" applyProtection="0"/>
    <xf numFmtId="9" fontId="29" fillId="0" borderId="0" applyFont="0" applyFill="0" applyBorder="0" applyAlignment="0" applyProtection="0"/>
    <xf numFmtId="0" fontId="3" fillId="0" borderId="0"/>
    <xf numFmtId="0" fontId="3" fillId="3" borderId="0" applyNumberFormat="0" applyBorder="0" applyAlignment="0" applyProtection="0"/>
    <xf numFmtId="0" fontId="2" fillId="0" borderId="0"/>
    <xf numFmtId="0" fontId="2" fillId="3" borderId="0" applyNumberFormat="0" applyBorder="0" applyAlignment="0" applyProtection="0"/>
    <xf numFmtId="0" fontId="1" fillId="0" borderId="0"/>
    <xf numFmtId="0" fontId="1" fillId="3" borderId="0" applyNumberFormat="0" applyBorder="0" applyAlignment="0" applyProtection="0"/>
  </cellStyleXfs>
  <cellXfs count="88">
    <xf numFmtId="0" fontId="0" fillId="0" borderId="0" xfId="0"/>
    <xf numFmtId="0" fontId="20" fillId="0" borderId="0" xfId="0" applyFont="1"/>
    <xf numFmtId="0" fontId="9" fillId="0" borderId="0" xfId="0" applyFont="1"/>
    <xf numFmtId="0" fontId="8" fillId="0" borderId="0" xfId="0" applyFont="1"/>
    <xf numFmtId="0" fontId="9" fillId="0" borderId="0" xfId="7" applyAlignment="1">
      <alignment horizontal="right"/>
    </xf>
    <xf numFmtId="0" fontId="8" fillId="0" borderId="0" xfId="7" applyFont="1" applyAlignment="1">
      <alignment horizontal="left"/>
    </xf>
    <xf numFmtId="0" fontId="9" fillId="0" borderId="0" xfId="7" applyAlignment="1">
      <alignment horizontal="left"/>
    </xf>
    <xf numFmtId="0" fontId="18" fillId="4" borderId="0" xfId="2"/>
    <xf numFmtId="0" fontId="21" fillId="0" borderId="0" xfId="4" applyFont="1" applyFill="1"/>
    <xf numFmtId="0" fontId="21" fillId="6" borderId="0" xfId="4" applyFont="1" applyFill="1"/>
    <xf numFmtId="0" fontId="22" fillId="3" borderId="1" xfId="1" applyFont="1" applyBorder="1" applyAlignment="1">
      <alignment horizontal="left" wrapText="1"/>
    </xf>
    <xf numFmtId="0" fontId="22" fillId="3" borderId="2" xfId="1" applyFont="1" applyBorder="1" applyAlignment="1">
      <alignment horizontal="left" wrapText="1"/>
    </xf>
    <xf numFmtId="0" fontId="10" fillId="2" borderId="2" xfId="7" applyFont="1" applyFill="1" applyBorder="1" applyAlignment="1">
      <alignment horizontal="left" vertical="center"/>
    </xf>
    <xf numFmtId="0" fontId="21" fillId="6" borderId="0" xfId="4" applyFont="1" applyFill="1" applyAlignment="1">
      <alignment wrapText="1"/>
    </xf>
    <xf numFmtId="0" fontId="10" fillId="2" borderId="2" xfId="7" applyFont="1" applyFill="1" applyBorder="1" applyAlignment="1">
      <alignment horizontal="right" vertical="center" wrapText="1"/>
    </xf>
    <xf numFmtId="0" fontId="10" fillId="2" borderId="2" xfId="7" applyFont="1" applyFill="1" applyBorder="1" applyAlignment="1">
      <alignment horizontal="right" vertical="center"/>
    </xf>
    <xf numFmtId="0" fontId="22" fillId="3" borderId="2" xfId="1" applyFont="1" applyBorder="1" applyAlignment="1">
      <alignment horizontal="right" wrapText="1"/>
    </xf>
    <xf numFmtId="0" fontId="22" fillId="3" borderId="3" xfId="1" applyFont="1" applyBorder="1" applyAlignment="1">
      <alignment horizontal="right" wrapText="1"/>
    </xf>
    <xf numFmtId="0" fontId="22" fillId="3" borderId="1" xfId="1" applyFont="1" applyBorder="1" applyAlignment="1">
      <alignment horizontal="right" wrapText="1"/>
    </xf>
    <xf numFmtId="0" fontId="22" fillId="3" borderId="4" xfId="1" applyFont="1" applyBorder="1" applyAlignment="1">
      <alignment horizontal="right" wrapText="1"/>
    </xf>
    <xf numFmtId="0" fontId="0" fillId="0" borderId="0" xfId="0" applyAlignment="1">
      <alignment wrapText="1"/>
    </xf>
    <xf numFmtId="0" fontId="18" fillId="4" borderId="0" xfId="2" applyAlignment="1">
      <alignment wrapText="1"/>
    </xf>
    <xf numFmtId="0" fontId="9" fillId="0" borderId="0" xfId="5"/>
    <xf numFmtId="0" fontId="23" fillId="0" borderId="0" xfId="5" applyFont="1"/>
    <xf numFmtId="0" fontId="10" fillId="0" borderId="0" xfId="7" applyFont="1" applyAlignment="1">
      <alignment horizontal="right" vertical="center" wrapText="1"/>
    </xf>
    <xf numFmtId="1" fontId="9" fillId="0" borderId="0" xfId="5" applyNumberFormat="1"/>
    <xf numFmtId="2" fontId="9" fillId="0" borderId="0" xfId="5" applyNumberFormat="1"/>
    <xf numFmtId="0" fontId="24" fillId="0" borderId="0" xfId="4" applyFont="1" applyFill="1"/>
    <xf numFmtId="0" fontId="25" fillId="0" borderId="0" xfId="2" applyFont="1" applyFill="1" applyAlignment="1">
      <alignment wrapText="1"/>
    </xf>
    <xf numFmtId="1" fontId="0" fillId="0" borderId="0" xfId="0" applyNumberFormat="1"/>
    <xf numFmtId="2" fontId="0" fillId="0" borderId="0" xfId="0" applyNumberFormat="1"/>
    <xf numFmtId="0" fontId="23" fillId="0" borderId="0" xfId="0" applyFont="1"/>
    <xf numFmtId="0" fontId="21" fillId="6" borderId="0" xfId="4" quotePrefix="1" applyFont="1" applyFill="1"/>
    <xf numFmtId="0" fontId="22" fillId="0" borderId="0" xfId="1" applyFont="1" applyFill="1" applyBorder="1" applyAlignment="1">
      <alignment horizontal="right" wrapText="1"/>
    </xf>
    <xf numFmtId="0" fontId="18" fillId="0" borderId="0" xfId="2" applyFill="1"/>
    <xf numFmtId="0" fontId="9" fillId="0" borderId="0" xfId="5" applyAlignment="1">
      <alignment wrapText="1"/>
    </xf>
    <xf numFmtId="0" fontId="10" fillId="2" borderId="2" xfId="7" applyFont="1" applyFill="1" applyBorder="1" applyAlignment="1">
      <alignment horizontal="left" vertical="center" wrapText="1"/>
    </xf>
    <xf numFmtId="0" fontId="22" fillId="3" borderId="1" xfId="1" applyFont="1" applyBorder="1" applyAlignment="1">
      <alignment horizontal="center" wrapText="1"/>
    </xf>
    <xf numFmtId="0" fontId="10" fillId="0" borderId="0" xfId="0" applyFont="1" applyAlignment="1">
      <alignment horizontal="left"/>
    </xf>
    <xf numFmtId="165" fontId="0" fillId="0" borderId="0" xfId="0" applyNumberFormat="1"/>
    <xf numFmtId="0" fontId="22" fillId="3" borderId="4" xfId="1" quotePrefix="1" applyFont="1" applyBorder="1" applyAlignment="1">
      <alignment horizontal="right" wrapText="1"/>
    </xf>
    <xf numFmtId="164" fontId="0" fillId="0" borderId="0" xfId="0" applyNumberFormat="1"/>
    <xf numFmtId="2" fontId="9" fillId="0" borderId="0" xfId="0" applyNumberFormat="1" applyFont="1"/>
    <xf numFmtId="166" fontId="8" fillId="0" borderId="0" xfId="0" applyNumberFormat="1" applyFont="1"/>
    <xf numFmtId="166" fontId="9" fillId="0" borderId="0" xfId="0" applyNumberFormat="1" applyFont="1"/>
    <xf numFmtId="166" fontId="10" fillId="2" borderId="2" xfId="0" applyNumberFormat="1" applyFont="1" applyFill="1" applyBorder="1" applyAlignment="1">
      <alignment horizontal="left"/>
    </xf>
    <xf numFmtId="166" fontId="10" fillId="2" borderId="3" xfId="0" applyNumberFormat="1" applyFont="1" applyFill="1" applyBorder="1" applyAlignment="1">
      <alignment horizontal="left"/>
    </xf>
    <xf numFmtId="166" fontId="22" fillId="3" borderId="1" xfId="1" applyNumberFormat="1" applyFont="1" applyBorder="1" applyAlignment="1">
      <alignment horizontal="left" wrapText="1"/>
    </xf>
    <xf numFmtId="166" fontId="0" fillId="0" borderId="0" xfId="0" applyNumberFormat="1"/>
    <xf numFmtId="166" fontId="0" fillId="0" borderId="0" xfId="0" applyNumberFormat="1" applyAlignment="1">
      <alignment wrapText="1"/>
    </xf>
    <xf numFmtId="166" fontId="9" fillId="0" borderId="0" xfId="0" applyNumberFormat="1" applyFont="1" applyAlignment="1">
      <alignment wrapText="1"/>
    </xf>
    <xf numFmtId="166" fontId="8" fillId="0" borderId="0" xfId="5" applyNumberFormat="1" applyFont="1"/>
    <xf numFmtId="166" fontId="9" fillId="0" borderId="0" xfId="5" applyNumberFormat="1"/>
    <xf numFmtId="166" fontId="10" fillId="2" borderId="2" xfId="5" applyNumberFormat="1" applyFont="1" applyFill="1" applyBorder="1" applyAlignment="1">
      <alignment horizontal="left"/>
    </xf>
    <xf numFmtId="166" fontId="10" fillId="2" borderId="3" xfId="5" applyNumberFormat="1" applyFont="1" applyFill="1" applyBorder="1" applyAlignment="1">
      <alignment horizontal="left"/>
    </xf>
    <xf numFmtId="0" fontId="9" fillId="0" borderId="0" xfId="5" applyAlignment="1">
      <alignment horizontal="center"/>
    </xf>
    <xf numFmtId="0" fontId="10" fillId="2" borderId="2" xfId="7" applyFont="1" applyFill="1" applyBorder="1" applyAlignment="1">
      <alignment horizontal="center" vertical="center"/>
    </xf>
    <xf numFmtId="0" fontId="10" fillId="2" borderId="2" xfId="7" applyFont="1" applyFill="1" applyBorder="1" applyAlignment="1">
      <alignment horizontal="center" vertical="center" wrapText="1"/>
    </xf>
    <xf numFmtId="1" fontId="9" fillId="0" borderId="0" xfId="5" applyNumberFormat="1" applyAlignment="1">
      <alignment horizontal="center"/>
    </xf>
    <xf numFmtId="0" fontId="9" fillId="7" borderId="5" xfId="5" applyFill="1" applyBorder="1"/>
    <xf numFmtId="0" fontId="9" fillId="7" borderId="3" xfId="5" applyFill="1" applyBorder="1"/>
    <xf numFmtId="0" fontId="9" fillId="7" borderId="6" xfId="5" applyFill="1" applyBorder="1"/>
    <xf numFmtId="0" fontId="9" fillId="7" borderId="7" xfId="5" applyFill="1" applyBorder="1"/>
    <xf numFmtId="0" fontId="9" fillId="7" borderId="2" xfId="5" applyFill="1" applyBorder="1"/>
    <xf numFmtId="0" fontId="9" fillId="7" borderId="8" xfId="5" applyFill="1" applyBorder="1"/>
    <xf numFmtId="0" fontId="9" fillId="7" borderId="9" xfId="5" applyFill="1" applyBorder="1"/>
    <xf numFmtId="0" fontId="9" fillId="7" borderId="0" xfId="5" applyFill="1"/>
    <xf numFmtId="0" fontId="9" fillId="7" borderId="10" xfId="5" applyFill="1" applyBorder="1"/>
    <xf numFmtId="0" fontId="9" fillId="7" borderId="11" xfId="5" applyFill="1" applyBorder="1"/>
    <xf numFmtId="0" fontId="9" fillId="7" borderId="12" xfId="5" applyFill="1" applyBorder="1"/>
    <xf numFmtId="0" fontId="9" fillId="7" borderId="13" xfId="5" applyFill="1" applyBorder="1"/>
    <xf numFmtId="0" fontId="28" fillId="7" borderId="9" xfId="0" applyFont="1" applyFill="1" applyBorder="1"/>
    <xf numFmtId="0" fontId="0" fillId="7" borderId="0" xfId="0" applyFill="1"/>
    <xf numFmtId="0" fontId="28" fillId="7" borderId="0" xfId="0" applyFont="1" applyFill="1"/>
    <xf numFmtId="0" fontId="0" fillId="7" borderId="9" xfId="0" applyFill="1" applyBorder="1"/>
    <xf numFmtId="0" fontId="0" fillId="7" borderId="10" xfId="0" applyFill="1" applyBorder="1"/>
    <xf numFmtId="0" fontId="10" fillId="7" borderId="0" xfId="5" applyFont="1" applyFill="1"/>
    <xf numFmtId="0" fontId="10" fillId="7" borderId="9" xfId="5" applyFont="1" applyFill="1" applyBorder="1"/>
    <xf numFmtId="0" fontId="0" fillId="7" borderId="11" xfId="0" applyFill="1" applyBorder="1"/>
    <xf numFmtId="0" fontId="0" fillId="7" borderId="12" xfId="0" applyFill="1" applyBorder="1"/>
    <xf numFmtId="0" fontId="0" fillId="7" borderId="13" xfId="0" applyFill="1" applyBorder="1"/>
    <xf numFmtId="0" fontId="30" fillId="0" borderId="0" xfId="37" applyFont="1"/>
    <xf numFmtId="0" fontId="4" fillId="0" borderId="0" xfId="37"/>
    <xf numFmtId="2" fontId="4" fillId="0" borderId="0" xfId="37" applyNumberFormat="1"/>
    <xf numFmtId="166" fontId="4" fillId="0" borderId="0" xfId="37" applyNumberFormat="1"/>
    <xf numFmtId="2" fontId="2" fillId="10" borderId="0" xfId="49" applyNumberFormat="1" applyFill="1"/>
    <xf numFmtId="0" fontId="1" fillId="10" borderId="0" xfId="51" applyFill="1"/>
    <xf numFmtId="0" fontId="28" fillId="10" borderId="0" xfId="51" applyFont="1" applyFill="1"/>
  </cellXfs>
  <cellStyles count="53">
    <cellStyle name="20 % - Farve5" xfId="1" builtinId="46"/>
    <cellStyle name="20 % - Farve5 2" xfId="21" xr:uid="{A0E445DD-DB75-4F07-98F7-EA4A3CF45A39}"/>
    <cellStyle name="20 % - Farve5 3" xfId="38" xr:uid="{8A40DF18-D052-4DB8-B40C-15BAC6E6B7D7}"/>
    <cellStyle name="20 % - Farve5 4" xfId="48" xr:uid="{BA84CF23-2043-4E52-89AD-E947642EEB2E}"/>
    <cellStyle name="20 % - Farve5 5" xfId="50" xr:uid="{66152348-0630-41BB-A0D0-D003EB9CAD6B}"/>
    <cellStyle name="20 % - Farve5 6" xfId="52" xr:uid="{F2E84A5F-13F5-47BB-BEC9-CC64879C4939}"/>
    <cellStyle name="60 % - Farve2 2" xfId="22" xr:uid="{C9AC1626-ABF5-4D3D-AC98-65C9B7342771}"/>
    <cellStyle name="Comma 2" xfId="3" xr:uid="{00000000-0005-0000-0000-000002000000}"/>
    <cellStyle name="Comma 2 2" xfId="23" xr:uid="{342F0051-E0EA-4BA9-AC78-716E2BD62BB9}"/>
    <cellStyle name="Comma 2 2 2" xfId="45" xr:uid="{C38E6797-B183-4778-8C56-F5B4BA8A0363}"/>
    <cellStyle name="Comma 2 3" xfId="39" xr:uid="{C9597839-C1CD-4422-9B69-09E33B80794E}"/>
    <cellStyle name="Farve2" xfId="2" builtinId="33"/>
    <cellStyle name="God" xfId="4" builtinId="26"/>
    <cellStyle name="Neutral 2" xfId="24" xr:uid="{597BBF77-CDB9-4A11-B99D-5A390083FA36}"/>
    <cellStyle name="Normal" xfId="0" builtinId="0"/>
    <cellStyle name="Normal 10" xfId="5" xr:uid="{00000000-0005-0000-0000-000005000000}"/>
    <cellStyle name="Normal 2" xfId="6" xr:uid="{00000000-0005-0000-0000-000006000000}"/>
    <cellStyle name="Normal 2 2 2" xfId="34" xr:uid="{BDEBB3CF-AF1C-4CB2-ABD0-D5501ABDAE80}"/>
    <cellStyle name="Normal 2 3" xfId="33" xr:uid="{4CB49366-E867-420F-AE94-87A16FE23902}"/>
    <cellStyle name="Normal 3" xfId="30" xr:uid="{C341F9C2-C2B1-4441-AFFB-71AB55C33019}"/>
    <cellStyle name="Normal 3 10" xfId="35" xr:uid="{C80160CA-C69D-43F5-AB88-C0C13957D37B}"/>
    <cellStyle name="Normal 3 2" xfId="31" xr:uid="{6ED69FBD-2431-4A2A-A985-C07F599DB5F2}"/>
    <cellStyle name="Normal 3 2 2 2" xfId="32" xr:uid="{458C451E-B475-47B2-B61A-A41B67973304}"/>
    <cellStyle name="Normal 3 3" xfId="44" xr:uid="{70A2065C-D4B2-4BDF-94FD-DC05C497DBD3}"/>
    <cellStyle name="Normal 4" xfId="7" xr:uid="{00000000-0005-0000-0000-000007000000}"/>
    <cellStyle name="Normal 4 10" xfId="36" xr:uid="{E40399A7-770C-495E-95F0-22E7EBF65DC6}"/>
    <cellStyle name="Normal 4 2" xfId="8" xr:uid="{00000000-0005-0000-0000-000008000000}"/>
    <cellStyle name="Normal 5" xfId="37" xr:uid="{6269156B-39F7-43F5-85F4-80D26C3753BF}"/>
    <cellStyle name="Normal 6" xfId="47" xr:uid="{7A5508E7-471B-4163-8A07-4E73C622DED6}"/>
    <cellStyle name="Normal 7" xfId="49" xr:uid="{D3F23EFD-1EE8-4379-B78E-7BD8344176C2}"/>
    <cellStyle name="Normal 8" xfId="9" xr:uid="{00000000-0005-0000-0000-000009000000}"/>
    <cellStyle name="Normal 8 2" xfId="25" xr:uid="{4EED7756-B081-4876-9BFC-75CEBE779579}"/>
    <cellStyle name="Normal 8 3" xfId="40" xr:uid="{05D6DDAC-C833-4036-89B1-416002114B0D}"/>
    <cellStyle name="Normal 9" xfId="51" xr:uid="{E3D3CD42-8373-46A8-8172-4A75C48FCCBD}"/>
    <cellStyle name="Normal 9 2" xfId="10" xr:uid="{00000000-0005-0000-0000-00000A000000}"/>
    <cellStyle name="Normale_B2020" xfId="11" xr:uid="{00000000-0005-0000-0000-00000B000000}"/>
    <cellStyle name="Percent 2" xfId="12" xr:uid="{00000000-0005-0000-0000-00000C000000}"/>
    <cellStyle name="Percent 2 2" xfId="13" xr:uid="{00000000-0005-0000-0000-00000D000000}"/>
    <cellStyle name="Percent 3" xfId="14" xr:uid="{00000000-0005-0000-0000-00000E000000}"/>
    <cellStyle name="Percent 3 2" xfId="15" xr:uid="{00000000-0005-0000-0000-00000F000000}"/>
    <cellStyle name="Percent 3 3" xfId="27" xr:uid="{D3629B02-E58F-4590-84A7-600DFB591DC8}"/>
    <cellStyle name="Percent 3 4" xfId="41" xr:uid="{30024190-A534-4FD1-96B2-8FC534FD5DC4}"/>
    <cellStyle name="Percent 4" xfId="16" xr:uid="{00000000-0005-0000-0000-000010000000}"/>
    <cellStyle name="Percent 4 2" xfId="17" xr:uid="{00000000-0005-0000-0000-000011000000}"/>
    <cellStyle name="Percent 4 3" xfId="28" xr:uid="{4F844698-7EDB-4AC8-BFEA-F56AB7956794}"/>
    <cellStyle name="Percent 4 4" xfId="42" xr:uid="{99D5B60D-64EC-4847-B139-DA1D2374FE39}"/>
    <cellStyle name="Percent 5" xfId="18" xr:uid="{00000000-0005-0000-0000-000012000000}"/>
    <cellStyle name="Percent 5 2" xfId="19" xr:uid="{00000000-0005-0000-0000-000013000000}"/>
    <cellStyle name="Percent 6" xfId="29" xr:uid="{47B3D60A-936F-4AD0-8A13-3C2CAE620D29}"/>
    <cellStyle name="Percent 7" xfId="43" xr:uid="{58FEB536-169F-4C36-BE19-F8A933DB4F32}"/>
    <cellStyle name="Procent 2" xfId="26" xr:uid="{7FEF7392-638A-4059-89E0-84FC6F34798F}"/>
    <cellStyle name="Procent 3" xfId="46" xr:uid="{45732D75-C136-4479-B3C8-E8729918DB6F}"/>
    <cellStyle name="Standard_Sce_D_Extraction" xfId="20" xr:uid="{00000000-0005-0000-0000-00001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388620</xdr:colOff>
      <xdr:row>35</xdr:row>
      <xdr:rowOff>75777</xdr:rowOff>
    </xdr:from>
    <xdr:to>
      <xdr:col>21</xdr:col>
      <xdr:colOff>245745</xdr:colOff>
      <xdr:row>44</xdr:row>
      <xdr:rowOff>33020</xdr:rowOff>
    </xdr:to>
    <xdr:sp macro="" textlink="">
      <xdr:nvSpPr>
        <xdr:cNvPr id="3" name="TextBox 2">
          <a:extLst>
            <a:ext uri="{FF2B5EF4-FFF2-40B4-BE49-F238E27FC236}">
              <a16:creationId xmlns:a16="http://schemas.microsoft.com/office/drawing/2014/main" id="{CE319AE5-1D4E-46BE-8600-7A680B439B3F}"/>
            </a:ext>
          </a:extLst>
        </xdr:cNvPr>
        <xdr:cNvSpPr txBox="1"/>
      </xdr:nvSpPr>
      <xdr:spPr>
        <a:xfrm>
          <a:off x="10835640" y="6369897"/>
          <a:ext cx="7652385" cy="146600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power plants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Vintaging ELCTNGAS00 in the FI_PROCESS setting YES cellW15 and then specifing data by year in table FI_T (column Year. In this example EFF is vintaged for periods 2006 to 2020.</a:t>
          </a:r>
          <a:endParaRPr lang="fr-CA">
            <a:effectLst/>
          </a:endParaRPr>
        </a:p>
      </xdr:txBody>
    </xdr:sp>
    <xdr:clientData/>
  </xdr:twoCellAnchor>
  <xdr:twoCellAnchor>
    <xdr:from>
      <xdr:col>1</xdr:col>
      <xdr:colOff>53340</xdr:colOff>
      <xdr:row>30</xdr:row>
      <xdr:rowOff>38100</xdr:rowOff>
    </xdr:from>
    <xdr:to>
      <xdr:col>7</xdr:col>
      <xdr:colOff>304800</xdr:colOff>
      <xdr:row>62</xdr:row>
      <xdr:rowOff>114300</xdr:rowOff>
    </xdr:to>
    <xdr:sp macro="" textlink="">
      <xdr:nvSpPr>
        <xdr:cNvPr id="2" name="Tekstfelt 1">
          <a:extLst>
            <a:ext uri="{FF2B5EF4-FFF2-40B4-BE49-F238E27FC236}">
              <a16:creationId xmlns:a16="http://schemas.microsoft.com/office/drawing/2014/main" id="{17E72EB0-D88F-A3BD-6AAA-B072588F3172}"/>
            </a:ext>
          </a:extLst>
        </xdr:cNvPr>
        <xdr:cNvSpPr txBox="1"/>
      </xdr:nvSpPr>
      <xdr:spPr>
        <a:xfrm>
          <a:off x="259080" y="4251960"/>
          <a:ext cx="6278880" cy="545592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Only PRI_ELC</a:t>
          </a:r>
          <a:r>
            <a:rPr lang="da-DK" sz="1100" baseline="0"/>
            <a:t> is used</a:t>
          </a:r>
        </a:p>
        <a:p>
          <a:r>
            <a:rPr lang="da-DK" sz="1100"/>
            <a:t>Utilisation Factor</a:t>
          </a:r>
          <a:r>
            <a:rPr lang="da-DK" sz="1100" baseline="0"/>
            <a:t> is based on Energistyrelsens technology catalogue. </a:t>
          </a:r>
        </a:p>
        <a:p>
          <a:r>
            <a:rPr lang="da-DK" sz="1100" baseline="0"/>
            <a:t>Costs for both sun and wind based on technology catalogue as well. </a:t>
          </a:r>
        </a:p>
        <a:p>
          <a:endParaRPr lang="da-DK" sz="1100" baseline="0"/>
        </a:p>
        <a:p>
          <a:r>
            <a:rPr lang="da-DK" sz="1100" baseline="0"/>
            <a:t>ELCRNWINDOFF and ON investment cost is from the technology catalogue. </a:t>
          </a:r>
        </a:p>
        <a:p>
          <a:endParaRPr lang="da-DK" sz="1100" baseline="0"/>
        </a:p>
        <a:p>
          <a:r>
            <a:rPr lang="da-DK" sz="1100" baseline="0"/>
            <a:t>Onshore cost breakdown added in separate excel file. </a:t>
          </a:r>
        </a:p>
        <a:p>
          <a:endParaRPr lang="da-DK" sz="1100" baseline="0"/>
        </a:p>
        <a:p>
          <a:r>
            <a:rPr lang="da-DK" sz="1100" baseline="0"/>
            <a:t>Fixed O&amp;M costs as well as Variable O&amp;M costs, for offshore wind, are from 'Comparing offshore and onshore wind development'. It had to be transformed from Euro/MW to EURO/PJ, anually. </a:t>
          </a:r>
        </a:p>
        <a:p>
          <a:endParaRPr lang="da-DK" sz="1100" baseline="0"/>
        </a:p>
        <a:p>
          <a:r>
            <a:rPr lang="da-DK" sz="1100" baseline="0"/>
            <a:t>O&amp;M costs are assumed constant throughout a turbines lifetime, despite the fact that we know it increases as the turbine ages. </a:t>
          </a:r>
        </a:p>
        <a:p>
          <a:endParaRPr lang="da-DK" sz="1100" baseline="0"/>
        </a:p>
        <a:p>
          <a:r>
            <a:rPr lang="da-DK" sz="1100" baseline="0"/>
            <a:t>As for sun, the investment cost is also from the technology catalogue, but the price is expecting to drop every year. This should probably be considered. EIA is also estimating current costs at way more, around 450 M. Euro pr GWp. So, if it invests everything into sun, try increasing the investment price to match that. </a:t>
          </a:r>
        </a:p>
        <a:p>
          <a:endParaRPr lang="da-DK" sz="1100" baseline="0"/>
        </a:p>
        <a:p>
          <a:r>
            <a:rPr lang="da-DK" sz="1100" baseline="0"/>
            <a:t>O&amp;M costs are assumed to be </a:t>
          </a:r>
          <a:r>
            <a:rPr lang="da-DK" sz="1100" b="0" i="0">
              <a:solidFill>
                <a:schemeClr val="dk1"/>
              </a:solidFill>
              <a:effectLst/>
              <a:latin typeface="+mn-lt"/>
              <a:ea typeface="+mn-ea"/>
              <a:cs typeface="+mn-cs"/>
            </a:rPr>
            <a:t>1% to 3% of the initial capital cost,</a:t>
          </a:r>
          <a:r>
            <a:rPr lang="da-DK" sz="1100" b="0" i="0" baseline="0">
              <a:solidFill>
                <a:schemeClr val="dk1"/>
              </a:solidFill>
              <a:effectLst/>
              <a:latin typeface="+mn-lt"/>
              <a:ea typeface="+mn-ea"/>
              <a:cs typeface="+mn-cs"/>
            </a:rPr>
            <a:t> based on litterature read, simply because the actual maintenance and repair is minor. No variable costs, as the cells don't degrade noticeably by producing electricity relative to wind turbines, which do slowly break down due to mechnical wear. </a:t>
          </a:r>
          <a:endParaRPr lang="da-DK" sz="1100" b="0" baseline="0"/>
        </a:p>
        <a:p>
          <a:endParaRPr lang="da-DK" sz="1100" baseline="0"/>
        </a:p>
        <a:p>
          <a:r>
            <a:rPr lang="da-DK" sz="1100" baseline="0"/>
            <a:t>Efficiency also drops across lifetime, but slowly. </a:t>
          </a:r>
        </a:p>
        <a:p>
          <a:endParaRPr lang="da-DK" sz="1100" baseline="0"/>
        </a:p>
        <a:p>
          <a:r>
            <a:rPr lang="da-DK" sz="1100"/>
            <a:t>Variable costs added to the sun,</a:t>
          </a:r>
          <a:r>
            <a:rPr lang="da-DK" sz="1100" baseline="0"/>
            <a:t> for run 9 in KModel_2</a:t>
          </a:r>
        </a:p>
      </xdr:txBody>
    </xdr:sp>
    <xdr:clientData/>
  </xdr:twoCellAnchor>
  <xdr:twoCellAnchor>
    <xdr:from>
      <xdr:col>9</xdr:col>
      <xdr:colOff>533400</xdr:colOff>
      <xdr:row>25</xdr:row>
      <xdr:rowOff>175260</xdr:rowOff>
    </xdr:from>
    <xdr:to>
      <xdr:col>13</xdr:col>
      <xdr:colOff>38100</xdr:colOff>
      <xdr:row>37</xdr:row>
      <xdr:rowOff>137160</xdr:rowOff>
    </xdr:to>
    <xdr:sp macro="" textlink="">
      <xdr:nvSpPr>
        <xdr:cNvPr id="5" name="Tekstfelt 4">
          <a:extLst>
            <a:ext uri="{FF2B5EF4-FFF2-40B4-BE49-F238E27FC236}">
              <a16:creationId xmlns:a16="http://schemas.microsoft.com/office/drawing/2014/main" id="{26CBC1E0-F88A-9BD8-B8E8-26066259BDF3}"/>
            </a:ext>
          </a:extLst>
        </xdr:cNvPr>
        <xdr:cNvSpPr txBox="1"/>
      </xdr:nvSpPr>
      <xdr:spPr>
        <a:xfrm>
          <a:off x="8328660" y="3992880"/>
          <a:ext cx="2956560" cy="2004060"/>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kern="1200"/>
            <a:t>NCAP_ILED</a:t>
          </a:r>
          <a:r>
            <a:rPr lang="da-DK" sz="1100" kern="1200" baseline="0"/>
            <a:t> added. </a:t>
          </a:r>
          <a:br>
            <a:rPr lang="da-DK" sz="1100" kern="1200" baseline="0"/>
          </a:br>
          <a:r>
            <a:rPr lang="da-DK" sz="1100" kern="1200" baseline="0"/>
            <a:t>Years based on historic constructions of wind farms. pure conjecture of a google search, just to see if it works. </a:t>
          </a:r>
          <a:br>
            <a:rPr lang="da-DK" sz="1100" kern="1200" baseline="0"/>
          </a:br>
          <a:br>
            <a:rPr lang="da-DK" sz="1100" kern="1200" baseline="0"/>
          </a:br>
          <a:r>
            <a:rPr lang="da-DK" sz="1100" kern="1200" baseline="0"/>
            <a:t>Should I base it on farms or individual tech..? Because if it begins building a lot, then under a year for a turbine is not realistic, but a single one doesn't take 6 years. </a:t>
          </a:r>
        </a:p>
        <a:p>
          <a:r>
            <a:rPr lang="da-DK" sz="1100" kern="1200" baseline="0"/>
            <a:t>Also based on permitting. </a:t>
          </a:r>
          <a:endParaRPr lang="da-DK" sz="1100" kern="1200"/>
        </a:p>
      </xdr:txBody>
    </xdr:sp>
    <xdr:clientData/>
  </xdr:twoCellAnchor>
  <xdr:twoCellAnchor>
    <xdr:from>
      <xdr:col>14</xdr:col>
      <xdr:colOff>426720</xdr:colOff>
      <xdr:row>26</xdr:row>
      <xdr:rowOff>45720</xdr:rowOff>
    </xdr:from>
    <xdr:to>
      <xdr:col>17</xdr:col>
      <xdr:colOff>274320</xdr:colOff>
      <xdr:row>39</xdr:row>
      <xdr:rowOff>114300</xdr:rowOff>
    </xdr:to>
    <xdr:sp macro="" textlink="">
      <xdr:nvSpPr>
        <xdr:cNvPr id="6" name="Tekstfelt 5">
          <a:extLst>
            <a:ext uri="{FF2B5EF4-FFF2-40B4-BE49-F238E27FC236}">
              <a16:creationId xmlns:a16="http://schemas.microsoft.com/office/drawing/2014/main" id="{FFBB1672-7AB8-89AA-2871-65714EE1B1A9}"/>
            </a:ext>
          </a:extLst>
        </xdr:cNvPr>
        <xdr:cNvSpPr txBox="1"/>
      </xdr:nvSpPr>
      <xdr:spPr>
        <a:xfrm>
          <a:off x="12656820" y="3970020"/>
          <a:ext cx="2255520" cy="2247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kern="1200"/>
            <a:t>Problem with</a:t>
          </a:r>
          <a:r>
            <a:rPr lang="da-DK" sz="1100" b="1" kern="1200" baseline="0"/>
            <a:t> LCOE calc here, Danish Energy Agency:</a:t>
          </a:r>
        </a:p>
        <a:p>
          <a:r>
            <a:rPr lang="da-DK"/>
            <a:t>"Firstly, it mainly deals with base load technologies, i.e. power generation technologies with a relatively high number of full load hours, which is considered </a:t>
          </a:r>
          <a:r>
            <a:rPr lang="da-DK" b="1"/>
            <a:t>constant </a:t>
          </a:r>
          <a:r>
            <a:rPr lang="da-DK"/>
            <a:t>over the lifetime. It is not intended to be used for modelling and simulation of the electricity dispatch in a system with many concurrent sources."</a:t>
          </a:r>
          <a:endParaRPr lang="da-DK"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440055</xdr:colOff>
      <xdr:row>19</xdr:row>
      <xdr:rowOff>137160</xdr:rowOff>
    </xdr:from>
    <xdr:to>
      <xdr:col>10</xdr:col>
      <xdr:colOff>432435</xdr:colOff>
      <xdr:row>25</xdr:row>
      <xdr:rowOff>146685</xdr:rowOff>
    </xdr:to>
    <xdr:sp macro="" textlink="">
      <xdr:nvSpPr>
        <xdr:cNvPr id="2" name="TextBox 1">
          <a:extLst>
            <a:ext uri="{FF2B5EF4-FFF2-40B4-BE49-F238E27FC236}">
              <a16:creationId xmlns:a16="http://schemas.microsoft.com/office/drawing/2014/main" id="{5FA78C0B-0ED0-434B-A777-35C56067B85B}"/>
            </a:ext>
          </a:extLst>
        </xdr:cNvPr>
        <xdr:cNvSpPr txBox="1"/>
      </xdr:nvSpPr>
      <xdr:spPr>
        <a:xfrm>
          <a:off x="655320" y="3749040"/>
          <a:ext cx="6751320" cy="101536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residential technologies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endParaRPr lang="fr-CA">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13335</xdr:colOff>
      <xdr:row>19</xdr:row>
      <xdr:rowOff>129540</xdr:rowOff>
    </xdr:from>
    <xdr:to>
      <xdr:col>10</xdr:col>
      <xdr:colOff>392432</xdr:colOff>
      <xdr:row>25</xdr:row>
      <xdr:rowOff>139065</xdr:rowOff>
    </xdr:to>
    <xdr:sp macro="" textlink="">
      <xdr:nvSpPr>
        <xdr:cNvPr id="2" name="TextBox 1">
          <a:extLst>
            <a:ext uri="{FF2B5EF4-FFF2-40B4-BE49-F238E27FC236}">
              <a16:creationId xmlns:a16="http://schemas.microsoft.com/office/drawing/2014/main" id="{AE7FE057-0723-4BFC-BF7D-1DC5914B893E}"/>
            </a:ext>
          </a:extLst>
        </xdr:cNvPr>
        <xdr:cNvSpPr txBox="1"/>
      </xdr:nvSpPr>
      <xdr:spPr>
        <a:xfrm>
          <a:off x="213360" y="4206240"/>
          <a:ext cx="7713347" cy="9810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Define each "new"</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transportation technologies (FI_Process table).</a:t>
          </a:r>
        </a:p>
        <a:p>
          <a:pPr lvl="0"/>
          <a:r>
            <a:rPr lang="en-GB" sz="1100">
              <a:solidFill>
                <a:schemeClr val="dk1"/>
              </a:solidFill>
              <a:effectLst/>
              <a:latin typeface="+mn-lt"/>
              <a:ea typeface="+mn-ea"/>
              <a:cs typeface="+mn-cs"/>
            </a:rPr>
            <a:t>Declare technology</a:t>
          </a:r>
          <a:r>
            <a:rPr lang="en-GB" sz="1100" baseline="0">
              <a:solidFill>
                <a:schemeClr val="dk1"/>
              </a:solidFill>
              <a:effectLst/>
              <a:latin typeface="+mn-lt"/>
              <a:ea typeface="+mn-ea"/>
              <a:cs typeface="+mn-cs"/>
            </a:rPr>
            <a:t> attributes (FI_T) such as INVCOST.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Existing technologies are defined in the base-year template while new fuel technologies are</a:t>
          </a:r>
          <a:r>
            <a:rPr lang="en-GB" sz="1100" baseline="0">
              <a:solidFill>
                <a:schemeClr val="dk1"/>
              </a:solidFill>
              <a:effectLst/>
              <a:latin typeface="+mn-lt"/>
              <a:ea typeface="+mn-ea"/>
              <a:cs typeface="+mn-cs"/>
            </a:rPr>
            <a:t> defined here.</a:t>
          </a:r>
          <a:endParaRPr lang="fr-CA">
            <a:effectLst/>
          </a:endParaRPr>
        </a:p>
        <a:p>
          <a:r>
            <a:rPr lang="en-GB" sz="1100" baseline="0">
              <a:solidFill>
                <a:schemeClr val="dk1"/>
              </a:solidFill>
              <a:effectLst/>
              <a:latin typeface="+mn-lt"/>
              <a:ea typeface="+mn-ea"/>
              <a:cs typeface="+mn-cs"/>
            </a:rPr>
            <a:t>Duplicate definition should be avoided. </a:t>
          </a:r>
          <a:endParaRPr lang="fr-CA">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VEDA\VEDA_models\KModel_03\VT_REG1_ELC_K03.xlsx" TargetMode="External"/><Relationship Id="rId1" Type="http://schemas.openxmlformats.org/officeDocument/2006/relationships/externalLinkPath" Target="/VEDA/VEDA_models/KModel_03/VT_REG1_ELC_K03.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VEDA\VEDA_models\KModel_02\VT_REG1_ELC_K02.xlsx" TargetMode="External"/><Relationship Id="rId1" Type="http://schemas.openxmlformats.org/officeDocument/2006/relationships/externalLinkPath" Target="/VEDA/VEDA_models/KModel_02/VT_REG1_ELC_K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18">
          <cell r="C18" t="str">
            <v>ELCWINON</v>
          </cell>
        </row>
        <row r="20">
          <cell r="C20" t="str">
            <v>ELCSOL</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ctor_Fuels_ELC"/>
      <sheetName val="Con_ELC"/>
      <sheetName val="Emi"/>
    </sheetNames>
    <sheetDataSet>
      <sheetData sheetId="0">
        <row r="20">
          <cell r="C20" t="str">
            <v>ELCSOL</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L87"/>
  <sheetViews>
    <sheetView tabSelected="1" topLeftCell="L1" zoomScale="78" zoomScaleNormal="100" workbookViewId="0">
      <selection activeCell="R19" sqref="R19"/>
    </sheetView>
  </sheetViews>
  <sheetFormatPr defaultRowHeight="13.2" x14ac:dyDescent="0.25"/>
  <cols>
    <col min="1" max="1" width="3" style="22" customWidth="1"/>
    <col min="2" max="2" width="19.5546875" style="22" customWidth="1"/>
    <col min="3" max="3" width="18.33203125" style="22" customWidth="1"/>
    <col min="4" max="4" width="15.33203125" style="22" customWidth="1"/>
    <col min="5" max="5" width="11.88671875" style="22" bestFit="1" customWidth="1"/>
    <col min="6" max="6" width="12.6640625" style="22" bestFit="1" customWidth="1"/>
    <col min="7" max="8" width="13.109375" style="22" bestFit="1" customWidth="1"/>
    <col min="9" max="9" width="9.6640625" style="22" customWidth="1"/>
    <col min="10" max="10" width="15.6640625" style="22" customWidth="1"/>
    <col min="11" max="11" width="13.33203125" style="22" customWidth="1"/>
    <col min="12" max="12" width="7" style="22" bestFit="1" customWidth="1"/>
    <col min="13" max="14" width="14.33203125" style="22" customWidth="1"/>
    <col min="15" max="15" width="15" style="22" bestFit="1" customWidth="1"/>
    <col min="16" max="16" width="11.5546875" style="22" bestFit="1" customWidth="1"/>
    <col min="17" max="17" width="8.5546875" style="22" customWidth="1"/>
    <col min="18" max="18" width="11.88671875" bestFit="1" customWidth="1"/>
    <col min="19" max="19" width="21.77734375" customWidth="1"/>
    <col min="20" max="20" width="18.21875" customWidth="1"/>
    <col min="21" max="21" width="25" customWidth="1"/>
    <col min="22" max="22" width="33.6640625" customWidth="1"/>
    <col min="23" max="23" width="8.21875" customWidth="1"/>
    <col min="24" max="24" width="12.88671875" bestFit="1" customWidth="1"/>
    <col min="25" max="25" width="25.6640625" customWidth="1"/>
    <col min="26" max="26" width="8" bestFit="1" customWidth="1"/>
  </cols>
  <sheetData>
    <row r="1" spans="1:36" ht="22.8" x14ac:dyDescent="0.4">
      <c r="A1" s="1" t="s">
        <v>42</v>
      </c>
    </row>
    <row r="2" spans="1:36" x14ac:dyDescent="0.25">
      <c r="R2" s="38"/>
      <c r="S2" s="38"/>
      <c r="T2" s="38"/>
      <c r="U2" s="38"/>
      <c r="V2" s="38"/>
      <c r="W2" s="38"/>
      <c r="X2" s="38"/>
      <c r="Y2" s="38"/>
      <c r="Z2" s="38"/>
    </row>
    <row r="3" spans="1:36" ht="14.4" x14ac:dyDescent="0.3">
      <c r="B3" s="21" t="s">
        <v>43</v>
      </c>
      <c r="C3" s="7" t="s">
        <v>44</v>
      </c>
      <c r="D3" s="7" t="s">
        <v>45</v>
      </c>
      <c r="E3" s="21" t="s">
        <v>30</v>
      </c>
      <c r="F3" s="21" t="s">
        <v>46</v>
      </c>
      <c r="G3" s="21" t="s">
        <v>47</v>
      </c>
      <c r="I3" s="21" t="s">
        <v>48</v>
      </c>
    </row>
    <row r="4" spans="1:36" ht="15.6" x14ac:dyDescent="0.3">
      <c r="B4" s="9" t="s">
        <v>49</v>
      </c>
      <c r="C4" s="9" t="s">
        <v>50</v>
      </c>
      <c r="D4" s="13" t="s">
        <v>51</v>
      </c>
      <c r="E4" s="9" t="s">
        <v>52</v>
      </c>
      <c r="F4" s="9" t="s">
        <v>53</v>
      </c>
      <c r="G4" s="9" t="s">
        <v>54</v>
      </c>
      <c r="I4" s="9" t="s">
        <v>55</v>
      </c>
      <c r="S4" s="43" t="s">
        <v>7</v>
      </c>
      <c r="T4" s="43"/>
      <c r="U4" s="44"/>
      <c r="V4" s="44"/>
      <c r="W4" s="44"/>
      <c r="X4" s="44"/>
      <c r="Y4" s="44"/>
      <c r="Z4" s="44"/>
      <c r="AA4" s="44"/>
    </row>
    <row r="5" spans="1:36" x14ac:dyDescent="0.25">
      <c r="S5" s="45" t="s">
        <v>8</v>
      </c>
      <c r="T5" s="46" t="s">
        <v>56</v>
      </c>
      <c r="U5" s="45" t="s">
        <v>6</v>
      </c>
      <c r="V5" s="45" t="s">
        <v>9</v>
      </c>
      <c r="W5" s="45" t="s">
        <v>10</v>
      </c>
      <c r="X5" s="45" t="s">
        <v>11</v>
      </c>
      <c r="Y5" s="45" t="s">
        <v>12</v>
      </c>
      <c r="Z5" s="45" t="s">
        <v>13</v>
      </c>
      <c r="AA5" s="45" t="s">
        <v>14</v>
      </c>
    </row>
    <row r="6" spans="1:36" ht="24" customHeight="1" thickBot="1" x14ac:dyDescent="0.35">
      <c r="B6" s="28" t="s">
        <v>57</v>
      </c>
      <c r="C6" s="7" t="s">
        <v>58</v>
      </c>
      <c r="D6" s="7" t="s">
        <v>59</v>
      </c>
      <c r="E6" s="7" t="s">
        <v>60</v>
      </c>
      <c r="F6" s="7" t="s">
        <v>61</v>
      </c>
      <c r="H6" s="8"/>
      <c r="S6" s="47" t="s">
        <v>62</v>
      </c>
      <c r="T6" s="47" t="s">
        <v>63</v>
      </c>
      <c r="U6" s="47" t="s">
        <v>24</v>
      </c>
      <c r="V6" s="47" t="s">
        <v>25</v>
      </c>
      <c r="W6" s="47" t="s">
        <v>10</v>
      </c>
      <c r="X6" s="47" t="s">
        <v>64</v>
      </c>
      <c r="Y6" s="47" t="s">
        <v>65</v>
      </c>
      <c r="Z6" s="47" t="s">
        <v>26</v>
      </c>
      <c r="AA6" s="47" t="s">
        <v>27</v>
      </c>
    </row>
    <row r="7" spans="1:36" ht="15.6" x14ac:dyDescent="0.3">
      <c r="B7" s="27" t="s">
        <v>66</v>
      </c>
      <c r="C7" s="9" t="s">
        <v>67</v>
      </c>
      <c r="D7" s="9" t="s">
        <v>68</v>
      </c>
      <c r="E7" s="9" t="s">
        <v>69</v>
      </c>
      <c r="F7" s="9" t="s">
        <v>55</v>
      </c>
      <c r="H7" s="8"/>
      <c r="S7" s="44"/>
      <c r="T7" s="48"/>
      <c r="U7" s="44"/>
      <c r="V7" s="44"/>
      <c r="W7" s="44"/>
      <c r="X7" s="44"/>
      <c r="Y7" s="44"/>
      <c r="Z7" s="44"/>
      <c r="AA7" s="44"/>
      <c r="AB7" s="2"/>
      <c r="AD7" s="2"/>
      <c r="AE7" s="2"/>
      <c r="AF7" s="2"/>
      <c r="AG7" s="2"/>
      <c r="AH7" s="2"/>
      <c r="AI7" s="2"/>
      <c r="AJ7" s="2"/>
    </row>
    <row r="10" spans="1:36" ht="39.6" customHeight="1" x14ac:dyDescent="0.25">
      <c r="E10" s="5" t="s">
        <v>0</v>
      </c>
      <c r="F10" s="23"/>
      <c r="G10" s="5"/>
      <c r="I10" s="5"/>
      <c r="J10" s="6"/>
      <c r="K10" s="6"/>
      <c r="L10" s="4"/>
      <c r="M10" s="4"/>
    </row>
    <row r="11" spans="1:36" ht="14.4" customHeight="1" x14ac:dyDescent="0.25">
      <c r="B11" s="12" t="s">
        <v>1</v>
      </c>
      <c r="C11" s="12" t="s">
        <v>3</v>
      </c>
      <c r="D11" s="12" t="s">
        <v>4</v>
      </c>
      <c r="E11" s="12" t="s">
        <v>112</v>
      </c>
      <c r="F11" s="14" t="s">
        <v>15</v>
      </c>
      <c r="G11" s="15" t="s">
        <v>17</v>
      </c>
      <c r="H11" s="15" t="s">
        <v>35</v>
      </c>
      <c r="I11" s="15" t="s">
        <v>39</v>
      </c>
      <c r="J11" s="15" t="s">
        <v>5</v>
      </c>
      <c r="K11" s="15" t="s">
        <v>36</v>
      </c>
      <c r="L11" s="14" t="s">
        <v>71</v>
      </c>
      <c r="M11" s="14" t="s">
        <v>210</v>
      </c>
      <c r="N11" s="14" t="s">
        <v>174</v>
      </c>
      <c r="O11" s="14" t="s">
        <v>216</v>
      </c>
      <c r="P11" s="14" t="s">
        <v>113</v>
      </c>
      <c r="Q11" s="14" t="s">
        <v>73</v>
      </c>
    </row>
    <row r="12" spans="1:36" ht="20.399999999999999" customHeight="1" x14ac:dyDescent="0.25">
      <c r="B12" s="11" t="s">
        <v>74</v>
      </c>
      <c r="C12" s="11" t="s">
        <v>33</v>
      </c>
      <c r="D12" s="11" t="s">
        <v>34</v>
      </c>
      <c r="E12" s="11"/>
      <c r="F12" s="16"/>
      <c r="G12" s="16" t="s">
        <v>37</v>
      </c>
      <c r="H12" s="17" t="s">
        <v>75</v>
      </c>
      <c r="I12" s="16" t="s">
        <v>76</v>
      </c>
      <c r="J12" s="16" t="s">
        <v>40</v>
      </c>
      <c r="K12" s="16" t="s">
        <v>41</v>
      </c>
      <c r="L12" s="16" t="s">
        <v>115</v>
      </c>
      <c r="M12" s="16" t="s">
        <v>211</v>
      </c>
      <c r="N12" s="16" t="s">
        <v>171</v>
      </c>
      <c r="O12" s="16" t="s">
        <v>78</v>
      </c>
      <c r="P12" s="16" t="s">
        <v>38</v>
      </c>
      <c r="Q12" s="16" t="s">
        <v>79</v>
      </c>
      <c r="S12" s="3"/>
      <c r="T12" s="3"/>
    </row>
    <row r="13" spans="1:36" ht="21.6" thickBot="1" x14ac:dyDescent="0.3">
      <c r="B13" s="10" t="s">
        <v>83</v>
      </c>
      <c r="C13" s="10"/>
      <c r="D13" s="10"/>
      <c r="E13" s="10"/>
      <c r="F13" s="18"/>
      <c r="G13" s="18"/>
      <c r="H13" s="19"/>
      <c r="I13" s="18" t="s">
        <v>84</v>
      </c>
      <c r="J13" s="18" t="s">
        <v>212</v>
      </c>
      <c r="K13" s="18" t="s">
        <v>86</v>
      </c>
      <c r="L13" s="18" t="s">
        <v>87</v>
      </c>
      <c r="M13" s="18" t="s">
        <v>87</v>
      </c>
      <c r="N13" s="18" t="s">
        <v>172</v>
      </c>
      <c r="O13" s="18" t="s">
        <v>70</v>
      </c>
      <c r="P13" s="18" t="s">
        <v>88</v>
      </c>
      <c r="Q13" s="18"/>
      <c r="S13" s="43" t="s">
        <v>18</v>
      </c>
      <c r="T13" s="43"/>
      <c r="U13" s="44"/>
      <c r="V13" s="44"/>
      <c r="W13" s="44"/>
      <c r="X13" s="44"/>
      <c r="Y13" s="44"/>
      <c r="Z13" s="44"/>
      <c r="AA13" s="44"/>
    </row>
    <row r="14" spans="1:36" ht="14.4" x14ac:dyDescent="0.3">
      <c r="B14" s="22" t="s">
        <v>218</v>
      </c>
      <c r="C14" s="22" t="s">
        <v>221</v>
      </c>
      <c r="D14" s="22" t="s">
        <v>49</v>
      </c>
      <c r="E14" s="22">
        <v>2015</v>
      </c>
      <c r="F14" s="25">
        <v>2022</v>
      </c>
      <c r="G14" s="26">
        <v>1</v>
      </c>
      <c r="H14" s="26">
        <v>0.48</v>
      </c>
      <c r="I14" s="86">
        <v>1900</v>
      </c>
      <c r="J14" s="87">
        <v>57</v>
      </c>
      <c r="K14" s="85">
        <v>1.19</v>
      </c>
      <c r="L14" s="22">
        <v>30</v>
      </c>
      <c r="M14" s="22">
        <v>4</v>
      </c>
      <c r="P14" s="22">
        <v>31.536000000000001</v>
      </c>
      <c r="Q14" s="22">
        <v>1</v>
      </c>
      <c r="S14" s="45" t="s">
        <v>16</v>
      </c>
      <c r="T14" s="46" t="s">
        <v>56</v>
      </c>
      <c r="U14" s="45" t="s">
        <v>1</v>
      </c>
      <c r="V14" s="45" t="s">
        <v>2</v>
      </c>
      <c r="W14" s="45" t="s">
        <v>19</v>
      </c>
      <c r="X14" s="45" t="s">
        <v>20</v>
      </c>
      <c r="Y14" s="45" t="s">
        <v>21</v>
      </c>
      <c r="Z14" s="45" t="s">
        <v>22</v>
      </c>
      <c r="AA14" s="45" t="s">
        <v>23</v>
      </c>
    </row>
    <row r="15" spans="1:36" ht="18.600000000000001" customHeight="1" thickBot="1" x14ac:dyDescent="0.35">
      <c r="B15" s="22" t="s">
        <v>219</v>
      </c>
      <c r="C15" s="22" t="s">
        <v>222</v>
      </c>
      <c r="D15" s="22" t="s">
        <v>49</v>
      </c>
      <c r="E15" s="22">
        <v>2015</v>
      </c>
      <c r="F15" s="25">
        <v>2022</v>
      </c>
      <c r="G15" s="26">
        <v>1</v>
      </c>
      <c r="H15" s="26">
        <v>0.48</v>
      </c>
      <c r="I15" s="86">
        <v>2060</v>
      </c>
      <c r="J15" s="87">
        <v>61.8</v>
      </c>
      <c r="K15" s="86">
        <v>1.3755552382765401</v>
      </c>
      <c r="L15" s="22">
        <v>30</v>
      </c>
      <c r="M15" s="22">
        <v>4</v>
      </c>
      <c r="P15" s="22">
        <v>31.536000000000001</v>
      </c>
      <c r="Q15" s="22">
        <v>1</v>
      </c>
      <c r="S15" s="47" t="s">
        <v>80</v>
      </c>
      <c r="T15" s="47" t="s">
        <v>63</v>
      </c>
      <c r="U15" s="47" t="s">
        <v>28</v>
      </c>
      <c r="V15" s="47" t="s">
        <v>29</v>
      </c>
      <c r="W15" s="47" t="s">
        <v>30</v>
      </c>
      <c r="X15" s="47" t="s">
        <v>31</v>
      </c>
      <c r="Y15" s="47" t="s">
        <v>81</v>
      </c>
      <c r="Z15" s="47" t="s">
        <v>82</v>
      </c>
      <c r="AA15" s="47" t="s">
        <v>32</v>
      </c>
    </row>
    <row r="16" spans="1:36" ht="14.4" x14ac:dyDescent="0.3">
      <c r="B16" s="22" t="s">
        <v>220</v>
      </c>
      <c r="C16" s="22" t="s">
        <v>223</v>
      </c>
      <c r="D16" s="22" t="s">
        <v>49</v>
      </c>
      <c r="E16" s="22">
        <v>2015</v>
      </c>
      <c r="F16" s="25">
        <v>2022</v>
      </c>
      <c r="G16" s="26">
        <v>1</v>
      </c>
      <c r="H16" s="26">
        <v>0.48</v>
      </c>
      <c r="I16" s="86">
        <v>2180</v>
      </c>
      <c r="J16" s="87">
        <v>65.399999999999991</v>
      </c>
      <c r="K16" s="86">
        <v>1.726314157819919</v>
      </c>
      <c r="L16" s="22">
        <v>30</v>
      </c>
      <c r="M16" s="22">
        <v>4</v>
      </c>
      <c r="P16" s="22">
        <v>31.536000000000001</v>
      </c>
      <c r="Q16" s="22">
        <v>1</v>
      </c>
      <c r="S16" s="48" t="s">
        <v>89</v>
      </c>
      <c r="T16" s="48"/>
      <c r="U16" t="s">
        <v>177</v>
      </c>
      <c r="V16" s="2" t="s">
        <v>179</v>
      </c>
      <c r="W16" t="s">
        <v>52</v>
      </c>
      <c r="X16" t="s">
        <v>53</v>
      </c>
      <c r="Y16" t="s">
        <v>175</v>
      </c>
      <c r="Z16" s="48"/>
      <c r="AA16" s="48" t="s">
        <v>214</v>
      </c>
    </row>
    <row r="17" spans="2:27" x14ac:dyDescent="0.25">
      <c r="B17" s="22" t="str">
        <f>U20</f>
        <v>ELERNWINDON</v>
      </c>
      <c r="C17" s="22" t="str">
        <f>[2]Sector_Fuels_ELC!$C$18</f>
        <v>ELCWINON</v>
      </c>
      <c r="D17" s="22" t="s">
        <v>49</v>
      </c>
      <c r="E17" s="22">
        <v>2020</v>
      </c>
      <c r="F17" s="25">
        <v>2022</v>
      </c>
      <c r="G17" s="26">
        <v>1</v>
      </c>
      <c r="H17" s="26">
        <v>0.35</v>
      </c>
      <c r="I17" s="22">
        <v>1150</v>
      </c>
      <c r="J17" s="26">
        <v>23</v>
      </c>
      <c r="K17" s="26">
        <f>K14</f>
        <v>1.19</v>
      </c>
      <c r="L17" s="22">
        <v>30</v>
      </c>
      <c r="M17" s="22">
        <v>2</v>
      </c>
      <c r="P17" s="22">
        <v>31.536000000000001</v>
      </c>
      <c r="Q17" s="22">
        <v>1</v>
      </c>
      <c r="S17" s="44"/>
      <c r="U17" s="22" t="s">
        <v>218</v>
      </c>
      <c r="V17" s="2" t="s">
        <v>224</v>
      </c>
      <c r="W17" t="s">
        <v>52</v>
      </c>
      <c r="X17" t="s">
        <v>53</v>
      </c>
      <c r="Y17" t="s">
        <v>175</v>
      </c>
      <c r="AA17" s="48" t="s">
        <v>214</v>
      </c>
    </row>
    <row r="18" spans="2:27" x14ac:dyDescent="0.25">
      <c r="B18" s="22" t="str">
        <f>U16</f>
        <v>ELERNWSUN01</v>
      </c>
      <c r="C18" s="22" t="str">
        <f>[2]Sector_Fuels_ELC!$C$20</f>
        <v>ELCSOL</v>
      </c>
      <c r="D18" s="22" t="s">
        <v>49</v>
      </c>
      <c r="E18" s="22">
        <v>2020</v>
      </c>
      <c r="F18" s="25">
        <v>2022</v>
      </c>
      <c r="G18" s="26">
        <v>1</v>
      </c>
      <c r="H18" s="26">
        <v>0.12</v>
      </c>
      <c r="I18" s="26">
        <f>450-J18</f>
        <v>447</v>
      </c>
      <c r="J18" s="26">
        <v>3</v>
      </c>
      <c r="K18" s="26"/>
      <c r="L18" s="22">
        <v>30</v>
      </c>
      <c r="M18" s="22">
        <f>1</f>
        <v>1</v>
      </c>
      <c r="P18" s="22">
        <v>31.536000000000001</v>
      </c>
      <c r="Q18" s="22">
        <v>1</v>
      </c>
      <c r="U18" s="22" t="s">
        <v>219</v>
      </c>
      <c r="V18" s="2" t="s">
        <v>225</v>
      </c>
      <c r="W18" t="s">
        <v>52</v>
      </c>
      <c r="X18" t="s">
        <v>53</v>
      </c>
      <c r="Y18" t="s">
        <v>175</v>
      </c>
      <c r="AA18" s="48" t="s">
        <v>214</v>
      </c>
    </row>
    <row r="19" spans="2:27" ht="13.5" customHeight="1" x14ac:dyDescent="0.25">
      <c r="U19" s="22" t="s">
        <v>220</v>
      </c>
      <c r="V19" s="2" t="s">
        <v>226</v>
      </c>
      <c r="W19" t="s">
        <v>52</v>
      </c>
      <c r="X19" t="s">
        <v>53</v>
      </c>
      <c r="Y19" t="s">
        <v>175</v>
      </c>
      <c r="AA19" s="48" t="s">
        <v>214</v>
      </c>
    </row>
    <row r="20" spans="2:27" x14ac:dyDescent="0.25">
      <c r="U20" s="2" t="s">
        <v>176</v>
      </c>
      <c r="V20" s="2" t="s">
        <v>178</v>
      </c>
      <c r="W20" s="2" t="s">
        <v>52</v>
      </c>
      <c r="X20" s="2" t="s">
        <v>53</v>
      </c>
      <c r="Y20" t="s">
        <v>175</v>
      </c>
      <c r="AA20" s="48" t="s">
        <v>214</v>
      </c>
    </row>
    <row r="21" spans="2:27" x14ac:dyDescent="0.25">
      <c r="U21" s="81"/>
      <c r="V21" s="81"/>
      <c r="W21" s="81"/>
      <c r="X21" s="81"/>
      <c r="Y21" s="81"/>
      <c r="AA21" s="48"/>
    </row>
    <row r="22" spans="2:27" ht="14.4" x14ac:dyDescent="0.3">
      <c r="H22" s="52"/>
      <c r="K22" s="83"/>
      <c r="L22" s="26"/>
      <c r="M22" s="26"/>
      <c r="N22" s="26"/>
      <c r="P22" s="26"/>
      <c r="R22" s="22"/>
      <c r="S22" s="82"/>
      <c r="T22" s="22"/>
      <c r="U22" s="22"/>
      <c r="AA22" s="48"/>
    </row>
    <row r="24" spans="2:27" x14ac:dyDescent="0.25">
      <c r="J24" s="22">
        <f>(57.3-50)/3</f>
        <v>2.4333333333333322</v>
      </c>
    </row>
    <row r="26" spans="2:27" x14ac:dyDescent="0.25">
      <c r="I26" s="26">
        <v>1.74</v>
      </c>
    </row>
    <row r="27" spans="2:27" ht="14.4" x14ac:dyDescent="0.3">
      <c r="G27" s="26"/>
      <c r="H27" s="26"/>
      <c r="I27" s="26">
        <v>1.74</v>
      </c>
      <c r="J27" s="26"/>
      <c r="K27" s="26"/>
      <c r="N27" s="25"/>
      <c r="P27" s="26"/>
      <c r="S27" s="84"/>
      <c r="T27" s="84"/>
    </row>
    <row r="28" spans="2:27" x14ac:dyDescent="0.25">
      <c r="G28" s="26"/>
      <c r="H28" s="26"/>
      <c r="I28" s="26">
        <v>1.74</v>
      </c>
      <c r="J28" s="26"/>
      <c r="K28" s="26"/>
      <c r="N28" s="25"/>
      <c r="P28" s="26"/>
    </row>
    <row r="29" spans="2:27" x14ac:dyDescent="0.25">
      <c r="G29" s="26"/>
      <c r="I29" s="26">
        <v>1.74</v>
      </c>
      <c r="N29" s="25"/>
      <c r="R29" s="48"/>
      <c r="S29" s="48"/>
      <c r="T29" s="48"/>
    </row>
    <row r="30" spans="2:27" x14ac:dyDescent="0.25">
      <c r="I30" s="26">
        <f>0.58</f>
        <v>0.57999999999999996</v>
      </c>
      <c r="T30" s="48"/>
    </row>
    <row r="31" spans="2:27" x14ac:dyDescent="0.25">
      <c r="I31" s="26"/>
      <c r="T31" s="48"/>
    </row>
    <row r="39" spans="9:38" x14ac:dyDescent="0.25">
      <c r="I39" s="59" t="s">
        <v>160</v>
      </c>
      <c r="J39" s="60"/>
      <c r="K39" s="60"/>
      <c r="L39" s="60"/>
      <c r="M39" s="60"/>
      <c r="N39" s="61"/>
    </row>
    <row r="40" spans="9:38" x14ac:dyDescent="0.25">
      <c r="I40" s="62">
        <v>1150000</v>
      </c>
      <c r="J40" s="63" t="s">
        <v>159</v>
      </c>
      <c r="K40" s="63"/>
      <c r="L40" s="63"/>
      <c r="M40" s="63"/>
      <c r="N40" s="64"/>
    </row>
    <row r="41" spans="9:38" x14ac:dyDescent="0.25">
      <c r="I41" s="65">
        <f>I40/10^6</f>
        <v>1.1499999999999999</v>
      </c>
      <c r="J41" s="66" t="s">
        <v>157</v>
      </c>
      <c r="K41" s="66"/>
      <c r="L41" s="66"/>
      <c r="M41" s="66"/>
      <c r="N41" s="67"/>
    </row>
    <row r="42" spans="9:38" x14ac:dyDescent="0.25">
      <c r="I42" s="65">
        <f>I41*1000</f>
        <v>1150</v>
      </c>
      <c r="J42" s="66" t="s">
        <v>158</v>
      </c>
      <c r="K42" s="66"/>
      <c r="L42" s="66"/>
      <c r="M42" s="66"/>
      <c r="N42" s="67"/>
    </row>
    <row r="43" spans="9:38" x14ac:dyDescent="0.25">
      <c r="I43" s="62">
        <v>1</v>
      </c>
      <c r="J43" s="63" t="s">
        <v>161</v>
      </c>
      <c r="K43" s="63"/>
      <c r="L43" s="63"/>
      <c r="M43" s="63"/>
      <c r="N43" s="64"/>
    </row>
    <row r="44" spans="9:38" x14ac:dyDescent="0.25">
      <c r="I44" s="65">
        <f>3.6*10^-6</f>
        <v>3.5999999999999998E-6</v>
      </c>
      <c r="J44" s="66" t="s">
        <v>163</v>
      </c>
      <c r="K44" s="66"/>
      <c r="L44" s="66"/>
      <c r="M44" s="66"/>
      <c r="N44" s="67"/>
      <c r="W44" s="22" t="str">
        <f>W45</f>
        <v>ELERNWSUN02</v>
      </c>
      <c r="X44" s="22" t="str">
        <f>[3]Sector_Fuels_ELC!$C$20</f>
        <v>ELCSOL</v>
      </c>
      <c r="Y44" s="22" t="s">
        <v>49</v>
      </c>
      <c r="Z44" s="22">
        <v>2015</v>
      </c>
      <c r="AA44" s="22">
        <v>2022</v>
      </c>
      <c r="AB44" s="26">
        <v>1</v>
      </c>
      <c r="AC44" s="26">
        <v>0.3</v>
      </c>
      <c r="AD44" s="22">
        <v>450</v>
      </c>
      <c r="AE44" s="22">
        <v>0.2</v>
      </c>
      <c r="AF44" s="26">
        <f>0.5</f>
        <v>0.5</v>
      </c>
      <c r="AG44" s="22">
        <v>25</v>
      </c>
      <c r="AH44" s="22">
        <f>1</f>
        <v>1</v>
      </c>
      <c r="AI44" s="22"/>
      <c r="AJ44" s="22"/>
      <c r="AK44" s="22">
        <v>31.536000000000001</v>
      </c>
      <c r="AL44" s="26">
        <v>1</v>
      </c>
    </row>
    <row r="45" spans="9:38" x14ac:dyDescent="0.25">
      <c r="I45" s="65">
        <f>277777.777777777</f>
        <v>277777.777777777</v>
      </c>
      <c r="J45" s="66" t="s">
        <v>162</v>
      </c>
      <c r="K45" s="66"/>
      <c r="L45" s="66"/>
      <c r="M45" s="66"/>
      <c r="N45" s="67"/>
      <c r="W45" t="s">
        <v>173</v>
      </c>
      <c r="X45" s="2" t="s">
        <v>179</v>
      </c>
      <c r="Y45" t="s">
        <v>52</v>
      </c>
      <c r="Z45" t="s">
        <v>53</v>
      </c>
      <c r="AA45" s="2" t="s">
        <v>175</v>
      </c>
      <c r="AC45" s="48"/>
    </row>
    <row r="46" spans="9:38" x14ac:dyDescent="0.25">
      <c r="I46" s="68">
        <f>(I45*4.3)/10^6</f>
        <v>1.1944444444444411</v>
      </c>
      <c r="J46" s="69" t="s">
        <v>164</v>
      </c>
      <c r="K46" s="69" t="s">
        <v>165</v>
      </c>
      <c r="L46" s="69"/>
      <c r="M46" s="69"/>
      <c r="N46" s="70"/>
    </row>
    <row r="47" spans="9:38" x14ac:dyDescent="0.25">
      <c r="I47" s="62">
        <v>0.21</v>
      </c>
      <c r="J47" s="63" t="s">
        <v>166</v>
      </c>
      <c r="K47" s="63"/>
      <c r="L47" s="63"/>
      <c r="M47" s="63"/>
      <c r="N47" s="64"/>
    </row>
    <row r="48" spans="9:38" x14ac:dyDescent="0.25">
      <c r="I48" s="65">
        <f>I47*1000</f>
        <v>210</v>
      </c>
      <c r="J48" s="66" t="s">
        <v>167</v>
      </c>
      <c r="K48" s="66"/>
      <c r="L48" s="66"/>
      <c r="M48" s="66"/>
      <c r="N48" s="67"/>
    </row>
    <row r="49" spans="9:16" x14ac:dyDescent="0.25">
      <c r="I49" s="65">
        <f>I48*1000</f>
        <v>210000</v>
      </c>
      <c r="J49" s="66" t="s">
        <v>168</v>
      </c>
      <c r="K49" s="66"/>
      <c r="L49" s="66"/>
      <c r="M49" s="66"/>
      <c r="N49" s="67"/>
    </row>
    <row r="50" spans="9:16" x14ac:dyDescent="0.25">
      <c r="I50" s="65">
        <f>I49*1000</f>
        <v>210000000</v>
      </c>
      <c r="J50" s="66" t="s">
        <v>169</v>
      </c>
      <c r="K50" s="66"/>
      <c r="L50" s="66"/>
      <c r="M50" s="66"/>
      <c r="N50" s="67"/>
    </row>
    <row r="51" spans="9:16" x14ac:dyDescent="0.25">
      <c r="I51" s="65">
        <f>I50/10^6</f>
        <v>210</v>
      </c>
      <c r="J51" s="66" t="s">
        <v>170</v>
      </c>
      <c r="K51" s="66"/>
      <c r="L51" s="66"/>
      <c r="M51" s="66"/>
      <c r="N51" s="67"/>
    </row>
    <row r="52" spans="9:16" x14ac:dyDescent="0.25">
      <c r="I52" s="68"/>
      <c r="J52" s="69"/>
      <c r="K52" s="69"/>
      <c r="L52" s="69"/>
      <c r="M52" s="69"/>
      <c r="N52" s="70"/>
    </row>
    <row r="57" spans="9:16" x14ac:dyDescent="0.25">
      <c r="I57" s="22" t="s">
        <v>213</v>
      </c>
    </row>
    <row r="58" spans="9:16" x14ac:dyDescent="0.25">
      <c r="I58" s="62" t="s">
        <v>180</v>
      </c>
      <c r="J58" s="63"/>
      <c r="K58" s="63"/>
      <c r="L58" s="63"/>
      <c r="M58" s="63"/>
      <c r="N58" s="63"/>
      <c r="O58" s="63"/>
      <c r="P58" s="64"/>
    </row>
    <row r="59" spans="9:16" ht="14.4" x14ac:dyDescent="0.3">
      <c r="I59" s="71" t="s">
        <v>181</v>
      </c>
      <c r="J59" s="72"/>
      <c r="K59" s="73" t="s">
        <v>182</v>
      </c>
      <c r="L59" s="72"/>
      <c r="M59" s="72"/>
      <c r="N59" s="66"/>
      <c r="O59" s="66"/>
      <c r="P59" s="67"/>
    </row>
    <row r="60" spans="9:16" x14ac:dyDescent="0.25">
      <c r="I60" s="65">
        <v>2000000</v>
      </c>
      <c r="J60" s="66" t="s">
        <v>159</v>
      </c>
      <c r="K60" s="65">
        <v>1200000</v>
      </c>
      <c r="L60" s="66" t="s">
        <v>159</v>
      </c>
      <c r="M60" s="66"/>
      <c r="N60" s="66" t="s">
        <v>183</v>
      </c>
      <c r="O60" s="66"/>
      <c r="P60" s="67"/>
    </row>
    <row r="61" spans="9:16" x14ac:dyDescent="0.25">
      <c r="I61" s="65">
        <f>I60/10^6</f>
        <v>2</v>
      </c>
      <c r="J61" s="66" t="s">
        <v>157</v>
      </c>
      <c r="K61" s="65">
        <f>K60/10^6</f>
        <v>1.2</v>
      </c>
      <c r="L61" s="66" t="s">
        <v>157</v>
      </c>
      <c r="M61" s="66"/>
      <c r="N61" s="66" t="s">
        <v>184</v>
      </c>
      <c r="O61" s="66"/>
      <c r="P61" s="67"/>
    </row>
    <row r="62" spans="9:16" x14ac:dyDescent="0.25">
      <c r="I62" s="65">
        <f>I61*1000</f>
        <v>2000</v>
      </c>
      <c r="J62" s="66" t="s">
        <v>158</v>
      </c>
      <c r="K62" s="65">
        <f>K61*1000</f>
        <v>1200</v>
      </c>
      <c r="L62" s="66" t="s">
        <v>158</v>
      </c>
      <c r="M62" s="66"/>
      <c r="N62" s="66"/>
      <c r="O62" s="66"/>
      <c r="P62" s="67"/>
    </row>
    <row r="63" spans="9:16" ht="14.4" x14ac:dyDescent="0.3">
      <c r="I63" s="71" t="s">
        <v>185</v>
      </c>
      <c r="J63" s="72"/>
      <c r="K63" s="73" t="s">
        <v>186</v>
      </c>
      <c r="L63" s="72"/>
      <c r="M63" s="72"/>
      <c r="N63" s="66"/>
      <c r="O63" s="66"/>
      <c r="P63" s="67"/>
    </row>
    <row r="64" spans="9:16" x14ac:dyDescent="0.25">
      <c r="I64" s="74">
        <f>81</f>
        <v>81</v>
      </c>
      <c r="J64" s="72" t="s">
        <v>187</v>
      </c>
      <c r="K64" s="72">
        <f>23424</f>
        <v>23424</v>
      </c>
      <c r="L64" s="72" t="s">
        <v>188</v>
      </c>
      <c r="M64" s="72"/>
      <c r="N64" s="66" t="s">
        <v>189</v>
      </c>
      <c r="O64" s="66"/>
      <c r="P64" s="67"/>
    </row>
    <row r="65" spans="9:16" x14ac:dyDescent="0.25">
      <c r="I65" s="74">
        <f>I64/P68</f>
        <v>71.05263157894737</v>
      </c>
      <c r="J65" s="72" t="s">
        <v>190</v>
      </c>
      <c r="K65" s="72">
        <f>K64/10^6</f>
        <v>2.3424E-2</v>
      </c>
      <c r="L65" s="72" t="s">
        <v>191</v>
      </c>
      <c r="M65" s="72"/>
      <c r="N65" s="66" t="s">
        <v>192</v>
      </c>
      <c r="O65" s="66"/>
      <c r="P65" s="67"/>
    </row>
    <row r="66" spans="9:16" x14ac:dyDescent="0.25">
      <c r="I66" s="74">
        <f>(I65*1000000)/10^6</f>
        <v>71.05263157894737</v>
      </c>
      <c r="J66" s="72" t="s">
        <v>193</v>
      </c>
      <c r="K66" s="72">
        <f>K65*1000</f>
        <v>23.423999999999999</v>
      </c>
      <c r="L66" s="72" t="s">
        <v>193</v>
      </c>
      <c r="M66" s="72"/>
      <c r="N66" s="66" t="s">
        <v>194</v>
      </c>
      <c r="O66" s="66"/>
      <c r="P66" s="67"/>
    </row>
    <row r="67" spans="9:16" x14ac:dyDescent="0.25">
      <c r="I67" s="74">
        <f>I66/AK44</f>
        <v>2.2530641672674836</v>
      </c>
      <c r="J67" s="72" t="s">
        <v>195</v>
      </c>
      <c r="K67" s="72" t="e">
        <f>K66/T22</f>
        <v>#DIV/0!</v>
      </c>
      <c r="L67" s="72" t="s">
        <v>196</v>
      </c>
      <c r="M67" s="72"/>
      <c r="N67" s="66" t="s">
        <v>197</v>
      </c>
      <c r="O67" s="66"/>
      <c r="P67" s="67"/>
    </row>
    <row r="68" spans="9:16" ht="14.4" x14ac:dyDescent="0.3">
      <c r="I68" s="71" t="s">
        <v>198</v>
      </c>
      <c r="J68" s="72"/>
      <c r="K68" s="73" t="s">
        <v>199</v>
      </c>
      <c r="L68" s="72"/>
      <c r="M68" s="72"/>
      <c r="N68" s="72" t="s">
        <v>200</v>
      </c>
      <c r="O68" s="72"/>
      <c r="P68" s="75">
        <f>1.14</f>
        <v>1.1399999999999999</v>
      </c>
    </row>
    <row r="69" spans="9:16" x14ac:dyDescent="0.25">
      <c r="I69" s="74"/>
      <c r="J69" s="72"/>
      <c r="K69" s="72"/>
      <c r="L69" s="72"/>
      <c r="M69" s="72"/>
      <c r="N69" s="72"/>
      <c r="O69" s="72"/>
      <c r="P69" s="75"/>
    </row>
    <row r="70" spans="9:16" x14ac:dyDescent="0.25">
      <c r="I70" s="74"/>
      <c r="J70" s="72"/>
      <c r="K70" s="72"/>
      <c r="L70" s="72"/>
      <c r="M70" s="72"/>
      <c r="N70" s="72"/>
      <c r="O70" s="72"/>
      <c r="P70" s="75"/>
    </row>
    <row r="71" spans="9:16" x14ac:dyDescent="0.25">
      <c r="I71" s="74"/>
      <c r="J71" s="72"/>
      <c r="K71" s="72"/>
      <c r="L71" s="72"/>
      <c r="M71" s="72"/>
      <c r="N71" s="72"/>
      <c r="O71" s="72"/>
      <c r="P71" s="75"/>
    </row>
    <row r="72" spans="9:16" x14ac:dyDescent="0.25">
      <c r="I72" s="74"/>
      <c r="J72" s="72"/>
      <c r="K72" s="72"/>
      <c r="L72" s="72"/>
      <c r="M72" s="72"/>
      <c r="N72" s="72"/>
      <c r="O72" s="72"/>
      <c r="P72" s="75"/>
    </row>
    <row r="73" spans="9:16" x14ac:dyDescent="0.25">
      <c r="I73" s="65">
        <v>1</v>
      </c>
      <c r="J73" s="66" t="s">
        <v>161</v>
      </c>
      <c r="K73" s="66"/>
      <c r="L73" s="66"/>
      <c r="M73" s="66"/>
      <c r="N73" s="66"/>
      <c r="O73" s="66"/>
      <c r="P73" s="67"/>
    </row>
    <row r="74" spans="9:16" x14ac:dyDescent="0.25">
      <c r="I74" s="65">
        <f>3.6*10^-6</f>
        <v>3.5999999999999998E-6</v>
      </c>
      <c r="J74" s="66" t="s">
        <v>163</v>
      </c>
      <c r="K74" s="66"/>
      <c r="L74" s="66"/>
      <c r="M74" s="66"/>
      <c r="N74" s="66"/>
      <c r="O74" s="66"/>
      <c r="P74" s="67"/>
    </row>
    <row r="75" spans="9:16" x14ac:dyDescent="0.25">
      <c r="I75" s="65">
        <f>277777.777777777</f>
        <v>277777.777777777</v>
      </c>
      <c r="J75" s="66" t="s">
        <v>162</v>
      </c>
      <c r="K75" s="66"/>
      <c r="L75" s="66"/>
      <c r="M75" s="66"/>
      <c r="N75" s="66"/>
      <c r="O75" s="66"/>
      <c r="P75" s="67"/>
    </row>
    <row r="76" spans="9:16" x14ac:dyDescent="0.25">
      <c r="I76" s="65">
        <f>(I75*4.3)/10^6</f>
        <v>1.1944444444444411</v>
      </c>
      <c r="J76" s="66" t="s">
        <v>164</v>
      </c>
      <c r="K76" s="66" t="s">
        <v>201</v>
      </c>
      <c r="L76" s="66"/>
      <c r="M76" s="66"/>
      <c r="N76" s="66"/>
      <c r="O76" s="66"/>
      <c r="P76" s="67"/>
    </row>
    <row r="77" spans="9:16" ht="14.4" x14ac:dyDescent="0.3">
      <c r="I77" s="71" t="s">
        <v>202</v>
      </c>
      <c r="J77" s="72"/>
      <c r="K77" s="72" t="s">
        <v>203</v>
      </c>
      <c r="L77" s="72"/>
      <c r="M77" s="72"/>
      <c r="N77" s="72"/>
      <c r="O77" s="72"/>
      <c r="P77" s="75"/>
    </row>
    <row r="78" spans="9:16" x14ac:dyDescent="0.25">
      <c r="I78" s="65">
        <v>0.21</v>
      </c>
      <c r="J78" s="66" t="s">
        <v>166</v>
      </c>
      <c r="K78" s="66" t="s">
        <v>204</v>
      </c>
      <c r="L78" s="66"/>
      <c r="M78" s="66"/>
      <c r="N78" s="66"/>
      <c r="O78" s="66"/>
      <c r="P78" s="67"/>
    </row>
    <row r="79" spans="9:16" x14ac:dyDescent="0.25">
      <c r="I79" s="65">
        <f>I78*1000</f>
        <v>210</v>
      </c>
      <c r="J79" s="66" t="s">
        <v>167</v>
      </c>
      <c r="K79" s="76" t="s">
        <v>205</v>
      </c>
      <c r="L79" s="66"/>
      <c r="M79" s="66"/>
      <c r="N79" s="66"/>
      <c r="O79" s="66"/>
      <c r="P79" s="67"/>
    </row>
    <row r="80" spans="9:16" x14ac:dyDescent="0.25">
      <c r="I80" s="65">
        <f>I79*1000</f>
        <v>210000</v>
      </c>
      <c r="J80" s="66" t="s">
        <v>168</v>
      </c>
      <c r="K80" s="66">
        <f>0.45</f>
        <v>0.45</v>
      </c>
      <c r="L80" s="66" t="s">
        <v>206</v>
      </c>
      <c r="M80" s="66"/>
      <c r="N80" s="66" t="s">
        <v>207</v>
      </c>
      <c r="O80" s="66"/>
      <c r="P80" s="67"/>
    </row>
    <row r="81" spans="2:16" x14ac:dyDescent="0.25">
      <c r="I81" s="65">
        <f>I80*1000</f>
        <v>210000000</v>
      </c>
      <c r="J81" s="66" t="s">
        <v>169</v>
      </c>
      <c r="K81" s="66">
        <f>K80*1000</f>
        <v>450</v>
      </c>
      <c r="L81" s="66" t="s">
        <v>170</v>
      </c>
      <c r="M81" s="66"/>
      <c r="N81" s="66"/>
      <c r="O81" s="66"/>
      <c r="P81" s="67"/>
    </row>
    <row r="82" spans="2:16" x14ac:dyDescent="0.25">
      <c r="I82" s="65">
        <f>I81/10^6</f>
        <v>210</v>
      </c>
      <c r="J82" s="66" t="s">
        <v>170</v>
      </c>
      <c r="K82" s="66"/>
      <c r="L82" s="66"/>
      <c r="M82" s="66"/>
      <c r="N82" s="66"/>
      <c r="O82" s="66"/>
      <c r="P82" s="67"/>
    </row>
    <row r="83" spans="2:16" x14ac:dyDescent="0.25">
      <c r="I83" s="77" t="s">
        <v>208</v>
      </c>
      <c r="J83" s="66"/>
      <c r="K83" s="66"/>
      <c r="L83" s="66"/>
      <c r="M83" s="66"/>
      <c r="N83" s="66"/>
      <c r="O83" s="66"/>
      <c r="P83" s="67"/>
    </row>
    <row r="84" spans="2:16" x14ac:dyDescent="0.25">
      <c r="I84" s="74" t="s">
        <v>209</v>
      </c>
      <c r="J84" s="72"/>
      <c r="K84" s="72"/>
      <c r="L84" s="72"/>
      <c r="M84" s="72"/>
      <c r="N84" s="72"/>
      <c r="O84" s="72"/>
      <c r="P84" s="75"/>
    </row>
    <row r="85" spans="2:16" x14ac:dyDescent="0.25">
      <c r="I85" s="78"/>
      <c r="J85" s="79"/>
      <c r="K85" s="79"/>
      <c r="L85" s="79"/>
      <c r="M85" s="79"/>
      <c r="N85" s="79"/>
      <c r="O85" s="79"/>
      <c r="P85" s="80"/>
    </row>
    <row r="87" spans="2:16" x14ac:dyDescent="0.25">
      <c r="B87" s="22" t="s">
        <v>215</v>
      </c>
      <c r="C87" s="22" t="s">
        <v>217</v>
      </c>
      <c r="D87" s="22" t="s">
        <v>49</v>
      </c>
      <c r="E87" s="22">
        <v>2015</v>
      </c>
      <c r="F87" s="22">
        <v>2022</v>
      </c>
      <c r="G87" s="22">
        <v>1</v>
      </c>
      <c r="H87" s="22">
        <v>0.48</v>
      </c>
      <c r="I87" s="22">
        <v>2071</v>
      </c>
      <c r="J87" s="22">
        <v>62.1</v>
      </c>
      <c r="K87" s="22">
        <v>1.29</v>
      </c>
      <c r="L87" s="22">
        <v>30</v>
      </c>
      <c r="M87" s="22">
        <v>4</v>
      </c>
    </row>
  </sheetData>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9"/>
  <sheetViews>
    <sheetView workbookViewId="0">
      <selection activeCell="D10" sqref="D10"/>
    </sheetView>
  </sheetViews>
  <sheetFormatPr defaultRowHeight="13.2" x14ac:dyDescent="0.25"/>
  <cols>
    <col min="1" max="1" width="3" customWidth="1"/>
    <col min="2" max="2" width="12.109375" bestFit="1" customWidth="1"/>
    <col min="3" max="3" width="11.88671875" bestFit="1" customWidth="1"/>
    <col min="4" max="4" width="22.109375" bestFit="1" customWidth="1"/>
    <col min="5" max="5" width="13.6640625" customWidth="1"/>
    <col min="6" max="6" width="7.88671875" customWidth="1"/>
    <col min="7" max="7" width="10.5546875" customWidth="1"/>
    <col min="8" max="8" width="10.109375" customWidth="1"/>
    <col min="9" max="9" width="7.88671875" bestFit="1" customWidth="1"/>
    <col min="10" max="10" width="8.5546875" customWidth="1"/>
    <col min="11" max="11" width="12.5546875" bestFit="1" customWidth="1"/>
    <col min="12" max="12" width="2" customWidth="1"/>
    <col min="13" max="13" width="11.88671875" bestFit="1" customWidth="1"/>
    <col min="14" max="14" width="7.44140625" bestFit="1" customWidth="1"/>
    <col min="15" max="15" width="12.109375" bestFit="1" customWidth="1"/>
    <col min="16" max="16" width="55.109375" bestFit="1" customWidth="1"/>
    <col min="17" max="17" width="5.33203125" bestFit="1" customWidth="1"/>
    <col min="18" max="18" width="10.44140625" bestFit="1" customWidth="1"/>
    <col min="19" max="19" width="12.88671875" bestFit="1" customWidth="1"/>
    <col min="20" max="20" width="14.109375" customWidth="1"/>
    <col min="21" max="21" width="8" bestFit="1" customWidth="1"/>
  </cols>
  <sheetData>
    <row r="1" spans="1:21" ht="22.8" x14ac:dyDescent="0.4">
      <c r="A1" s="1" t="s">
        <v>42</v>
      </c>
    </row>
    <row r="3" spans="1:21" ht="14.4" x14ac:dyDescent="0.3">
      <c r="B3" s="7" t="s">
        <v>43</v>
      </c>
      <c r="C3" s="7" t="s">
        <v>44</v>
      </c>
      <c r="D3" s="7" t="s">
        <v>45</v>
      </c>
      <c r="E3" s="7" t="s">
        <v>91</v>
      </c>
      <c r="F3" s="7" t="s">
        <v>47</v>
      </c>
      <c r="H3" s="7" t="s">
        <v>48</v>
      </c>
    </row>
    <row r="4" spans="1:21" ht="15.6" x14ac:dyDescent="0.3">
      <c r="B4" s="9" t="s">
        <v>92</v>
      </c>
      <c r="C4" s="9" t="s">
        <v>93</v>
      </c>
      <c r="D4" s="13" t="s">
        <v>94</v>
      </c>
      <c r="E4" s="9" t="s">
        <v>52</v>
      </c>
      <c r="F4" s="9" t="s">
        <v>54</v>
      </c>
      <c r="H4" s="9" t="s">
        <v>55</v>
      </c>
      <c r="M4" s="43" t="s">
        <v>155</v>
      </c>
      <c r="N4" s="43"/>
      <c r="O4" s="44"/>
      <c r="P4" s="44"/>
      <c r="Q4" s="44"/>
      <c r="R4" s="44"/>
      <c r="S4" s="44"/>
      <c r="T4" s="44"/>
      <c r="U4" s="44"/>
    </row>
    <row r="5" spans="1:21" x14ac:dyDescent="0.25">
      <c r="M5" s="45" t="s">
        <v>8</v>
      </c>
      <c r="N5" s="46" t="s">
        <v>56</v>
      </c>
      <c r="O5" s="45" t="s">
        <v>6</v>
      </c>
      <c r="P5" s="45" t="s">
        <v>9</v>
      </c>
      <c r="Q5" s="45" t="s">
        <v>10</v>
      </c>
      <c r="R5" s="45" t="s">
        <v>11</v>
      </c>
      <c r="S5" s="45" t="s">
        <v>12</v>
      </c>
      <c r="T5" s="45" t="s">
        <v>13</v>
      </c>
      <c r="U5" s="45" t="s">
        <v>14</v>
      </c>
    </row>
    <row r="6" spans="1:21" ht="22.2" thickBot="1" x14ac:dyDescent="0.35">
      <c r="B6" s="8"/>
      <c r="C6" s="8"/>
      <c r="D6" s="8"/>
      <c r="E6" s="8"/>
      <c r="F6" s="8"/>
      <c r="M6" s="47" t="s">
        <v>62</v>
      </c>
      <c r="N6" s="47" t="s">
        <v>63</v>
      </c>
      <c r="O6" s="47" t="s">
        <v>24</v>
      </c>
      <c r="P6" s="47" t="s">
        <v>25</v>
      </c>
      <c r="Q6" s="47" t="s">
        <v>10</v>
      </c>
      <c r="R6" s="47" t="s">
        <v>64</v>
      </c>
      <c r="S6" s="47" t="s">
        <v>65</v>
      </c>
      <c r="T6" s="47" t="s">
        <v>26</v>
      </c>
      <c r="U6" s="47" t="s">
        <v>27</v>
      </c>
    </row>
    <row r="7" spans="1:21" ht="15.6" x14ac:dyDescent="0.3">
      <c r="B7" s="8"/>
      <c r="C7" s="8"/>
      <c r="D7" s="8"/>
      <c r="E7" s="8"/>
      <c r="F7" s="8"/>
      <c r="M7" s="2"/>
      <c r="O7" s="2"/>
      <c r="P7" s="2"/>
      <c r="Q7" s="2"/>
      <c r="R7" s="2"/>
      <c r="S7" s="2"/>
      <c r="T7" s="2"/>
      <c r="U7" s="2"/>
    </row>
    <row r="10" spans="1:21" x14ac:dyDescent="0.25">
      <c r="D10" s="5" t="s">
        <v>153</v>
      </c>
      <c r="E10" s="5"/>
      <c r="G10" s="5"/>
      <c r="H10" s="6"/>
      <c r="I10" s="4"/>
      <c r="J10" s="31"/>
      <c r="M10" s="43" t="s">
        <v>154</v>
      </c>
      <c r="N10" s="43"/>
      <c r="O10" s="48"/>
      <c r="P10" s="48"/>
      <c r="Q10" s="48"/>
      <c r="R10" s="48"/>
      <c r="S10" s="48"/>
      <c r="T10" s="48"/>
      <c r="U10" s="48"/>
    </row>
    <row r="11" spans="1:21" x14ac:dyDescent="0.25">
      <c r="B11" s="12" t="s">
        <v>1</v>
      </c>
      <c r="C11" s="12" t="s">
        <v>3</v>
      </c>
      <c r="D11" s="12" t="s">
        <v>4</v>
      </c>
      <c r="E11" s="14" t="s">
        <v>15</v>
      </c>
      <c r="F11" s="15" t="s">
        <v>17</v>
      </c>
      <c r="G11" s="15" t="s">
        <v>35</v>
      </c>
      <c r="H11" s="15" t="s">
        <v>39</v>
      </c>
      <c r="I11" s="15" t="s">
        <v>5</v>
      </c>
      <c r="J11" s="14" t="s">
        <v>71</v>
      </c>
      <c r="K11" s="14" t="s">
        <v>72</v>
      </c>
      <c r="M11" s="45" t="s">
        <v>16</v>
      </c>
      <c r="N11" s="46" t="s">
        <v>56</v>
      </c>
      <c r="O11" s="45" t="s">
        <v>1</v>
      </c>
      <c r="P11" s="45" t="s">
        <v>2</v>
      </c>
      <c r="Q11" s="45" t="s">
        <v>19</v>
      </c>
      <c r="R11" s="45" t="s">
        <v>20</v>
      </c>
      <c r="S11" s="45" t="s">
        <v>21</v>
      </c>
      <c r="T11" s="45" t="s">
        <v>22</v>
      </c>
      <c r="U11" s="45" t="s">
        <v>23</v>
      </c>
    </row>
    <row r="12" spans="1:21" ht="21.6" thickBot="1" x14ac:dyDescent="0.3">
      <c r="B12" s="11" t="s">
        <v>74</v>
      </c>
      <c r="C12" s="11" t="s">
        <v>33</v>
      </c>
      <c r="D12" s="11" t="s">
        <v>34</v>
      </c>
      <c r="E12" s="16"/>
      <c r="F12" s="16" t="s">
        <v>37</v>
      </c>
      <c r="G12" s="17" t="s">
        <v>75</v>
      </c>
      <c r="H12" s="16" t="s">
        <v>76</v>
      </c>
      <c r="I12" s="16" t="s">
        <v>40</v>
      </c>
      <c r="J12" s="16" t="s">
        <v>114</v>
      </c>
      <c r="K12" s="16" t="s">
        <v>78</v>
      </c>
      <c r="M12" s="47" t="s">
        <v>80</v>
      </c>
      <c r="N12" s="47" t="s">
        <v>63</v>
      </c>
      <c r="O12" s="47" t="s">
        <v>28</v>
      </c>
      <c r="P12" s="47" t="s">
        <v>29</v>
      </c>
      <c r="Q12" s="47" t="s">
        <v>30</v>
      </c>
      <c r="R12" s="47" t="s">
        <v>31</v>
      </c>
      <c r="S12" s="47" t="s">
        <v>81</v>
      </c>
      <c r="T12" s="47" t="s">
        <v>82</v>
      </c>
      <c r="U12" s="47" t="s">
        <v>32</v>
      </c>
    </row>
    <row r="13" spans="1:21" ht="27" thickBot="1" x14ac:dyDescent="0.3">
      <c r="B13" s="10" t="s">
        <v>83</v>
      </c>
      <c r="C13" s="10"/>
      <c r="D13" s="10"/>
      <c r="E13" s="18"/>
      <c r="F13" s="18"/>
      <c r="G13" s="19"/>
      <c r="H13" s="18" t="s">
        <v>86</v>
      </c>
      <c r="I13" s="18" t="s">
        <v>85</v>
      </c>
      <c r="J13" s="18" t="s">
        <v>87</v>
      </c>
      <c r="K13" s="18" t="s">
        <v>70</v>
      </c>
      <c r="M13" s="44" t="s">
        <v>97</v>
      </c>
      <c r="N13" s="48"/>
      <c r="O13" s="48" t="s">
        <v>100</v>
      </c>
      <c r="P13" s="49" t="s">
        <v>101</v>
      </c>
      <c r="Q13" s="48" t="s">
        <v>52</v>
      </c>
      <c r="R13" s="48" t="s">
        <v>98</v>
      </c>
      <c r="S13" s="48"/>
      <c r="T13" s="48"/>
      <c r="U13" s="48"/>
    </row>
    <row r="14" spans="1:21" x14ac:dyDescent="0.25">
      <c r="B14" t="s">
        <v>100</v>
      </c>
      <c r="C14" t="s">
        <v>99</v>
      </c>
      <c r="D14" t="s">
        <v>95</v>
      </c>
      <c r="E14" s="29">
        <v>2006</v>
      </c>
      <c r="F14" s="30">
        <v>1.2</v>
      </c>
      <c r="G14" s="30">
        <v>0.95</v>
      </c>
      <c r="H14">
        <v>12</v>
      </c>
      <c r="I14" s="30">
        <v>0.24</v>
      </c>
      <c r="J14">
        <v>20</v>
      </c>
    </row>
    <row r="15" spans="1:21" x14ac:dyDescent="0.25">
      <c r="D15" t="s">
        <v>96</v>
      </c>
      <c r="E15" s="29"/>
      <c r="F15" s="30"/>
      <c r="G15" s="30"/>
      <c r="I15" s="30"/>
      <c r="K15" s="39">
        <f>56.1/F14</f>
        <v>46.75</v>
      </c>
      <c r="P15" s="20"/>
    </row>
    <row r="16" spans="1:21" x14ac:dyDescent="0.25">
      <c r="P16" s="20"/>
    </row>
    <row r="20" spans="9:12" x14ac:dyDescent="0.25">
      <c r="I20" s="31"/>
    </row>
    <row r="21" spans="9:12" x14ac:dyDescent="0.25">
      <c r="I21" s="31"/>
    </row>
    <row r="26" spans="9:12" x14ac:dyDescent="0.25">
      <c r="K26" s="2"/>
      <c r="L26" s="2"/>
    </row>
    <row r="27" spans="9:12" x14ac:dyDescent="0.25">
      <c r="K27" s="2"/>
      <c r="L27" s="2"/>
    </row>
    <row r="28" spans="9:12" x14ac:dyDescent="0.25">
      <c r="K28" s="2"/>
      <c r="L28" s="2"/>
    </row>
    <row r="29" spans="9:12" x14ac:dyDescent="0.25">
      <c r="K29" s="2"/>
      <c r="L29"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V16"/>
  <sheetViews>
    <sheetView workbookViewId="0">
      <selection activeCell="N4" sqref="N4"/>
    </sheetView>
  </sheetViews>
  <sheetFormatPr defaultRowHeight="13.2" x14ac:dyDescent="0.25"/>
  <cols>
    <col min="1" max="1" width="3" customWidth="1"/>
    <col min="2" max="2" width="12.33203125" bestFit="1" customWidth="1"/>
    <col min="3" max="3" width="11.6640625" bestFit="1" customWidth="1"/>
    <col min="4" max="4" width="13.88671875" bestFit="1" customWidth="1"/>
    <col min="5" max="5" width="10.44140625" customWidth="1"/>
    <col min="6" max="6" width="12.5546875" customWidth="1"/>
    <col min="7" max="7" width="10.5546875" bestFit="1" customWidth="1"/>
    <col min="8" max="8" width="11.88671875" bestFit="1" customWidth="1"/>
    <col min="9" max="9" width="11.5546875" bestFit="1" customWidth="1"/>
    <col min="10" max="10" width="7.5546875" bestFit="1" customWidth="1"/>
    <col min="11" max="11" width="8" bestFit="1" customWidth="1"/>
    <col min="12" max="12" width="9.5546875" bestFit="1" customWidth="1"/>
    <col min="13" max="13" width="2" bestFit="1" customWidth="1"/>
    <col min="14" max="14" width="11.44140625" customWidth="1"/>
    <col min="15" max="15" width="7.109375" customWidth="1"/>
    <col min="16" max="16" width="11.44140625" bestFit="1" customWidth="1"/>
    <col min="17" max="17" width="78.109375" bestFit="1" customWidth="1"/>
    <col min="18" max="18" width="5.6640625" customWidth="1"/>
    <col min="19" max="19" width="10" bestFit="1" customWidth="1"/>
    <col min="20" max="20" width="12.33203125" customWidth="1"/>
    <col min="21" max="21" width="12.6640625" customWidth="1"/>
    <col min="22" max="22" width="7.5546875" bestFit="1" customWidth="1"/>
  </cols>
  <sheetData>
    <row r="1" spans="2:22" ht="14.4" x14ac:dyDescent="0.3">
      <c r="B1" s="7" t="s">
        <v>43</v>
      </c>
      <c r="C1" s="7" t="s">
        <v>44</v>
      </c>
      <c r="D1" s="7" t="s">
        <v>45</v>
      </c>
      <c r="E1" s="7" t="s">
        <v>91</v>
      </c>
      <c r="F1" s="7" t="s">
        <v>47</v>
      </c>
      <c r="G1" s="7" t="s">
        <v>104</v>
      </c>
      <c r="H1" s="34"/>
      <c r="I1" s="7" t="s">
        <v>48</v>
      </c>
    </row>
    <row r="2" spans="2:22" ht="31.2" x14ac:dyDescent="0.3">
      <c r="B2" s="9" t="s">
        <v>102</v>
      </c>
      <c r="C2" s="9" t="s">
        <v>103</v>
      </c>
      <c r="D2" s="13" t="s">
        <v>94</v>
      </c>
      <c r="E2" s="9" t="s">
        <v>52</v>
      </c>
      <c r="F2" s="9" t="s">
        <v>54</v>
      </c>
      <c r="G2" s="32" t="s">
        <v>105</v>
      </c>
      <c r="H2" s="8"/>
      <c r="I2" s="9" t="s">
        <v>55</v>
      </c>
      <c r="N2" s="43" t="s">
        <v>155</v>
      </c>
      <c r="O2" s="43"/>
      <c r="P2" s="44"/>
      <c r="Q2" s="44"/>
      <c r="R2" s="44"/>
      <c r="S2" s="44"/>
      <c r="T2" s="44"/>
      <c r="U2" s="44"/>
      <c r="V2" s="44"/>
    </row>
    <row r="3" spans="2:22" x14ac:dyDescent="0.25">
      <c r="N3" s="45" t="s">
        <v>8</v>
      </c>
      <c r="O3" s="46" t="s">
        <v>56</v>
      </c>
      <c r="P3" s="45" t="s">
        <v>6</v>
      </c>
      <c r="Q3" s="45" t="s">
        <v>9</v>
      </c>
      <c r="R3" s="45" t="s">
        <v>10</v>
      </c>
      <c r="S3" s="45" t="s">
        <v>11</v>
      </c>
      <c r="T3" s="45" t="s">
        <v>12</v>
      </c>
      <c r="U3" s="45" t="s">
        <v>13</v>
      </c>
      <c r="V3" s="45" t="s">
        <v>14</v>
      </c>
    </row>
    <row r="4" spans="2:22" ht="22.2" thickBot="1" x14ac:dyDescent="0.35">
      <c r="B4" s="8"/>
      <c r="C4" s="8"/>
      <c r="D4" s="8"/>
      <c r="E4" s="8"/>
      <c r="F4" s="8"/>
      <c r="N4" s="47" t="s">
        <v>62</v>
      </c>
      <c r="O4" s="47" t="s">
        <v>63</v>
      </c>
      <c r="P4" s="47" t="s">
        <v>24</v>
      </c>
      <c r="Q4" s="47" t="s">
        <v>25</v>
      </c>
      <c r="R4" s="47" t="s">
        <v>10</v>
      </c>
      <c r="S4" s="47" t="s">
        <v>64</v>
      </c>
      <c r="T4" s="47" t="s">
        <v>65</v>
      </c>
      <c r="U4" s="47" t="s">
        <v>26</v>
      </c>
      <c r="V4" s="47" t="s">
        <v>27</v>
      </c>
    </row>
    <row r="5" spans="2:22" ht="15.6" x14ac:dyDescent="0.3">
      <c r="B5" s="8"/>
      <c r="C5" s="8"/>
      <c r="D5" s="8"/>
      <c r="E5" s="8"/>
      <c r="F5" s="8"/>
      <c r="N5" s="2"/>
      <c r="P5" s="2"/>
      <c r="Q5" s="2"/>
      <c r="R5" s="2"/>
      <c r="S5" s="2"/>
      <c r="T5" s="2"/>
      <c r="U5" s="2"/>
      <c r="V5" s="2"/>
    </row>
    <row r="8" spans="2:22" x14ac:dyDescent="0.25">
      <c r="D8" s="5" t="s">
        <v>153</v>
      </c>
      <c r="E8" s="5"/>
      <c r="G8" s="5"/>
      <c r="J8" s="4"/>
      <c r="K8" s="31"/>
      <c r="N8" s="43" t="s">
        <v>154</v>
      </c>
      <c r="O8" s="43"/>
      <c r="P8" s="48"/>
      <c r="Q8" s="48"/>
      <c r="R8" s="48"/>
      <c r="S8" s="48"/>
      <c r="T8" s="48"/>
      <c r="U8" s="48"/>
      <c r="V8" s="48"/>
    </row>
    <row r="9" spans="2:22" x14ac:dyDescent="0.25">
      <c r="B9" s="12" t="s">
        <v>1</v>
      </c>
      <c r="C9" s="12" t="s">
        <v>3</v>
      </c>
      <c r="D9" s="12" t="s">
        <v>4</v>
      </c>
      <c r="E9" s="12" t="s">
        <v>15</v>
      </c>
      <c r="F9" s="15" t="s">
        <v>17</v>
      </c>
      <c r="G9" s="15" t="s">
        <v>35</v>
      </c>
      <c r="H9" s="15" t="s">
        <v>116</v>
      </c>
      <c r="I9" s="15" t="s">
        <v>39</v>
      </c>
      <c r="J9" s="15" t="s">
        <v>5</v>
      </c>
      <c r="K9" s="14" t="s">
        <v>71</v>
      </c>
      <c r="L9" s="14" t="s">
        <v>113</v>
      </c>
      <c r="M9" s="24"/>
      <c r="N9" s="45" t="s">
        <v>16</v>
      </c>
      <c r="O9" s="46" t="s">
        <v>56</v>
      </c>
      <c r="P9" s="45" t="s">
        <v>1</v>
      </c>
      <c r="Q9" s="45" t="s">
        <v>2</v>
      </c>
      <c r="R9" s="45" t="s">
        <v>19</v>
      </c>
      <c r="S9" s="45" t="s">
        <v>20</v>
      </c>
      <c r="T9" s="45" t="s">
        <v>21</v>
      </c>
      <c r="U9" s="45" t="s">
        <v>22</v>
      </c>
      <c r="V9" s="45" t="s">
        <v>23</v>
      </c>
    </row>
    <row r="10" spans="2:22" ht="21.6" thickBot="1" x14ac:dyDescent="0.3">
      <c r="B10" s="11" t="s">
        <v>74</v>
      </c>
      <c r="C10" s="11" t="s">
        <v>33</v>
      </c>
      <c r="D10" s="11" t="s">
        <v>34</v>
      </c>
      <c r="E10" s="11"/>
      <c r="F10" s="16" t="s">
        <v>37</v>
      </c>
      <c r="G10" s="17" t="s">
        <v>75</v>
      </c>
      <c r="H10" s="17" t="s">
        <v>117</v>
      </c>
      <c r="I10" s="17" t="s">
        <v>118</v>
      </c>
      <c r="J10" s="16" t="s">
        <v>40</v>
      </c>
      <c r="K10" s="16" t="s">
        <v>77</v>
      </c>
      <c r="L10" s="16"/>
      <c r="M10" s="33"/>
      <c r="N10" s="47" t="s">
        <v>80</v>
      </c>
      <c r="O10" s="47" t="s">
        <v>63</v>
      </c>
      <c r="P10" s="47" t="s">
        <v>28</v>
      </c>
      <c r="Q10" s="47" t="s">
        <v>29</v>
      </c>
      <c r="R10" s="47" t="s">
        <v>30</v>
      </c>
      <c r="S10" s="47" t="s">
        <v>31</v>
      </c>
      <c r="T10" s="47" t="s">
        <v>81</v>
      </c>
      <c r="U10" s="47" t="s">
        <v>82</v>
      </c>
      <c r="V10" s="47" t="s">
        <v>32</v>
      </c>
    </row>
    <row r="11" spans="2:22" ht="21.6" thickBot="1" x14ac:dyDescent="0.3">
      <c r="B11" s="10" t="s">
        <v>83</v>
      </c>
      <c r="C11" s="10"/>
      <c r="D11" s="10"/>
      <c r="E11" s="10"/>
      <c r="F11" s="18" t="s">
        <v>141</v>
      </c>
      <c r="G11" s="40" t="s">
        <v>119</v>
      </c>
      <c r="H11" s="19" t="s">
        <v>120</v>
      </c>
      <c r="I11" s="19" t="s">
        <v>121</v>
      </c>
      <c r="J11" s="18" t="s">
        <v>122</v>
      </c>
      <c r="K11" s="18" t="s">
        <v>87</v>
      </c>
      <c r="L11" s="18" t="s">
        <v>142</v>
      </c>
      <c r="M11" s="33"/>
      <c r="N11" s="44" t="s">
        <v>97</v>
      </c>
      <c r="O11" s="48"/>
      <c r="P11" s="48" t="s">
        <v>123</v>
      </c>
      <c r="Q11" s="49" t="s">
        <v>124</v>
      </c>
      <c r="R11" s="44" t="s">
        <v>140</v>
      </c>
      <c r="S11" s="44" t="s">
        <v>105</v>
      </c>
      <c r="T11" s="48"/>
      <c r="U11" s="44" t="s">
        <v>125</v>
      </c>
      <c r="V11" s="48"/>
    </row>
    <row r="12" spans="2:22" x14ac:dyDescent="0.25">
      <c r="B12" t="s">
        <v>123</v>
      </c>
      <c r="C12" t="s">
        <v>126</v>
      </c>
      <c r="D12" t="s">
        <v>127</v>
      </c>
      <c r="E12">
        <v>2006</v>
      </c>
      <c r="F12" s="30">
        <v>0.41</v>
      </c>
      <c r="G12" s="29">
        <v>16.5</v>
      </c>
      <c r="H12" s="30">
        <v>1.25</v>
      </c>
      <c r="I12" s="39">
        <v>16</v>
      </c>
      <c r="J12" s="30">
        <v>0.16</v>
      </c>
      <c r="K12">
        <v>15</v>
      </c>
      <c r="L12" s="41">
        <v>1E-3</v>
      </c>
      <c r="N12" s="48"/>
      <c r="O12" s="48"/>
      <c r="P12" s="48" t="s">
        <v>128</v>
      </c>
      <c r="Q12" s="49" t="s">
        <v>129</v>
      </c>
      <c r="R12" s="44" t="s">
        <v>140</v>
      </c>
      <c r="S12" s="44" t="s">
        <v>105</v>
      </c>
      <c r="T12" s="48"/>
      <c r="U12" s="44" t="s">
        <v>125</v>
      </c>
      <c r="V12" s="48"/>
    </row>
    <row r="13" spans="2:22" x14ac:dyDescent="0.25">
      <c r="B13" t="s">
        <v>128</v>
      </c>
      <c r="C13" t="s">
        <v>130</v>
      </c>
      <c r="D13" t="s">
        <v>127</v>
      </c>
      <c r="E13">
        <v>2006</v>
      </c>
      <c r="F13" s="30">
        <v>0.38</v>
      </c>
      <c r="G13" s="29">
        <v>14</v>
      </c>
      <c r="H13" s="30">
        <v>1.25</v>
      </c>
      <c r="I13" s="39">
        <v>15.5</v>
      </c>
      <c r="J13" s="42">
        <v>0.16</v>
      </c>
      <c r="K13">
        <v>15</v>
      </c>
      <c r="L13" s="41">
        <v>1E-3</v>
      </c>
      <c r="N13" s="48"/>
      <c r="O13" s="48"/>
      <c r="P13" s="48" t="s">
        <v>131</v>
      </c>
      <c r="Q13" s="49" t="s">
        <v>132</v>
      </c>
      <c r="R13" s="44" t="s">
        <v>140</v>
      </c>
      <c r="S13" s="44" t="s">
        <v>105</v>
      </c>
      <c r="T13" s="48"/>
      <c r="U13" s="44" t="s">
        <v>125</v>
      </c>
      <c r="V13" s="48"/>
    </row>
    <row r="14" spans="2:22" x14ac:dyDescent="0.25">
      <c r="B14" t="s">
        <v>131</v>
      </c>
      <c r="C14" t="s">
        <v>133</v>
      </c>
      <c r="D14" t="s">
        <v>127</v>
      </c>
      <c r="E14">
        <v>2006</v>
      </c>
      <c r="F14" s="42">
        <v>0.4</v>
      </c>
      <c r="G14" s="29">
        <v>11.5</v>
      </c>
      <c r="H14" s="30">
        <v>1.25</v>
      </c>
      <c r="I14" s="39">
        <v>15.5</v>
      </c>
      <c r="J14" s="30">
        <v>0.15</v>
      </c>
      <c r="K14">
        <v>15</v>
      </c>
      <c r="L14" s="41">
        <v>1E-3</v>
      </c>
      <c r="N14" s="48"/>
      <c r="O14" s="48"/>
      <c r="P14" s="48" t="s">
        <v>134</v>
      </c>
      <c r="Q14" s="49" t="s">
        <v>135</v>
      </c>
      <c r="R14" s="44" t="s">
        <v>140</v>
      </c>
      <c r="S14" s="44" t="s">
        <v>105</v>
      </c>
      <c r="T14" s="48"/>
      <c r="U14" s="44" t="s">
        <v>125</v>
      </c>
      <c r="V14" s="48"/>
    </row>
    <row r="15" spans="2:22" x14ac:dyDescent="0.25">
      <c r="B15" t="s">
        <v>134</v>
      </c>
      <c r="C15" t="s">
        <v>136</v>
      </c>
      <c r="D15" t="s">
        <v>127</v>
      </c>
      <c r="E15">
        <v>2006</v>
      </c>
      <c r="F15">
        <v>0.38</v>
      </c>
      <c r="G15">
        <v>14</v>
      </c>
      <c r="H15" s="30">
        <v>1.25</v>
      </c>
      <c r="I15" s="39">
        <v>18</v>
      </c>
      <c r="J15" s="30">
        <v>0.16</v>
      </c>
      <c r="K15">
        <v>15</v>
      </c>
      <c r="L15" s="41">
        <v>1E-3</v>
      </c>
      <c r="N15" s="48"/>
      <c r="O15" s="48"/>
      <c r="P15" s="44" t="s">
        <v>137</v>
      </c>
      <c r="Q15" s="50" t="s">
        <v>138</v>
      </c>
      <c r="R15" s="44" t="s">
        <v>140</v>
      </c>
      <c r="S15" s="44" t="s">
        <v>105</v>
      </c>
      <c r="T15" s="48"/>
      <c r="U15" s="44" t="s">
        <v>125</v>
      </c>
      <c r="V15" s="48"/>
    </row>
    <row r="16" spans="2:22" x14ac:dyDescent="0.25">
      <c r="B16" s="2" t="s">
        <v>137</v>
      </c>
      <c r="C16" s="2" t="s">
        <v>139</v>
      </c>
      <c r="D16" s="2" t="s">
        <v>127</v>
      </c>
      <c r="E16">
        <v>2006</v>
      </c>
      <c r="F16" s="30">
        <v>1.2000000000000002</v>
      </c>
      <c r="G16" s="29">
        <v>11.5</v>
      </c>
      <c r="H16" s="30">
        <v>1.25</v>
      </c>
      <c r="I16" s="39">
        <v>25</v>
      </c>
      <c r="J16" s="30">
        <v>0.25</v>
      </c>
      <c r="K16">
        <v>15</v>
      </c>
      <c r="L16" s="41">
        <v>1E-3</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18"/>
  <sheetViews>
    <sheetView workbookViewId="0">
      <selection activeCell="J9" sqref="J9"/>
    </sheetView>
  </sheetViews>
  <sheetFormatPr defaultColWidth="8.88671875" defaultRowHeight="13.2" x14ac:dyDescent="0.25"/>
  <cols>
    <col min="1" max="1" width="2" style="22" bestFit="1" customWidth="1"/>
    <col min="2" max="2" width="13.109375" style="22" bestFit="1" customWidth="1"/>
    <col min="3" max="3" width="10.44140625" style="22" bestFit="1" customWidth="1"/>
    <col min="4" max="4" width="11.33203125" style="22" bestFit="1" customWidth="1"/>
    <col min="5" max="5" width="11.33203125" style="22" customWidth="1"/>
    <col min="6" max="6" width="10.109375" style="22" customWidth="1"/>
    <col min="7" max="7" width="9.33203125" style="22" customWidth="1"/>
    <col min="8" max="8" width="8.109375" style="22" customWidth="1"/>
    <col min="9" max="9" width="8.33203125" style="22" bestFit="1" customWidth="1"/>
    <col min="10" max="10" width="7.5546875" style="22" bestFit="1" customWidth="1"/>
    <col min="11" max="11" width="2" style="22" bestFit="1" customWidth="1"/>
    <col min="12" max="12" width="11.6640625" style="22" bestFit="1" customWidth="1"/>
    <col min="13" max="13" width="7.109375" style="22" bestFit="1" customWidth="1"/>
    <col min="14" max="14" width="12.88671875" style="22" bestFit="1" customWidth="1"/>
    <col min="15" max="15" width="47.6640625" style="22" customWidth="1"/>
    <col min="16" max="16" width="8.44140625" style="22" bestFit="1" customWidth="1"/>
    <col min="17" max="17" width="8.88671875" style="22"/>
    <col min="18" max="18" width="8.88671875" style="22" customWidth="1"/>
    <col min="19" max="19" width="10.5546875" style="22" bestFit="1" customWidth="1"/>
    <col min="20" max="20" width="7.5546875" style="22" bestFit="1" customWidth="1"/>
    <col min="21" max="16384" width="8.88671875" style="22"/>
  </cols>
  <sheetData>
    <row r="1" spans="2:20" ht="14.4" x14ac:dyDescent="0.3">
      <c r="B1" s="7" t="s">
        <v>43</v>
      </c>
      <c r="C1" s="7" t="s">
        <v>106</v>
      </c>
      <c r="D1" s="7" t="s">
        <v>44</v>
      </c>
      <c r="E1" s="7"/>
      <c r="F1" s="7" t="s">
        <v>107</v>
      </c>
      <c r="G1" s="7"/>
      <c r="H1" s="7"/>
      <c r="I1" s="7" t="s">
        <v>108</v>
      </c>
      <c r="J1" s="7" t="s">
        <v>48</v>
      </c>
    </row>
    <row r="2" spans="2:20" ht="15.6" x14ac:dyDescent="0.3">
      <c r="B2" s="9"/>
      <c r="C2" s="9"/>
      <c r="D2" s="9" t="s">
        <v>109</v>
      </c>
      <c r="E2" s="9"/>
      <c r="F2" s="9" t="s">
        <v>52</v>
      </c>
      <c r="G2" s="9"/>
      <c r="H2" s="9"/>
      <c r="I2" s="9" t="s">
        <v>54</v>
      </c>
      <c r="J2" s="9" t="s">
        <v>55</v>
      </c>
      <c r="L2" s="51" t="s">
        <v>155</v>
      </c>
      <c r="M2" s="51"/>
      <c r="N2" s="52"/>
      <c r="O2" s="52"/>
      <c r="P2" s="52"/>
      <c r="Q2" s="52"/>
      <c r="R2" s="52"/>
      <c r="S2" s="52"/>
      <c r="T2" s="52"/>
    </row>
    <row r="3" spans="2:20" x14ac:dyDescent="0.25">
      <c r="L3" s="53" t="s">
        <v>8</v>
      </c>
      <c r="M3" s="54" t="s">
        <v>56</v>
      </c>
      <c r="N3" s="53" t="s">
        <v>6</v>
      </c>
      <c r="O3" s="53" t="s">
        <v>9</v>
      </c>
      <c r="P3" s="53" t="s">
        <v>10</v>
      </c>
      <c r="Q3" s="53" t="s">
        <v>11</v>
      </c>
      <c r="R3" s="53" t="s">
        <v>12</v>
      </c>
      <c r="S3" s="53" t="s">
        <v>13</v>
      </c>
      <c r="T3" s="53" t="s">
        <v>14</v>
      </c>
    </row>
    <row r="4" spans="2:20" ht="32.4" thickBot="1" x14ac:dyDescent="0.35">
      <c r="B4" s="8"/>
      <c r="C4" s="8"/>
      <c r="D4" s="8"/>
      <c r="E4" s="8"/>
      <c r="I4" s="8"/>
      <c r="L4" s="47" t="s">
        <v>62</v>
      </c>
      <c r="M4" s="47" t="s">
        <v>63</v>
      </c>
      <c r="N4" s="47" t="s">
        <v>24</v>
      </c>
      <c r="O4" s="47" t="s">
        <v>25</v>
      </c>
      <c r="P4" s="47" t="s">
        <v>10</v>
      </c>
      <c r="Q4" s="47" t="s">
        <v>64</v>
      </c>
      <c r="R4" s="47" t="s">
        <v>65</v>
      </c>
      <c r="S4" s="47" t="s">
        <v>26</v>
      </c>
      <c r="T4" s="47" t="s">
        <v>27</v>
      </c>
    </row>
    <row r="5" spans="2:20" x14ac:dyDescent="0.25">
      <c r="O5" s="35"/>
    </row>
    <row r="6" spans="2:20" x14ac:dyDescent="0.25">
      <c r="D6" s="5" t="s">
        <v>156</v>
      </c>
      <c r="E6" s="5"/>
      <c r="F6" s="5"/>
      <c r="G6" s="5"/>
      <c r="H6" s="5"/>
      <c r="L6" s="51" t="s">
        <v>154</v>
      </c>
      <c r="M6" s="51"/>
      <c r="N6" s="52"/>
      <c r="O6" s="52"/>
      <c r="P6" s="52"/>
      <c r="Q6" s="52"/>
      <c r="R6" s="52"/>
      <c r="S6" s="52"/>
      <c r="T6" s="52"/>
    </row>
    <row r="7" spans="2:20" x14ac:dyDescent="0.25">
      <c r="B7" s="12" t="s">
        <v>1</v>
      </c>
      <c r="C7" s="12" t="s">
        <v>3</v>
      </c>
      <c r="D7" s="12" t="s">
        <v>4</v>
      </c>
      <c r="E7" s="12" t="s">
        <v>15</v>
      </c>
      <c r="F7" s="36" t="s">
        <v>39</v>
      </c>
      <c r="G7" s="56" t="s">
        <v>5</v>
      </c>
      <c r="H7" s="12" t="s">
        <v>148</v>
      </c>
      <c r="I7" s="57" t="s">
        <v>145</v>
      </c>
      <c r="J7" s="36" t="s">
        <v>71</v>
      </c>
      <c r="L7" s="53" t="s">
        <v>16</v>
      </c>
      <c r="M7" s="54" t="s">
        <v>56</v>
      </c>
      <c r="N7" s="53" t="s">
        <v>1</v>
      </c>
      <c r="O7" s="53" t="s">
        <v>2</v>
      </c>
      <c r="P7" s="53" t="s">
        <v>19</v>
      </c>
      <c r="Q7" s="53" t="s">
        <v>20</v>
      </c>
      <c r="R7" s="53" t="s">
        <v>21</v>
      </c>
      <c r="S7" s="53" t="s">
        <v>22</v>
      </c>
      <c r="T7" s="53" t="s">
        <v>23</v>
      </c>
    </row>
    <row r="8" spans="2:20" ht="42" thickBot="1" x14ac:dyDescent="0.3">
      <c r="B8" s="11" t="s">
        <v>74</v>
      </c>
      <c r="C8" s="11" t="s">
        <v>33</v>
      </c>
      <c r="D8" s="11" t="s">
        <v>34</v>
      </c>
      <c r="E8" s="11"/>
      <c r="F8" s="11" t="s">
        <v>110</v>
      </c>
      <c r="G8" s="11"/>
      <c r="H8" s="11"/>
      <c r="I8" s="11" t="s">
        <v>37</v>
      </c>
      <c r="J8" s="11" t="s">
        <v>77</v>
      </c>
      <c r="L8" s="47" t="s">
        <v>80</v>
      </c>
      <c r="M8" s="47" t="s">
        <v>63</v>
      </c>
      <c r="N8" s="47" t="s">
        <v>28</v>
      </c>
      <c r="O8" s="47" t="s">
        <v>29</v>
      </c>
      <c r="P8" s="47" t="s">
        <v>30</v>
      </c>
      <c r="Q8" s="47" t="s">
        <v>31</v>
      </c>
      <c r="R8" s="47" t="s">
        <v>81</v>
      </c>
      <c r="S8" s="47" t="s">
        <v>82</v>
      </c>
      <c r="T8" s="47" t="s">
        <v>32</v>
      </c>
    </row>
    <row r="9" spans="2:20" ht="13.8" thickBot="1" x14ac:dyDescent="0.3">
      <c r="B9" s="10" t="s">
        <v>83</v>
      </c>
      <c r="C9" s="10"/>
      <c r="D9" s="10"/>
      <c r="E9" s="10"/>
      <c r="F9" s="37" t="str">
        <f>I2&amp;"/"&amp;$F$2</f>
        <v>M€/PJ</v>
      </c>
      <c r="G9" s="37"/>
      <c r="H9" s="37"/>
      <c r="I9" s="37"/>
      <c r="J9" s="37" t="s">
        <v>87</v>
      </c>
      <c r="L9" s="47" t="s">
        <v>111</v>
      </c>
      <c r="M9" s="47"/>
      <c r="N9" s="47"/>
      <c r="O9" s="47"/>
      <c r="P9" s="47"/>
      <c r="Q9" s="47"/>
      <c r="R9" s="47"/>
      <c r="S9" s="47"/>
      <c r="T9" s="47"/>
    </row>
    <row r="10" spans="2:20" x14ac:dyDescent="0.25">
      <c r="B10" s="22" t="s">
        <v>151</v>
      </c>
      <c r="C10" s="22" t="s">
        <v>152</v>
      </c>
      <c r="D10" s="22" t="s">
        <v>49</v>
      </c>
      <c r="E10" s="55">
        <v>2030</v>
      </c>
      <c r="F10" s="58">
        <v>900</v>
      </c>
      <c r="G10" s="58">
        <f>F10*0.04</f>
        <v>36</v>
      </c>
      <c r="H10" s="58">
        <f>22+7</f>
        <v>29</v>
      </c>
      <c r="I10" s="26"/>
      <c r="J10" s="55">
        <v>25</v>
      </c>
      <c r="L10" s="22" t="s">
        <v>146</v>
      </c>
      <c r="N10" s="22" t="s">
        <v>143</v>
      </c>
      <c r="O10" s="20" t="s">
        <v>147</v>
      </c>
      <c r="P10" s="22" t="s">
        <v>149</v>
      </c>
      <c r="Q10" s="22" t="s">
        <v>150</v>
      </c>
      <c r="R10" s="22" t="s">
        <v>90</v>
      </c>
      <c r="S10" s="22" t="s">
        <v>144</v>
      </c>
    </row>
    <row r="11" spans="2:20" x14ac:dyDescent="0.25">
      <c r="F11" s="26"/>
      <c r="G11" s="26"/>
      <c r="H11" s="26"/>
      <c r="I11" s="58">
        <v>6</v>
      </c>
      <c r="N11"/>
      <c r="O11"/>
      <c r="P11"/>
      <c r="Q11"/>
    </row>
    <row r="12" spans="2:20" x14ac:dyDescent="0.25">
      <c r="I12" s="26"/>
      <c r="O12" s="35"/>
    </row>
    <row r="13" spans="2:20" x14ac:dyDescent="0.25">
      <c r="I13" s="26"/>
      <c r="O13" s="35"/>
    </row>
    <row r="14" spans="2:20" x14ac:dyDescent="0.25">
      <c r="I14" s="26"/>
      <c r="O14" s="35"/>
    </row>
    <row r="15" spans="2:20" x14ac:dyDescent="0.25">
      <c r="I15" s="26"/>
      <c r="N15"/>
      <c r="O15" s="20"/>
      <c r="P15"/>
      <c r="Q15"/>
    </row>
    <row r="16" spans="2:20" x14ac:dyDescent="0.25">
      <c r="I16" s="26"/>
      <c r="N16"/>
      <c r="O16" s="20"/>
      <c r="P16"/>
      <c r="Q16"/>
    </row>
    <row r="17" spans="14:17" x14ac:dyDescent="0.25">
      <c r="N17"/>
      <c r="O17" s="20"/>
      <c r="P17"/>
      <c r="Q17"/>
    </row>
    <row r="18" spans="14:17" x14ac:dyDescent="0.25">
      <c r="N18"/>
      <c r="O18" s="20"/>
      <c r="P18"/>
      <c r="Q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vt:i4>
      </vt:variant>
    </vt:vector>
  </HeadingPairs>
  <TitlesOfParts>
    <vt:vector size="4" baseType="lpstr">
      <vt:lpstr>PRI_ELC</vt:lpstr>
      <vt:lpstr>PRI_RSD</vt:lpstr>
      <vt:lpstr>PRI_TRA</vt:lpstr>
      <vt:lpstr>PRI_FuelSec</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Lucas Rehfeld Moshøj</cp:lastModifiedBy>
  <dcterms:created xsi:type="dcterms:W3CDTF">2005-06-03T09:41:13Z</dcterms:created>
  <dcterms:modified xsi:type="dcterms:W3CDTF">2025-01-23T15:48:23Z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273195207118988</vt:r8>
  </property>
</Properties>
</file>