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466EF973-B4B1-48CD-89E8-9BE4AB0443ED}" xr6:coauthVersionLast="47" xr6:coauthVersionMax="47" xr10:uidLastSave="{00000000-0000-0000-0000-000000000000}"/>
  <bookViews>
    <workbookView xWindow="-108" yWindow="-108" windowWidth="23256" windowHeight="12576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8" l="1"/>
  <c r="I14" i="18" s="1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I13" i="18"/>
  <c r="N42" i="20"/>
  <c r="N41" i="20"/>
  <c r="N40" i="20"/>
  <c r="N39" i="20"/>
  <c r="J14" i="18" l="1"/>
  <c r="K14" i="18" s="1"/>
  <c r="J13" i="18"/>
  <c r="K13" i="18" s="1"/>
  <c r="F23" i="20"/>
  <c r="E23" i="20"/>
  <c r="D23" i="20"/>
  <c r="C23" i="20"/>
  <c r="E31" i="20"/>
  <c r="E28" i="20"/>
  <c r="E29" i="20"/>
  <c r="E30" i="20"/>
  <c r="E27" i="20"/>
  <c r="D31" i="20"/>
  <c r="K36" i="20"/>
  <c r="F38" i="20"/>
  <c r="F37" i="20"/>
  <c r="I15" i="18" l="1"/>
  <c r="J15" i="18" s="1"/>
  <c r="K15" i="18" s="1"/>
  <c r="G23" i="20"/>
  <c r="I16" i="18" l="1"/>
  <c r="I17" i="18" s="1"/>
  <c r="J16" i="18" l="1"/>
  <c r="K16" i="18" s="1"/>
  <c r="I18" i="18"/>
  <c r="J17" i="18"/>
  <c r="K17" i="18" s="1"/>
  <c r="I19" i="18" l="1"/>
  <c r="J18" i="18"/>
  <c r="K18" i="18" s="1"/>
  <c r="J19" i="18" l="1"/>
  <c r="K19" i="18" s="1"/>
  <c r="I20" i="18"/>
  <c r="I21" i="18" l="1"/>
  <c r="J20" i="18"/>
  <c r="K20" i="18" s="1"/>
  <c r="I22" i="18" l="1"/>
  <c r="J21" i="18"/>
  <c r="K21" i="18" s="1"/>
  <c r="I23" i="18" l="1"/>
  <c r="J22" i="18"/>
  <c r="K22" i="18" s="1"/>
  <c r="J23" i="18" l="1"/>
  <c r="K23" i="18" s="1"/>
  <c r="I24" i="18"/>
  <c r="I25" i="18" l="1"/>
  <c r="J24" i="18"/>
  <c r="K24" i="18" s="1"/>
  <c r="I26" i="18" l="1"/>
  <c r="J25" i="18"/>
  <c r="K25" i="18" s="1"/>
  <c r="I27" i="18" l="1"/>
  <c r="J26" i="18"/>
  <c r="K26" i="18" s="1"/>
  <c r="J27" i="18" l="1"/>
  <c r="K27" i="18" s="1"/>
  <c r="I28" i="18"/>
  <c r="I29" i="18" l="1"/>
  <c r="J28" i="18"/>
  <c r="K28" i="18" s="1"/>
  <c r="I30" i="18" l="1"/>
  <c r="J29" i="18"/>
  <c r="K29" i="18" s="1"/>
  <c r="I31" i="18" l="1"/>
  <c r="J30" i="18"/>
  <c r="K30" i="18" s="1"/>
  <c r="J31" i="18" l="1"/>
  <c r="K31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<sst xmlns="http://schemas.openxmlformats.org/spreadsheetml/2006/main" count="193" uniqueCount="132">
  <si>
    <t>~TFM_UPD</t>
  </si>
  <si>
    <t>IMP*Z</t>
  </si>
  <si>
    <t>AllRegions</t>
  </si>
  <si>
    <t>ACTCOST</t>
  </si>
  <si>
    <t>IMPDEMZ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</si>
  <si>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</si>
  <si>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</si>
  <si>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</si>
  <si>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</si>
  <si>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</si>
  <si>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</si>
  <si>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</si>
  <si>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</si>
  <si>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</si>
  <si>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</si>
  <si>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</si>
  <si>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</si>
  <si>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</si>
  <si>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</si>
  <si>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</si>
  <si>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</si>
  <si>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</si>
  <si>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</si>
  <si>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</si>
  <si>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</si>
  <si>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</si>
  <si>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</si>
  <si>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</si>
  <si>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</si>
  <si>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</si>
  <si>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</si>
  <si>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</si>
  <si>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</si>
  <si>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</si>
  <si>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</si>
  <si>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</si>
  <si>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</si>
  <si>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</si>
  <si>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</si>
  <si>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</si>
  <si>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</si>
  <si>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</si>
  <si>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</si>
  <si>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</si>
  <si>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</si>
  <si>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</si>
  <si>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</si>
  <si>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</si>
  <si>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</si>
  <si>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</si>
  <si>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</si>
  <si>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</si>
  <si>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</si>
  <si>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</si>
  <si>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</si>
  <si>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</si>
  <si>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</si>
  <si>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</si>
  <si>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</si>
  <si>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</si>
  <si>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</si>
  <si>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</si>
  <si>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</si>
  <si>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</si>
  <si>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</si>
  <si>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</si>
  <si>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</si>
  <si>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</si>
  <si>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</si>
  <si>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</si>
  <si>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</si>
  <si>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</si>
  <si>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</si>
  <si>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</si>
  <si>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</si>
  <si>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</si>
  <si>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</si>
  <si>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</si>
  <si>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</si>
  <si>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</si>
  <si>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</si>
  <si>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</si>
  <si>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</si>
  <si>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</si>
  <si>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</si>
  <si>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</si>
  <si>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</si>
  <si>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</si>
  <si>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</si>
  <si>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</si>
  <si>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</si>
  <si>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</si>
  <si>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</si>
  <si>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</si>
  <si>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</si>
  <si>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</si>
  <si>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</si>
  <si>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</si>
  <si>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</si>
  <si>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</si>
  <si>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</si>
  <si>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</si>
  <si>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</si>
  <si>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</si>
  <si>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</si>
  <si>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</si>
  <si>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</si>
  <si>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</si>
  <si>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</si>
  <si>
    <t>UC_N</t>
  </si>
  <si>
    <t>Other_indexes</t>
  </si>
  <si>
    <t>*Description</t>
  </si>
  <si>
    <t>Allow for negative objective function</t>
  </si>
  <si>
    <t>N</t>
  </si>
  <si>
    <t>UC_RHS</t>
  </si>
  <si>
    <t>OBJVAR</t>
  </si>
  <si>
    <t>MEuro23</t>
  </si>
  <si>
    <t>https://stat.fi/tup/laskurit/rahanarvonmuunnin_en.html</t>
  </si>
  <si>
    <t>1,33 with 2015 before</t>
  </si>
  <si>
    <t>PRC_TSL</t>
  </si>
  <si>
    <t>DAYNITE</t>
  </si>
  <si>
    <t>Timeslice</t>
  </si>
  <si>
    <t>~TFM_INS-txt</t>
  </si>
  <si>
    <t>EMLv2</t>
  </si>
  <si>
    <t>~TimePeriods</t>
  </si>
  <si>
    <t>Check your definition-Tool</t>
  </si>
  <si>
    <t>EMLv1</t>
  </si>
  <si>
    <t>EMLv3</t>
  </si>
  <si>
    <t>Choose length to check milestoneyears</t>
  </si>
  <si>
    <t>start</t>
  </si>
  <si>
    <t>end</t>
  </si>
  <si>
    <t>milestoneyears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</si>
</sst>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0.000"/>
    <numFmt numFmtId="165" formatCode="0.0000"/>
    <numFmt numFmtId="166" formatCode="_ * #,##0_ ;_ * \-#,##0_ ;_ * &quot;-&quot;_ ;_ @_ "/>
    <numFmt numFmtId="167" formatCode="_ * #,##0.00_ ;_ * \-#,##0.00_ ;_ * &quot;-&quot;??_ ;_ @_ 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sz val="10"/>
      <color theme="1"/>
      <name val="Arial"/>
    </font>
    <font>
      <sz val="11"/>
      <color theme="1"/>
      <name val="Calibri"/>
    </font>
  </fonts>
  <fills count="5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8">
    <xf numFmtId="0" fontId="0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14" borderId="0" applyNumberFormat="0" applyBorder="0" applyAlignment="0" applyProtection="0"/>
    <xf numFmtId="0" fontId="17" fillId="13" borderId="0" applyNumberFormat="0" applyBorder="0" applyAlignment="0" applyProtection="0"/>
    <xf numFmtId="43" fontId="2" fillId="0" borderId="0" applyFont="0" applyFill="0" applyBorder="0" applyAlignment="0" applyProtection="0"/>
    <xf numFmtId="0" fontId="18" fillId="12" borderId="0" applyNumberFormat="0" applyBorder="0" applyAlignment="0" applyProtection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9" fillId="0" borderId="0" applyFont="0" applyFill="0" applyBorder="0" applyAlignment="0" applyProtection="0"/>
    <xf numFmtId="0" fontId="26" fillId="26" borderId="0" applyNumberFormat="0" applyBorder="0" applyAlignment="0" applyProtection="0"/>
    <xf numFmtId="0" fontId="1" fillId="17" borderId="0" applyNumberFormat="0" applyBorder="0" applyAlignment="0" applyProtection="0"/>
    <xf numFmtId="0" fontId="26" fillId="27" borderId="0" applyNumberFormat="0" applyBorder="0" applyAlignment="0" applyProtection="0"/>
    <xf numFmtId="0" fontId="1" fillId="18" borderId="0" applyNumberFormat="0" applyBorder="0" applyAlignment="0" applyProtection="0"/>
    <xf numFmtId="0" fontId="26" fillId="29" borderId="0" applyNumberFormat="0" applyBorder="0" applyAlignment="0" applyProtection="0"/>
    <xf numFmtId="0" fontId="1" fillId="19" borderId="0" applyNumberFormat="0" applyBorder="0" applyAlignment="0" applyProtection="0"/>
    <xf numFmtId="0" fontId="26" fillId="31" borderId="0" applyNumberFormat="0" applyBorder="0" applyAlignment="0" applyProtection="0"/>
    <xf numFmtId="0" fontId="1" fillId="22" borderId="0" applyNumberFormat="0" applyBorder="0" applyAlignment="0" applyProtection="0"/>
    <xf numFmtId="0" fontId="26" fillId="32" borderId="0" applyNumberFormat="0" applyBorder="0" applyAlignment="0" applyProtection="0"/>
    <xf numFmtId="0" fontId="26" fillId="28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20" borderId="0" applyNumberFormat="0" applyBorder="0" applyAlignment="0" applyProtection="0"/>
    <xf numFmtId="0" fontId="26" fillId="31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50" fillId="0" borderId="0" applyNumberFormat="0" applyFont="0" applyFill="0" applyBorder="0" applyProtection="0">
      <alignment horizontal="left" vertical="center" indent="5"/>
    </xf>
    <xf numFmtId="0" fontId="50" fillId="0" borderId="0" applyNumberFormat="0" applyFont="0" applyFill="0" applyBorder="0" applyProtection="0">
      <alignment horizontal="left" vertical="center" indent="5"/>
    </xf>
    <xf numFmtId="0" fontId="27" fillId="40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7" fillId="21" borderId="0" applyNumberFormat="0" applyBorder="0" applyAlignment="0" applyProtection="0"/>
    <xf numFmtId="0" fontId="27" fillId="41" borderId="0" applyNumberFormat="0" applyBorder="0" applyAlignment="0" applyProtection="0"/>
    <xf numFmtId="0" fontId="17" fillId="23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17" fillId="24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1" borderId="0" applyNumberFormat="0" applyBorder="0" applyAlignment="0" applyProtection="0"/>
    <xf numFmtId="0" fontId="27" fillId="39" borderId="0" applyNumberFormat="0" applyBorder="0" applyAlignment="0" applyProtection="0"/>
    <xf numFmtId="0" fontId="27" fillId="46" borderId="0" applyNumberFormat="0" applyBorder="0" applyAlignment="0" applyProtection="0"/>
    <xf numFmtId="4" fontId="51" fillId="47" borderId="4">
      <alignment horizontal="right" vertical="center"/>
    </xf>
    <xf numFmtId="0" fontId="3" fillId="0" borderId="0">
      <alignment horizontal="center" vertical="center"/>
    </xf>
    <xf numFmtId="0" fontId="56" fillId="25" borderId="0"/>
    <xf numFmtId="0" fontId="3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28" fillId="27" borderId="0" applyNumberFormat="0" applyBorder="0" applyAlignment="0" applyProtection="0"/>
    <xf numFmtId="4" fontId="52" fillId="0" borderId="12" applyFill="0" applyBorder="0" applyProtection="0">
      <alignment horizontal="right" vertical="center"/>
    </xf>
    <xf numFmtId="0" fontId="29" fillId="33" borderId="19" applyNumberFormat="0" applyAlignment="0" applyProtection="0"/>
    <xf numFmtId="0" fontId="21" fillId="15" borderId="15" applyNumberFormat="0" applyAlignment="0" applyProtection="0"/>
    <xf numFmtId="0" fontId="57" fillId="15" borderId="15" applyNumberFormat="0" applyAlignment="0" applyProtection="0"/>
    <xf numFmtId="1" fontId="1" fillId="53" borderId="0"/>
    <xf numFmtId="0" fontId="30" fillId="48" borderId="20" applyNumberFormat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9" fontId="7" fillId="0" borderId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7" fontId="45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" fontId="1" fillId="54" borderId="0"/>
    <xf numFmtId="0" fontId="7" fillId="55" borderId="0"/>
    <xf numFmtId="0" fontId="7" fillId="55" borderId="0"/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9">
      <alignment horizontal="center" vertical="center" wrapText="1"/>
    </xf>
    <xf numFmtId="0" fontId="24" fillId="0" borderId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6" fillId="0" borderId="0"/>
    <xf numFmtId="0" fontId="31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32" fillId="29" borderId="0" applyNumberFormat="0" applyBorder="0" applyAlignment="0" applyProtection="0"/>
    <xf numFmtId="0" fontId="10" fillId="57" borderId="0">
      <alignment horizontal="left"/>
    </xf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10" fillId="57" borderId="0">
      <alignment horizontal="left"/>
    </xf>
    <xf numFmtId="173" fontId="49" fillId="0" borderId="0">
      <alignment horizontal="left" vertical="center"/>
    </xf>
    <xf numFmtId="173" fontId="49" fillId="0" borderId="0">
      <alignment horizontal="left"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6" fillId="28" borderId="19" applyNumberFormat="0" applyAlignment="0" applyProtection="0"/>
    <xf numFmtId="4" fontId="51" fillId="0" borderId="24">
      <alignment horizontal="right" vertical="center"/>
    </xf>
    <xf numFmtId="0" fontId="37" fillId="0" borderId="25" applyNumberFormat="0" applyFill="0" applyAlignment="0" applyProtection="0"/>
    <xf numFmtId="0" fontId="59" fillId="0" borderId="16" applyNumberFormat="0" applyFill="0" applyAlignment="0" applyProtection="0"/>
    <xf numFmtId="17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18" fillId="12" borderId="0" applyNumberFormat="0" applyBorder="0" applyAlignment="0" applyProtection="0"/>
    <xf numFmtId="0" fontId="38" fillId="3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1" fillId="0" borderId="0"/>
    <xf numFmtId="0" fontId="6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50" fillId="49" borderId="0" applyNumberFormat="0" applyFont="0" applyBorder="0" applyAlignment="0" applyProtection="0"/>
    <xf numFmtId="0" fontId="50" fillId="49" borderId="0" applyNumberFormat="0" applyFont="0" applyBorder="0" applyAlignment="0" applyProtection="0"/>
    <xf numFmtId="0" fontId="26" fillId="30" borderId="26" applyNumberFormat="0" applyFont="0" applyAlignment="0" applyProtection="0"/>
    <xf numFmtId="0" fontId="26" fillId="16" borderId="17" applyNumberFormat="0" applyFont="0" applyAlignment="0" applyProtection="0"/>
    <xf numFmtId="0" fontId="26" fillId="16" borderId="17" applyNumberFormat="0" applyFont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9" fillId="33" borderId="27" applyNumberFormat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46" fillId="0" borderId="0" applyFont="0" applyFill="0" applyBorder="0" applyAlignment="0" applyProtection="0"/>
    <xf numFmtId="173" fontId="48" fillId="0" borderId="0" applyFill="0" applyBorder="0" applyAlignment="0" applyProtection="0"/>
    <xf numFmtId="166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0" fontId="7" fillId="0" borderId="0"/>
    <xf numFmtId="0" fontId="7" fillId="0" borderId="0"/>
    <xf numFmtId="0" fontId="51" fillId="49" borderId="4"/>
    <xf numFmtId="0" fontId="54" fillId="0" borderId="0"/>
    <xf numFmtId="0" fontId="45" fillId="0" borderId="0">
      <alignment vertical="top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23" fillId="50" borderId="0" applyNumberFormat="0" applyBorder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47" fillId="51" borderId="0" applyNumberFormat="0" applyBorder="0" applyProtection="0">
      <alignment horizontal="left"/>
    </xf>
    <xf numFmtId="0" fontId="61" fillId="0" borderId="0"/>
    <xf numFmtId="0" fontId="61" fillId="0" borderId="0"/>
    <xf numFmtId="0" fontId="40" fillId="0" borderId="0" applyNumberFormat="0" applyFill="0" applyBorder="0" applyAlignment="0" applyProtection="0"/>
    <xf numFmtId="0" fontId="41" fillId="0" borderId="28" applyNumberFormat="0" applyFill="0" applyAlignment="0" applyProtection="0"/>
    <xf numFmtId="0" fontId="43" fillId="58" borderId="1">
      <alignment horizontal="center" vertical="center" wrapText="1"/>
    </xf>
    <xf numFmtId="0" fontId="43" fillId="58" borderId="1">
      <alignment horizontal="center" vertical="center" wrapText="1"/>
    </xf>
    <xf numFmtId="0" fontId="43" fillId="58" borderId="1">
      <alignment vertical="center" wrapText="1"/>
    </xf>
    <xf numFmtId="171" fontId="4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4" fontId="51" fillId="0" borderId="0"/>
    <xf numFmtId="0" fontId="7" fillId="0" borderId="0"/>
    <xf numFmtId="0" fontId="1" fillId="0" borderId="0"/>
    <xf numFmtId="0" fontId="20" fillId="1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7" fillId="4" borderId="1" xfId="0" applyFont="1" applyFill="1" applyBorder="1"/>
    <xf numFmtId="0" fontId="9" fillId="0" borderId="0" xfId="0" applyFont="1"/>
    <xf numFmtId="0" fontId="10" fillId="5" borderId="0" xfId="0" applyFont="1" applyFill="1" applyAlignment="1">
      <alignment horizontal="left"/>
    </xf>
    <xf numFmtId="0" fontId="4" fillId="0" borderId="0" xfId="1" applyFont="1"/>
    <xf numFmtId="0" fontId="7" fillId="0" borderId="0" xfId="1"/>
    <xf numFmtId="0" fontId="0" fillId="2" borderId="1" xfId="0" applyFill="1" applyBorder="1"/>
    <xf numFmtId="0" fontId="0" fillId="7" borderId="0" xfId="0" applyFill="1"/>
    <xf numFmtId="0" fontId="7" fillId="0" borderId="0" xfId="0" applyFont="1"/>
    <xf numFmtId="0" fontId="7" fillId="8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7" fillId="0" borderId="0" xfId="2"/>
    <xf numFmtId="0" fontId="6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9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7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14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3" xfId="1" applyFont="1" applyFill="1" applyBorder="1" applyAlignment="1">
      <alignment horizontal="center"/>
    </xf>
    <xf numFmtId="0" fontId="13" fillId="4" borderId="13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4" fillId="0" borderId="0" xfId="0" applyFont="1"/>
    <xf numFmtId="0" fontId="13" fillId="0" borderId="0" xfId="0" applyFont="1"/>
    <xf numFmtId="0" fontId="3" fillId="10" borderId="1" xfId="0" applyFont="1" applyFill="1" applyBorder="1"/>
    <xf numFmtId="0" fontId="7" fillId="11" borderId="0" xfId="1" applyFill="1"/>
    <xf numFmtId="0" fontId="7" fillId="11" borderId="0" xfId="0" applyFont="1" applyFill="1"/>
    <xf numFmtId="2" fontId="7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2" fillId="4" borderId="5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left"/>
    </xf>
    <xf numFmtId="0" fontId="12" fillId="4" borderId="10" xfId="1" applyFont="1" applyFill="1" applyBorder="1" applyAlignment="1">
      <alignment horizontal="left"/>
    </xf>
    <xf numFmtId="0" fontId="12" fillId="4" borderId="11" xfId="1" applyFont="1" applyFill="1" applyBorder="1" applyAlignment="1">
      <alignment horizontal="center"/>
    </xf>
    <xf numFmtId="0" fontId="12" fillId="4" borderId="8" xfId="1" applyFont="1" applyFill="1" applyBorder="1" applyAlignment="1">
      <alignment horizontal="center"/>
    </xf>
    <xf numFmtId="0" fontId="12" fillId="4" borderId="12" xfId="1" applyFont="1" applyFill="1" applyBorder="1" applyAlignment="1">
      <alignment horizontal="center"/>
    </xf>
    <xf numFmtId="0" fontId="13" fillId="0" borderId="0" xfId="1" quotePrefix="1" applyFont="1" applyAlignment="1">
      <alignment horizontal="center"/>
    </xf>
    <xf numFmtId="0" fontId="13" fillId="4" borderId="10" xfId="1" applyFont="1" applyFill="1" applyBorder="1" applyAlignment="1">
      <alignment horizontal="center"/>
    </xf>
    <xf numFmtId="164" fontId="13" fillId="4" borderId="11" xfId="1" applyNumberFormat="1" applyFont="1" applyFill="1" applyBorder="1" applyAlignment="1">
      <alignment horizontal="center"/>
    </xf>
    <xf numFmtId="164" fontId="13" fillId="4" borderId="8" xfId="1" applyNumberFormat="1" applyFont="1" applyFill="1" applyBorder="1" applyAlignment="1">
      <alignment horizontal="center"/>
    </xf>
    <xf numFmtId="164" fontId="13" fillId="4" borderId="12" xfId="1" applyNumberFormat="1" applyFont="1" applyFill="1" applyBorder="1" applyAlignment="1">
      <alignment horizontal="center"/>
    </xf>
    <xf numFmtId="0" fontId="15" fillId="0" borderId="0" xfId="0" applyFont="1"/>
    <xf numFmtId="0" fontId="7" fillId="9" borderId="1" xfId="0" applyFont="1" applyFill="1" applyBorder="1"/>
    <xf numFmtId="0" fontId="16" fillId="0" borderId="0" xfId="5"/>
    <xf numFmtId="0" fontId="62" fillId="0" borderId="0" xfId="0" applyFont="1"/>
    <xf numFmtId="0" fontId="63" fillId="0" borderId="0" xfId="0" applyFont="1"/>
    <xf numFmtId="0" fontId="62" fillId="6" borderId="4" xfId="0" applyFont="1" applyFill="1" applyBorder="1"/>
    <xf numFmtId="0" fontId="63" fillId="7" borderId="0" xfId="0" applyFont="1" applyFill="1"/>
  </cellXfs>
  <cellStyles count="458">
    <cellStyle name="20 % - Farve5 2" xfId="19" xr:uid="{6324E214-B9DB-419B-8914-6ECC2AD378BF}"/>
    <cellStyle name="20% - Accent1 2" xfId="36" xr:uid="{E6F081E5-864C-49C0-A0FD-0FA4DC1CB385}"/>
    <cellStyle name="20% - Accent1 3" xfId="37" xr:uid="{2E0789FA-7BED-49C4-8C90-64B23E4CF7D5}"/>
    <cellStyle name="20% - Accent2 2" xfId="38" xr:uid="{C5ECF4E1-5D3A-49D0-81F9-EB2849547BD5}"/>
    <cellStyle name="20% - Accent2 3" xfId="39" xr:uid="{FA1E065E-2C59-4EAE-A183-A83DA3113015}"/>
    <cellStyle name="20% - Accent3 2" xfId="40" xr:uid="{CCF96C42-4909-4C78-9466-A51B849B7F13}"/>
    <cellStyle name="20% - Accent3 3" xfId="41" xr:uid="{9B7C691D-EAD3-4E7C-BF26-8E3B599057CF}"/>
    <cellStyle name="20% - Accent4 2" xfId="42" xr:uid="{48CC9790-8F22-4318-9154-2D43DF9A1723}"/>
    <cellStyle name="20% - Accent4 3" xfId="43" xr:uid="{0A7F509C-B395-4958-84DC-922358BEFC42}"/>
    <cellStyle name="20% - Accent5 2" xfId="44" xr:uid="{E0E33F52-41F1-4A9B-8CD5-D0203F6C54E5}"/>
    <cellStyle name="20% - Accent6 2" xfId="45" xr:uid="{2A74033D-40F8-46A7-8184-9768746FEBA5}"/>
    <cellStyle name="40% - Accent1 2" xfId="46" xr:uid="{306D4DD8-F1B5-4639-BC27-CDDD4CD3543D}"/>
    <cellStyle name="40% - Accent2 2" xfId="47" xr:uid="{C719E698-53C3-4AD7-BA27-F73564190B5D}"/>
    <cellStyle name="40% - Accent3 2" xfId="48" xr:uid="{5D48A54F-8F43-4B1C-88F4-454656260A93}"/>
    <cellStyle name="40% - Accent3 3" xfId="49" xr:uid="{C410F6EC-A906-4771-9DE2-9022736F0E38}"/>
    <cellStyle name="40% - Accent4 2" xfId="50" xr:uid="{AB1CF8D6-D226-44A5-906B-AC1A5510486E}"/>
    <cellStyle name="40% - Accent5 2" xfId="51" xr:uid="{46730E36-3ECC-4AA8-8D75-58A17E5A33F4}"/>
    <cellStyle name="40% - Accent6 2" xfId="52" xr:uid="{C70EC61C-5C2A-4D40-8FB7-366006891BC5}"/>
    <cellStyle name="5x indented GHG Textfiels" xfId="53" xr:uid="{CFD06147-B1FA-47BA-BF9E-1957191BDAF5}"/>
    <cellStyle name="5x indented GHG Textfiels 2" xfId="54" xr:uid="{869EE563-414E-4260-80B0-E47744AE725F}"/>
    <cellStyle name="60 % - Farve2 2" xfId="20" xr:uid="{6368DE6F-09BA-497B-8882-8FAF7D2B7A4D}"/>
    <cellStyle name="60% - Accent1 2" xfId="55" xr:uid="{97D71D45-816E-4C08-93C8-F9F048E2757E}"/>
    <cellStyle name="60% - Accent2 2" xfId="56" xr:uid="{F82C2C8D-D338-4C88-9713-DAE74A9F32A6}"/>
    <cellStyle name="60% - Accent3 2" xfId="57" xr:uid="{7EF9BBA4-206C-45F5-8C9D-CE8BFA8A34C7}"/>
    <cellStyle name="60% - Accent3 3" xfId="58" xr:uid="{7A8A27A9-6F63-4F52-8C18-1D6E19ACD838}"/>
    <cellStyle name="60% - Accent4 2" xfId="59" xr:uid="{8F4C4E61-2993-4815-A67D-9E27E576786C}"/>
    <cellStyle name="60% - Accent4 3" xfId="60" xr:uid="{90EBF778-383C-472D-B6AF-BAF5DFDB47B8}"/>
    <cellStyle name="60% - Accent5 2" xfId="61" xr:uid="{5A2E2B8B-DE9E-4AB3-B9C0-58E016F88C20}"/>
    <cellStyle name="60% - Accent6 2" xfId="62" xr:uid="{07425B2E-150E-43BB-8D37-1A4B7223F155}"/>
    <cellStyle name="60% - Accent6 3" xfId="63" xr:uid="{3C277E92-B243-4925-B235-29E07971F687}"/>
    <cellStyle name="Accent1 2" xfId="64" xr:uid="{0D605532-1652-47F6-ABA3-2277BC009DC2}"/>
    <cellStyle name="Accent2 2" xfId="65" xr:uid="{D7BB2C7E-63C2-45B8-8386-5C7927F7F31A}"/>
    <cellStyle name="Accent3 2" xfId="66" xr:uid="{78595802-353E-4633-802E-EB15D0F3AAF4}"/>
    <cellStyle name="Accent4 2" xfId="67" xr:uid="{FB7CF187-044F-4281-A498-38CA2A4267AB}"/>
    <cellStyle name="Accent5 2" xfId="68" xr:uid="{9E3EC975-4A95-48C3-A721-9CF7BA4F77F5}"/>
    <cellStyle name="Accent6 2" xfId="69" xr:uid="{2324C900-08A7-4B1B-92B7-648563CD3626}"/>
    <cellStyle name="AggblueCels_1x" xfId="70" xr:uid="{3AC0CE5E-3406-43CE-9F02-F5D64300BDA5}"/>
    <cellStyle name="Assumption Heading" xfId="71" xr:uid="{9EA2BF54-B4AE-44FA-9472-F10FFF3519EA}"/>
    <cellStyle name="Assumptions" xfId="72" xr:uid="{2794F969-0527-4E26-AF00-6E807CB503F3}"/>
    <cellStyle name="Attrib" xfId="73" xr:uid="{9E78CDFA-D509-4BBA-B435-CE63A8DBECEB}"/>
    <cellStyle name="Attrib 2" xfId="74" xr:uid="{8A85ABE4-1C7D-4905-BA49-F8B20B34E86A}"/>
    <cellStyle name="Attrib 2 2" xfId="75" xr:uid="{BFB42450-B9B1-4B70-8F90-EB83B041C9A6}"/>
    <cellStyle name="Attrib 2 3" xfId="76" xr:uid="{FAA3D528-7FB4-413F-90A3-493D607B79F7}"/>
    <cellStyle name="Bad 2" xfId="77" xr:uid="{88A9D69B-3E92-4EEF-88D3-FF18BE8698B6}"/>
    <cellStyle name="Bold GHG Numbers (0.00)" xfId="78" xr:uid="{FCD5A39E-EF43-4A77-B88A-E851645327E5}"/>
    <cellStyle name="Calculation 2" xfId="79" xr:uid="{8C709D17-59EF-4AD5-B810-B31A30570C02}"/>
    <cellStyle name="Calculation 2 2" xfId="80" xr:uid="{4F7FC70E-6C16-403A-9936-B97C6ED23820}"/>
    <cellStyle name="Calculation 2 3" xfId="81" xr:uid="{667F13BE-BA6C-4BB0-B6BB-61DCEF2F8351}"/>
    <cellStyle name="Char" xfId="82" xr:uid="{14FA8AE4-4985-4C58-B3A1-586CA2EA193D}"/>
    <cellStyle name="Check Cell 2" xfId="83" xr:uid="{58E7FD03-32D7-496B-A9ED-D1A636F06E2F}"/>
    <cellStyle name="Comma 10" xfId="84" xr:uid="{AA5EC4CD-E08A-4E8B-8329-4F65B944D724}"/>
    <cellStyle name="Comma 11" xfId="85" xr:uid="{D09D1DA2-3138-4D67-9B6C-D56AF9BF30A6}"/>
    <cellStyle name="Comma 2" xfId="6" xr:uid="{5328234D-B336-4743-8245-37B5500A8129}"/>
    <cellStyle name="Comma 2 2" xfId="21" xr:uid="{4EB9E95A-971E-4520-BD4A-1E33FC12A7B7}"/>
    <cellStyle name="Comma 2 2 2" xfId="88" xr:uid="{D4272B2E-B6B9-49AD-8DE1-F4708C435EE5}"/>
    <cellStyle name="Comma 2 2 3" xfId="89" xr:uid="{A9BFB052-49CE-40E0-8D6C-D4CBB9605333}"/>
    <cellStyle name="Comma 2 2 4" xfId="87" xr:uid="{47FBC3F7-CF22-436F-BC31-DA365BBFB7E4}"/>
    <cellStyle name="Comma 2 3" xfId="90" xr:uid="{301547EA-662D-4A2A-9FFD-3DD7D568A6C9}"/>
    <cellStyle name="Comma 2 3 2" xfId="91" xr:uid="{FFF519B0-C7DD-4832-A530-07A4D34273E6}"/>
    <cellStyle name="Comma 2 4" xfId="92" xr:uid="{9BEA7B22-E9BF-4A88-BC19-D14CA416C00F}"/>
    <cellStyle name="Comma 2 4 2" xfId="93" xr:uid="{96D7887D-DE97-4DAA-8056-6916AE6EAD13}"/>
    <cellStyle name="Comma 2 5" xfId="94" xr:uid="{D7227FA2-7B21-4597-8387-D70D5BD40E23}"/>
    <cellStyle name="Comma 2 6" xfId="95" xr:uid="{35B569FF-0215-43F4-A780-4C3B0CCF045D}"/>
    <cellStyle name="Comma 2 7" xfId="86" xr:uid="{60290F94-66D8-4936-8E58-93413C437A98}"/>
    <cellStyle name="Comma 3" xfId="96" xr:uid="{E799BC5B-C887-4639-BE05-AD2A8DEB9C6A}"/>
    <cellStyle name="Comma 3 2" xfId="97" xr:uid="{C3171B0C-2840-4602-AF37-A4C3A847597B}"/>
    <cellStyle name="Comma 3 2 2" xfId="98" xr:uid="{CE642EB8-2E06-4AD2-BD2D-B4A14631D6BE}"/>
    <cellStyle name="Comma 3 2 2 2" xfId="99" xr:uid="{FD23E54D-6A60-4F33-B921-B871B774460F}"/>
    <cellStyle name="Comma 3 2 3" xfId="100" xr:uid="{AF49D268-6AB5-4FA4-9BAA-11E295A61814}"/>
    <cellStyle name="Comma 3 2 4" xfId="101" xr:uid="{9DDC1E46-3FE5-4296-8769-E1E2E165B045}"/>
    <cellStyle name="Comma 3 3" xfId="102" xr:uid="{9C8BCD12-FB0B-49DC-B702-0DC0A5B8B21E}"/>
    <cellStyle name="Comma 3 3 2" xfId="103" xr:uid="{DC56AB49-454A-4AF7-8D86-195548D782BD}"/>
    <cellStyle name="Comma 3 4" xfId="104" xr:uid="{2C76683D-EFC1-44E1-BF72-BFB0AF630099}"/>
    <cellStyle name="Comma 3 4 2" xfId="105" xr:uid="{61CCABCF-F2DA-4D72-AA49-EA5B24EC7158}"/>
    <cellStyle name="Comma 3 5" xfId="106" xr:uid="{DAC92B0A-1309-4132-BF92-A80E5F7B417C}"/>
    <cellStyle name="Comma 4" xfId="107" xr:uid="{CE7BB3CD-4FB8-42E4-BE6C-39EA4BFB0F41}"/>
    <cellStyle name="Comma 4 2" xfId="108" xr:uid="{FE400912-2C6E-4DA8-BAB7-B643C3F1357C}"/>
    <cellStyle name="Comma 4 2 2" xfId="109" xr:uid="{CF3CE31F-1FEA-4DD1-AA43-CF98E3EBA033}"/>
    <cellStyle name="Comma 4 2 3" xfId="110" xr:uid="{2AAB4E2E-5E73-4313-A393-050AE9028D2F}"/>
    <cellStyle name="Comma 4 3" xfId="111" xr:uid="{F7E8011C-2EE7-41B3-AF48-57A396ABA42D}"/>
    <cellStyle name="Comma 4 4" xfId="112" xr:uid="{462AA882-3593-48B9-A548-230D68FD819B}"/>
    <cellStyle name="Comma 4 4 2" xfId="113" xr:uid="{8A0A7F81-0E9A-405B-83C7-C011C5A3FD5D}"/>
    <cellStyle name="Comma 4 5" xfId="114" xr:uid="{A1AA1A7B-48C9-4DAE-97CF-186EA8C7F7EA}"/>
    <cellStyle name="Comma 4 6" xfId="115" xr:uid="{C09008BE-CDB1-403D-9B40-53BE6B5FC5B1}"/>
    <cellStyle name="Comma 4 7" xfId="116" xr:uid="{2BB7B7E8-4876-462A-8F16-4732D5038C96}"/>
    <cellStyle name="Comma 4 8" xfId="117" xr:uid="{1B9A3FA4-13B2-4DCB-ABB5-FE1AA0AAA8BC}"/>
    <cellStyle name="Comma 5" xfId="118" xr:uid="{FA206462-87C5-4EE7-B9FC-D9DAC0A3C13E}"/>
    <cellStyle name="Comma 6" xfId="119" xr:uid="{6264BC4F-F3A2-4C67-B288-B28DDE736F54}"/>
    <cellStyle name="Comma 6 2" xfId="120" xr:uid="{C63882F4-0D3D-449D-9C1E-C91DC7430F20}"/>
    <cellStyle name="Comma 6 2 2" xfId="121" xr:uid="{3D944C94-B2FA-408D-A349-8B0D8142B6D7}"/>
    <cellStyle name="Comma 6 3" xfId="122" xr:uid="{B4955314-08CE-42E3-BA58-87945FD63523}"/>
    <cellStyle name="Comma 7" xfId="123" xr:uid="{1DEB5FD5-2311-48B7-A038-0EEEC5EA633C}"/>
    <cellStyle name="Comma 8" xfId="124" xr:uid="{D51A69FD-7E23-4229-ABD3-E5215FC563BC}"/>
    <cellStyle name="Comma 8 2" xfId="125" xr:uid="{3CBDB87B-B033-4638-992B-2FFA1B696EB2}"/>
    <cellStyle name="Comma 9" xfId="126" xr:uid="{734BBD3B-497A-4B09-89BA-760DD077D71E}"/>
    <cellStyle name="Currency 2" xfId="127" xr:uid="{DBF9811E-65BB-47FF-9B32-9B23FE1DF789}"/>
    <cellStyle name="Currency 2 2" xfId="128" xr:uid="{152682C5-F525-4609-BF33-E5EF553A69AE}"/>
    <cellStyle name="Data" xfId="129" xr:uid="{887C65E8-9765-47F6-AA2E-E1588C8F2FC5}"/>
    <cellStyle name="Defn" xfId="130" xr:uid="{CFEBE276-5BFA-47CB-9146-7C36CC97B82F}"/>
    <cellStyle name="Defn 2" xfId="131" xr:uid="{CD30EB1A-E527-49AD-8220-5351154B9BE3}"/>
    <cellStyle name="Desc" xfId="132" xr:uid="{C40A481C-4AA5-45DA-9452-421E25830619}"/>
    <cellStyle name="Desc 2" xfId="133" xr:uid="{1713FC17-2296-48D0-9C4E-6216D273B03E}"/>
    <cellStyle name="Desc 2 2" xfId="134" xr:uid="{10B88460-AFAB-4B80-BC77-9D38254A874A}"/>
    <cellStyle name="Desc 3" xfId="135" xr:uid="{E57680C2-BD64-4847-BE57-0F397CF18DC8}"/>
    <cellStyle name="Desc 3 2" xfId="136" xr:uid="{DE933868-768A-4111-B3C5-4D5E31BB0B15}"/>
    <cellStyle name="Desc 4" xfId="137" xr:uid="{7B4BEEA3-5382-4E91-B2EA-F6AF966CC877}"/>
    <cellStyle name="Desc 5" xfId="138" xr:uid="{E998000C-4C07-4ECD-8C87-B75CFA88DEB5}"/>
    <cellStyle name="Description" xfId="139" xr:uid="{92BE7081-C4F9-46C7-B319-5559491EDEBE}"/>
    <cellStyle name="Euro" xfId="140" xr:uid="{39F75776-55C6-4F18-A83C-715305E5502C}"/>
    <cellStyle name="Euro 10" xfId="141" xr:uid="{B62B4DE6-240C-41C2-A27A-72914ED59F52}"/>
    <cellStyle name="Euro 10 2" xfId="142" xr:uid="{1AF4CFEF-7848-49B9-9E61-60D36865CA52}"/>
    <cellStyle name="Euro 10 2 2" xfId="143" xr:uid="{5A286B58-E7D9-443C-B8E6-33167A6475E4}"/>
    <cellStyle name="Euro 10 2 3" xfId="144" xr:uid="{76E8B279-5E2A-45F2-AEEF-A416AD7FCC93}"/>
    <cellStyle name="Euro 10 3" xfId="145" xr:uid="{23DE9D78-52D0-488F-A16A-35D77259FF13}"/>
    <cellStyle name="Euro 11" xfId="146" xr:uid="{C657FB6F-1BA6-43E4-B7C2-8C95DD274CA3}"/>
    <cellStyle name="Euro 11 2" xfId="147" xr:uid="{EF3928F3-94EA-47E9-846C-3EC417BAA5B8}"/>
    <cellStyle name="Euro 11 2 2" xfId="148" xr:uid="{112BE8DC-0630-451E-95D6-4A7F353BD6E8}"/>
    <cellStyle name="Euro 11 2 3" xfId="149" xr:uid="{59CC4CE4-5064-42B4-A7C3-3ED3578583AA}"/>
    <cellStyle name="Euro 11 3" xfId="150" xr:uid="{D6DB370D-82CC-4801-AF74-4103AAC29B68}"/>
    <cellStyle name="Euro 12" xfId="151" xr:uid="{9CF16BFB-3153-44DC-A1A3-5CD372B22DFD}"/>
    <cellStyle name="Euro 12 2" xfId="152" xr:uid="{06DEEB35-D5FD-48DB-8692-7B535A7878E0}"/>
    <cellStyle name="Euro 12 2 2" xfId="153" xr:uid="{EC5F4A64-AF42-4FE1-90E8-96A2F366A27F}"/>
    <cellStyle name="Euro 12 2 3" xfId="154" xr:uid="{F443652C-A3A0-46A5-88CE-B54D968C2C4D}"/>
    <cellStyle name="Euro 12 3" xfId="155" xr:uid="{2ACC168F-C163-4014-8433-856F6DBAD029}"/>
    <cellStyle name="Euro 13" xfId="156" xr:uid="{DFBF2489-0C40-4B2E-834F-53E49F33CD68}"/>
    <cellStyle name="Euro 13 2" xfId="157" xr:uid="{CB94ADF9-6F35-4B5D-AC80-CC39DC311A6C}"/>
    <cellStyle name="Euro 13 3" xfId="158" xr:uid="{23742227-0C45-403D-8280-01B64405A5CD}"/>
    <cellStyle name="Euro 14" xfId="159" xr:uid="{9B06A878-E6BF-47B8-9631-409CE94EF51B}"/>
    <cellStyle name="Euro 14 2" xfId="160" xr:uid="{939E685C-86E7-4790-8C9E-BEA01A5EB077}"/>
    <cellStyle name="Euro 15" xfId="161" xr:uid="{B008C05B-210C-4F33-9BE8-DCF41143727A}"/>
    <cellStyle name="Euro 2" xfId="162" xr:uid="{F1241B08-2A2E-4884-BE00-F49FFF7B036D}"/>
    <cellStyle name="Euro 2 2" xfId="163" xr:uid="{3231F8AD-1CDF-47D5-9F16-432E001E274B}"/>
    <cellStyle name="Euro 2 2 2" xfId="164" xr:uid="{B1FC3338-B17D-43DB-AF6C-3974186A43BF}"/>
    <cellStyle name="Euro 2 2 3" xfId="165" xr:uid="{2C1ED455-A699-4873-9921-CA9739D5E77B}"/>
    <cellStyle name="Euro 2 3" xfId="166" xr:uid="{BFA4C66A-DFCF-41AC-B7BA-DDC0B5A8E8E2}"/>
    <cellStyle name="Euro 3" xfId="167" xr:uid="{D33C44C1-A49C-4EF4-9130-61EED3CC7787}"/>
    <cellStyle name="Euro 3 2" xfId="168" xr:uid="{6B80F6EA-6010-4C3F-998F-1E256741B22E}"/>
    <cellStyle name="Euro 3 2 2" xfId="169" xr:uid="{A620F5BF-C070-411B-AB07-62387EE3C2E4}"/>
    <cellStyle name="Euro 3 2 3" xfId="170" xr:uid="{97B91054-1F8B-4F45-A150-7E9C3F1616B9}"/>
    <cellStyle name="Euro 3 3" xfId="171" xr:uid="{844F2932-BE31-400F-8994-D87CF454F242}"/>
    <cellStyle name="Euro 4" xfId="172" xr:uid="{76222632-E908-4D95-A027-5C2A92269D84}"/>
    <cellStyle name="Euro 4 2" xfId="173" xr:uid="{BDD1E545-EDF7-4D64-B4F8-E05177618779}"/>
    <cellStyle name="Euro 4 2 2" xfId="174" xr:uid="{E699988F-2901-4C61-AE97-A69798965C1E}"/>
    <cellStyle name="Euro 4 2 3" xfId="175" xr:uid="{AF5B4A11-640E-424F-B010-054A3F1019AC}"/>
    <cellStyle name="Euro 4 3" xfId="176" xr:uid="{0D5C9F34-DCC2-45A9-8669-FF9A25F539A4}"/>
    <cellStyle name="Euro 5" xfId="177" xr:uid="{8A39CC12-D4F0-4375-90EC-2F2610AA7536}"/>
    <cellStyle name="Euro 5 2" xfId="178" xr:uid="{71A9ADD6-B3D8-4AB3-BA91-F5F734F0FEE3}"/>
    <cellStyle name="Euro 5 2 2" xfId="179" xr:uid="{C06E35A0-A897-4EF8-9F45-DD8C83BA8820}"/>
    <cellStyle name="Euro 5 2 3" xfId="180" xr:uid="{4FC49F8D-182A-43C5-BB54-2A6074E7A046}"/>
    <cellStyle name="Euro 5 3" xfId="181" xr:uid="{89870C06-3C83-4530-BE32-3469065DF4A3}"/>
    <cellStyle name="Euro 6" xfId="182" xr:uid="{8CAD322F-EDBF-4527-9B94-BF00FB491AD2}"/>
    <cellStyle name="Euro 6 2" xfId="183" xr:uid="{F7A04877-89B3-4CF5-9963-0299D27C91B3}"/>
    <cellStyle name="Euro 6 2 2" xfId="184" xr:uid="{07BA1C78-B074-4AE1-A0EB-0C8CCA526597}"/>
    <cellStyle name="Euro 6 2 3" xfId="185" xr:uid="{77D3BC1E-2552-424D-99A2-42027C3AA3B9}"/>
    <cellStyle name="Euro 6 3" xfId="186" xr:uid="{FDFCE40A-50B1-4072-82A1-0DAEBEA63F68}"/>
    <cellStyle name="Euro 7" xfId="187" xr:uid="{2365A1ED-EA31-4336-8F2E-A8B6C1CE9C18}"/>
    <cellStyle name="Euro 7 2" xfId="188" xr:uid="{709DE6E3-5945-494E-BEA3-EF83039470D9}"/>
    <cellStyle name="Euro 7 2 2" xfId="189" xr:uid="{82C1AE42-A66F-4C8D-B678-F97E5406AE69}"/>
    <cellStyle name="Euro 7 2 3" xfId="190" xr:uid="{CF7216D4-A7B2-4B5B-A531-650210EAED1F}"/>
    <cellStyle name="Euro 7 3" xfId="191" xr:uid="{C3F50310-0D67-4639-BF7B-69A462B98542}"/>
    <cellStyle name="Euro 8" xfId="192" xr:uid="{A0262D4F-AAA1-45C3-B018-F3A858301400}"/>
    <cellStyle name="Euro 8 2" xfId="193" xr:uid="{3D9FD0A1-C02B-4DEA-9A53-422A43DD3B1A}"/>
    <cellStyle name="Euro 8 2 2" xfId="194" xr:uid="{4F8BA843-2C09-476A-B94C-993DFF8D59C6}"/>
    <cellStyle name="Euro 8 2 3" xfId="195" xr:uid="{9F640BEF-9CF7-4BA3-B92A-C0E3FACBC66E}"/>
    <cellStyle name="Euro 8 3" xfId="196" xr:uid="{CBD8F3E0-DF82-4A6A-8A03-B3310EB2A6F6}"/>
    <cellStyle name="Euro 9" xfId="197" xr:uid="{F9CBFB5F-A4DB-48D1-93E5-BABE032F1324}"/>
    <cellStyle name="Euro 9 2" xfId="198" xr:uid="{576E4116-E65D-453F-94F4-272064EAF58D}"/>
    <cellStyle name="Euro 9 2 2" xfId="199" xr:uid="{A4E5D988-ECDB-41DE-9187-D115464C008B}"/>
    <cellStyle name="Euro 9 2 3" xfId="200" xr:uid="{43E113A4-50B4-4C7D-AE41-CC79401CAED7}"/>
    <cellStyle name="Euro 9 3" xfId="201" xr:uid="{E78B7583-9B9E-42D2-B9DE-4B555873114B}"/>
    <cellStyle name="Excel Built-in Normal" xfId="202" xr:uid="{9FD7773D-9259-4C6B-96D6-F4A7EE07FE1B}"/>
    <cellStyle name="Explanatory Text 2" xfId="203" xr:uid="{41E22902-3BBA-447A-A5C5-5481AD49F55D}"/>
    <cellStyle name="Float" xfId="204" xr:uid="{49C6C871-FA3F-43DA-B4BF-BE63B5F8F11D}"/>
    <cellStyle name="Float 2" xfId="205" xr:uid="{3A646A95-B32F-47A9-91AE-92166BAFF873}"/>
    <cellStyle name="Float 2 2" xfId="206" xr:uid="{5D12B012-3BC7-4BC1-8965-F6C051CE0B04}"/>
    <cellStyle name="Float 2 2 2" xfId="207" xr:uid="{1AE73B76-06BB-4922-92C1-F7168A46F995}"/>
    <cellStyle name="Float 2 2 3" xfId="208" xr:uid="{56C9F02F-84B1-4AB7-B929-40166C972178}"/>
    <cellStyle name="Float 2 3" xfId="209" xr:uid="{E6C6ADA4-5BAC-4E26-9317-EB2561D634CC}"/>
    <cellStyle name="Float 3" xfId="210" xr:uid="{80F7BC34-A79F-4755-AF3F-4D8ECD0B3F8B}"/>
    <cellStyle name="Float 3 2" xfId="211" xr:uid="{40617E70-9245-4C73-B5A7-068DBB7F6CB0}"/>
    <cellStyle name="Float 3 3" xfId="212" xr:uid="{B4B11589-F17E-4B12-AEBC-ECD58BA0C5F5}"/>
    <cellStyle name="Float 4" xfId="213" xr:uid="{9E5B4555-735E-4E69-A295-726CC497C82A}"/>
    <cellStyle name="Good 2" xfId="214" xr:uid="{F0353F36-A4A1-4B4F-A810-704D08582F2C}"/>
    <cellStyle name="Heading" xfId="215" xr:uid="{2962D2D6-8934-4E7E-87EF-8E34984E094A}"/>
    <cellStyle name="Heading 1 2" xfId="216" xr:uid="{6A826FF8-CBED-4290-B1F2-27CB251111B6}"/>
    <cellStyle name="Heading 2 2" xfId="217" xr:uid="{3C46AEAE-92FE-47FB-9823-663BA8C11ADA}"/>
    <cellStyle name="Heading 3 2" xfId="218" xr:uid="{D233831A-5831-4539-8804-9DE44CB0A87C}"/>
    <cellStyle name="Heading 4 2" xfId="219" xr:uid="{AC504717-C2D3-4CE8-B1D9-DA08A80F5CD2}"/>
    <cellStyle name="Heading 5" xfId="220" xr:uid="{C545CD15-124A-4713-9B0A-B4D213AFD0C0}"/>
    <cellStyle name="Heading 5 2" xfId="221" xr:uid="{D53852B7-8E29-4C35-A2A4-ACC66D1146A6}"/>
    <cellStyle name="Heading 5 3" xfId="222" xr:uid="{26F6778C-D8D0-4309-A334-E4DB981A3939}"/>
    <cellStyle name="Heading 6" xfId="223" xr:uid="{C0F25B96-7F50-4B66-B03A-EC96FE3C4B21}"/>
    <cellStyle name="Heading 7" xfId="224" xr:uid="{1CE51A61-44A3-40CA-9B8E-70B4BE1EBE39}"/>
    <cellStyle name="Heading 8" xfId="225" xr:uid="{D90423CF-A0CC-4DC7-BB13-F9BE843CAE23}"/>
    <cellStyle name="Hyperlink 2" xfId="226" xr:uid="{9F256DD4-FB55-4AD5-8A25-1CE844931673}"/>
    <cellStyle name="Hyperlink 2 2" xfId="227" xr:uid="{3383D17E-5574-4D95-B1C0-EBCA1AE8DA00}"/>
    <cellStyle name="Hyperlink 2 3" xfId="228" xr:uid="{5F9C3AD8-9931-4757-8706-038D8747BF5B}"/>
    <cellStyle name="Hyperlink 3" xfId="229" xr:uid="{3A5E3548-D550-445D-9A43-D43569C48E20}"/>
    <cellStyle name="Hyperlink 3 2" xfId="230" xr:uid="{15DC2BE5-5DDC-48C7-BC40-068D8AC276D6}"/>
    <cellStyle name="Hyperlink 3 3" xfId="231" xr:uid="{17454BE0-9AC5-44C2-8118-37303211E8F8}"/>
    <cellStyle name="Hyperlink 4" xfId="232" xr:uid="{B3AE67DA-ED1B-46E4-BD1F-177D4A129848}"/>
    <cellStyle name="Hyperlink 5" xfId="233" xr:uid="{C9AEAD05-B0D7-4125-AB00-D73731B457F9}"/>
    <cellStyle name="Input 2" xfId="234" xr:uid="{4137D125-77E3-4436-AF7C-DE5EEF04FB82}"/>
    <cellStyle name="InputCells12_BBorder_CRFReport-template" xfId="235" xr:uid="{F6BFEF18-DE82-4089-A361-2B90EA039A05}"/>
    <cellStyle name="Link" xfId="5" builtinId="8"/>
    <cellStyle name="Linked Cell 2" xfId="236" xr:uid="{968A578A-E3E9-4717-B9F9-6C22387347DB}"/>
    <cellStyle name="Linked Cell 2 2" xfId="237" xr:uid="{6C02D097-DFAB-495B-8627-AD116AEA6760}"/>
    <cellStyle name="Migliaia_tab emissioni" xfId="35" xr:uid="{BBD1872B-F624-46BA-AEA6-954BDD7C12CF}"/>
    <cellStyle name="Milliers [0]_03tabmat" xfId="238" xr:uid="{06B65ECC-303C-4DED-AD1C-C4007CD309DB}"/>
    <cellStyle name="Milliers_03tabmat" xfId="239" xr:uid="{736BF05C-D75A-4E5E-9264-F23687C2BF6C}"/>
    <cellStyle name="Monétaire [0]_03tabmat" xfId="240" xr:uid="{76CFE938-0E8F-4721-A31A-01D9D8FD238B}"/>
    <cellStyle name="Monétaire_03tabmat" xfId="241" xr:uid="{2AC6C8A9-3798-4B78-B2D0-1BCF2A04B312}"/>
    <cellStyle name="Neutral 2" xfId="22" xr:uid="{ED5CD443-072B-4D29-BEB6-40A1062571BF}"/>
    <cellStyle name="Neutral 2 2" xfId="243" xr:uid="{FA345EC4-2D26-44CE-92E1-DFF628D78C06}"/>
    <cellStyle name="Neutral 3" xfId="456" xr:uid="{F42EA952-9940-4A2D-90A4-8EED64D7B00C}"/>
    <cellStyle name="Neutral 4" xfId="242" xr:uid="{83809F9B-1A58-4D62-8908-D02329E17D30}"/>
    <cellStyle name="Normal" xfId="0" builtinId="0"/>
    <cellStyle name="Normal 10" xfId="1" xr:uid="{00000000-0005-0000-0000-000001000000}"/>
    <cellStyle name="Normal 10 2" xfId="244" xr:uid="{DAE6B7B0-A592-4F2C-BA15-54246CE2CAFC}"/>
    <cellStyle name="Normal 10 2 2" xfId="245" xr:uid="{9BEDD65D-75E3-4F2F-A5CD-2D7BC226F955}"/>
    <cellStyle name="Normal 10 2 2 2" xfId="246" xr:uid="{1521F6FB-38C5-4198-AF20-53B4913004CC}"/>
    <cellStyle name="Normal 10 3" xfId="247" xr:uid="{575389A3-93E5-46C9-A354-CAF942F2423E}"/>
    <cellStyle name="Normal 10 4" xfId="248" xr:uid="{7DEDCB84-A02E-4DD1-9A06-E85C6002C6FD}"/>
    <cellStyle name="Normal 10 5" xfId="249" xr:uid="{E4021301-7180-496B-BC20-1F16C52DC601}"/>
    <cellStyle name="Normal 10 6" xfId="250" xr:uid="{946118CA-2F26-4298-B306-41373AE6EA7C}"/>
    <cellStyle name="Normal 10 7" xfId="251" xr:uid="{7A156C42-85E8-4562-8AE1-F6AC52B88251}"/>
    <cellStyle name="Normal 10 8" xfId="252" xr:uid="{8E8DD179-D75B-456F-AC0C-F6A2BF14CB3E}"/>
    <cellStyle name="Normal 11" xfId="253" xr:uid="{86CE43B2-882F-44D4-8D2F-564737D45746}"/>
    <cellStyle name="Normal 12" xfId="254" xr:uid="{25D67FA6-DC32-4753-8747-F6A03C7D7717}"/>
    <cellStyle name="Normal 12 2" xfId="255" xr:uid="{E06073EE-365B-4869-B2F5-F638A2B99BD9}"/>
    <cellStyle name="Normal 12 2 2" xfId="256" xr:uid="{050CE4E0-BE3C-43F4-9E41-8803456F2762}"/>
    <cellStyle name="Normal 12 3" xfId="257" xr:uid="{55142BC9-01F1-43DB-A18A-788EA37AD768}"/>
    <cellStyle name="Normal 13" xfId="258" xr:uid="{F656D0F3-0153-4160-9B1B-C7B2A7C7EDF6}"/>
    <cellStyle name="Normal 14" xfId="259" xr:uid="{F25CFDF8-5F1A-4708-BC1D-15A7DEE626F4}"/>
    <cellStyle name="Normal 15" xfId="260" xr:uid="{1B7FEE40-A505-44E0-8075-4D97206E6A74}"/>
    <cellStyle name="Normal 16" xfId="261" xr:uid="{312827C6-2335-4C2E-BD6C-9FCB5F50FB99}"/>
    <cellStyle name="Normal 17" xfId="262" xr:uid="{4E9C723F-9D78-41B1-9DA4-AD4825E7FEC1}"/>
    <cellStyle name="Normal 18" xfId="263" xr:uid="{2AA3F827-82DB-4031-B0CA-A700E331094C}"/>
    <cellStyle name="Normal 19" xfId="264" xr:uid="{E9A2A426-C0F3-4813-B520-6D7452CCB8E3}"/>
    <cellStyle name="Normal 2" xfId="2" xr:uid="{00000000-0005-0000-0000-000002000000}"/>
    <cellStyle name="Normal 2 10" xfId="265" xr:uid="{FEAC4249-41E2-47AA-8BC9-FEA59645CB5F}"/>
    <cellStyle name="Normal 2 11" xfId="266" xr:uid="{297743A7-EF2C-46AE-B1BB-D311E68FFC92}"/>
    <cellStyle name="Normal 2 2" xfId="267" xr:uid="{0286B24B-0991-4424-833D-072E53B79956}"/>
    <cellStyle name="Normal 2 2 2" xfId="32" xr:uid="{91E696F2-33F9-4A60-8A19-A5F603AA2B6E}"/>
    <cellStyle name="Normal 2 2 2 2" xfId="268" xr:uid="{9249CC0E-BC73-4E6A-958D-DF3F390E39B3}"/>
    <cellStyle name="Normal 2 2 2 3" xfId="269" xr:uid="{F3C54838-3A53-4908-93C0-2619E9B167E5}"/>
    <cellStyle name="Normal 2 2 2 4" xfId="270" xr:uid="{39EBAF40-7FE4-4587-9008-0E4F967AF446}"/>
    <cellStyle name="Normal 2 2 2 5" xfId="271" xr:uid="{E0276C24-B705-41AE-A7B4-60D749075547}"/>
    <cellStyle name="Normal 2 2 2 6" xfId="272" xr:uid="{FFAB6964-8D74-4F2B-ACF7-C6C0D3EA460F}"/>
    <cellStyle name="Normal 2 2 2 7" xfId="273" xr:uid="{C5ACC8F0-6D26-4009-8E2D-DFE872A351F1}"/>
    <cellStyle name="Normal 2 2 2 7 2" xfId="274" xr:uid="{0EA88D64-67F7-43BC-A1ED-DF3512D28E7C}"/>
    <cellStyle name="Normal 2 2 3" xfId="275" xr:uid="{54186AA0-C491-4ABB-B029-9843FED92831}"/>
    <cellStyle name="Normal 2 2 3 2" xfId="276" xr:uid="{6D48EAE9-75BA-4BF6-A4DA-FD5F5A79AE6F}"/>
    <cellStyle name="Normal 2 2 3 2 2" xfId="277" xr:uid="{382DC807-6410-411F-B4D4-05C317B0440D}"/>
    <cellStyle name="Normal 2 2 4" xfId="278" xr:uid="{B066ED29-4936-4C5A-97F1-75C77F8EAFCC}"/>
    <cellStyle name="Normal 2 2 4 2" xfId="279" xr:uid="{277BFD1A-1704-49CB-98B8-B645FF3BE1D7}"/>
    <cellStyle name="Normal 2 2 4 2 2" xfId="280" xr:uid="{4CF59D3C-6A6C-4A7F-828D-A9F37C6DDE4E}"/>
    <cellStyle name="Normal 2 2 5" xfId="281" xr:uid="{9F0B621B-70C6-448F-9040-D116BD4FBFCB}"/>
    <cellStyle name="Normal 2 2 5 2" xfId="282" xr:uid="{31A7C021-4B07-44BC-A588-9E33C5948C74}"/>
    <cellStyle name="Normal 2 2 5 2 2" xfId="283" xr:uid="{CD7B4AAC-AA8B-4A8C-B59D-7B7D07486015}"/>
    <cellStyle name="Normal 2 2 6" xfId="284" xr:uid="{2E317B90-0E2F-4FFD-B7F3-3C4CC031DE4D}"/>
    <cellStyle name="Normal 2 2 6 2" xfId="285" xr:uid="{0C9990FA-4E48-44B4-AA21-B08A05A07353}"/>
    <cellStyle name="Normal 2 2 6 2 2" xfId="286" xr:uid="{D6D2A45D-F8D0-494B-B2D4-6E3F11815903}"/>
    <cellStyle name="Normal 2 2 7" xfId="287" xr:uid="{AE051E2D-6E4E-4312-A80A-F7052423F71C}"/>
    <cellStyle name="Normal 2 3" xfId="31" xr:uid="{2901B656-79E2-4C6F-A177-730398C2AF7B}"/>
    <cellStyle name="Normal 2 3 2" xfId="289" xr:uid="{9BE424C2-F9FE-4CD9-94B4-EBE70F3B98EE}"/>
    <cellStyle name="Normal 2 3 2 2" xfId="290" xr:uid="{ED280352-69FC-4955-A17E-BCD28268C1E7}"/>
    <cellStyle name="Normal 2 3 3" xfId="291" xr:uid="{2334A0EA-12A2-42AE-947D-E1AAC9A20390}"/>
    <cellStyle name="Normal 2 3 4" xfId="292" xr:uid="{9233E624-9445-462A-B87B-DF36B4B034B0}"/>
    <cellStyle name="Normal 2 3 5" xfId="293" xr:uid="{0A5AB1C9-C940-4F6A-AD2C-7DC8B9F908D8}"/>
    <cellStyle name="Normal 2 3 6" xfId="288" xr:uid="{3235CB35-A6BE-490D-9BCC-F9682E375A49}"/>
    <cellStyle name="Normal 2 4" xfId="294" xr:uid="{AD6675D0-5F90-43F9-ABD2-1B255AD45586}"/>
    <cellStyle name="Normal 2 4 2" xfId="295" xr:uid="{D60C6AAB-506D-4489-BDC3-71AA31701690}"/>
    <cellStyle name="Normal 2 4 2 2" xfId="296" xr:uid="{05E2B3D6-5177-46BB-A3D7-D8012C5BD7BA}"/>
    <cellStyle name="Normal 2 5" xfId="297" xr:uid="{61E1999F-4956-4B9B-BE8F-EB74F1F09F04}"/>
    <cellStyle name="Normal 2 5 2" xfId="298" xr:uid="{8FE5AAC7-096F-4A85-92F6-6C3C4CD867E9}"/>
    <cellStyle name="Normal 2 5 2 2" xfId="299" xr:uid="{941F3B32-173D-4E7E-B2B3-CDC759D9F3C3}"/>
    <cellStyle name="Normal 2 6" xfId="300" xr:uid="{71C41B21-9EF5-4C36-A1AA-111D3DDEC81E}"/>
    <cellStyle name="Normal 2 6 2" xfId="301" xr:uid="{076F6CBF-4AB5-49F4-B416-AEA7017AC7A0}"/>
    <cellStyle name="Normal 2 6 2 2" xfId="302" xr:uid="{00714E90-47FE-487A-B7AF-81C89F3716C3}"/>
    <cellStyle name="Normal 2 7" xfId="303" xr:uid="{F30BC614-FED6-4A2D-949F-4C8C42A39D2F}"/>
    <cellStyle name="Normal 2 7 2" xfId="304" xr:uid="{1D6B10EE-19E1-4D8F-B830-4160B2AE577E}"/>
    <cellStyle name="Normal 2 7 2 2" xfId="305" xr:uid="{3187739F-8C5D-4CBB-9D3E-D9FF41FE9800}"/>
    <cellStyle name="Normal 2 8" xfId="306" xr:uid="{0F364B4C-55BD-49D9-A86D-89250F49974F}"/>
    <cellStyle name="Normal 2 8 2" xfId="307" xr:uid="{5930A0D9-C5B3-4388-8258-5384031E0FF9}"/>
    <cellStyle name="Normal 2 8 2 2" xfId="308" xr:uid="{0A701B4C-9007-4AF3-84B0-D5508620BB85}"/>
    <cellStyle name="Normal 2 9" xfId="309" xr:uid="{71D526AD-A609-4FE2-B0FB-674FE46C61F1}"/>
    <cellStyle name="Normal 2 9 2" xfId="310" xr:uid="{FAB70AFF-33CC-4821-9DCA-74AA85C8D5FB}"/>
    <cellStyle name="Normal 2 9 2 2" xfId="311" xr:uid="{7F2CCB04-B690-4039-B3EB-0AF44563014D}"/>
    <cellStyle name="Normal 20" xfId="312" xr:uid="{32F0E480-5A44-415D-8CC6-47BB3C993F1C}"/>
    <cellStyle name="Normal 21" xfId="313" xr:uid="{5F6E8A77-5E8A-4518-8BCB-339C12523753}"/>
    <cellStyle name="Normal 22" xfId="314" xr:uid="{32507BE7-EFD9-477D-81B5-146A67C0B0A3}"/>
    <cellStyle name="Normal 23" xfId="315" xr:uid="{E47DAC9D-E331-4E09-9460-9C746E212306}"/>
    <cellStyle name="Normal 24" xfId="316" xr:uid="{7FEE3AF9-8372-4F2E-B94E-C79FD913CF4A}"/>
    <cellStyle name="Normal 25" xfId="317" xr:uid="{BA74C262-978F-45C4-A35A-87D7F29B4E26}"/>
    <cellStyle name="Normal 26" xfId="318" xr:uid="{F17FB17B-E9D8-407D-AE31-06C12B824587}"/>
    <cellStyle name="Normal 27" xfId="319" xr:uid="{EEDE419A-7FCF-4376-8AEE-0B23FDEE311F}"/>
    <cellStyle name="Normal 28" xfId="320" xr:uid="{D6B5A315-CBD8-44ED-A75E-A33F62DA8C54}"/>
    <cellStyle name="Normal 28 2" xfId="321" xr:uid="{CBF0FA71-98BB-47CA-A92B-D5C08A31F0CD}"/>
    <cellStyle name="Normal 29" xfId="322" xr:uid="{C1DFAE3A-D97E-4F30-9E0C-EFBB4C38B267}"/>
    <cellStyle name="Normal 3" xfId="28" xr:uid="{3096583B-C3BE-492D-9653-2753C3781BE0}"/>
    <cellStyle name="Normal 3 10" xfId="33" xr:uid="{740B39DD-D803-4CEE-88BA-6D86A5F764BD}"/>
    <cellStyle name="Normal 3 2" xfId="29" xr:uid="{B39E5255-0E83-4D07-8944-0E9203FD47CC}"/>
    <cellStyle name="Normal 3 2 2" xfId="325" xr:uid="{51BF2DAE-F091-4EA5-B789-F2F9AA005CBD}"/>
    <cellStyle name="Normal 3 2 2 2" xfId="30" xr:uid="{3F9D9A99-C13C-4F59-A775-98F5A9BCD450}"/>
    <cellStyle name="Normal 3 2 3" xfId="326" xr:uid="{075EFE93-45E0-44F9-9234-612073BC5B76}"/>
    <cellStyle name="Normal 3 2 4" xfId="327" xr:uid="{8833AD47-29DA-402A-83F5-3444342E61B2}"/>
    <cellStyle name="Normal 3 2 5" xfId="328" xr:uid="{8594E1FA-3A18-4084-922C-A2C7BFD7D254}"/>
    <cellStyle name="Normal 3 2 6" xfId="324" xr:uid="{C60A5A4E-1AAB-46FF-8AEA-6B07479F5D44}"/>
    <cellStyle name="Normal 3 3" xfId="329" xr:uid="{E5B7D799-740E-4607-B609-4D7EFDE6A977}"/>
    <cellStyle name="Normal 3 3 2" xfId="330" xr:uid="{12F245C9-391E-4F83-B9B2-92BE1AD27C20}"/>
    <cellStyle name="Normal 3 3 2 2" xfId="331" xr:uid="{541F1DD0-D472-4F3F-A099-FB362D6D071B}"/>
    <cellStyle name="Normal 3 4" xfId="332" xr:uid="{A4B3C0CC-54B9-42EB-93E3-2D9FA57AA733}"/>
    <cellStyle name="Normal 3 4 2" xfId="333" xr:uid="{76F80B9B-5B52-4CA7-BD2C-DE3C8B6D3A89}"/>
    <cellStyle name="Normal 3 4 2 2" xfId="334" xr:uid="{CCE17C26-B0F9-4199-90B2-18F539BD86EE}"/>
    <cellStyle name="Normal 3 5" xfId="335" xr:uid="{F18B3A05-3C4D-4537-A532-A1B329936D6B}"/>
    <cellStyle name="Normal 3 6" xfId="336" xr:uid="{AB654804-C3C8-4E5E-AD5A-3E852DA92CA8}"/>
    <cellStyle name="Normal 3 7" xfId="337" xr:uid="{806567F2-E96E-4BCD-B94B-FDD732FD79B4}"/>
    <cellStyle name="Normal 3 8" xfId="323" xr:uid="{0EE4992D-06A8-4A24-8A94-D8E927D310AA}"/>
    <cellStyle name="Normal 30" xfId="338" xr:uid="{7BE152E4-EC35-427D-938E-B04862FFE906}"/>
    <cellStyle name="Normal 31" xfId="339" xr:uid="{48D1CFEF-06E6-4EB5-B17E-E48B101CE31B}"/>
    <cellStyle name="Normal 32" xfId="340" xr:uid="{EB4E0953-66F5-4E6F-8F07-DB2623DA19EF}"/>
    <cellStyle name="Normal 33" xfId="341" xr:uid="{828A920D-E385-43DA-99DF-3AB55FC9D159}"/>
    <cellStyle name="Normal 34" xfId="342" xr:uid="{A6070D27-0336-4C95-BB0D-C4ABADF3E77D}"/>
    <cellStyle name="Normal 35" xfId="343" xr:uid="{4F4F1916-B945-4FC0-B646-C46EF44421BC}"/>
    <cellStyle name="Normal 35 2" xfId="344" xr:uid="{5483763A-F311-4F39-B48F-5280C67CC1A3}"/>
    <cellStyle name="Normal 36" xfId="345" xr:uid="{A5218EEE-3E81-46B9-B58A-3B31D28E676D}"/>
    <cellStyle name="Normal 37" xfId="454" xr:uid="{30D34A33-9BB9-4139-A94C-882F3BF2849F}"/>
    <cellStyle name="Normal 38" xfId="455" xr:uid="{83EC21BE-0694-4A84-808E-09D6E540EFFF}"/>
    <cellStyle name="Normal 4" xfId="7" xr:uid="{924C91C5-623C-42D2-8FFB-203E96905BEF}"/>
    <cellStyle name="Normal 4 10" xfId="34" xr:uid="{D32AF94B-073D-4C4D-9D11-77FDD67CE0D6}"/>
    <cellStyle name="Normal 4 2" xfId="8" xr:uid="{48D1BC28-BD43-4C69-BBBA-B891E85AAC01}"/>
    <cellStyle name="Normal 4 2 2" xfId="348" xr:uid="{CBDC2F1E-56F2-41B7-9E69-54CC11FD920E}"/>
    <cellStyle name="Normal 4 2 3" xfId="349" xr:uid="{5C6E3042-3D7B-46F5-94C4-AAF37C38BA48}"/>
    <cellStyle name="Normal 4 2 3 2" xfId="350" xr:uid="{163B5147-7A73-464D-A1D3-9BBB4333C8FC}"/>
    <cellStyle name="Normal 4 2 3 2 2" xfId="351" xr:uid="{CFB48B8A-5BDE-44A3-9D91-87A57D8D8C8C}"/>
    <cellStyle name="Normal 4 2 3 3" xfId="352" xr:uid="{9B7837BD-BA8E-41AC-AF00-FE93EB00F9AF}"/>
    <cellStyle name="Normal 4 2 4" xfId="353" xr:uid="{7FECBEB6-C9CA-4A0E-9EC0-C7699065DEE5}"/>
    <cellStyle name="Normal 4 2 5" xfId="354" xr:uid="{70C2E96C-F3DB-42A1-A4DA-857CC4669EFA}"/>
    <cellStyle name="Normal 4 2 6" xfId="355" xr:uid="{810D6C77-70E7-43AD-901B-D62BCF3389FB}"/>
    <cellStyle name="Normal 4 2 7" xfId="347" xr:uid="{67D36B5C-E20A-4BBF-BA04-7E19F8E7A70C}"/>
    <cellStyle name="Normal 4 3" xfId="356" xr:uid="{EE8EB66F-8C9A-4AC6-A9DF-234883D80168}"/>
    <cellStyle name="Normal 4 3 2" xfId="357" xr:uid="{25910A91-C00D-4F04-90A8-EE464CFE731D}"/>
    <cellStyle name="Normal 4 3 2 2" xfId="358" xr:uid="{B299D241-0BE0-4EA0-806E-8ED7785549B8}"/>
    <cellStyle name="Normal 4 4" xfId="359" xr:uid="{8CE13D2E-E021-43A9-9E90-FA22B2068402}"/>
    <cellStyle name="Normal 4 5" xfId="360" xr:uid="{CDD56BA4-AE9E-435D-9645-842A679654D0}"/>
    <cellStyle name="Normal 4 6" xfId="361" xr:uid="{F753D933-7D0D-47C9-90D3-CA4722A9E7AA}"/>
    <cellStyle name="Normal 4 7" xfId="362" xr:uid="{32FCEB4A-939C-4ABE-84AD-163F9FBDBDC1}"/>
    <cellStyle name="Normal 4 8" xfId="363" xr:uid="{4537247D-0333-4827-B342-5DE7234EEE2F}"/>
    <cellStyle name="Normal 4 9" xfId="346" xr:uid="{080C1B2B-314A-403C-9971-EB9AF8D16803}"/>
    <cellStyle name="Normal 5" xfId="364" xr:uid="{CDED030E-C69F-418C-8D4E-7D27EEEC09FD}"/>
    <cellStyle name="Normal 5 2" xfId="365" xr:uid="{C8EE9514-2422-4F70-AB72-22D023D7D5F7}"/>
    <cellStyle name="Normal 5 2 2" xfId="366" xr:uid="{2F85FCB6-1B37-499D-AFE2-D71B83B24BF3}"/>
    <cellStyle name="Normal 5 3" xfId="367" xr:uid="{88A10764-92DB-4FF6-A61B-B1D15F982AA4}"/>
    <cellStyle name="Normal 5 4" xfId="368" xr:uid="{8A67EBE5-E279-434F-A253-588F9FAE7EFD}"/>
    <cellStyle name="Normal 6" xfId="369" xr:uid="{8F803B02-A09E-4E34-9794-611201F2540C}"/>
    <cellStyle name="Normal 6 2" xfId="370" xr:uid="{4BF4479F-B0B0-452F-BA76-815BC5A01233}"/>
    <cellStyle name="Normal 6 3" xfId="371" xr:uid="{C4C1E2F7-F9B2-44EC-B14C-8C3DE358756F}"/>
    <cellStyle name="Normal 6 4" xfId="372" xr:uid="{EF3495A9-8171-41B2-A6EA-18B09DD9D68D}"/>
    <cellStyle name="Normal 7" xfId="373" xr:uid="{8B7BEE80-18A1-4DEA-8DA3-4869B8378171}"/>
    <cellStyle name="Normal 7 2" xfId="374" xr:uid="{370A83C5-F938-4F8F-BAE1-BAEDDBCB53CB}"/>
    <cellStyle name="Normal 7 2 2" xfId="375" xr:uid="{F5F83D45-2172-4926-B12A-F9E1D4F6560C}"/>
    <cellStyle name="Normal 7 2 2 2" xfId="376" xr:uid="{69DB2380-B14B-4AAB-AD61-4FF327613803}"/>
    <cellStyle name="Normal 7 3" xfId="377" xr:uid="{F78CD009-2FE1-460A-A78A-77DA38450277}"/>
    <cellStyle name="Normal 7 3 2" xfId="378" xr:uid="{AF958307-044E-4481-9247-8977A09415AE}"/>
    <cellStyle name="Normal 7 3 2 2" xfId="379" xr:uid="{C017BC94-09B0-4034-8F65-832385D75567}"/>
    <cellStyle name="Normal 7 4" xfId="380" xr:uid="{76DD5D99-2DBB-4EE1-B6BC-1A3F360B8B55}"/>
    <cellStyle name="Normal 8" xfId="9" xr:uid="{822A2507-92BC-4F85-8820-AB0D9E59E51A}"/>
    <cellStyle name="Normal 8 2" xfId="23" xr:uid="{A55DC26F-642C-4511-AC50-7329D2ACE28C}"/>
    <cellStyle name="Normal 8 2 2" xfId="383" xr:uid="{FBCB388A-8BE8-4A9A-8FBE-520CE751A935}"/>
    <cellStyle name="Normal 8 2 2 2" xfId="384" xr:uid="{6A8E17F2-12CE-439A-AA66-0CBE6853052B}"/>
    <cellStyle name="Normal 8 2 3" xfId="382" xr:uid="{8238E5BC-1F87-4076-A676-CFC8233E1EE1}"/>
    <cellStyle name="Normal 8 3" xfId="385" xr:uid="{CADAD279-BD22-4207-B66A-DF3028BCF5DD}"/>
    <cellStyle name="Normal 8 3 2" xfId="386" xr:uid="{F97CEDEE-7E5E-4C21-AB56-948B1E23FF71}"/>
    <cellStyle name="Normal 8 4" xfId="387" xr:uid="{C872D44A-0800-45BB-BA84-4A30D78AB323}"/>
    <cellStyle name="Normal 8 5" xfId="388" xr:uid="{390CB076-C637-40EC-B03C-455FA2BEEBD6}"/>
    <cellStyle name="Normal 8 6" xfId="389" xr:uid="{189A3ED6-6450-4C99-8F34-29B63A6950B0}"/>
    <cellStyle name="Normal 8 7" xfId="381" xr:uid="{74372554-C70E-4EAF-A17F-90A8952F460B}"/>
    <cellStyle name="Normal 9" xfId="390" xr:uid="{9D007A9E-F387-426E-8DEB-D0B54A0E149E}"/>
    <cellStyle name="Normal 9 2" xfId="10" xr:uid="{03BFC15A-2EF7-48E9-9064-B5C5CAB41CB7}"/>
    <cellStyle name="Normal 9 2 2" xfId="391" xr:uid="{26FC241D-C4CF-4533-A09E-AD7E767633D8}"/>
    <cellStyle name="Normal GHG-Shade" xfId="392" xr:uid="{9B493D02-2075-4F8C-AA50-72686A62332A}"/>
    <cellStyle name="Normal GHG-Shade 2" xfId="393" xr:uid="{A9D56B62-F27C-4324-BB6D-0FF7DB414EAC}"/>
    <cellStyle name="Normale_B2020" xfId="3" xr:uid="{00000000-0005-0000-0000-000003000000}"/>
    <cellStyle name="Note 2" xfId="394" xr:uid="{88847412-A9BE-4CE7-A98C-306B9D496F4D}"/>
    <cellStyle name="Note 2 2" xfId="395" xr:uid="{8A0BDDBE-FFC7-494B-B707-BE4ADDEDBDA2}"/>
    <cellStyle name="Note 2 2 2" xfId="396" xr:uid="{C6719C20-356A-4B17-A17F-0292028C2C83}"/>
    <cellStyle name="Number [0.0]" xfId="397" xr:uid="{EF549354-F43D-41A0-A302-A0F073D1DDC3}"/>
    <cellStyle name="Number [0.0] 2" xfId="398" xr:uid="{97DA5D94-F3A2-4331-A5D8-DC31ACCC2230}"/>
    <cellStyle name="Output 2" xfId="399" xr:uid="{BC66C3F8-C62C-4183-A946-963CE4CB8065}"/>
    <cellStyle name="Percent 2" xfId="11" xr:uid="{B75F8B99-9C36-401E-887A-257DB934916B}"/>
    <cellStyle name="Percent 2 2" xfId="12" xr:uid="{E1C1782F-AF1D-46E6-BED7-CA1BB5A6D8C2}"/>
    <cellStyle name="Percent 2 2 2" xfId="401" xr:uid="{9475F1BF-5526-4617-B1CB-A26BC91DB7AA}"/>
    <cellStyle name="Percent 2 2 2 2" xfId="402" xr:uid="{9AF41BBA-E7C9-4F38-9523-A57A5EC5F554}"/>
    <cellStyle name="Percent 2 2 2 3" xfId="403" xr:uid="{63276D5C-DB29-4122-AC27-6204D30BBFEA}"/>
    <cellStyle name="Percent 2 2 3" xfId="404" xr:uid="{3BB082A7-B9CA-416C-A611-6AE79BC30FB7}"/>
    <cellStyle name="Percent 2 3" xfId="405" xr:uid="{ECE9E0B8-B333-4641-B350-2303145DCF6D}"/>
    <cellStyle name="Percent 2 3 2" xfId="406" xr:uid="{090072C3-4DF8-48AA-A97B-6B5E28B64548}"/>
    <cellStyle name="Percent 2 3 3" xfId="407" xr:uid="{9B4019BB-E37B-45EA-9365-121C5F5B8D6F}"/>
    <cellStyle name="Percent 2 4" xfId="408" xr:uid="{72BA0136-4CEF-4B93-8C27-6AA47DCC3A09}"/>
    <cellStyle name="Percent 2 5" xfId="409" xr:uid="{7DC16103-DC91-4C07-95CB-540D60086DCF}"/>
    <cellStyle name="Percent 2 6" xfId="400" xr:uid="{BC208FA4-DD34-477D-B9FF-7E287ED11C4D}"/>
    <cellStyle name="Percent 3" xfId="13" xr:uid="{6C3056A5-F521-42B7-A4BC-4F0662F6C74E}"/>
    <cellStyle name="Percent 3 2" xfId="14" xr:uid="{2A2D83CA-BA0B-4998-B487-E5ABE4759B8A}"/>
    <cellStyle name="Percent 3 2 2" xfId="411" xr:uid="{C4F4EAB9-51AD-463A-B899-75F3169EB651}"/>
    <cellStyle name="Percent 3 2 2 2" xfId="412" xr:uid="{31A8808B-DFEA-41B5-9CF0-3F4B597391FD}"/>
    <cellStyle name="Percent 3 2 3" xfId="410" xr:uid="{2CB64CE4-DEF8-4239-810C-6BE30EF95EDE}"/>
    <cellStyle name="Percent 3 3" xfId="25" xr:uid="{D15D82F6-25C2-4E59-A9BD-8D2469F18759}"/>
    <cellStyle name="Percent 4" xfId="15" xr:uid="{0051A595-5397-4411-BA13-D6C8E250433E}"/>
    <cellStyle name="Percent 4 2" xfId="16" xr:uid="{3975E6D2-49C2-4C76-93E7-A2C2C3630A93}"/>
    <cellStyle name="Percent 4 3" xfId="26" xr:uid="{BB591D0B-3BC0-46DD-90BB-8A427FE7CB5A}"/>
    <cellStyle name="Percent 4 4" xfId="457" xr:uid="{5D8C6F14-30C6-4834-8F6B-00DD58B443A0}"/>
    <cellStyle name="Percent 5" xfId="17" xr:uid="{17FF974E-B0A2-4E32-8BE8-278337E30DD7}"/>
    <cellStyle name="Percent 5 2" xfId="18" xr:uid="{0146A6D0-9D48-4D8F-97A6-812036F3ED6E}"/>
    <cellStyle name="Percent 6" xfId="27" xr:uid="{75D35818-4D4F-4F84-AB9E-472CACBB8CAA}"/>
    <cellStyle name="Pilkku_Layo9704" xfId="413" xr:uid="{034BB0A0-8B36-46A9-88B6-8499DC682171}"/>
    <cellStyle name="Procent 2" xfId="24" xr:uid="{B9BA2031-FFA1-4CA4-A4A1-73EA6613638F}"/>
    <cellStyle name="Publication_style" xfId="414" xr:uid="{C4DB33F3-A112-4240-9F2F-865F1BBAE8CA}"/>
    <cellStyle name="Pyör. luku_Layo9704" xfId="415" xr:uid="{56DD3422-3936-4DDD-857D-868EF9772AD9}"/>
    <cellStyle name="Pyör. valuutta_Layo9704" xfId="416" xr:uid="{1359EE24-2527-446A-A1E0-B8D272C53CFC}"/>
    <cellStyle name="Refdb standard" xfId="417" xr:uid="{8DF5E6B6-754A-4DAB-BFC6-E5517D1F3C07}"/>
    <cellStyle name="Refdb standard 2" xfId="418" xr:uid="{47DC7631-FC6B-43C8-8BA8-C2F82B33B102}"/>
    <cellStyle name="Shade" xfId="419" xr:uid="{BF5F19B4-03B9-4FC1-8FE1-2A322899B7A6}"/>
    <cellStyle name="Source" xfId="420" xr:uid="{3DF95A03-A9A7-45A9-940C-375F9201470D}"/>
    <cellStyle name="Standard_Sce_D_Extraction" xfId="4" xr:uid="{00000000-0005-0000-0000-000004000000}"/>
    <cellStyle name="Style 1" xfId="421" xr:uid="{F17713D0-C2F6-46CE-82C4-9F461695575E}"/>
    <cellStyle name="Style 21" xfId="422" xr:uid="{33189B92-5BA1-4998-91BF-2094669DDE2C}"/>
    <cellStyle name="Style 21 2" xfId="423" xr:uid="{FAF0A504-B310-4AA2-92AA-EB250D7A9B25}"/>
    <cellStyle name="Style 21 2 2" xfId="424" xr:uid="{BB0E09D8-58C3-4024-9BDB-F2E9A46D8C94}"/>
    <cellStyle name="Style 21 2 2 2" xfId="425" xr:uid="{18338B03-8585-4D39-8D9B-F98D0887B3B0}"/>
    <cellStyle name="Style 21 3" xfId="426" xr:uid="{2A4F3425-318D-4FCE-AA71-DC1D00BC1B33}"/>
    <cellStyle name="Style 21 3 2" xfId="427" xr:uid="{C8ACDCAA-5175-4745-8DB1-EBD4638A2E2B}"/>
    <cellStyle name="Style 22" xfId="428" xr:uid="{5E1B62ED-C3F9-456D-A7B6-F425AB22DB87}"/>
    <cellStyle name="Style 22 2" xfId="429" xr:uid="{CF0FD285-08E6-4E30-91CC-E56C4CE3D450}"/>
    <cellStyle name="Style 22 2 2" xfId="430" xr:uid="{474B7098-418B-4379-814F-0BAD511B694A}"/>
    <cellStyle name="Style 22 3" xfId="431" xr:uid="{AACF0CC0-2A8C-4582-A70A-359340CA0D2E}"/>
    <cellStyle name="Style 23" xfId="432" xr:uid="{595EE708-722A-4E80-AACD-7489C2F5CC1F}"/>
    <cellStyle name="Style 24" xfId="433" xr:uid="{F5076268-EEE7-4FED-A2D5-6A71085EE47B}"/>
    <cellStyle name="Style 24 2" xfId="434" xr:uid="{840BF6FF-649F-47DC-AEA9-4FACDF2B704C}"/>
    <cellStyle name="Style 24 2 2" xfId="435" xr:uid="{E4E9050E-2E13-4D38-8921-73E270CC9776}"/>
    <cellStyle name="Style 24 3" xfId="436" xr:uid="{EE88B21A-55EA-4F2A-923F-B8FAE600CC3D}"/>
    <cellStyle name="Style 25" xfId="437" xr:uid="{EDBAFD7E-4963-45CD-9DCE-B489DEB07817}"/>
    <cellStyle name="Style 25 2" xfId="438" xr:uid="{4A57BCDC-00FF-4F9A-AF1D-14590309737D}"/>
    <cellStyle name="Style 25 2 2" xfId="439" xr:uid="{A7B36104-F515-4961-B995-2BEE0EBED3C2}"/>
    <cellStyle name="Style 25 2 2 2" xfId="440" xr:uid="{B61566C3-5020-4577-9469-C66EB8B2BE40}"/>
    <cellStyle name="Style 25 3" xfId="441" xr:uid="{9B1C3AAA-15D2-40AF-8828-2D70D2BE7A04}"/>
    <cellStyle name="Style 25 3 2" xfId="442" xr:uid="{55DE4741-0AE2-4C97-A3CA-9091C29B7A13}"/>
    <cellStyle name="Style 26" xfId="443" xr:uid="{C50292DB-FBA6-4690-A11C-8D4F34A1D287}"/>
    <cellStyle name="Table" xfId="444" xr:uid="{7FC20DA2-AD45-4B36-8BB4-10031B397C16}"/>
    <cellStyle name="Table heading" xfId="445" xr:uid="{79B8A6FF-7BB8-4C76-9AF4-774836FF5A4C}"/>
    <cellStyle name="Title 2" xfId="446" xr:uid="{27FB66DF-B8DD-4BAB-A70B-0259628852F2}"/>
    <cellStyle name="Total 2" xfId="447" xr:uid="{1864082E-0439-4309-84B1-2306B610DEC4}"/>
    <cellStyle name="Unit" xfId="448" xr:uid="{F50A5B61-A689-4C66-91A9-C1D24484171E}"/>
    <cellStyle name="Unit 2" xfId="449" xr:uid="{D5F14DCE-558C-43AD-87C6-3A65D0B10307}"/>
    <cellStyle name="Unit 2 2" xfId="450" xr:uid="{ADE8D942-A050-4CAC-9533-82971DD312C1}"/>
    <cellStyle name="Valuutta_Layo9704" xfId="451" xr:uid="{EE727299-6A74-42DC-A240-49699DC29E01}"/>
    <cellStyle name="Warning Text 2" xfId="452" xr:uid="{92436E7C-D3CB-47E8-8383-D759875171DE}"/>
    <cellStyle name="Обычный_2++_CRFReport-template" xfId="453" xr:uid="{81642A3E-EF9E-4E91-9639-DA52651FF80B}"/>
  </cellStyles>
  <dxfs count="0"/>
  <tableStyles count="0" defaultTableStyle="TableStyleMedium9" defaultPivotStyle="PivotStyleLight16"/>
  <colors>
    <mruColors>
      <color rgb="FFFFFFCC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360044</xdr:colOff>
      <xdr:row>1</xdr:row>
      <xdr:rowOff>80009</xdr:rowOff>
    </xdr:from>
    <xdr:to>
      <xdr:col>24</xdr:col>
      <xdr:colOff>215265</xdr:colOff>
      <xdr:row>13</xdr:row>
      <xdr:rowOff>36195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11660504" y="24764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(2022);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315144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tat.fi/tup/laskurit/rahanarvonmuunnin_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D9" sqref="D9"/>
    </sheetView>
  </sheetViews>
  <sheetFormatPr defaultRowHeight="13.2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>
      <c r="B3" s="1" t="s">
        <v>5</v>
      </c>
      <c r="H3" s="1" t="s">
        <v>6</v>
      </c>
      <c r="I3" s="3"/>
      <c r="J3" s="3"/>
    </row>
    <row r="4" spans="2:10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0">
      <c r="B5" s="12" t="s">
        <v>33</v>
      </c>
      <c r="C5" s="4" t="s">
        <v>33</v>
      </c>
      <c r="H5" s="12" t="s">
        <v>105</v>
      </c>
      <c r="I5" s="12" t="s">
        <v>104</v>
      </c>
      <c r="J5" s="12" t="s">
        <v>103</v>
      </c>
    </row>
    <row r="6" spans="2:10">
      <c r="B6" s="12"/>
      <c r="C6" s="12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48"/>
  <sheetViews>
    <sheetView topLeftCell="D5" zoomScale="122" zoomScaleNormal="100" workbookViewId="0">
      <selection activeCell="D12" sqref="D12"/>
    </sheetView>
  </sheetViews>
  <sheetFormatPr defaultRowHeight="13.2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6" max="6" width="17.33203125" customWidth="1"/>
    <col min="7" max="7" width="11.88671875" bestFit="1" customWidth="1"/>
    <col min="8" max="8" width="14.21875" customWidth="1"/>
    <col min="9" max="9" width="13" customWidth="1"/>
    <col min="10" max="10" width="14" customWidth="1"/>
    <col min="11" max="11" width="12.5546875" customWidth="1"/>
    <col min="12" max="12" width="13.5546875" customWidth="1"/>
  </cols>
  <sheetData>
    <row r="3" spans="2:11">
      <c r="B3" s="72" t="s">
        <v>21</v>
      </c>
    </row>
    <row r="4" spans="2:11" ht="14.4">
      <c r="B4" s="73">
        <v>2022</v>
      </c>
    </row>
    <row r="7" spans="2:11">
      <c r="B7" s="72" t="s">
        <v>22</v>
      </c>
    </row>
    <row r="8" spans="2:11" ht="14.4">
      <c r="B8" s="73" t="s">
        <v>127</v>
      </c>
    </row>
    <row r="11" spans="2:11">
      <c r="B11" s="72" t="s">
        <v>124</v>
      </c>
      <c r="I11" s="72" t="s">
        <v>125</v>
      </c>
    </row>
    <row r="12" spans="2:11" ht="14.4">
      <c r="B12" s="74" t="s">
        <v>126</v>
      </c>
      <c r="C12" s="74" t="s">
        <v>123</v>
      </c>
      <c r="D12" s="74" t="s">
        <v>127</v>
      </c>
      <c r="F12" s="73"/>
      <c r="G12" s="73" t="s">
        <v>128</v>
      </c>
      <c r="I12" s="73" t="s">
        <v>129</v>
      </c>
      <c r="J12" t="s">
        <v>130</v>
      </c>
      <c r="K12" t="s">
        <v>131</v>
      </c>
    </row>
    <row r="13" spans="2:11" ht="14.4">
      <c r="B13" s="75">
        <v>1</v>
      </c>
      <c r="C13" s="75">
        <v>1</v>
      </c>
      <c r="D13" s="75">
        <v>1</v>
      </c>
      <c r="F13" s="73"/>
      <c r="G13" s="73">
        <f>HLOOKUP($B$8,$B$12:$D$31,2)</f>
        <v>1</v>
      </c>
      <c r="I13">
        <f>B4</f>
        <v>2022</v>
      </c>
      <c r="J13">
        <f>I13+G13-1</f>
        <v>2022</v>
      </c>
      <c r="K13">
        <f>ROUNDDOWN(AVERAGE(I13:J13),0)</f>
        <v>2022</v>
      </c>
    </row>
    <row r="14" spans="2:11" ht="14.4">
      <c r="B14" s="75">
        <v>1</v>
      </c>
      <c r="C14" s="75">
        <v>1</v>
      </c>
      <c r="D14" s="75">
        <v>5</v>
      </c>
      <c r="F14" s="73"/>
      <c r="G14" s="73">
        <f>HLOOKUP($B$8,$B$12:$D$31,3)</f>
        <v>5</v>
      </c>
      <c r="I14">
        <f>I13+G13</f>
        <v>2023</v>
      </c>
      <c r="J14">
        <f t="shared" ref="J14:J31" si="0">I14+G14-1</f>
        <v>2027</v>
      </c>
      <c r="K14">
        <f>ROUNDDOWN(AVERAGE(I14:J14),0)</f>
        <v>2025</v>
      </c>
    </row>
    <row r="15" spans="2:11" ht="14.4">
      <c r="B15" s="75">
        <v>1</v>
      </c>
      <c r="C15" s="75">
        <v>4</v>
      </c>
      <c r="D15" s="75">
        <v>5</v>
      </c>
      <c r="F15" s="73"/>
      <c r="G15" s="73">
        <f>HLOOKUP($B$8,$B$12:$D$31,4)</f>
        <v>5</v>
      </c>
      <c r="I15" s="72">
        <f t="shared" ref="I15:I31" si="1">I14+G14</f>
        <v>2028</v>
      </c>
      <c r="J15">
        <f t="shared" ref="J15:J20" si="2">I15+G15-1</f>
        <v>2032</v>
      </c>
      <c r="K15">
        <f t="shared" ref="K15:K24" si="3">ROUNDDOWN(AVERAGE(I15:J15),0)</f>
        <v>2030</v>
      </c>
    </row>
    <row r="16" spans="2:11" ht="14.4">
      <c r="B16" s="75">
        <v>1</v>
      </c>
      <c r="C16" s="75">
        <v>1</v>
      </c>
      <c r="D16" s="75">
        <v>5</v>
      </c>
      <c r="F16" s="73"/>
      <c r="G16" s="73">
        <f>HLOOKUP($B$8,$B$12:$D$31,5)</f>
        <v>5</v>
      </c>
      <c r="I16" s="73">
        <f t="shared" si="1"/>
        <v>2033</v>
      </c>
      <c r="J16">
        <f t="shared" si="2"/>
        <v>2037</v>
      </c>
      <c r="K16">
        <f t="shared" si="3"/>
        <v>2035</v>
      </c>
    </row>
    <row r="17" spans="2:11" ht="14.4">
      <c r="B17" s="75">
        <v>1</v>
      </c>
      <c r="C17" s="75">
        <v>3</v>
      </c>
      <c r="D17" s="75">
        <v>5</v>
      </c>
      <c r="F17" s="73"/>
      <c r="G17" s="73">
        <f>HLOOKUP($B$8,$B$12:$D$31,6)</f>
        <v>5</v>
      </c>
      <c r="I17">
        <f>I16+G16</f>
        <v>2038</v>
      </c>
      <c r="J17">
        <f t="shared" si="2"/>
        <v>2042</v>
      </c>
      <c r="K17">
        <f t="shared" si="3"/>
        <v>2040</v>
      </c>
    </row>
    <row r="18" spans="2:11" ht="14.4">
      <c r="B18" s="75">
        <v>1</v>
      </c>
      <c r="C18" s="75">
        <v>2</v>
      </c>
      <c r="D18" s="75">
        <v>5</v>
      </c>
      <c r="F18" s="73"/>
      <c r="G18" s="73">
        <f>HLOOKUP($B$8,$B$12:$D$31,7)</f>
        <v>5</v>
      </c>
      <c r="I18">
        <f>I17+G17</f>
        <v>2043</v>
      </c>
      <c r="J18">
        <f t="shared" si="2"/>
        <v>2047</v>
      </c>
      <c r="K18">
        <f t="shared" si="3"/>
        <v>2045</v>
      </c>
    </row>
    <row r="19" spans="2:11" ht="14.4">
      <c r="B19" s="75">
        <v>1</v>
      </c>
      <c r="C19" s="75">
        <v>2</v>
      </c>
      <c r="D19" s="75">
        <v>5</v>
      </c>
      <c r="F19" s="73"/>
      <c r="G19" s="73">
        <f>HLOOKUP($B$8,$B$12:$D$31,8)</f>
        <v>5</v>
      </c>
      <c r="I19" s="72">
        <f>I18+G18</f>
        <v>2048</v>
      </c>
      <c r="J19">
        <f t="shared" si="2"/>
        <v>2052</v>
      </c>
      <c r="K19">
        <f t="shared" si="3"/>
        <v>2050</v>
      </c>
    </row>
    <row r="20" spans="2:11" ht="14.4">
      <c r="B20" s="75">
        <v>1</v>
      </c>
      <c r="C20" s="75">
        <v>2</v>
      </c>
      <c r="D20" s="75">
        <v>5</v>
      </c>
      <c r="F20" s="73"/>
      <c r="G20" s="73">
        <f>HLOOKUP($B$8,$B$12:$D$31,9)</f>
        <v>5</v>
      </c>
      <c r="I20" s="74">
        <f t="shared" si="1"/>
        <v>2053</v>
      </c>
      <c r="J20" s="74">
        <f t="shared" si="2"/>
        <v>2057</v>
      </c>
      <c r="K20" s="74">
        <f>ROUNDDOWN(AVERAGE(I20:J20),0)</f>
        <v>2055</v>
      </c>
    </row>
    <row r="21" spans="2:11" ht="14.4">
      <c r="B21" s="75">
        <v>1</v>
      </c>
      <c r="C21" s="75">
        <v>2</v>
      </c>
      <c r="D21" s="75">
        <v>5</v>
      </c>
      <c r="F21" s="73"/>
      <c r="G21" s="73">
        <f>HLOOKUP($B$8,$B$12:$D$31,10)</f>
        <v>5</v>
      </c>
      <c r="I21" s="75">
        <f t="shared" si="1"/>
        <v>2058</v>
      </c>
      <c r="J21" s="75">
        <f t="shared" si="0"/>
        <v>2062</v>
      </c>
      <c r="K21" s="75">
        <f t="shared" si="3"/>
        <v>2060</v>
      </c>
    </row>
    <row r="22" spans="2:11" ht="14.4">
      <c r="B22" s="75">
        <v>1</v>
      </c>
      <c r="C22" s="75">
        <v>2</v>
      </c>
      <c r="D22" s="75">
        <v>5</v>
      </c>
      <c r="F22" s="73"/>
      <c r="G22" s="73">
        <f>HLOOKUP($B$8,$B$12:$D$31,11)</f>
        <v>5</v>
      </c>
      <c r="I22" s="75">
        <f t="shared" si="1"/>
        <v>2063</v>
      </c>
      <c r="J22" s="75">
        <f t="shared" si="0"/>
        <v>2067</v>
      </c>
      <c r="K22" s="75">
        <f t="shared" si="3"/>
        <v>2065</v>
      </c>
    </row>
    <row r="23" spans="2:11" ht="14.4">
      <c r="B23" s="75">
        <v>1</v>
      </c>
      <c r="C23" s="75">
        <v>2</v>
      </c>
      <c r="D23" s="75">
        <v>5</v>
      </c>
      <c r="F23" s="73"/>
      <c r="G23" s="73">
        <f>HLOOKUP($B$8,$B$12:$D$31,12)</f>
        <v>5</v>
      </c>
      <c r="I23" s="75">
        <f t="shared" si="1"/>
        <v>2068</v>
      </c>
      <c r="J23" s="75">
        <f t="shared" si="0"/>
        <v>2072</v>
      </c>
      <c r="K23" s="75">
        <f t="shared" si="3"/>
        <v>2070</v>
      </c>
    </row>
    <row r="24" spans="2:11" ht="14.4">
      <c r="B24" s="75">
        <v>1</v>
      </c>
      <c r="C24" s="75">
        <v>2</v>
      </c>
      <c r="D24" s="75">
        <v>5</v>
      </c>
      <c r="F24" s="73"/>
      <c r="G24" s="73">
        <f>HLOOKUP($B$8,$B$12:$D$31,13)</f>
        <v>5</v>
      </c>
      <c r="I24" s="75">
        <f t="shared" si="1"/>
        <v>2073</v>
      </c>
      <c r="J24" s="75">
        <f t="shared" si="0"/>
        <v>2077</v>
      </c>
      <c r="K24" s="75">
        <f t="shared" si="3"/>
        <v>2075</v>
      </c>
    </row>
    <row r="25" spans="2:11" ht="14.4">
      <c r="B25" s="75">
        <v>2</v>
      </c>
      <c r="C25" s="75">
        <v>2</v>
      </c>
      <c r="D25" s="75">
        <v>5</v>
      </c>
      <c r="F25" s="73"/>
      <c r="G25" s="73">
        <f>HLOOKUP($B$8,$B$12:$D$31,14)</f>
        <v>5</v>
      </c>
      <c r="I25" s="75">
        <f t="shared" si="1"/>
        <v>2078</v>
      </c>
      <c r="J25" s="75">
        <f t="shared" si="0"/>
        <v>2082</v>
      </c>
      <c r="K25" s="75">
        <f>ROUNDDOWN(AVERAGE(I25:J25),0)</f>
        <v>2080</v>
      </c>
    </row>
    <row r="26" spans="2:11" ht="14.4">
      <c r="B26" s="75">
        <v>5</v>
      </c>
      <c r="C26" s="75">
        <v>2</v>
      </c>
      <c r="D26" s="75">
        <v>5</v>
      </c>
      <c r="F26" s="73"/>
      <c r="G26" s="73">
        <f>HLOOKUP($B$8,$B$12:$D$31,15)</f>
        <v>5</v>
      </c>
      <c r="I26" s="75">
        <f t="shared" si="1"/>
        <v>2083</v>
      </c>
      <c r="J26" s="75">
        <f t="shared" si="0"/>
        <v>2087</v>
      </c>
      <c r="K26" s="75">
        <f t="shared" ref="K26:K31" si="4">ROUNDDOWN(AVERAGE(I26:J26),0)</f>
        <v>2085</v>
      </c>
    </row>
    <row r="27" spans="2:11" ht="14.4">
      <c r="B27" s="75">
        <v>5</v>
      </c>
      <c r="C27" s="75">
        <v>2</v>
      </c>
      <c r="D27" s="75">
        <v>5</v>
      </c>
      <c r="F27" s="73"/>
      <c r="G27" s="73">
        <f>HLOOKUP($B$8,$B$12:$D$31,16)</f>
        <v>5</v>
      </c>
      <c r="I27" s="75">
        <f t="shared" si="1"/>
        <v>2088</v>
      </c>
      <c r="J27" s="75">
        <f t="shared" si="0"/>
        <v>2092</v>
      </c>
      <c r="K27" s="75">
        <f t="shared" si="4"/>
        <v>2090</v>
      </c>
    </row>
    <row r="28" spans="2:11" ht="14.4">
      <c r="B28" s="75">
        <v>5</v>
      </c>
      <c r="C28" s="75">
        <v>2</v>
      </c>
      <c r="D28" s="75">
        <v>5</v>
      </c>
      <c r="F28" s="73"/>
      <c r="G28" s="73">
        <f>HLOOKUP($B$8,$B$12:$D$31,17)</f>
        <v>5</v>
      </c>
      <c r="I28" s="75">
        <f t="shared" si="1"/>
        <v>2093</v>
      </c>
      <c r="J28" s="75">
        <f t="shared" si="0"/>
        <v>2097</v>
      </c>
      <c r="K28" s="75">
        <f t="shared" si="4"/>
        <v>2095</v>
      </c>
    </row>
    <row r="29" spans="2:11" ht="14.4">
      <c r="B29" s="75">
        <v>5</v>
      </c>
      <c r="C29" s="75">
        <v>2</v>
      </c>
      <c r="D29" s="75">
        <v>5</v>
      </c>
      <c r="G29" s="73">
        <f>HLOOKUP($B$8,$B$12:$D$31,18)</f>
        <v>5</v>
      </c>
      <c r="I29" s="75">
        <f t="shared" si="1"/>
        <v>2098</v>
      </c>
      <c r="J29" s="75">
        <f t="shared" si="0"/>
        <v>2102</v>
      </c>
      <c r="K29" s="75">
        <f t="shared" si="4"/>
        <v>2100</v>
      </c>
    </row>
    <row r="30" spans="2:11" ht="14.4">
      <c r="B30" s="75">
        <v>5</v>
      </c>
      <c r="C30" s="75">
        <v>2</v>
      </c>
      <c r="D30" s="75">
        <v>5</v>
      </c>
      <c r="G30" s="73">
        <f>HLOOKUP($B$8,$B$12:$D$31,19)</f>
        <v>5</v>
      </c>
      <c r="I30" s="75">
        <f t="shared" si="1"/>
        <v>2103</v>
      </c>
      <c r="J30" s="75">
        <f t="shared" si="0"/>
        <v>2107</v>
      </c>
      <c r="K30" s="75">
        <f t="shared" si="4"/>
        <v>2105</v>
      </c>
    </row>
    <row r="31" spans="2:11" ht="14.4">
      <c r="B31" s="75">
        <v>5</v>
      </c>
      <c r="C31" s="75">
        <v>2</v>
      </c>
      <c r="D31" s="75">
        <v>5</v>
      </c>
      <c r="G31" s="73">
        <f>HLOOKUP($B$8,$B$12:$D$31,20)</f>
        <v>5</v>
      </c>
      <c r="I31" s="75">
        <f t="shared" si="1"/>
        <v>2108</v>
      </c>
      <c r="J31" s="75">
        <f t="shared" si="0"/>
        <v>2112</v>
      </c>
      <c r="K31" s="75">
        <f t="shared" si="4"/>
        <v>2110</v>
      </c>
    </row>
    <row r="32" spans="2:11" ht="14.4">
      <c r="I32" s="75"/>
      <c r="J32" s="75"/>
      <c r="K32" s="75"/>
    </row>
    <row r="33" spans="2:11" ht="14.4">
      <c r="I33" s="75"/>
      <c r="J33" s="75"/>
      <c r="K33" s="75"/>
    </row>
    <row r="34" spans="2:11" ht="14.4">
      <c r="I34" s="75"/>
      <c r="J34" s="75"/>
      <c r="K34" s="75"/>
    </row>
    <row r="35" spans="2:11" ht="14.4">
      <c r="I35" s="75"/>
      <c r="J35" s="75"/>
      <c r="K35" s="75"/>
    </row>
    <row r="36" spans="2:11" ht="14.4">
      <c r="I36" s="75"/>
      <c r="J36" s="75"/>
      <c r="K36" s="75"/>
    </row>
    <row r="37" spans="2:11" ht="14.4">
      <c r="I37" s="75"/>
      <c r="J37" s="75"/>
      <c r="K37" s="75"/>
    </row>
    <row r="38" spans="2:11" ht="14.4">
      <c r="I38" s="75"/>
      <c r="J38" s="75"/>
      <c r="K38" s="75"/>
    </row>
    <row r="39" spans="2:11" ht="14.4">
      <c r="I39" s="75"/>
      <c r="J39" s="75"/>
      <c r="K39" s="75"/>
    </row>
    <row r="40" spans="2:11">
      <c r="B40" s="11"/>
    </row>
    <row r="41" spans="2:11">
      <c r="B41" s="11"/>
    </row>
    <row r="42" spans="2:11">
      <c r="B42" s="11"/>
    </row>
    <row r="43" spans="2:11">
      <c r="B43" s="11"/>
    </row>
    <row r="44" spans="2:11">
      <c r="B44" s="11"/>
    </row>
    <row r="45" spans="2:11">
      <c r="B45" s="11"/>
    </row>
    <row r="46" spans="2:11">
      <c r="B46" s="11"/>
    </row>
    <row r="47" spans="2:11">
      <c r="B47" s="11"/>
    </row>
    <row r="48" spans="2:11">
      <c r="B48" s="11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7"/>
  <sheetViews>
    <sheetView tabSelected="1" zoomScale="93" zoomScaleNormal="100" workbookViewId="0">
      <selection activeCell="K19" sqref="K19"/>
    </sheetView>
  </sheetViews>
  <sheetFormatPr defaultRowHeight="13.2"/>
  <cols>
    <col min="1" max="1" width="2.88671875" customWidth="1"/>
    <col min="2" max="2" width="10.4414062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2.6640625" customWidth="1"/>
    <col min="8" max="9" width="10.6640625" customWidth="1"/>
    <col min="13" max="13" width="9.33203125" customWidth="1"/>
  </cols>
  <sheetData>
    <row r="3" spans="2:6">
      <c r="B3" s="1" t="s">
        <v>56</v>
      </c>
    </row>
    <row r="4" spans="2:6" ht="13.8" thickBot="1">
      <c r="B4" s="5" t="s">
        <v>15</v>
      </c>
      <c r="C4" s="5" t="s">
        <v>16</v>
      </c>
      <c r="D4" s="5" t="s">
        <v>57</v>
      </c>
      <c r="E4" s="5" t="s">
        <v>2</v>
      </c>
      <c r="F4" s="5" t="s">
        <v>18</v>
      </c>
    </row>
    <row r="5" spans="2:6">
      <c r="B5" t="s">
        <v>52</v>
      </c>
      <c r="C5" t="s">
        <v>53</v>
      </c>
      <c r="D5">
        <v>0</v>
      </c>
      <c r="E5">
        <v>5</v>
      </c>
    </row>
    <row r="6" spans="2:6">
      <c r="B6" t="s">
        <v>52</v>
      </c>
      <c r="C6" s="12" t="s">
        <v>54</v>
      </c>
      <c r="D6" s="12">
        <v>0</v>
      </c>
      <c r="E6">
        <v>5</v>
      </c>
    </row>
    <row r="7" spans="2:6">
      <c r="B7" t="s">
        <v>52</v>
      </c>
      <c r="C7" s="12" t="s">
        <v>55</v>
      </c>
      <c r="D7" s="12">
        <v>0</v>
      </c>
      <c r="E7">
        <v>5</v>
      </c>
    </row>
    <row r="18" spans="2:4" ht="19.5" customHeight="1"/>
    <row r="19" spans="2:4" ht="15.75" customHeight="1"/>
    <row r="30" spans="2:4" ht="15">
      <c r="B30" s="6" t="s">
        <v>24</v>
      </c>
    </row>
    <row r="32" spans="2:4" ht="17.399999999999999">
      <c r="B32" s="7" t="s">
        <v>23</v>
      </c>
      <c r="C32" s="7"/>
      <c r="D32" s="7"/>
    </row>
    <row r="34" spans="2:7">
      <c r="B34" s="1" t="s">
        <v>0</v>
      </c>
    </row>
    <row r="35" spans="2:7" ht="13.8" thickBot="1">
      <c r="B35" s="5" t="s">
        <v>16</v>
      </c>
      <c r="C35" s="5" t="s">
        <v>2</v>
      </c>
      <c r="D35" s="5" t="s">
        <v>17</v>
      </c>
      <c r="E35" s="5" t="s">
        <v>18</v>
      </c>
      <c r="F35" s="5"/>
    </row>
    <row r="36" spans="2:7">
      <c r="B36" t="s">
        <v>3</v>
      </c>
      <c r="C36">
        <v>2222000</v>
      </c>
      <c r="D36" t="s">
        <v>12</v>
      </c>
      <c r="E36" t="s">
        <v>1</v>
      </c>
    </row>
    <row r="37" spans="2:7">
      <c r="B37" t="s">
        <v>3</v>
      </c>
      <c r="C37">
        <v>8888000</v>
      </c>
      <c r="D37" t="s">
        <v>12</v>
      </c>
      <c r="E37" t="s">
        <v>4</v>
      </c>
    </row>
    <row r="40" spans="2:7">
      <c r="B40" s="69" t="s">
        <v>13</v>
      </c>
    </row>
    <row r="41" spans="2:7" ht="13.8" thickBot="1">
      <c r="B41" s="70" t="s">
        <v>15</v>
      </c>
      <c r="C41" s="70" t="s">
        <v>16</v>
      </c>
      <c r="D41" s="70" t="s">
        <v>109</v>
      </c>
      <c r="E41" s="70" t="s">
        <v>2</v>
      </c>
      <c r="F41" s="70" t="s">
        <v>110</v>
      </c>
      <c r="G41" s="70" t="s">
        <v>111</v>
      </c>
    </row>
    <row r="42" spans="2:7">
      <c r="B42" s="12" t="s">
        <v>113</v>
      </c>
      <c r="C42" s="12" t="s">
        <v>114</v>
      </c>
      <c r="D42" s="12" t="s">
        <v>115</v>
      </c>
      <c r="E42">
        <v>-1</v>
      </c>
      <c r="G42" s="12" t="s">
        <v>112</v>
      </c>
    </row>
    <row r="44" spans="2:7">
      <c r="B44" s="1" t="s">
        <v>122</v>
      </c>
    </row>
    <row r="45" spans="2:7" ht="13.8" thickBot="1">
      <c r="B45" s="70" t="s">
        <v>121</v>
      </c>
      <c r="C45" s="70" t="s">
        <v>15</v>
      </c>
      <c r="D45" s="70" t="s">
        <v>16</v>
      </c>
      <c r="E45" s="5" t="s">
        <v>2</v>
      </c>
      <c r="F45" s="5" t="s">
        <v>18</v>
      </c>
      <c r="G45" s="5"/>
    </row>
    <row r="46" spans="2:7">
      <c r="B46" s="12"/>
      <c r="C46" s="12"/>
      <c r="D46" s="12" t="s">
        <v>119</v>
      </c>
      <c r="E46" t="s">
        <v>120</v>
      </c>
      <c r="F46" t="s">
        <v>1</v>
      </c>
    </row>
    <row r="47" spans="2:7">
      <c r="B47" s="12"/>
      <c r="C47" s="12"/>
      <c r="D47" s="12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zoomScaleNormal="100" workbookViewId="0">
      <selection activeCell="E10" sqref="E10"/>
    </sheetView>
  </sheetViews>
  <sheetFormatPr defaultColWidth="9.109375" defaultRowHeight="13.2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>
      <c r="B3" s="6" t="s">
        <v>26</v>
      </c>
    </row>
    <row r="5" spans="2:9">
      <c r="B5" s="8" t="s">
        <v>13</v>
      </c>
    </row>
    <row r="6" spans="2:9" ht="13.8" thickBot="1">
      <c r="B6" s="5" t="s">
        <v>14</v>
      </c>
      <c r="C6" s="5" t="s">
        <v>93</v>
      </c>
      <c r="D6" s="5" t="s">
        <v>16</v>
      </c>
      <c r="E6" s="5" t="s">
        <v>2</v>
      </c>
      <c r="F6" s="5" t="s">
        <v>33</v>
      </c>
      <c r="G6" s="5" t="s">
        <v>51</v>
      </c>
      <c r="H6" s="5" t="s">
        <v>19</v>
      </c>
      <c r="I6" s="52" t="s">
        <v>91</v>
      </c>
    </row>
    <row r="7" spans="2:9">
      <c r="B7" s="53"/>
      <c r="C7" s="53"/>
      <c r="D7" s="53" t="s">
        <v>35</v>
      </c>
      <c r="E7" s="53">
        <v>2022</v>
      </c>
      <c r="F7" s="53"/>
      <c r="G7" s="53"/>
      <c r="H7" s="53"/>
      <c r="I7" s="53"/>
    </row>
    <row r="8" spans="2:9">
      <c r="B8" s="53"/>
      <c r="C8" s="53"/>
      <c r="D8" s="53" t="s">
        <v>25</v>
      </c>
      <c r="E8" s="53">
        <v>0.03</v>
      </c>
      <c r="F8" s="53"/>
      <c r="G8" s="53"/>
      <c r="H8" s="53"/>
      <c r="I8" s="54" t="s">
        <v>106</v>
      </c>
    </row>
    <row r="9" spans="2:9">
      <c r="B9" s="56"/>
      <c r="C9" s="56"/>
      <c r="D9" s="53" t="s">
        <v>39</v>
      </c>
      <c r="E9" s="53"/>
      <c r="F9" s="55">
        <v>1</v>
      </c>
      <c r="G9" s="55">
        <v>1</v>
      </c>
      <c r="H9" s="53" t="s">
        <v>40</v>
      </c>
      <c r="I9" s="53"/>
    </row>
    <row r="10" spans="2:9">
      <c r="B10" s="56"/>
      <c r="C10" s="54" t="s">
        <v>106</v>
      </c>
      <c r="D10" s="56" t="s">
        <v>92</v>
      </c>
      <c r="E10" s="55">
        <v>0.88</v>
      </c>
      <c r="F10" s="55"/>
      <c r="G10" s="55"/>
      <c r="H10" s="53"/>
      <c r="I10" s="54" t="s">
        <v>107</v>
      </c>
    </row>
    <row r="11" spans="2:9">
      <c r="B11" s="56"/>
      <c r="C11" s="54" t="s">
        <v>106</v>
      </c>
      <c r="D11" s="56" t="s">
        <v>92</v>
      </c>
      <c r="E11" s="55">
        <v>1.06</v>
      </c>
      <c r="F11" s="55"/>
      <c r="G11" s="55"/>
      <c r="H11" s="53"/>
      <c r="I11" s="54" t="s">
        <v>116</v>
      </c>
    </row>
    <row r="12" spans="2:9">
      <c r="B12" s="53"/>
      <c r="C12" s="53"/>
      <c r="D12" s="53"/>
      <c r="E12" s="53"/>
      <c r="F12" s="53"/>
      <c r="G12" s="53"/>
      <c r="H12" s="53"/>
      <c r="I12" s="53"/>
    </row>
    <row r="16" spans="2:9">
      <c r="B16"/>
      <c r="C16"/>
      <c r="D16"/>
      <c r="E16" s="55" t="s">
        <v>108</v>
      </c>
    </row>
    <row r="17" spans="2:7">
      <c r="B17"/>
      <c r="C17"/>
      <c r="D17"/>
      <c r="E17" s="71" t="s">
        <v>117</v>
      </c>
    </row>
    <row r="18" spans="2:7">
      <c r="B18"/>
      <c r="C18"/>
      <c r="D18"/>
      <c r="E18" s="9" t="s">
        <v>118</v>
      </c>
    </row>
    <row r="19" spans="2:7" ht="17.399999999999999">
      <c r="B19" s="14" t="s">
        <v>41</v>
      </c>
      <c r="C19" s="15"/>
      <c r="D19" s="16"/>
      <c r="E19" s="16"/>
      <c r="F19" s="16"/>
      <c r="G19" s="16"/>
    </row>
    <row r="20" spans="2:7">
      <c r="C20" s="17"/>
      <c r="D20" s="17"/>
    </row>
    <row r="21" spans="2:7">
      <c r="B21" s="18" t="s">
        <v>16</v>
      </c>
      <c r="C21" s="19" t="s">
        <v>94</v>
      </c>
      <c r="D21" s="20" t="s">
        <v>95</v>
      </c>
      <c r="E21" s="20" t="s">
        <v>96</v>
      </c>
      <c r="F21" s="21" t="s">
        <v>97</v>
      </c>
    </row>
    <row r="22" spans="2:7">
      <c r="B22" s="22"/>
      <c r="C22" s="23" t="s">
        <v>45</v>
      </c>
      <c r="D22" s="24" t="s">
        <v>98</v>
      </c>
      <c r="E22" s="24" t="s">
        <v>47</v>
      </c>
      <c r="F22" s="25" t="s">
        <v>99</v>
      </c>
    </row>
    <row r="23" spans="2:7">
      <c r="B23" s="18" t="s">
        <v>34</v>
      </c>
      <c r="C23" s="26">
        <f>E27</f>
        <v>0.25205479452054796</v>
      </c>
      <c r="D23" s="27">
        <f>E28</f>
        <v>0.24931506849315069</v>
      </c>
      <c r="E23" s="27">
        <f>E29</f>
        <v>0.24657534246575341</v>
      </c>
      <c r="F23" s="28">
        <f>E30</f>
        <v>0.25205479452054796</v>
      </c>
      <c r="G23" s="29">
        <f>SUM(C23:F23)</f>
        <v>1</v>
      </c>
    </row>
    <row r="24" spans="2:7">
      <c r="B24" s="30"/>
      <c r="C24" s="30"/>
      <c r="D24" s="30"/>
      <c r="E24" s="30"/>
      <c r="F24" s="30"/>
    </row>
    <row r="25" spans="2:7">
      <c r="B25" s="30"/>
      <c r="C25" s="31"/>
      <c r="D25" s="31"/>
      <c r="E25" s="31"/>
      <c r="F25" s="30"/>
      <c r="G25" s="30"/>
    </row>
    <row r="26" spans="2:7">
      <c r="B26" s="30"/>
      <c r="C26" s="32" t="s">
        <v>42</v>
      </c>
      <c r="D26" s="33" t="s">
        <v>43</v>
      </c>
      <c r="E26" s="21" t="s">
        <v>44</v>
      </c>
      <c r="F26" s="35"/>
      <c r="G26" s="30"/>
    </row>
    <row r="27" spans="2:7">
      <c r="B27" s="58" t="s">
        <v>45</v>
      </c>
      <c r="C27" s="61" t="s">
        <v>94</v>
      </c>
      <c r="D27" s="43">
        <v>92</v>
      </c>
      <c r="E27" s="66">
        <f>D27/$D$31</f>
        <v>0.25205479452054796</v>
      </c>
      <c r="F27" s="64"/>
      <c r="G27" s="30"/>
    </row>
    <row r="28" spans="2:7">
      <c r="B28" s="60" t="s">
        <v>47</v>
      </c>
      <c r="C28" s="62" t="s">
        <v>95</v>
      </c>
      <c r="D28" s="65">
        <v>91</v>
      </c>
      <c r="E28" s="67">
        <f t="shared" ref="E28:E30" si="0">D28/$D$31</f>
        <v>0.24931506849315069</v>
      </c>
      <c r="F28" s="64"/>
      <c r="G28" s="30"/>
    </row>
    <row r="29" spans="2:7">
      <c r="B29" s="60" t="s">
        <v>47</v>
      </c>
      <c r="C29" s="62" t="s">
        <v>96</v>
      </c>
      <c r="D29" s="65">
        <v>90</v>
      </c>
      <c r="E29" s="67">
        <f t="shared" si="0"/>
        <v>0.24657534246575341</v>
      </c>
      <c r="F29" s="38"/>
      <c r="G29" s="30"/>
    </row>
    <row r="30" spans="2:7">
      <c r="B30" s="59" t="s">
        <v>47</v>
      </c>
      <c r="C30" s="63" t="s">
        <v>97</v>
      </c>
      <c r="D30" s="46">
        <v>92</v>
      </c>
      <c r="E30" s="68">
        <f t="shared" si="0"/>
        <v>0.25205479452054796</v>
      </c>
      <c r="F30" s="30"/>
      <c r="G30" s="30"/>
    </row>
    <row r="31" spans="2:7">
      <c r="D31" s="36">
        <f>SUM(D27:D30)</f>
        <v>365</v>
      </c>
      <c r="E31" s="37">
        <f>SUM(E27:E30)</f>
        <v>1</v>
      </c>
      <c r="G31" s="30"/>
    </row>
    <row r="32" spans="2:7">
      <c r="G32" s="30"/>
    </row>
    <row r="33" spans="2:18">
      <c r="G33" s="30"/>
    </row>
    <row r="36" spans="2:18">
      <c r="B36" s="39"/>
      <c r="C36" s="40" t="s">
        <v>48</v>
      </c>
      <c r="D36" s="34" t="s">
        <v>49</v>
      </c>
      <c r="E36" s="41"/>
      <c r="F36" s="30"/>
      <c r="K36" s="9">
        <f>90/365</f>
        <v>0.24657534246575341</v>
      </c>
    </row>
    <row r="37" spans="2:18">
      <c r="B37" s="42" t="s">
        <v>46</v>
      </c>
      <c r="C37" s="43">
        <v>12.5</v>
      </c>
      <c r="D37" s="44">
        <v>11.5</v>
      </c>
      <c r="E37" s="38"/>
      <c r="F37" s="38">
        <f>SUM(C37:E37)</f>
        <v>24</v>
      </c>
    </row>
    <row r="38" spans="2:18">
      <c r="B38" s="45" t="s">
        <v>50</v>
      </c>
      <c r="C38" s="46">
        <v>11.5</v>
      </c>
      <c r="D38" s="47">
        <v>12.5</v>
      </c>
      <c r="E38" s="38"/>
      <c r="F38" s="38">
        <f>SUM(C38:E38)</f>
        <v>24</v>
      </c>
    </row>
    <row r="39" spans="2:18">
      <c r="K39" s="53" t="s">
        <v>94</v>
      </c>
      <c r="L39" s="53"/>
      <c r="M39" s="53" t="s">
        <v>34</v>
      </c>
      <c r="N39" s="55">
        <f>L53</f>
        <v>0</v>
      </c>
      <c r="O39" s="53"/>
      <c r="P39" s="53"/>
      <c r="Q39" s="53"/>
      <c r="R39" s="53"/>
    </row>
    <row r="40" spans="2:18">
      <c r="K40" s="53" t="s">
        <v>95</v>
      </c>
      <c r="L40" s="53"/>
      <c r="M40" s="53" t="s">
        <v>34</v>
      </c>
      <c r="N40" s="55">
        <f>M53</f>
        <v>0</v>
      </c>
      <c r="O40" s="53"/>
      <c r="P40" s="53"/>
      <c r="Q40" s="53"/>
      <c r="R40" s="53"/>
    </row>
    <row r="41" spans="2:18">
      <c r="K41" s="53" t="s">
        <v>96</v>
      </c>
      <c r="L41" s="53"/>
      <c r="M41" s="53" t="s">
        <v>34</v>
      </c>
      <c r="N41" s="55">
        <f>N53</f>
        <v>0</v>
      </c>
      <c r="O41" s="53"/>
      <c r="P41" s="53"/>
      <c r="Q41" s="53"/>
      <c r="R41" s="53"/>
    </row>
    <row r="42" spans="2:18">
      <c r="K42" s="53" t="s">
        <v>97</v>
      </c>
      <c r="L42" s="53"/>
      <c r="M42" s="53" t="s">
        <v>34</v>
      </c>
      <c r="N42" s="55">
        <f>O53</f>
        <v>0</v>
      </c>
      <c r="O42" s="53"/>
      <c r="P42" s="53"/>
      <c r="Q42" s="53"/>
      <c r="R42" s="53"/>
    </row>
  </sheetData>
  <phoneticPr fontId="0" type="noConversion"/>
  <hyperlinks>
    <hyperlink ref="E17" r:id="rId1" xr:uid="{5339AFFE-4FF8-46B8-BE2E-DE864A52C4D9}"/>
  </hyperlinks>
  <pageMargins left="0.7" right="0.7" top="0.75" bottom="0.75" header="0.3" footer="0.3"/>
  <pageSetup paperSize="9"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workbookViewId="0">
      <selection activeCell="F17" sqref="F17"/>
    </sheetView>
  </sheetViews>
  <sheetFormatPr defaultRowHeight="13.2"/>
  <cols>
    <col min="2" max="2" width="11.6640625" bestFit="1" customWidth="1"/>
    <col min="4" max="4" width="15.5546875" bestFit="1" customWidth="1"/>
  </cols>
  <sheetData>
    <row r="2" spans="2:5">
      <c r="B2" s="1" t="s">
        <v>27</v>
      </c>
      <c r="D2" s="1" t="s">
        <v>29</v>
      </c>
    </row>
    <row r="3" spans="2:5" ht="13.8" thickBot="1">
      <c r="B3" s="10" t="s">
        <v>28</v>
      </c>
      <c r="D3" s="10" t="s">
        <v>20</v>
      </c>
      <c r="E3" s="13" t="s">
        <v>37</v>
      </c>
    </row>
    <row r="4" spans="2:5">
      <c r="B4" s="54" t="s">
        <v>106</v>
      </c>
      <c r="D4" t="s">
        <v>30</v>
      </c>
      <c r="E4" s="12" t="s">
        <v>36</v>
      </c>
    </row>
    <row r="5" spans="2:5">
      <c r="B5" s="54" t="s">
        <v>107</v>
      </c>
      <c r="D5" t="s">
        <v>31</v>
      </c>
      <c r="E5" s="12" t="s">
        <v>38</v>
      </c>
    </row>
    <row r="6" spans="2:5">
      <c r="B6" s="56"/>
      <c r="D6" t="s">
        <v>32</v>
      </c>
      <c r="E6" t="s">
        <v>36</v>
      </c>
    </row>
    <row r="12" spans="2:5">
      <c r="B12" s="1" t="s">
        <v>58</v>
      </c>
    </row>
    <row r="13" spans="2:5">
      <c r="B13" t="s">
        <v>59</v>
      </c>
      <c r="C13" t="s">
        <v>60</v>
      </c>
      <c r="D13" t="s">
        <v>61</v>
      </c>
    </row>
    <row r="14" spans="2:5">
      <c r="B14" t="s">
        <v>62</v>
      </c>
      <c r="C14" t="s">
        <v>36</v>
      </c>
      <c r="D14" s="48">
        <v>1055.55</v>
      </c>
    </row>
    <row r="15" spans="2:5">
      <c r="B15" t="s">
        <v>63</v>
      </c>
      <c r="C15" t="s">
        <v>36</v>
      </c>
      <c r="D15" s="48">
        <v>3.6</v>
      </c>
    </row>
    <row r="16" spans="2:5">
      <c r="B16" t="s">
        <v>64</v>
      </c>
      <c r="C16" t="s">
        <v>65</v>
      </c>
      <c r="D16" s="48">
        <v>1000</v>
      </c>
    </row>
    <row r="17" spans="2:4">
      <c r="B17" t="s">
        <v>66</v>
      </c>
      <c r="C17" t="s">
        <v>67</v>
      </c>
      <c r="D17" s="48">
        <v>1000</v>
      </c>
    </row>
    <row r="18" spans="2:4">
      <c r="B18" t="s">
        <v>68</v>
      </c>
      <c r="C18" t="s">
        <v>36</v>
      </c>
      <c r="D18" s="48">
        <v>1.05555</v>
      </c>
    </row>
    <row r="19" spans="2:4">
      <c r="B19" t="s">
        <v>69</v>
      </c>
      <c r="C19" t="s">
        <v>36</v>
      </c>
      <c r="D19" s="48">
        <v>4.1868000000000002E-2</v>
      </c>
    </row>
    <row r="20" spans="2:4">
      <c r="B20" t="s">
        <v>70</v>
      </c>
      <c r="C20" t="s">
        <v>36</v>
      </c>
      <c r="D20" s="48">
        <v>41.868000000000002</v>
      </c>
    </row>
    <row r="21" spans="2:4">
      <c r="B21" t="s">
        <v>71</v>
      </c>
      <c r="C21" t="s">
        <v>36</v>
      </c>
      <c r="D21" s="49">
        <v>3.5999999999999999E-3</v>
      </c>
    </row>
    <row r="22" spans="2:4">
      <c r="B22" t="s">
        <v>72</v>
      </c>
      <c r="C22" t="s">
        <v>65</v>
      </c>
      <c r="D22" s="48">
        <v>1000000</v>
      </c>
    </row>
    <row r="23" spans="2:4">
      <c r="B23" t="s">
        <v>73</v>
      </c>
      <c r="C23" t="s">
        <v>74</v>
      </c>
      <c r="D23" s="48">
        <v>1000</v>
      </c>
    </row>
    <row r="24" spans="2:4">
      <c r="B24" t="s">
        <v>75</v>
      </c>
      <c r="C24" t="s">
        <v>76</v>
      </c>
      <c r="D24" s="48">
        <v>0.15384600000000001</v>
      </c>
    </row>
    <row r="25" spans="2:4">
      <c r="B25" t="s">
        <v>77</v>
      </c>
      <c r="C25" t="s">
        <v>78</v>
      </c>
      <c r="D25" s="48">
        <v>-1E-3</v>
      </c>
    </row>
    <row r="26" spans="2:4">
      <c r="B26" t="s">
        <v>79</v>
      </c>
      <c r="C26" t="s">
        <v>36</v>
      </c>
      <c r="D26" s="48">
        <v>1000</v>
      </c>
    </row>
    <row r="27" spans="2:4">
      <c r="B27" t="s">
        <v>80</v>
      </c>
      <c r="C27" t="s">
        <v>36</v>
      </c>
      <c r="D27" s="48">
        <v>37.681199999999997</v>
      </c>
    </row>
    <row r="28" spans="2:4">
      <c r="B28" t="s">
        <v>81</v>
      </c>
      <c r="C28" t="s">
        <v>36</v>
      </c>
      <c r="D28" s="48">
        <v>2299</v>
      </c>
    </row>
    <row r="29" spans="2:4">
      <c r="B29" t="s">
        <v>82</v>
      </c>
      <c r="C29" t="s">
        <v>76</v>
      </c>
      <c r="D29" s="48">
        <v>2.7777769999999999</v>
      </c>
    </row>
    <row r="30" spans="2:4">
      <c r="B30" t="s">
        <v>83</v>
      </c>
      <c r="C30" t="s">
        <v>36</v>
      </c>
      <c r="D30" s="48">
        <v>3.6</v>
      </c>
    </row>
    <row r="31" spans="2:4">
      <c r="B31" t="s">
        <v>36</v>
      </c>
      <c r="C31" t="s">
        <v>36</v>
      </c>
      <c r="D31" s="48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K11" sqref="K11"/>
    </sheetView>
  </sheetViews>
  <sheetFormatPr defaultRowHeight="13.2"/>
  <cols>
    <col min="3" max="3" width="11.6640625" customWidth="1"/>
    <col min="4" max="4" width="12.109375" customWidth="1"/>
  </cols>
  <sheetData>
    <row r="4" spans="2:9">
      <c r="B4" s="50" t="s">
        <v>102</v>
      </c>
      <c r="C4" s="51"/>
      <c r="D4" s="51"/>
      <c r="E4" s="51"/>
    </row>
    <row r="5" spans="2:9" ht="13.8" thickBot="1">
      <c r="B5" s="5" t="s">
        <v>84</v>
      </c>
      <c r="C5" s="5" t="s">
        <v>85</v>
      </c>
      <c r="D5" s="5" t="s">
        <v>86</v>
      </c>
      <c r="E5" s="5" t="s">
        <v>87</v>
      </c>
      <c r="F5" s="5" t="s">
        <v>15</v>
      </c>
      <c r="G5" s="5" t="s">
        <v>88</v>
      </c>
      <c r="H5" s="5" t="s">
        <v>89</v>
      </c>
      <c r="I5" s="5" t="s">
        <v>90</v>
      </c>
    </row>
    <row r="6" spans="2:9">
      <c r="B6" s="57" t="s">
        <v>101</v>
      </c>
      <c r="C6" s="56" t="s">
        <v>100</v>
      </c>
      <c r="D6" s="56" t="s">
        <v>100</v>
      </c>
      <c r="E6" s="56" t="s">
        <v>36</v>
      </c>
      <c r="F6" s="56"/>
      <c r="G6" s="56"/>
      <c r="H6" s="56"/>
      <c r="I6" s="56"/>
    </row>
    <row r="7" spans="2:9">
      <c r="B7" s="57"/>
      <c r="C7" s="56"/>
      <c r="D7" s="56"/>
      <c r="E7" s="56"/>
      <c r="F7" s="56"/>
      <c r="G7" s="56"/>
      <c r="H7" s="56"/>
      <c r="I7" s="56"/>
    </row>
    <row r="8" spans="2:9">
      <c r="B8" s="57"/>
      <c r="C8" s="56"/>
      <c r="D8" s="56"/>
      <c r="E8" s="56"/>
      <c r="F8" s="56"/>
      <c r="G8" s="56"/>
      <c r="H8" s="56"/>
      <c r="I8" s="56"/>
    </row>
    <row r="9" spans="2:9">
      <c r="B9" s="56"/>
      <c r="C9" s="56"/>
      <c r="D9" s="56"/>
      <c r="E9" s="56"/>
      <c r="F9" s="56"/>
      <c r="G9" s="56"/>
      <c r="H9" s="56"/>
      <c r="I9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2025-01-05T15:22:37Z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